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108278b9da992a66/Desktop/Math6397/"/>
    </mc:Choice>
  </mc:AlternateContent>
  <xr:revisionPtr revIDLastSave="0" documentId="13_ncr:1_{EBF08622-CE43-4F06-96D3-D2606D75EDF0}" xr6:coauthVersionLast="47" xr6:coauthVersionMax="47" xr10:uidLastSave="{00000000-0000-0000-0000-000000000000}"/>
  <bookViews>
    <workbookView xWindow="-110" yWindow="-110" windowWidth="19420" windowHeight="11020" xr2:uid="{F1C22287-8000-485D-BD7E-4B7D6AA40B42}"/>
  </bookViews>
  <sheets>
    <sheet name="Sheet 1" sheetId="4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804" i="4" l="1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K5578" i="4" s="1"/>
  <c r="J4811" i="4"/>
  <c r="K4811" i="4"/>
  <c r="J4812" i="4"/>
  <c r="K4812" i="4"/>
  <c r="J4813" i="4"/>
  <c r="K4813" i="4"/>
  <c r="J4814" i="4"/>
  <c r="K4814" i="4"/>
  <c r="L4814" i="4" s="1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K4821" i="4"/>
  <c r="J4822" i="4"/>
  <c r="K4822" i="4"/>
  <c r="J4823" i="4"/>
  <c r="L4823" i="4" s="1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L4835" i="4" s="1"/>
  <c r="K4835" i="4"/>
  <c r="J4836" i="4"/>
  <c r="K4836" i="4"/>
  <c r="J4837" i="4"/>
  <c r="K4837" i="4"/>
  <c r="J4838" i="4"/>
  <c r="J4839" i="4"/>
  <c r="K4839" i="4"/>
  <c r="J4840" i="4"/>
  <c r="L4840" i="4" s="1"/>
  <c r="N4840" i="4" s="1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L4847" i="4" s="1"/>
  <c r="M4847" i="4" s="1"/>
  <c r="J4848" i="4"/>
  <c r="K4848" i="4"/>
  <c r="J4849" i="4"/>
  <c r="K4849" i="4"/>
  <c r="J4850" i="4"/>
  <c r="K4850" i="4"/>
  <c r="J4851" i="4"/>
  <c r="K4851" i="4"/>
  <c r="J4852" i="4"/>
  <c r="L4852" i="4" s="1"/>
  <c r="M4852" i="4" s="1"/>
  <c r="K4852" i="4"/>
  <c r="J4853" i="4"/>
  <c r="K4853" i="4"/>
  <c r="J4854" i="4"/>
  <c r="K4854" i="4"/>
  <c r="J4855" i="4"/>
  <c r="K4855" i="4"/>
  <c r="J4856" i="4"/>
  <c r="K4856" i="4"/>
  <c r="J4857" i="4"/>
  <c r="J4858" i="4"/>
  <c r="K4858" i="4"/>
  <c r="J4859" i="4"/>
  <c r="J4860" i="4"/>
  <c r="K4860" i="4"/>
  <c r="L4860" i="4" s="1"/>
  <c r="N4860" i="4" s="1"/>
  <c r="J4861" i="4"/>
  <c r="K4861" i="4"/>
  <c r="J4862" i="4"/>
  <c r="K4862" i="4"/>
  <c r="J4863" i="4"/>
  <c r="K4863" i="4"/>
  <c r="J4864" i="4"/>
  <c r="K4864" i="4"/>
  <c r="L4864" i="4" s="1"/>
  <c r="N4864" i="4" s="1"/>
  <c r="J4865" i="4"/>
  <c r="L4865" i="4" s="1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K4872" i="4"/>
  <c r="J4873" i="4"/>
  <c r="L4873" i="4" s="1"/>
  <c r="N4873" i="4" s="1"/>
  <c r="K4873" i="4"/>
  <c r="K4874" i="4"/>
  <c r="J4875" i="4"/>
  <c r="K4875" i="4"/>
  <c r="J4876" i="4"/>
  <c r="K4876" i="4"/>
  <c r="J4877" i="4"/>
  <c r="K4877" i="4"/>
  <c r="L4877" i="4" s="1"/>
  <c r="N4877" i="4" s="1"/>
  <c r="J4878" i="4"/>
  <c r="L4878" i="4" s="1"/>
  <c r="N4878" i="4" s="1"/>
  <c r="K4878" i="4"/>
  <c r="J4879" i="4"/>
  <c r="K4879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L4886" i="4" s="1"/>
  <c r="N4886" i="4" s="1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L4898" i="4" s="1"/>
  <c r="M4898" i="4" s="1"/>
  <c r="K4898" i="4"/>
  <c r="J4899" i="4"/>
  <c r="K4899" i="4"/>
  <c r="J4900" i="4"/>
  <c r="K4900" i="4"/>
  <c r="J4901" i="4"/>
  <c r="K4901" i="4"/>
  <c r="J4902" i="4"/>
  <c r="K4902" i="4"/>
  <c r="J4903" i="4"/>
  <c r="K4903" i="4"/>
  <c r="K4904" i="4"/>
  <c r="K4905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K4913" i="4"/>
  <c r="K4914" i="4"/>
  <c r="K4915" i="4"/>
  <c r="K4916" i="4"/>
  <c r="K4917" i="4"/>
  <c r="K4918" i="4"/>
  <c r="J4919" i="4"/>
  <c r="L4919" i="4" s="1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L4926" i="4" s="1"/>
  <c r="N4926" i="4" s="1"/>
  <c r="J4927" i="4"/>
  <c r="K4927" i="4"/>
  <c r="J4928" i="4"/>
  <c r="K4928" i="4"/>
  <c r="J4929" i="4"/>
  <c r="K4929" i="4"/>
  <c r="J4930" i="4"/>
  <c r="K4930" i="4"/>
  <c r="L4930" i="4" s="1"/>
  <c r="J4931" i="4"/>
  <c r="L4931" i="4" s="1"/>
  <c r="M4931" i="4" s="1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L4938" i="4" s="1"/>
  <c r="J4939" i="4"/>
  <c r="K4939" i="4"/>
  <c r="J4940" i="4"/>
  <c r="K4940" i="4"/>
  <c r="J4941" i="4"/>
  <c r="K4941" i="4"/>
  <c r="J4942" i="4"/>
  <c r="K4942" i="4"/>
  <c r="L4942" i="4" s="1"/>
  <c r="J4943" i="4"/>
  <c r="L4943" i="4" s="1"/>
  <c r="M4943" i="4" s="1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L4950" i="4" s="1"/>
  <c r="N4950" i="4" s="1"/>
  <c r="J4951" i="4"/>
  <c r="K4951" i="4"/>
  <c r="J4952" i="4"/>
  <c r="K4952" i="4"/>
  <c r="J4953" i="4"/>
  <c r="K4953" i="4"/>
  <c r="J4954" i="4"/>
  <c r="K4954" i="4"/>
  <c r="L4954" i="4" s="1"/>
  <c r="N4954" i="4" s="1"/>
  <c r="J4955" i="4"/>
  <c r="L4955" i="4" s="1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L4962" i="4" s="1"/>
  <c r="J4963" i="4"/>
  <c r="K4963" i="4"/>
  <c r="J4964" i="4"/>
  <c r="K4964" i="4"/>
  <c r="J4965" i="4"/>
  <c r="K4965" i="4"/>
  <c r="J4966" i="4"/>
  <c r="K4966" i="4"/>
  <c r="L4966" i="4" s="1"/>
  <c r="M4966" i="4" s="1"/>
  <c r="J4967" i="4"/>
  <c r="L4967" i="4" s="1"/>
  <c r="M4967" i="4" s="1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L4974" i="4" s="1"/>
  <c r="N4974" i="4" s="1"/>
  <c r="J4975" i="4"/>
  <c r="K4975" i="4"/>
  <c r="J4976" i="4"/>
  <c r="J4977" i="4"/>
  <c r="J4978" i="4"/>
  <c r="J4979" i="4"/>
  <c r="J4980" i="4"/>
  <c r="J4981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J5578" i="4" s="1"/>
  <c r="K5002" i="4"/>
  <c r="J5003" i="4"/>
  <c r="K5003" i="4"/>
  <c r="J5004" i="4"/>
  <c r="K5004" i="4"/>
  <c r="J5005" i="4"/>
  <c r="J5581" i="4" s="1"/>
  <c r="K5005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L5194" i="4" s="1"/>
  <c r="N5194" i="4" s="1"/>
  <c r="J5195" i="4"/>
  <c r="K5195" i="4"/>
  <c r="J5196" i="4"/>
  <c r="K5196" i="4"/>
  <c r="J5197" i="4"/>
  <c r="K5197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J5579" i="4" s="1"/>
  <c r="K5387" i="4"/>
  <c r="J5388" i="4"/>
  <c r="L5388" i="4" s="1"/>
  <c r="N5388" i="4" s="1"/>
  <c r="K5388" i="4"/>
  <c r="J5389" i="4"/>
  <c r="K5389" i="4"/>
  <c r="K5390" i="4"/>
  <c r="K5391" i="4"/>
  <c r="J5392" i="4"/>
  <c r="K5392" i="4"/>
  <c r="J5393" i="4"/>
  <c r="J5394" i="4"/>
  <c r="J5395" i="4"/>
  <c r="K5396" i="4"/>
  <c r="J5397" i="4"/>
  <c r="K5397" i="4"/>
  <c r="J5398" i="4"/>
  <c r="K5398" i="4"/>
  <c r="K5399" i="4"/>
  <c r="J5400" i="4"/>
  <c r="K5400" i="4"/>
  <c r="J5401" i="4"/>
  <c r="K5401" i="4"/>
  <c r="J5402" i="4"/>
  <c r="K5402" i="4"/>
  <c r="L5402" i="4" s="1"/>
  <c r="N5402" i="4" s="1"/>
  <c r="J5403" i="4"/>
  <c r="K5403" i="4"/>
  <c r="J5404" i="4"/>
  <c r="K5404" i="4"/>
  <c r="J5405" i="4"/>
  <c r="K5405" i="4"/>
  <c r="J5406" i="4"/>
  <c r="K5406" i="4"/>
  <c r="J5407" i="4"/>
  <c r="K5407" i="4"/>
  <c r="K5408" i="4"/>
  <c r="J5409" i="4"/>
  <c r="K5409" i="4"/>
  <c r="J5410" i="4"/>
  <c r="K5410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J5427" i="4"/>
  <c r="K5427" i="4"/>
  <c r="J5428" i="4"/>
  <c r="K5428" i="4"/>
  <c r="L5428" i="4" s="1"/>
  <c r="M5428" i="4" s="1"/>
  <c r="J5429" i="4"/>
  <c r="K5429" i="4"/>
  <c r="L5429" i="4" s="1"/>
  <c r="N5429" i="4" s="1"/>
  <c r="J5430" i="4"/>
  <c r="K5430" i="4"/>
  <c r="J5431" i="4"/>
  <c r="K5431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L5441" i="4" s="1"/>
  <c r="N5441" i="4" s="1"/>
  <c r="K5441" i="4"/>
  <c r="J5442" i="4"/>
  <c r="L5442" i="4" s="1"/>
  <c r="K5442" i="4"/>
  <c r="J5443" i="4"/>
  <c r="K5443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L5453" i="4" s="1"/>
  <c r="N5453" i="4" s="1"/>
  <c r="J5454" i="4"/>
  <c r="K5454" i="4"/>
  <c r="L5454" i="4" s="1"/>
  <c r="N5454" i="4" s="1"/>
  <c r="J5455" i="4"/>
  <c r="L5455" i="4" s="1"/>
  <c r="N5455" i="4" s="1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L5465" i="4" s="1"/>
  <c r="N5465" i="4" s="1"/>
  <c r="J5466" i="4"/>
  <c r="K5466" i="4"/>
  <c r="L5466" i="4" s="1"/>
  <c r="N5466" i="4" s="1"/>
  <c r="J5467" i="4"/>
  <c r="L5467" i="4" s="1"/>
  <c r="N5467" i="4" s="1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J5475" i="4"/>
  <c r="K5475" i="4"/>
  <c r="J5476" i="4"/>
  <c r="K5476" i="4"/>
  <c r="J5477" i="4"/>
  <c r="K5477" i="4"/>
  <c r="J5478" i="4"/>
  <c r="L5478" i="4" s="1"/>
  <c r="N5478" i="4" s="1"/>
  <c r="K5478" i="4"/>
  <c r="J5479" i="4"/>
  <c r="L5479" i="4" s="1"/>
  <c r="N5479" i="4" s="1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L5490" i="4" s="1"/>
  <c r="N5490" i="4" s="1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L5502" i="4" s="1"/>
  <c r="N5502" i="4" s="1"/>
  <c r="K5502" i="4"/>
  <c r="J5503" i="4"/>
  <c r="L5503" i="4" s="1"/>
  <c r="N5503" i="4" s="1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L5514" i="4" s="1"/>
  <c r="N5514" i="4" s="1"/>
  <c r="K5514" i="4"/>
  <c r="J5515" i="4"/>
  <c r="L5515" i="4" s="1"/>
  <c r="N5515" i="4" s="1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L5526" i="4" s="1"/>
  <c r="N5526" i="4" s="1"/>
  <c r="K5526" i="4"/>
  <c r="J5527" i="4"/>
  <c r="L5527" i="4" s="1"/>
  <c r="N5527" i="4" s="1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L5538" i="4" s="1"/>
  <c r="N5538" i="4" s="1"/>
  <c r="K5538" i="4"/>
  <c r="J5539" i="4"/>
  <c r="L5539" i="4" s="1"/>
  <c r="N5539" i="4" s="1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L5550" i="4" s="1"/>
  <c r="K5550" i="4"/>
  <c r="J5551" i="4"/>
  <c r="L5551" i="4" s="1"/>
  <c r="N5551" i="4" s="1"/>
  <c r="K5551" i="4"/>
  <c r="J5552" i="4"/>
  <c r="J5553" i="4"/>
  <c r="J5554" i="4"/>
  <c r="J5555" i="4"/>
  <c r="J5556" i="4"/>
  <c r="J5557" i="4"/>
  <c r="K4803" i="4"/>
  <c r="K4802" i="4"/>
  <c r="E4995" i="4"/>
  <c r="F4995" i="4"/>
  <c r="E4996" i="4"/>
  <c r="F4996" i="4"/>
  <c r="E4997" i="4"/>
  <c r="F4997" i="4"/>
  <c r="E4998" i="4"/>
  <c r="F4998" i="4"/>
  <c r="E4999" i="4"/>
  <c r="F4999" i="4"/>
  <c r="E5000" i="4"/>
  <c r="F5000" i="4"/>
  <c r="E5001" i="4"/>
  <c r="F5001" i="4"/>
  <c r="E5002" i="4"/>
  <c r="F5002" i="4"/>
  <c r="E5003" i="4"/>
  <c r="F5003" i="4"/>
  <c r="E5004" i="4"/>
  <c r="F5004" i="4"/>
  <c r="E5005" i="4"/>
  <c r="F5005" i="4"/>
  <c r="F5186" i="4"/>
  <c r="E5187" i="4"/>
  <c r="F5187" i="4"/>
  <c r="E5188" i="4"/>
  <c r="F5188" i="4"/>
  <c r="E5189" i="4"/>
  <c r="F5189" i="4"/>
  <c r="E5190" i="4"/>
  <c r="F5190" i="4"/>
  <c r="E5191" i="4"/>
  <c r="F5191" i="4"/>
  <c r="E5192" i="4"/>
  <c r="F5192" i="4"/>
  <c r="E5193" i="4"/>
  <c r="F5193" i="4"/>
  <c r="G5193" i="4" s="1"/>
  <c r="I5193" i="4" s="1"/>
  <c r="E5194" i="4"/>
  <c r="F5194" i="4"/>
  <c r="E5195" i="4"/>
  <c r="F5195" i="4"/>
  <c r="E5196" i="4"/>
  <c r="F5196" i="4"/>
  <c r="E5197" i="4"/>
  <c r="F5197" i="4"/>
  <c r="F5204" i="4"/>
  <c r="E5205" i="4"/>
  <c r="F5205" i="4"/>
  <c r="E5206" i="4"/>
  <c r="F5206" i="4"/>
  <c r="F5207" i="4"/>
  <c r="E5208" i="4"/>
  <c r="F5208" i="4"/>
  <c r="E5209" i="4"/>
  <c r="F5209" i="4"/>
  <c r="E5378" i="4"/>
  <c r="F5378" i="4"/>
  <c r="E5379" i="4"/>
  <c r="F5379" i="4"/>
  <c r="E5380" i="4"/>
  <c r="F5380" i="4"/>
  <c r="F5572" i="4" s="1"/>
  <c r="E5381" i="4"/>
  <c r="F5381" i="4"/>
  <c r="E5382" i="4"/>
  <c r="F5382" i="4"/>
  <c r="E5383" i="4"/>
  <c r="F5383" i="4"/>
  <c r="E5384" i="4"/>
  <c r="F5384" i="4"/>
  <c r="E5385" i="4"/>
  <c r="F5385" i="4"/>
  <c r="E5386" i="4"/>
  <c r="F5386" i="4"/>
  <c r="E5387" i="4"/>
  <c r="F5387" i="4"/>
  <c r="E5388" i="4"/>
  <c r="F5388" i="4"/>
  <c r="E5389" i="4"/>
  <c r="F5389" i="4"/>
  <c r="F5390" i="4"/>
  <c r="E5391" i="4"/>
  <c r="F5391" i="4"/>
  <c r="E5392" i="4"/>
  <c r="F5392" i="4"/>
  <c r="E5396" i="4"/>
  <c r="G5396" i="4" s="1"/>
  <c r="I5396" i="4" s="1"/>
  <c r="F5396" i="4"/>
  <c r="E5397" i="4"/>
  <c r="F5397" i="4"/>
  <c r="E5398" i="4"/>
  <c r="F5398" i="4"/>
  <c r="F5399" i="4"/>
  <c r="E5400" i="4"/>
  <c r="F5400" i="4"/>
  <c r="E5401" i="4"/>
  <c r="F5401" i="4"/>
  <c r="E5402" i="4"/>
  <c r="F5402" i="4"/>
  <c r="E5403" i="4"/>
  <c r="F5403" i="4"/>
  <c r="E5404" i="4"/>
  <c r="F5404" i="4"/>
  <c r="E5405" i="4"/>
  <c r="F5405" i="4"/>
  <c r="E5406" i="4"/>
  <c r="F5406" i="4"/>
  <c r="E5407" i="4"/>
  <c r="F5407" i="4"/>
  <c r="F5408" i="4"/>
  <c r="E5409" i="4"/>
  <c r="G5409" i="4" s="1"/>
  <c r="I5409" i="4" s="1"/>
  <c r="F5409" i="4"/>
  <c r="E5410" i="4"/>
  <c r="F5410" i="4"/>
  <c r="E5411" i="4"/>
  <c r="F5411" i="4"/>
  <c r="E5412" i="4"/>
  <c r="F5412" i="4"/>
  <c r="E5413" i="4"/>
  <c r="F5413" i="4"/>
  <c r="E5414" i="4"/>
  <c r="F5414" i="4"/>
  <c r="E5415" i="4"/>
  <c r="F5415" i="4"/>
  <c r="E5416" i="4"/>
  <c r="F5416" i="4"/>
  <c r="E5417" i="4"/>
  <c r="F5417" i="4"/>
  <c r="E5418" i="4"/>
  <c r="F5418" i="4"/>
  <c r="E5419" i="4"/>
  <c r="F5419" i="4"/>
  <c r="E5420" i="4"/>
  <c r="G5420" i="4" s="1"/>
  <c r="I5420" i="4" s="1"/>
  <c r="F5420" i="4"/>
  <c r="E5421" i="4"/>
  <c r="G5421" i="4" s="1"/>
  <c r="I5421" i="4" s="1"/>
  <c r="F5421" i="4"/>
  <c r="E5422" i="4"/>
  <c r="F5422" i="4"/>
  <c r="E5423" i="4"/>
  <c r="F5423" i="4"/>
  <c r="E5424" i="4"/>
  <c r="F5424" i="4"/>
  <c r="E5425" i="4"/>
  <c r="F5425" i="4"/>
  <c r="E5426" i="4"/>
  <c r="F5426" i="4"/>
  <c r="E5427" i="4"/>
  <c r="F5427" i="4"/>
  <c r="E5428" i="4"/>
  <c r="F5428" i="4"/>
  <c r="E5429" i="4"/>
  <c r="G5429" i="4" s="1"/>
  <c r="I5429" i="4" s="1"/>
  <c r="F5429" i="4"/>
  <c r="E5430" i="4"/>
  <c r="F5430" i="4"/>
  <c r="E5431" i="4"/>
  <c r="F5431" i="4"/>
  <c r="E5432" i="4"/>
  <c r="G5432" i="4" s="1"/>
  <c r="H5432" i="4" s="1"/>
  <c r="F5432" i="4"/>
  <c r="E5433" i="4"/>
  <c r="G5433" i="4" s="1"/>
  <c r="I5433" i="4" s="1"/>
  <c r="F5433" i="4"/>
  <c r="E5434" i="4"/>
  <c r="F5434" i="4"/>
  <c r="E5435" i="4"/>
  <c r="F5435" i="4"/>
  <c r="E5436" i="4"/>
  <c r="F5436" i="4"/>
  <c r="E5437" i="4"/>
  <c r="F5437" i="4"/>
  <c r="E5438" i="4"/>
  <c r="F5438" i="4"/>
  <c r="E5439" i="4"/>
  <c r="F5439" i="4"/>
  <c r="E5440" i="4"/>
  <c r="F5440" i="4"/>
  <c r="E5441" i="4"/>
  <c r="G5441" i="4" s="1"/>
  <c r="I5441" i="4" s="1"/>
  <c r="F5441" i="4"/>
  <c r="E5442" i="4"/>
  <c r="F5442" i="4"/>
  <c r="E5443" i="4"/>
  <c r="F5443" i="4"/>
  <c r="E5444" i="4"/>
  <c r="G5444" i="4" s="1"/>
  <c r="H5444" i="4" s="1"/>
  <c r="F5444" i="4"/>
  <c r="E5445" i="4"/>
  <c r="G5445" i="4" s="1"/>
  <c r="I5445" i="4" s="1"/>
  <c r="F5445" i="4"/>
  <c r="E5446" i="4"/>
  <c r="F5446" i="4"/>
  <c r="F5447" i="4"/>
  <c r="E5448" i="4"/>
  <c r="F5448" i="4"/>
  <c r="E5449" i="4"/>
  <c r="F5449" i="4"/>
  <c r="E5450" i="4"/>
  <c r="F5450" i="4"/>
  <c r="E5451" i="4"/>
  <c r="F5451" i="4"/>
  <c r="E5452" i="4"/>
  <c r="F5452" i="4"/>
  <c r="E5453" i="4"/>
  <c r="F5453" i="4"/>
  <c r="E5454" i="4"/>
  <c r="F5454" i="4"/>
  <c r="E5455" i="4"/>
  <c r="F5455" i="4"/>
  <c r="E5456" i="4"/>
  <c r="G5456" i="4" s="1"/>
  <c r="H5456" i="4" s="1"/>
  <c r="F5456" i="4"/>
  <c r="E5457" i="4"/>
  <c r="F5457" i="4"/>
  <c r="G5457" i="4" s="1"/>
  <c r="I5457" i="4" s="1"/>
  <c r="E5458" i="4"/>
  <c r="F5458" i="4"/>
  <c r="E5459" i="4"/>
  <c r="F5459" i="4"/>
  <c r="E5460" i="4"/>
  <c r="F5460" i="4"/>
  <c r="E5461" i="4"/>
  <c r="F5461" i="4"/>
  <c r="E5462" i="4"/>
  <c r="F5462" i="4"/>
  <c r="E5463" i="4"/>
  <c r="F5463" i="4"/>
  <c r="E5464" i="4"/>
  <c r="F5464" i="4"/>
  <c r="E5465" i="4"/>
  <c r="E5466" i="4"/>
  <c r="F5466" i="4"/>
  <c r="E5467" i="4"/>
  <c r="F5467" i="4"/>
  <c r="E5468" i="4"/>
  <c r="F5468" i="4"/>
  <c r="E5469" i="4"/>
  <c r="G5469" i="4" s="1"/>
  <c r="H5469" i="4" s="1"/>
  <c r="F5469" i="4"/>
  <c r="E5470" i="4"/>
  <c r="G5470" i="4" s="1"/>
  <c r="I5470" i="4" s="1"/>
  <c r="F5470" i="4"/>
  <c r="E5471" i="4"/>
  <c r="F5471" i="4"/>
  <c r="E5472" i="4"/>
  <c r="F5472" i="4"/>
  <c r="E5473" i="4"/>
  <c r="F5473" i="4"/>
  <c r="E5474" i="4"/>
  <c r="F5474" i="4"/>
  <c r="E5475" i="4"/>
  <c r="F5475" i="4"/>
  <c r="E5476" i="4"/>
  <c r="F5476" i="4"/>
  <c r="E5477" i="4"/>
  <c r="F5477" i="4"/>
  <c r="E5478" i="4"/>
  <c r="F5478" i="4"/>
  <c r="E5479" i="4"/>
  <c r="F5479" i="4"/>
  <c r="E5480" i="4"/>
  <c r="F5480" i="4"/>
  <c r="E5481" i="4"/>
  <c r="G5481" i="4" s="1"/>
  <c r="I5481" i="4" s="1"/>
  <c r="F5481" i="4"/>
  <c r="E5482" i="4"/>
  <c r="G5482" i="4" s="1"/>
  <c r="H5482" i="4" s="1"/>
  <c r="F5482" i="4"/>
  <c r="E5483" i="4"/>
  <c r="F5483" i="4"/>
  <c r="E5484" i="4"/>
  <c r="F5484" i="4"/>
  <c r="E5485" i="4"/>
  <c r="F5485" i="4"/>
  <c r="E5486" i="4"/>
  <c r="F5486" i="4"/>
  <c r="E5487" i="4"/>
  <c r="F5487" i="4"/>
  <c r="E5488" i="4"/>
  <c r="F5488" i="4"/>
  <c r="E5489" i="4"/>
  <c r="F5489" i="4"/>
  <c r="E5490" i="4"/>
  <c r="F5490" i="4"/>
  <c r="E5491" i="4"/>
  <c r="F5491" i="4"/>
  <c r="F5492" i="4"/>
  <c r="F5493" i="4"/>
  <c r="F5494" i="4"/>
  <c r="E5495" i="4"/>
  <c r="F5495" i="4"/>
  <c r="G5495" i="4" s="1"/>
  <c r="I5495" i="4" s="1"/>
  <c r="E5496" i="4"/>
  <c r="F5496" i="4"/>
  <c r="E5497" i="4"/>
  <c r="F5497" i="4"/>
  <c r="E5498" i="4"/>
  <c r="F5498" i="4"/>
  <c r="E5499" i="4"/>
  <c r="F5499" i="4"/>
  <c r="E5500" i="4"/>
  <c r="F5500" i="4"/>
  <c r="E5501" i="4"/>
  <c r="F5501" i="4"/>
  <c r="E5502" i="4"/>
  <c r="F5502" i="4"/>
  <c r="E5503" i="4"/>
  <c r="F5503" i="4"/>
  <c r="E5504" i="4"/>
  <c r="F5504" i="4"/>
  <c r="E5505" i="4"/>
  <c r="F5505" i="4"/>
  <c r="E5506" i="4"/>
  <c r="G5506" i="4" s="1"/>
  <c r="I5506" i="4" s="1"/>
  <c r="F5506" i="4"/>
  <c r="E5507" i="4"/>
  <c r="F5507" i="4"/>
  <c r="G5507" i="4" s="1"/>
  <c r="I5507" i="4" s="1"/>
  <c r="E5508" i="4"/>
  <c r="F5508" i="4"/>
  <c r="E5509" i="4"/>
  <c r="F5509" i="4"/>
  <c r="E5510" i="4"/>
  <c r="F5510" i="4"/>
  <c r="E5511" i="4"/>
  <c r="F5511" i="4"/>
  <c r="E5512" i="4"/>
  <c r="F5512" i="4"/>
  <c r="E5513" i="4"/>
  <c r="F5513" i="4"/>
  <c r="E5514" i="4"/>
  <c r="F5514" i="4"/>
  <c r="E5515" i="4"/>
  <c r="F5515" i="4"/>
  <c r="F5516" i="4"/>
  <c r="F5517" i="4"/>
  <c r="F5518" i="4"/>
  <c r="E5519" i="4"/>
  <c r="F5519" i="4"/>
  <c r="E5520" i="4"/>
  <c r="G5520" i="4" s="1"/>
  <c r="H5520" i="4" s="1"/>
  <c r="F5520" i="4"/>
  <c r="E5521" i="4"/>
  <c r="G5521" i="4" s="1"/>
  <c r="I5521" i="4" s="1"/>
  <c r="F5521" i="4"/>
  <c r="E5522" i="4"/>
  <c r="F5522" i="4"/>
  <c r="E5523" i="4"/>
  <c r="F5523" i="4"/>
  <c r="E5524" i="4"/>
  <c r="F5524" i="4"/>
  <c r="E5525" i="4"/>
  <c r="F5525" i="4"/>
  <c r="E5526" i="4"/>
  <c r="F5526" i="4"/>
  <c r="E5527" i="4"/>
  <c r="F5527" i="4"/>
  <c r="E5528" i="4"/>
  <c r="F5528" i="4"/>
  <c r="E5529" i="4"/>
  <c r="F5529" i="4"/>
  <c r="E5530" i="4"/>
  <c r="F5530" i="4"/>
  <c r="E5531" i="4"/>
  <c r="F5531" i="4"/>
  <c r="E5532" i="4"/>
  <c r="F5532" i="4"/>
  <c r="E5533" i="4"/>
  <c r="G5533" i="4" s="1"/>
  <c r="I5533" i="4" s="1"/>
  <c r="F5533" i="4"/>
  <c r="E5534" i="4"/>
  <c r="F5534" i="4"/>
  <c r="E5535" i="4"/>
  <c r="F5535" i="4"/>
  <c r="E5536" i="4"/>
  <c r="F5536" i="4"/>
  <c r="E5537" i="4"/>
  <c r="F5537" i="4"/>
  <c r="E5538" i="4"/>
  <c r="F5538" i="4"/>
  <c r="E5539" i="4"/>
  <c r="F5539" i="4"/>
  <c r="E5540" i="4"/>
  <c r="F5540" i="4"/>
  <c r="E5541" i="4"/>
  <c r="F5541" i="4"/>
  <c r="E5542" i="4"/>
  <c r="F5542" i="4"/>
  <c r="E5543" i="4"/>
  <c r="F5543" i="4"/>
  <c r="E5544" i="4"/>
  <c r="G5544" i="4" s="1"/>
  <c r="F5544" i="4"/>
  <c r="E5545" i="4"/>
  <c r="G5545" i="4" s="1"/>
  <c r="I5545" i="4" s="1"/>
  <c r="F5545" i="4"/>
  <c r="E5546" i="4"/>
  <c r="F5546" i="4"/>
  <c r="E5547" i="4"/>
  <c r="F5547" i="4"/>
  <c r="E5548" i="4"/>
  <c r="F5548" i="4"/>
  <c r="E5549" i="4"/>
  <c r="F5549" i="4"/>
  <c r="E5550" i="4"/>
  <c r="F5550" i="4"/>
  <c r="E5551" i="4"/>
  <c r="F5551" i="4"/>
  <c r="E5552" i="4"/>
  <c r="E5553" i="4"/>
  <c r="E5554" i="4"/>
  <c r="E4994" i="4"/>
  <c r="F4994" i="4"/>
  <c r="E4804" i="4"/>
  <c r="F4804" i="4"/>
  <c r="E4805" i="4"/>
  <c r="F4805" i="4"/>
  <c r="E4806" i="4"/>
  <c r="F4806" i="4"/>
  <c r="G4806" i="4" s="1"/>
  <c r="E4807" i="4"/>
  <c r="F4807" i="4"/>
  <c r="E4808" i="4"/>
  <c r="F4808" i="4"/>
  <c r="E4809" i="4"/>
  <c r="F4809" i="4"/>
  <c r="E4810" i="4"/>
  <c r="F4810" i="4"/>
  <c r="E4811" i="4"/>
  <c r="F4811" i="4"/>
  <c r="E4812" i="4"/>
  <c r="F4812" i="4"/>
  <c r="E4813" i="4"/>
  <c r="F4813" i="4"/>
  <c r="E4814" i="4"/>
  <c r="F4815" i="4"/>
  <c r="E4816" i="4"/>
  <c r="F4816" i="4"/>
  <c r="E4817" i="4"/>
  <c r="F4817" i="4"/>
  <c r="E4818" i="4"/>
  <c r="F4818" i="4"/>
  <c r="E4819" i="4"/>
  <c r="F4819" i="4"/>
  <c r="G4819" i="4" s="1"/>
  <c r="I4819" i="4" s="1"/>
  <c r="E4820" i="4"/>
  <c r="F4820" i="4"/>
  <c r="E4821" i="4"/>
  <c r="F4821" i="4"/>
  <c r="E4822" i="4"/>
  <c r="F4822" i="4"/>
  <c r="E4823" i="4"/>
  <c r="F4823" i="4"/>
  <c r="E4824" i="4"/>
  <c r="F4824" i="4"/>
  <c r="E4825" i="4"/>
  <c r="F4825" i="4"/>
  <c r="E4826" i="4"/>
  <c r="F4826" i="4"/>
  <c r="E4827" i="4"/>
  <c r="F4827" i="4"/>
  <c r="E4828" i="4"/>
  <c r="F4828" i="4"/>
  <c r="E4829" i="4"/>
  <c r="F4829" i="4"/>
  <c r="E4830" i="4"/>
  <c r="F4830" i="4"/>
  <c r="E4831" i="4"/>
  <c r="F4831" i="4"/>
  <c r="G4831" i="4" s="1"/>
  <c r="I4831" i="4" s="1"/>
  <c r="E4832" i="4"/>
  <c r="F4832" i="4"/>
  <c r="E4833" i="4"/>
  <c r="F4833" i="4"/>
  <c r="E4834" i="4"/>
  <c r="F4834" i="4"/>
  <c r="E4835" i="4"/>
  <c r="F4835" i="4"/>
  <c r="E4836" i="4"/>
  <c r="F4836" i="4"/>
  <c r="E4837" i="4"/>
  <c r="F4837" i="4"/>
  <c r="E4838" i="4"/>
  <c r="E4839" i="4"/>
  <c r="F4839" i="4"/>
  <c r="E4840" i="4"/>
  <c r="F4840" i="4"/>
  <c r="G4840" i="4" s="1"/>
  <c r="E4841" i="4"/>
  <c r="G4841" i="4" s="1"/>
  <c r="F4841" i="4"/>
  <c r="E4842" i="4"/>
  <c r="F4842" i="4"/>
  <c r="E4843" i="4"/>
  <c r="F4843" i="4"/>
  <c r="E4844" i="4"/>
  <c r="E4845" i="4"/>
  <c r="E4846" i="4"/>
  <c r="E4847" i="4"/>
  <c r="F4847" i="4"/>
  <c r="E4848" i="4"/>
  <c r="F4848" i="4"/>
  <c r="E4849" i="4"/>
  <c r="F4849" i="4"/>
  <c r="E4850" i="4"/>
  <c r="F4850" i="4"/>
  <c r="E4851" i="4"/>
  <c r="F4851" i="4"/>
  <c r="E4852" i="4"/>
  <c r="F4852" i="4"/>
  <c r="E4853" i="4"/>
  <c r="F4853" i="4"/>
  <c r="E4854" i="4"/>
  <c r="F4854" i="4"/>
  <c r="E4855" i="4"/>
  <c r="F4855" i="4"/>
  <c r="E4856" i="4"/>
  <c r="F4856" i="4"/>
  <c r="E4857" i="4"/>
  <c r="F4857" i="4"/>
  <c r="G4857" i="4" s="1"/>
  <c r="H4857" i="4" s="1"/>
  <c r="E4858" i="4"/>
  <c r="F4858" i="4"/>
  <c r="E4859" i="4"/>
  <c r="F4859" i="4"/>
  <c r="E4860" i="4"/>
  <c r="F4860" i="4"/>
  <c r="E4861" i="4"/>
  <c r="F4861" i="4"/>
  <c r="E4862" i="4"/>
  <c r="F4862" i="4"/>
  <c r="E4863" i="4"/>
  <c r="F4863" i="4"/>
  <c r="E4864" i="4"/>
  <c r="F4864" i="4"/>
  <c r="E4865" i="4"/>
  <c r="F4865" i="4"/>
  <c r="E4866" i="4"/>
  <c r="F4866" i="4"/>
  <c r="E4867" i="4"/>
  <c r="F4867" i="4"/>
  <c r="E4868" i="4"/>
  <c r="F4868" i="4"/>
  <c r="E4869" i="4"/>
  <c r="F4869" i="4"/>
  <c r="G4869" i="4" s="1"/>
  <c r="I4869" i="4" s="1"/>
  <c r="E4870" i="4"/>
  <c r="F4870" i="4"/>
  <c r="E4871" i="4"/>
  <c r="F4871" i="4"/>
  <c r="E4872" i="4"/>
  <c r="F4872" i="4"/>
  <c r="E4873" i="4"/>
  <c r="F4873" i="4"/>
  <c r="E4874" i="4"/>
  <c r="F4874" i="4"/>
  <c r="E4875" i="4"/>
  <c r="F4875" i="4"/>
  <c r="E4876" i="4"/>
  <c r="F4876" i="4"/>
  <c r="E4877" i="4"/>
  <c r="F4877" i="4"/>
  <c r="E4878" i="4"/>
  <c r="F4878" i="4"/>
  <c r="E4879" i="4"/>
  <c r="F4879" i="4"/>
  <c r="E4880" i="4"/>
  <c r="E4881" i="4"/>
  <c r="E4882" i="4"/>
  <c r="E4883" i="4"/>
  <c r="G4883" i="4" s="1"/>
  <c r="I4883" i="4" s="1"/>
  <c r="F4883" i="4"/>
  <c r="E4884" i="4"/>
  <c r="F4884" i="4"/>
  <c r="E4885" i="4"/>
  <c r="F4885" i="4"/>
  <c r="E4886" i="4"/>
  <c r="F4886" i="4"/>
  <c r="E4887" i="4"/>
  <c r="F4887" i="4"/>
  <c r="G4887" i="4" s="1"/>
  <c r="I4887" i="4" s="1"/>
  <c r="E4888" i="4"/>
  <c r="F4888" i="4"/>
  <c r="E4889" i="4"/>
  <c r="E4890" i="4"/>
  <c r="F4890" i="4"/>
  <c r="E4891" i="4"/>
  <c r="F4891" i="4"/>
  <c r="E4892" i="4"/>
  <c r="F4892" i="4"/>
  <c r="E4893" i="4"/>
  <c r="F4893" i="4"/>
  <c r="E4894" i="4"/>
  <c r="F4894" i="4"/>
  <c r="E4895" i="4"/>
  <c r="F4895" i="4"/>
  <c r="G4895" i="4" s="1"/>
  <c r="I4895" i="4" s="1"/>
  <c r="E4896" i="4"/>
  <c r="F4896" i="4"/>
  <c r="E4897" i="4"/>
  <c r="F4897" i="4"/>
  <c r="E4898" i="4"/>
  <c r="F4898" i="4"/>
  <c r="E4899" i="4"/>
  <c r="F4899" i="4"/>
  <c r="E4900" i="4"/>
  <c r="F4900" i="4"/>
  <c r="E4901" i="4"/>
  <c r="F4901" i="4"/>
  <c r="E4902" i="4"/>
  <c r="F4902" i="4"/>
  <c r="E4903" i="4"/>
  <c r="F4903" i="4"/>
  <c r="G4903" i="4" s="1"/>
  <c r="H4903" i="4" s="1"/>
  <c r="E4904" i="4"/>
  <c r="F4904" i="4"/>
  <c r="E4905" i="4"/>
  <c r="F4905" i="4"/>
  <c r="E4906" i="4"/>
  <c r="F4906" i="4"/>
  <c r="E4907" i="4"/>
  <c r="F4907" i="4"/>
  <c r="G4907" i="4" s="1"/>
  <c r="I4907" i="4" s="1"/>
  <c r="E4908" i="4"/>
  <c r="F4908" i="4"/>
  <c r="E4909" i="4"/>
  <c r="F4909" i="4"/>
  <c r="E4910" i="4"/>
  <c r="F4910" i="4"/>
  <c r="E4911" i="4"/>
  <c r="F4911" i="4"/>
  <c r="E4912" i="4"/>
  <c r="F4912" i="4"/>
  <c r="E4913" i="4"/>
  <c r="F4913" i="4"/>
  <c r="E4914" i="4"/>
  <c r="F4914" i="4"/>
  <c r="E4915" i="4"/>
  <c r="F4915" i="4"/>
  <c r="G4915" i="4" s="1"/>
  <c r="I4915" i="4" s="1"/>
  <c r="E4916" i="4"/>
  <c r="F4916" i="4"/>
  <c r="E4917" i="4"/>
  <c r="F4917" i="4"/>
  <c r="E4918" i="4"/>
  <c r="F4918" i="4"/>
  <c r="E4919" i="4"/>
  <c r="F4919" i="4"/>
  <c r="G4919" i="4" s="1"/>
  <c r="H4919" i="4" s="1"/>
  <c r="E4920" i="4"/>
  <c r="F4920" i="4"/>
  <c r="E4921" i="4"/>
  <c r="F4921" i="4"/>
  <c r="E4922" i="4"/>
  <c r="F4922" i="4"/>
  <c r="E4923" i="4"/>
  <c r="F4923" i="4"/>
  <c r="E4924" i="4"/>
  <c r="F4924" i="4"/>
  <c r="E4925" i="4"/>
  <c r="F4925" i="4"/>
  <c r="E4926" i="4"/>
  <c r="F4926" i="4"/>
  <c r="E4927" i="4"/>
  <c r="F4927" i="4"/>
  <c r="G4927" i="4" s="1"/>
  <c r="E4928" i="4"/>
  <c r="F4928" i="4"/>
  <c r="E4929" i="4"/>
  <c r="F4929" i="4"/>
  <c r="E4930" i="4"/>
  <c r="F4930" i="4"/>
  <c r="E4931" i="4"/>
  <c r="F4931" i="4"/>
  <c r="G4931" i="4" s="1"/>
  <c r="I4931" i="4" s="1"/>
  <c r="E4932" i="4"/>
  <c r="F4932" i="4"/>
  <c r="E4933" i="4"/>
  <c r="F4933" i="4"/>
  <c r="E4934" i="4"/>
  <c r="F4934" i="4"/>
  <c r="E4935" i="4"/>
  <c r="F4935" i="4"/>
  <c r="E4936" i="4"/>
  <c r="F4936" i="4"/>
  <c r="E4937" i="4"/>
  <c r="F4937" i="4"/>
  <c r="E4938" i="4"/>
  <c r="F4938" i="4"/>
  <c r="E4939" i="4"/>
  <c r="F4939" i="4"/>
  <c r="G4939" i="4" s="1"/>
  <c r="H4939" i="4" s="1"/>
  <c r="F4940" i="4"/>
  <c r="F4941" i="4"/>
  <c r="F4942" i="4"/>
  <c r="E4943" i="4"/>
  <c r="F4943" i="4"/>
  <c r="E4944" i="4"/>
  <c r="F4944" i="4"/>
  <c r="E4945" i="4"/>
  <c r="F4945" i="4"/>
  <c r="E4946" i="4"/>
  <c r="F4946" i="4"/>
  <c r="E4947" i="4"/>
  <c r="F4947" i="4"/>
  <c r="E4948" i="4"/>
  <c r="F4948" i="4"/>
  <c r="E4949" i="4"/>
  <c r="F4949" i="4"/>
  <c r="E4950" i="4"/>
  <c r="F4950" i="4"/>
  <c r="E4951" i="4"/>
  <c r="F4951" i="4"/>
  <c r="E4952" i="4"/>
  <c r="F4952" i="4"/>
  <c r="E4953" i="4"/>
  <c r="G4953" i="4" s="1"/>
  <c r="I4953" i="4" s="1"/>
  <c r="F4953" i="4"/>
  <c r="E4954" i="4"/>
  <c r="F4954" i="4"/>
  <c r="E4955" i="4"/>
  <c r="F4955" i="4"/>
  <c r="E4956" i="4"/>
  <c r="F4956" i="4"/>
  <c r="E4957" i="4"/>
  <c r="G4957" i="4" s="1"/>
  <c r="I4957" i="4" s="1"/>
  <c r="F4957" i="4"/>
  <c r="E4958" i="4"/>
  <c r="F4958" i="4"/>
  <c r="E4959" i="4"/>
  <c r="F4959" i="4"/>
  <c r="E4960" i="4"/>
  <c r="F4960" i="4"/>
  <c r="E4961" i="4"/>
  <c r="F4961" i="4"/>
  <c r="E4962" i="4"/>
  <c r="F4962" i="4"/>
  <c r="E4963" i="4"/>
  <c r="F4963" i="4"/>
  <c r="E4964" i="4"/>
  <c r="F4964" i="4"/>
  <c r="E4965" i="4"/>
  <c r="G4965" i="4" s="1"/>
  <c r="H4965" i="4" s="1"/>
  <c r="F4965" i="4"/>
  <c r="E4966" i="4"/>
  <c r="F4966" i="4"/>
  <c r="E4967" i="4"/>
  <c r="F4967" i="4"/>
  <c r="E4968" i="4"/>
  <c r="F4968" i="4"/>
  <c r="E4969" i="4"/>
  <c r="G4969" i="4" s="1"/>
  <c r="I4969" i="4" s="1"/>
  <c r="F4969" i="4"/>
  <c r="E4970" i="4"/>
  <c r="F4970" i="4"/>
  <c r="E4971" i="4"/>
  <c r="G4971" i="4" s="1"/>
  <c r="H4971" i="4" s="1"/>
  <c r="F4971" i="4"/>
  <c r="E4972" i="4"/>
  <c r="F4972" i="4"/>
  <c r="E4973" i="4"/>
  <c r="F4973" i="4"/>
  <c r="E4974" i="4"/>
  <c r="F4974" i="4"/>
  <c r="E4975" i="4"/>
  <c r="F4975" i="4"/>
  <c r="E4976" i="4"/>
  <c r="E4977" i="4"/>
  <c r="E4978" i="4"/>
  <c r="F4979" i="4"/>
  <c r="F4980" i="4"/>
  <c r="F4981" i="4"/>
  <c r="F4982" i="4"/>
  <c r="F4983" i="4"/>
  <c r="F4984" i="4"/>
  <c r="E4803" i="4"/>
  <c r="G4803" i="4" s="1"/>
  <c r="I4803" i="4" s="1"/>
  <c r="F4803" i="4"/>
  <c r="F4802" i="4"/>
  <c r="K4609" i="4"/>
  <c r="K4608" i="4"/>
  <c r="K4607" i="4"/>
  <c r="K4606" i="4"/>
  <c r="K5566" i="4" s="1"/>
  <c r="K4605" i="4"/>
  <c r="K5565" i="4" s="1"/>
  <c r="K4604" i="4"/>
  <c r="K5564" i="4" s="1"/>
  <c r="K4603" i="4"/>
  <c r="K4602" i="4"/>
  <c r="K4601" i="4"/>
  <c r="K4600" i="4"/>
  <c r="K5560" i="4" s="1"/>
  <c r="K4599" i="4"/>
  <c r="K5559" i="4" s="1"/>
  <c r="K4598" i="4"/>
  <c r="K5558" i="4" s="1"/>
  <c r="K4597" i="4"/>
  <c r="K4596" i="4"/>
  <c r="K4595" i="4"/>
  <c r="K5555" i="4" s="1"/>
  <c r="K4594" i="4"/>
  <c r="K5554" i="4" s="1"/>
  <c r="K4593" i="4"/>
  <c r="K5553" i="4" s="1"/>
  <c r="K4592" i="4"/>
  <c r="K5552" i="4" s="1"/>
  <c r="J4472" i="4"/>
  <c r="J5432" i="4" s="1"/>
  <c r="J4439" i="4"/>
  <c r="J5399" i="4" s="1"/>
  <c r="J4436" i="4"/>
  <c r="J4628" i="4" s="1"/>
  <c r="J4431" i="4"/>
  <c r="J5391" i="4" s="1"/>
  <c r="L5391" i="4" s="1"/>
  <c r="N5391" i="4" s="1"/>
  <c r="J4430" i="4"/>
  <c r="J5390" i="4" s="1"/>
  <c r="K4417" i="4"/>
  <c r="J4417" i="4"/>
  <c r="K4416" i="4"/>
  <c r="J4416" i="4"/>
  <c r="K4415" i="4"/>
  <c r="J4415" i="4"/>
  <c r="K4414" i="4"/>
  <c r="J4414" i="4"/>
  <c r="K4413" i="4"/>
  <c r="J4413" i="4"/>
  <c r="K4412" i="4"/>
  <c r="J4412" i="4"/>
  <c r="K4411" i="4"/>
  <c r="J4411" i="4"/>
  <c r="L4411" i="4" s="1"/>
  <c r="M4411" i="4" s="1"/>
  <c r="K4410" i="4"/>
  <c r="J4410" i="4"/>
  <c r="K4409" i="4"/>
  <c r="J4409" i="4"/>
  <c r="K4408" i="4"/>
  <c r="J4408" i="4"/>
  <c r="K4407" i="4"/>
  <c r="J4407" i="4"/>
  <c r="L4407" i="4" s="1"/>
  <c r="N4407" i="4" s="1"/>
  <c r="K4406" i="4"/>
  <c r="J4406" i="4"/>
  <c r="K4405" i="4"/>
  <c r="J4405" i="4"/>
  <c r="K4404" i="4"/>
  <c r="J4404" i="4"/>
  <c r="K4403" i="4"/>
  <c r="J4403" i="4"/>
  <c r="K4402" i="4"/>
  <c r="J4402" i="4"/>
  <c r="K4401" i="4"/>
  <c r="J4401" i="4"/>
  <c r="K4400" i="4"/>
  <c r="J4400" i="4"/>
  <c r="K4399" i="4"/>
  <c r="J4399" i="4"/>
  <c r="K4398" i="4"/>
  <c r="J4398" i="4"/>
  <c r="K4397" i="4"/>
  <c r="J4397" i="4"/>
  <c r="K4396" i="4"/>
  <c r="J4396" i="4"/>
  <c r="K4395" i="4"/>
  <c r="J4395" i="4"/>
  <c r="L4395" i="4" s="1"/>
  <c r="M4395" i="4" s="1"/>
  <c r="K4394" i="4"/>
  <c r="K4778" i="4" s="1"/>
  <c r="J4394" i="4"/>
  <c r="K4393" i="4"/>
  <c r="J4393" i="4"/>
  <c r="K4392" i="4"/>
  <c r="J4392" i="4"/>
  <c r="K4391" i="4"/>
  <c r="J4391" i="4"/>
  <c r="K4390" i="4"/>
  <c r="J4390" i="4"/>
  <c r="K4389" i="4"/>
  <c r="J4389" i="4"/>
  <c r="K4388" i="4"/>
  <c r="J4388" i="4"/>
  <c r="K4387" i="4"/>
  <c r="J4387" i="4"/>
  <c r="K4386" i="4"/>
  <c r="J4386" i="4"/>
  <c r="K4385" i="4"/>
  <c r="J4385" i="4"/>
  <c r="K4384" i="4"/>
  <c r="J4384" i="4"/>
  <c r="K4383" i="4"/>
  <c r="J4383" i="4"/>
  <c r="J4767" i="4" s="1"/>
  <c r="K4382" i="4"/>
  <c r="K4766" i="4" s="1"/>
  <c r="J4382" i="4"/>
  <c r="J4381" i="4"/>
  <c r="J4380" i="4"/>
  <c r="J4379" i="4"/>
  <c r="K4378" i="4"/>
  <c r="J4378" i="4"/>
  <c r="K4377" i="4"/>
  <c r="J4377" i="4"/>
  <c r="K4376" i="4"/>
  <c r="J4376" i="4"/>
  <c r="K4375" i="4"/>
  <c r="J4375" i="4"/>
  <c r="K4374" i="4"/>
  <c r="J4374" i="4"/>
  <c r="K4373" i="4"/>
  <c r="K4757" i="4" s="1"/>
  <c r="J4373" i="4"/>
  <c r="K4372" i="4"/>
  <c r="J4372" i="4"/>
  <c r="K4371" i="4"/>
  <c r="J4371" i="4"/>
  <c r="K4370" i="4"/>
  <c r="J4370" i="4"/>
  <c r="K4369" i="4"/>
  <c r="K4753" i="4" s="1"/>
  <c r="J4369" i="4"/>
  <c r="K4368" i="4"/>
  <c r="J4368" i="4"/>
  <c r="K4367" i="4"/>
  <c r="J4367" i="4"/>
  <c r="K4366" i="4"/>
  <c r="J4366" i="4"/>
  <c r="K4365" i="4"/>
  <c r="J4365" i="4"/>
  <c r="K4364" i="4"/>
  <c r="J4364" i="4"/>
  <c r="K4363" i="4"/>
  <c r="J4363" i="4"/>
  <c r="K4362" i="4"/>
  <c r="J4362" i="4"/>
  <c r="K4361" i="4"/>
  <c r="K4745" i="4" s="1"/>
  <c r="J4361" i="4"/>
  <c r="K4360" i="4"/>
  <c r="J4360" i="4"/>
  <c r="K4359" i="4"/>
  <c r="J4359" i="4"/>
  <c r="K4358" i="4"/>
  <c r="J4358" i="4"/>
  <c r="J4357" i="4"/>
  <c r="J4741" i="4" s="1"/>
  <c r="J4356" i="4"/>
  <c r="L4356" i="4" s="1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K4343" i="4"/>
  <c r="J4343" i="4"/>
  <c r="K4342" i="4"/>
  <c r="J4342" i="4"/>
  <c r="K4341" i="4"/>
  <c r="J4341" i="4"/>
  <c r="K4340" i="4"/>
  <c r="J4340" i="4"/>
  <c r="K4339" i="4"/>
  <c r="J4339" i="4"/>
  <c r="K4338" i="4"/>
  <c r="K4722" i="4" s="1"/>
  <c r="J4338" i="4"/>
  <c r="K4337" i="4"/>
  <c r="J4337" i="4"/>
  <c r="K4336" i="4"/>
  <c r="J4336" i="4"/>
  <c r="K4335" i="4"/>
  <c r="J4335" i="4"/>
  <c r="K4334" i="4"/>
  <c r="J4334" i="4"/>
  <c r="K4333" i="4"/>
  <c r="J4333" i="4"/>
  <c r="K4332" i="4"/>
  <c r="J4332" i="4"/>
  <c r="K4331" i="4"/>
  <c r="J4331" i="4"/>
  <c r="K4330" i="4"/>
  <c r="J4330" i="4"/>
  <c r="K4329" i="4"/>
  <c r="J4329" i="4"/>
  <c r="K4328" i="4"/>
  <c r="J4328" i="4"/>
  <c r="K4327" i="4"/>
  <c r="J4327" i="4"/>
  <c r="K4326" i="4"/>
  <c r="K4710" i="4" s="1"/>
  <c r="J4326" i="4"/>
  <c r="K4325" i="4"/>
  <c r="J4325" i="4"/>
  <c r="K4324" i="4"/>
  <c r="J4324" i="4"/>
  <c r="K4323" i="4"/>
  <c r="J4323" i="4"/>
  <c r="K4322" i="4"/>
  <c r="J4322" i="4"/>
  <c r="K4321" i="4"/>
  <c r="J4321" i="4"/>
  <c r="K4320" i="4"/>
  <c r="J4320" i="4"/>
  <c r="K4319" i="4"/>
  <c r="J4319" i="4"/>
  <c r="K4318" i="4"/>
  <c r="J4318" i="4"/>
  <c r="K4317" i="4"/>
  <c r="J4317" i="4"/>
  <c r="K4316" i="4"/>
  <c r="J4316" i="4"/>
  <c r="K4315" i="4"/>
  <c r="J4315" i="4"/>
  <c r="K4314" i="4"/>
  <c r="K4698" i="4" s="1"/>
  <c r="J4314" i="4"/>
  <c r="K4313" i="4"/>
  <c r="J4313" i="4"/>
  <c r="K4312" i="4"/>
  <c r="J4312" i="4"/>
  <c r="K4311" i="4"/>
  <c r="J4311" i="4"/>
  <c r="K4310" i="4"/>
  <c r="J4310" i="4"/>
  <c r="K4309" i="4"/>
  <c r="J4309" i="4"/>
  <c r="K4308" i="4"/>
  <c r="J4308" i="4"/>
  <c r="K4307" i="4"/>
  <c r="J4307" i="4"/>
  <c r="K4306" i="4"/>
  <c r="J4306" i="4"/>
  <c r="K4305" i="4"/>
  <c r="J4305" i="4"/>
  <c r="K4304" i="4"/>
  <c r="J4304" i="4"/>
  <c r="K4303" i="4"/>
  <c r="J4303" i="4"/>
  <c r="K4302" i="4"/>
  <c r="K4686" i="4" s="1"/>
  <c r="J4302" i="4"/>
  <c r="K4301" i="4"/>
  <c r="J4301" i="4"/>
  <c r="K4300" i="4"/>
  <c r="J4300" i="4"/>
  <c r="K4299" i="4"/>
  <c r="J4299" i="4"/>
  <c r="K4298" i="4"/>
  <c r="J4298" i="4"/>
  <c r="K4297" i="4"/>
  <c r="J4297" i="4"/>
  <c r="K4296" i="4"/>
  <c r="J4296" i="4"/>
  <c r="K4295" i="4"/>
  <c r="J4295" i="4"/>
  <c r="K4294" i="4"/>
  <c r="J4294" i="4"/>
  <c r="K4293" i="4"/>
  <c r="J4293" i="4"/>
  <c r="K4292" i="4"/>
  <c r="J4292" i="4"/>
  <c r="K4291" i="4"/>
  <c r="J4291" i="4"/>
  <c r="K4290" i="4"/>
  <c r="K4674" i="4" s="1"/>
  <c r="J4290" i="4"/>
  <c r="K4289" i="4"/>
  <c r="J4289" i="4"/>
  <c r="K4288" i="4"/>
  <c r="J4288" i="4"/>
  <c r="K4287" i="4"/>
  <c r="J4287" i="4"/>
  <c r="K4286" i="4"/>
  <c r="J4286" i="4"/>
  <c r="K4285" i="4"/>
  <c r="J4285" i="4"/>
  <c r="K4284" i="4"/>
  <c r="J4284" i="4"/>
  <c r="K4283" i="4"/>
  <c r="J4283" i="4"/>
  <c r="K4282" i="4"/>
  <c r="J4282" i="4"/>
  <c r="K4281" i="4"/>
  <c r="J4281" i="4"/>
  <c r="K4280" i="4"/>
  <c r="J4280" i="4"/>
  <c r="K4279" i="4"/>
  <c r="J4279" i="4"/>
  <c r="K4278" i="4"/>
  <c r="K4662" i="4" s="1"/>
  <c r="J4278" i="4"/>
  <c r="K4277" i="4"/>
  <c r="J4277" i="4"/>
  <c r="K4276" i="4"/>
  <c r="J4276" i="4"/>
  <c r="K4275" i="4"/>
  <c r="J4275" i="4"/>
  <c r="K4274" i="4"/>
  <c r="J4274" i="4"/>
  <c r="K4273" i="4"/>
  <c r="J4273" i="4"/>
  <c r="K4272" i="4"/>
  <c r="J4272" i="4"/>
  <c r="K4271" i="4"/>
  <c r="J4271" i="4"/>
  <c r="K4270" i="4"/>
  <c r="J4270" i="4"/>
  <c r="K4269" i="4"/>
  <c r="J4269" i="4"/>
  <c r="K4268" i="4"/>
  <c r="J4268" i="4"/>
  <c r="K4267" i="4"/>
  <c r="J4267" i="4"/>
  <c r="K4266" i="4"/>
  <c r="J4266" i="4"/>
  <c r="K4265" i="4"/>
  <c r="J4265" i="4"/>
  <c r="K4264" i="4"/>
  <c r="J4264" i="4"/>
  <c r="K4263" i="4"/>
  <c r="J4263" i="4"/>
  <c r="K4262" i="4"/>
  <c r="J4262" i="4"/>
  <c r="K4261" i="4"/>
  <c r="J4261" i="4"/>
  <c r="K4260" i="4"/>
  <c r="J4260" i="4"/>
  <c r="K4259" i="4"/>
  <c r="J4259" i="4"/>
  <c r="K4258" i="4"/>
  <c r="J4258" i="4"/>
  <c r="K4257" i="4"/>
  <c r="J4257" i="4"/>
  <c r="K4256" i="4"/>
  <c r="K4255" i="4"/>
  <c r="J4255" i="4"/>
  <c r="K4254" i="4"/>
  <c r="J4254" i="4"/>
  <c r="J4638" i="4" s="1"/>
  <c r="K4253" i="4"/>
  <c r="J4253" i="4"/>
  <c r="K4252" i="4"/>
  <c r="J4252" i="4"/>
  <c r="K4251" i="4"/>
  <c r="J4251" i="4"/>
  <c r="K4250" i="4"/>
  <c r="J4250" i="4"/>
  <c r="K4249" i="4"/>
  <c r="J4249" i="4"/>
  <c r="K4248" i="4"/>
  <c r="J4248" i="4"/>
  <c r="K4247" i="4"/>
  <c r="J4247" i="4"/>
  <c r="K4246" i="4"/>
  <c r="J4246" i="4"/>
  <c r="K4245" i="4"/>
  <c r="J4245" i="4"/>
  <c r="K4244" i="4"/>
  <c r="J4244" i="4"/>
  <c r="K4243" i="4"/>
  <c r="J4243" i="4"/>
  <c r="K4242" i="4"/>
  <c r="J4242" i="4"/>
  <c r="L4242" i="4" s="1"/>
  <c r="M4242" i="4" s="1"/>
  <c r="K4241" i="4"/>
  <c r="J4241" i="4"/>
  <c r="K4240" i="4"/>
  <c r="J4240" i="4"/>
  <c r="K4239" i="4"/>
  <c r="J4239" i="4"/>
  <c r="K4238" i="4"/>
  <c r="J4238" i="4"/>
  <c r="J4226" i="4"/>
  <c r="J4225" i="4"/>
  <c r="K4225" i="4" s="1"/>
  <c r="J4224" i="4"/>
  <c r="K4224" i="4" s="1"/>
  <c r="J4223" i="4"/>
  <c r="K4223" i="4" s="1"/>
  <c r="J4222" i="4"/>
  <c r="K4222" i="4" s="1"/>
  <c r="J4221" i="4"/>
  <c r="K4221" i="4" s="1"/>
  <c r="J4220" i="4"/>
  <c r="K4220" i="4" s="1"/>
  <c r="J4219" i="4"/>
  <c r="J4218" i="4"/>
  <c r="J4217" i="4"/>
  <c r="K4217" i="4" s="1"/>
  <c r="K4216" i="4"/>
  <c r="J4216" i="4"/>
  <c r="K4215" i="4"/>
  <c r="J4215" i="4"/>
  <c r="K4214" i="4"/>
  <c r="J4214" i="4"/>
  <c r="J4790" i="4" s="1"/>
  <c r="K4213" i="4"/>
  <c r="J4213" i="4"/>
  <c r="K4212" i="4"/>
  <c r="J4212" i="4"/>
  <c r="K4211" i="4"/>
  <c r="J4211" i="4"/>
  <c r="K4210" i="4"/>
  <c r="J4210" i="4"/>
  <c r="K4209" i="4"/>
  <c r="J4209" i="4"/>
  <c r="K4208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773" i="4" s="1"/>
  <c r="J4196" i="4"/>
  <c r="J4772" i="4" s="1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2" i="4"/>
  <c r="J4161" i="4"/>
  <c r="J4160" i="4"/>
  <c r="J4159" i="4"/>
  <c r="J4158" i="4"/>
  <c r="J4157" i="4"/>
  <c r="J4733" i="4" s="1"/>
  <c r="J4156" i="4"/>
  <c r="J4155" i="4"/>
  <c r="J4154" i="4"/>
  <c r="J4153" i="4"/>
  <c r="J4152" i="4"/>
  <c r="J4151" i="4"/>
  <c r="K4150" i="4"/>
  <c r="J4150" i="4"/>
  <c r="K4149" i="4"/>
  <c r="J4149" i="4"/>
  <c r="K4148" i="4"/>
  <c r="J4148" i="4"/>
  <c r="K4147" i="4"/>
  <c r="J4147" i="4"/>
  <c r="K4146" i="4"/>
  <c r="J4146" i="4"/>
  <c r="L4146" i="4" s="1"/>
  <c r="N4146" i="4" s="1"/>
  <c r="K4145" i="4"/>
  <c r="J4145" i="4"/>
  <c r="K4144" i="4"/>
  <c r="J4144" i="4"/>
  <c r="K4143" i="4"/>
  <c r="J4143" i="4"/>
  <c r="K4142" i="4"/>
  <c r="J4142" i="4"/>
  <c r="J4718" i="4" s="1"/>
  <c r="K4141" i="4"/>
  <c r="J4141" i="4"/>
  <c r="K4140" i="4"/>
  <c r="J4140" i="4"/>
  <c r="K4139" i="4"/>
  <c r="J4139" i="4"/>
  <c r="K4138" i="4"/>
  <c r="J4138" i="4"/>
  <c r="K4137" i="4"/>
  <c r="J4137" i="4"/>
  <c r="K4136" i="4"/>
  <c r="J4136" i="4"/>
  <c r="K4135" i="4"/>
  <c r="J4135" i="4"/>
  <c r="K4134" i="4"/>
  <c r="J4134" i="4"/>
  <c r="L4134" i="4" s="1"/>
  <c r="K4133" i="4"/>
  <c r="J4133" i="4"/>
  <c r="K4132" i="4"/>
  <c r="J4132" i="4"/>
  <c r="K4131" i="4"/>
  <c r="J4131" i="4"/>
  <c r="K4130" i="4"/>
  <c r="J4130" i="4"/>
  <c r="J4706" i="4" s="1"/>
  <c r="K4129" i="4"/>
  <c r="J4129" i="4"/>
  <c r="K4128" i="4"/>
  <c r="J4128" i="4"/>
  <c r="K4127" i="4"/>
  <c r="J4127" i="4"/>
  <c r="K4126" i="4"/>
  <c r="J4126" i="4"/>
  <c r="K4125" i="4"/>
  <c r="J4125" i="4"/>
  <c r="K4124" i="4"/>
  <c r="J4124" i="4"/>
  <c r="K4123" i="4"/>
  <c r="J4123" i="4"/>
  <c r="K4122" i="4"/>
  <c r="J4122" i="4"/>
  <c r="L4122" i="4" s="1"/>
  <c r="N4122" i="4" s="1"/>
  <c r="K4121" i="4"/>
  <c r="J4121" i="4"/>
  <c r="K4120" i="4"/>
  <c r="J4120" i="4"/>
  <c r="K4119" i="4"/>
  <c r="J4119" i="4"/>
  <c r="K4118" i="4"/>
  <c r="J4118" i="4"/>
  <c r="J4694" i="4" s="1"/>
  <c r="K4117" i="4"/>
  <c r="J4117" i="4"/>
  <c r="K4116" i="4"/>
  <c r="J4116" i="4"/>
  <c r="K4115" i="4"/>
  <c r="J4115" i="4"/>
  <c r="K4114" i="4"/>
  <c r="J4114" i="4"/>
  <c r="K4113" i="4"/>
  <c r="J4113" i="4"/>
  <c r="K4112" i="4"/>
  <c r="J4112" i="4"/>
  <c r="K4111" i="4"/>
  <c r="J4111" i="4"/>
  <c r="K4110" i="4"/>
  <c r="J4110" i="4"/>
  <c r="L4110" i="4" s="1"/>
  <c r="N4110" i="4" s="1"/>
  <c r="K4109" i="4"/>
  <c r="J4109" i="4"/>
  <c r="K4108" i="4"/>
  <c r="J4108" i="4"/>
  <c r="K4107" i="4"/>
  <c r="J4107" i="4"/>
  <c r="K4106" i="4"/>
  <c r="J4106" i="4"/>
  <c r="J4682" i="4" s="1"/>
  <c r="K4105" i="4"/>
  <c r="J4105" i="4"/>
  <c r="K4104" i="4"/>
  <c r="J4104" i="4"/>
  <c r="K4103" i="4"/>
  <c r="J4103" i="4"/>
  <c r="K4102" i="4"/>
  <c r="J4102" i="4"/>
  <c r="K4101" i="4"/>
  <c r="J4101" i="4"/>
  <c r="K4100" i="4"/>
  <c r="J4100" i="4"/>
  <c r="K4099" i="4"/>
  <c r="J4099" i="4"/>
  <c r="K4098" i="4"/>
  <c r="J4098" i="4"/>
  <c r="L4098" i="4" s="1"/>
  <c r="N4098" i="4" s="1"/>
  <c r="K4097" i="4"/>
  <c r="J4097" i="4"/>
  <c r="K4096" i="4"/>
  <c r="J4096" i="4"/>
  <c r="K4095" i="4"/>
  <c r="J4095" i="4"/>
  <c r="K4094" i="4"/>
  <c r="J4094" i="4"/>
  <c r="J4670" i="4" s="1"/>
  <c r="K4093" i="4"/>
  <c r="J4093" i="4"/>
  <c r="K4092" i="4"/>
  <c r="J4092" i="4"/>
  <c r="K4091" i="4"/>
  <c r="J4091" i="4"/>
  <c r="K4090" i="4"/>
  <c r="J4090" i="4"/>
  <c r="K4089" i="4"/>
  <c r="J4089" i="4"/>
  <c r="K4088" i="4"/>
  <c r="J4088" i="4"/>
  <c r="K4087" i="4"/>
  <c r="J4087" i="4"/>
  <c r="K4086" i="4"/>
  <c r="J4086" i="4"/>
  <c r="L4086" i="4" s="1"/>
  <c r="K4085" i="4"/>
  <c r="J4085" i="4"/>
  <c r="K4084" i="4"/>
  <c r="J4084" i="4"/>
  <c r="K4083" i="4"/>
  <c r="J4083" i="4"/>
  <c r="K4082" i="4"/>
  <c r="J4082" i="4"/>
  <c r="J4658" i="4" s="1"/>
  <c r="K4081" i="4"/>
  <c r="J4081" i="4"/>
  <c r="K4080" i="4"/>
  <c r="J4080" i="4"/>
  <c r="K4079" i="4"/>
  <c r="J4079" i="4"/>
  <c r="K4078" i="4"/>
  <c r="J4078" i="4"/>
  <c r="K4077" i="4"/>
  <c r="J4077" i="4"/>
  <c r="K4076" i="4"/>
  <c r="J4076" i="4"/>
  <c r="K4075" i="4"/>
  <c r="J4075" i="4"/>
  <c r="K4074" i="4"/>
  <c r="J4074" i="4"/>
  <c r="L4074" i="4" s="1"/>
  <c r="N4074" i="4" s="1"/>
  <c r="K4073" i="4"/>
  <c r="J4073" i="4"/>
  <c r="K4072" i="4"/>
  <c r="J4072" i="4"/>
  <c r="K4071" i="4"/>
  <c r="J4071" i="4"/>
  <c r="K4070" i="4"/>
  <c r="J4070" i="4"/>
  <c r="J4646" i="4" s="1"/>
  <c r="K4069" i="4"/>
  <c r="J4069" i="4"/>
  <c r="K4068" i="4"/>
  <c r="J4068" i="4"/>
  <c r="K4067" i="4"/>
  <c r="J4067" i="4"/>
  <c r="K4066" i="4"/>
  <c r="J4066" i="4"/>
  <c r="K4065" i="4"/>
  <c r="J4065" i="4"/>
  <c r="K4064" i="4"/>
  <c r="J4064" i="4"/>
  <c r="K4063" i="4"/>
  <c r="J4063" i="4"/>
  <c r="K4062" i="4"/>
  <c r="J4062" i="4"/>
  <c r="L4062" i="4" s="1"/>
  <c r="K4061" i="4"/>
  <c r="J4061" i="4"/>
  <c r="K4060" i="4"/>
  <c r="J4060" i="4"/>
  <c r="K4059" i="4"/>
  <c r="J4059" i="4"/>
  <c r="K4058" i="4"/>
  <c r="J4058" i="4"/>
  <c r="J4634" i="4" s="1"/>
  <c r="K4057" i="4"/>
  <c r="J4057" i="4"/>
  <c r="K4056" i="4"/>
  <c r="J4056" i="4"/>
  <c r="K4055" i="4"/>
  <c r="J4055" i="4"/>
  <c r="K4054" i="4"/>
  <c r="K5014" i="4" s="1"/>
  <c r="J4054" i="4"/>
  <c r="K4053" i="4"/>
  <c r="K5013" i="4" s="1"/>
  <c r="J4053" i="4"/>
  <c r="K4052" i="4"/>
  <c r="K5012" i="4" s="1"/>
  <c r="J4052" i="4"/>
  <c r="K4051" i="4"/>
  <c r="J4051" i="4"/>
  <c r="K4050" i="4"/>
  <c r="J4050" i="4"/>
  <c r="K4049" i="4"/>
  <c r="J4049" i="4"/>
  <c r="K4048" i="4"/>
  <c r="J4048" i="4"/>
  <c r="K4047" i="4"/>
  <c r="J4047" i="4"/>
  <c r="K4046" i="4"/>
  <c r="J4046" i="4"/>
  <c r="J4622" i="4" s="1"/>
  <c r="K4033" i="4"/>
  <c r="K4032" i="4"/>
  <c r="K4031" i="4"/>
  <c r="K4030" i="4"/>
  <c r="K4029" i="4"/>
  <c r="K4028" i="4"/>
  <c r="K4027" i="4"/>
  <c r="K4026" i="4"/>
  <c r="K4025" i="4"/>
  <c r="K4024" i="4"/>
  <c r="K4984" i="4" s="1"/>
  <c r="K4023" i="4"/>
  <c r="K4983" i="4" s="1"/>
  <c r="K4022" i="4"/>
  <c r="K4982" i="4" s="1"/>
  <c r="K4021" i="4"/>
  <c r="K4981" i="4" s="1"/>
  <c r="K4020" i="4"/>
  <c r="K4980" i="4" s="1"/>
  <c r="K4019" i="4"/>
  <c r="K4979" i="4" s="1"/>
  <c r="K4018" i="4"/>
  <c r="K4017" i="4"/>
  <c r="K4016" i="4"/>
  <c r="K4976" i="4" s="1"/>
  <c r="J3914" i="4"/>
  <c r="K3899" i="4"/>
  <c r="F4609" i="4"/>
  <c r="F4608" i="4"/>
  <c r="F4607" i="4"/>
  <c r="F4606" i="4"/>
  <c r="G4606" i="4" s="1"/>
  <c r="I4606" i="4" s="1"/>
  <c r="F4605" i="4"/>
  <c r="F4604" i="4"/>
  <c r="F4603" i="4"/>
  <c r="F4602" i="4"/>
  <c r="F4601" i="4"/>
  <c r="F4600" i="4"/>
  <c r="F5560" i="4" s="1"/>
  <c r="F4599" i="4"/>
  <c r="F5559" i="4" s="1"/>
  <c r="F4598" i="4"/>
  <c r="F5558" i="4" s="1"/>
  <c r="F4597" i="4"/>
  <c r="F5557" i="4" s="1"/>
  <c r="F4596" i="4"/>
  <c r="F5556" i="4" s="1"/>
  <c r="F4595" i="4"/>
  <c r="F5555" i="4" s="1"/>
  <c r="F4594" i="4"/>
  <c r="F5554" i="4" s="1"/>
  <c r="F4593" i="4"/>
  <c r="F5553" i="4" s="1"/>
  <c r="F4592" i="4"/>
  <c r="F5552" i="4" s="1"/>
  <c r="G5552" i="4" s="1"/>
  <c r="H5552" i="4" s="1"/>
  <c r="E4430" i="4"/>
  <c r="F4417" i="4"/>
  <c r="G4417" i="4" s="1"/>
  <c r="I4417" i="4" s="1"/>
  <c r="F4416" i="4"/>
  <c r="G4416" i="4" s="1"/>
  <c r="F4415" i="4"/>
  <c r="F4414" i="4"/>
  <c r="F4413" i="4"/>
  <c r="F4412" i="4"/>
  <c r="F4411" i="4"/>
  <c r="F4410" i="4"/>
  <c r="F4409" i="4"/>
  <c r="G4409" i="4" s="1"/>
  <c r="I4409" i="4" s="1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778" i="4" s="1"/>
  <c r="F4393" i="4"/>
  <c r="F4392" i="4"/>
  <c r="F4391" i="4"/>
  <c r="F4390" i="4"/>
  <c r="F4389" i="4"/>
  <c r="F4388" i="4"/>
  <c r="F4360" i="4"/>
  <c r="F4359" i="4"/>
  <c r="F4358" i="4"/>
  <c r="F4742" i="4" s="1"/>
  <c r="F4342" i="4"/>
  <c r="F4341" i="4"/>
  <c r="F4340" i="4"/>
  <c r="F4339" i="4"/>
  <c r="F4338" i="4"/>
  <c r="G4338" i="4" s="1"/>
  <c r="I4338" i="4" s="1"/>
  <c r="F4337" i="4"/>
  <c r="F4313" i="4"/>
  <c r="E4295" i="4"/>
  <c r="F4291" i="4"/>
  <c r="F4290" i="4"/>
  <c r="F4289" i="4"/>
  <c r="F4288" i="4"/>
  <c r="E4288" i="4"/>
  <c r="F4287" i="4"/>
  <c r="E4287" i="4"/>
  <c r="F4286" i="4"/>
  <c r="E4286" i="4"/>
  <c r="E4283" i="4"/>
  <c r="F4282" i="4"/>
  <c r="F4281" i="4"/>
  <c r="F4280" i="4"/>
  <c r="F4276" i="4"/>
  <c r="E4276" i="4"/>
  <c r="F4275" i="4"/>
  <c r="G4275" i="4" s="1"/>
  <c r="I4275" i="4" s="1"/>
  <c r="E4275" i="4"/>
  <c r="F4274" i="4"/>
  <c r="E4274" i="4"/>
  <c r="E4268" i="4"/>
  <c r="E4265" i="4"/>
  <c r="G4265" i="4" s="1"/>
  <c r="I4265" i="4" s="1"/>
  <c r="E4262" i="4"/>
  <c r="F4261" i="4"/>
  <c r="F5221" i="4" s="1"/>
  <c r="E4261" i="4"/>
  <c r="E5221" i="4" s="1"/>
  <c r="F4260" i="4"/>
  <c r="F5220" i="4" s="1"/>
  <c r="E4260" i="4"/>
  <c r="E5220" i="4" s="1"/>
  <c r="F4259" i="4"/>
  <c r="F5219" i="4" s="1"/>
  <c r="E4259" i="4"/>
  <c r="F4258" i="4"/>
  <c r="E4258" i="4"/>
  <c r="F4257" i="4"/>
  <c r="E4257" i="4"/>
  <c r="E4641" i="4" s="1"/>
  <c r="F4256" i="4"/>
  <c r="E4256" i="4"/>
  <c r="F4255" i="4"/>
  <c r="E4255" i="4"/>
  <c r="F4254" i="4"/>
  <c r="E4254" i="4"/>
  <c r="F4253" i="4"/>
  <c r="E4253" i="4"/>
  <c r="E4637" i="4" s="1"/>
  <c r="F4252" i="4"/>
  <c r="E4252" i="4"/>
  <c r="F4251" i="4"/>
  <c r="E4251" i="4"/>
  <c r="F4250" i="4"/>
  <c r="E4250" i="4"/>
  <c r="E4244" i="4"/>
  <c r="E5204" i="4" s="1"/>
  <c r="F4240" i="4"/>
  <c r="E4240" i="4"/>
  <c r="F4239" i="4"/>
  <c r="E4239" i="4"/>
  <c r="F4238" i="4"/>
  <c r="E4238" i="4"/>
  <c r="E4226" i="4"/>
  <c r="E5186" i="4" s="1"/>
  <c r="E4225" i="4"/>
  <c r="F4225" i="4" s="1"/>
  <c r="E4224" i="4"/>
  <c r="E4223" i="4"/>
  <c r="E4222" i="4"/>
  <c r="F4222" i="4" s="1"/>
  <c r="E4221" i="4"/>
  <c r="F4221" i="4" s="1"/>
  <c r="E4220" i="4"/>
  <c r="F4220" i="4" s="1"/>
  <c r="E4219" i="4"/>
  <c r="F4219" i="4" s="1"/>
  <c r="E4218" i="4"/>
  <c r="F4218" i="4" s="1"/>
  <c r="E4217" i="4"/>
  <c r="F4217" i="4" s="1"/>
  <c r="F4216" i="4"/>
  <c r="E4216" i="4"/>
  <c r="F4215" i="4"/>
  <c r="E4215" i="4"/>
  <c r="E4791" i="4" s="1"/>
  <c r="F4214" i="4"/>
  <c r="E4214" i="4"/>
  <c r="F4213" i="4"/>
  <c r="E4213" i="4"/>
  <c r="F4212" i="4"/>
  <c r="E4212" i="4"/>
  <c r="F4211" i="4"/>
  <c r="E4211" i="4"/>
  <c r="F4210" i="4"/>
  <c r="E4210" i="4"/>
  <c r="F4209" i="4"/>
  <c r="E4209" i="4"/>
  <c r="F4208" i="4"/>
  <c r="E4208" i="4"/>
  <c r="E4204" i="4"/>
  <c r="E4203" i="4"/>
  <c r="E4202" i="4"/>
  <c r="E4201" i="4"/>
  <c r="E4200" i="4"/>
  <c r="E4199" i="4"/>
  <c r="E4775" i="4" s="1"/>
  <c r="E4198" i="4"/>
  <c r="E4197" i="4"/>
  <c r="E4196" i="4"/>
  <c r="E4186" i="4"/>
  <c r="E4762" i="4" s="1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742" i="4" s="1"/>
  <c r="E4162" i="4"/>
  <c r="E4161" i="4"/>
  <c r="E4160" i="4"/>
  <c r="E4159" i="4"/>
  <c r="E4158" i="4"/>
  <c r="E4157" i="4"/>
  <c r="E4156" i="4"/>
  <c r="E4155" i="4"/>
  <c r="E4154" i="4"/>
  <c r="F4150" i="4"/>
  <c r="E4150" i="4"/>
  <c r="F4149" i="4"/>
  <c r="E4149" i="4"/>
  <c r="F4148" i="4"/>
  <c r="E4148" i="4"/>
  <c r="F4147" i="4"/>
  <c r="E4147" i="4"/>
  <c r="F4146" i="4"/>
  <c r="E4146" i="4"/>
  <c r="F4145" i="4"/>
  <c r="E4145" i="4"/>
  <c r="F4144" i="4"/>
  <c r="E4144" i="4"/>
  <c r="F4143" i="4"/>
  <c r="F4719" i="4" s="1"/>
  <c r="E4143" i="4"/>
  <c r="F4142" i="4"/>
  <c r="E4142" i="4"/>
  <c r="F4141" i="4"/>
  <c r="E4141" i="4"/>
  <c r="F4140" i="4"/>
  <c r="E4140" i="4"/>
  <c r="F4139" i="4"/>
  <c r="E4139" i="4"/>
  <c r="F4138" i="4"/>
  <c r="E4138" i="4"/>
  <c r="F4137" i="4"/>
  <c r="E4137" i="4"/>
  <c r="F4136" i="4"/>
  <c r="E4136" i="4"/>
  <c r="G4136" i="4" s="1"/>
  <c r="I4136" i="4" s="1"/>
  <c r="F4135" i="4"/>
  <c r="E4135" i="4"/>
  <c r="F4134" i="4"/>
  <c r="E4134" i="4"/>
  <c r="F4133" i="4"/>
  <c r="E4133" i="4"/>
  <c r="F4132" i="4"/>
  <c r="E4132" i="4"/>
  <c r="F4131" i="4"/>
  <c r="F4707" i="4" s="1"/>
  <c r="E4131" i="4"/>
  <c r="F4130" i="4"/>
  <c r="E4130" i="4"/>
  <c r="F4129" i="4"/>
  <c r="F4705" i="4" s="1"/>
  <c r="E4129" i="4"/>
  <c r="F4128" i="4"/>
  <c r="E4128" i="4"/>
  <c r="F4127" i="4"/>
  <c r="E4127" i="4"/>
  <c r="F4126" i="4"/>
  <c r="E4126" i="4"/>
  <c r="F4125" i="4"/>
  <c r="E4125" i="4"/>
  <c r="F4124" i="4"/>
  <c r="E4124" i="4"/>
  <c r="F4123" i="4"/>
  <c r="E4123" i="4"/>
  <c r="F4122" i="4"/>
  <c r="E4122" i="4"/>
  <c r="F4121" i="4"/>
  <c r="E4121" i="4"/>
  <c r="F4120" i="4"/>
  <c r="E4120" i="4"/>
  <c r="F4119" i="4"/>
  <c r="G4119" i="4" s="1"/>
  <c r="I4119" i="4" s="1"/>
  <c r="E4119" i="4"/>
  <c r="F4118" i="4"/>
  <c r="E4118" i="4"/>
  <c r="F4117" i="4"/>
  <c r="F4693" i="4" s="1"/>
  <c r="E4117" i="4"/>
  <c r="E4693" i="4" s="1"/>
  <c r="F4116" i="4"/>
  <c r="E4116" i="4"/>
  <c r="F4115" i="4"/>
  <c r="E4115" i="4"/>
  <c r="F4114" i="4"/>
  <c r="E4114" i="4"/>
  <c r="F4113" i="4"/>
  <c r="E4113" i="4"/>
  <c r="F4112" i="4"/>
  <c r="E4112" i="4"/>
  <c r="F4111" i="4"/>
  <c r="E4111" i="4"/>
  <c r="F4110" i="4"/>
  <c r="E4110" i="4"/>
  <c r="F4109" i="4"/>
  <c r="E4109" i="4"/>
  <c r="F4108" i="4"/>
  <c r="E4108" i="4"/>
  <c r="F4107" i="4"/>
  <c r="G4107" i="4" s="1"/>
  <c r="I4107" i="4" s="1"/>
  <c r="E4107" i="4"/>
  <c r="F4106" i="4"/>
  <c r="E4106" i="4"/>
  <c r="F4105" i="4"/>
  <c r="F4681" i="4" s="1"/>
  <c r="E4105" i="4"/>
  <c r="F4104" i="4"/>
  <c r="E4104" i="4"/>
  <c r="F4103" i="4"/>
  <c r="E4103" i="4"/>
  <c r="F4102" i="4"/>
  <c r="E4102" i="4"/>
  <c r="F4101" i="4"/>
  <c r="E4101" i="4"/>
  <c r="F4100" i="4"/>
  <c r="E4100" i="4"/>
  <c r="F4099" i="4"/>
  <c r="E4099" i="4"/>
  <c r="F4098" i="4"/>
  <c r="E4098" i="4"/>
  <c r="F4097" i="4"/>
  <c r="E4097" i="4"/>
  <c r="F4096" i="4"/>
  <c r="E4096" i="4"/>
  <c r="F4095" i="4"/>
  <c r="F4671" i="4" s="1"/>
  <c r="E4095" i="4"/>
  <c r="F4094" i="4"/>
  <c r="E4094" i="4"/>
  <c r="F4093" i="4"/>
  <c r="F4669" i="4" s="1"/>
  <c r="E4093" i="4"/>
  <c r="E4669" i="4" s="1"/>
  <c r="F4092" i="4"/>
  <c r="E4092" i="4"/>
  <c r="F4091" i="4"/>
  <c r="E4091" i="4"/>
  <c r="F4090" i="4"/>
  <c r="E4090" i="4"/>
  <c r="F4089" i="4"/>
  <c r="E4089" i="4"/>
  <c r="F4088" i="4"/>
  <c r="E4088" i="4"/>
  <c r="F4087" i="4"/>
  <c r="E4087" i="4"/>
  <c r="F4086" i="4"/>
  <c r="E4086" i="4"/>
  <c r="F4085" i="4"/>
  <c r="E4085" i="4"/>
  <c r="F4084" i="4"/>
  <c r="E4084" i="4"/>
  <c r="F4083" i="4"/>
  <c r="F4659" i="4" s="1"/>
  <c r="E4083" i="4"/>
  <c r="F4082" i="4"/>
  <c r="E4082" i="4"/>
  <c r="F4081" i="4"/>
  <c r="F4657" i="4" s="1"/>
  <c r="E4081" i="4"/>
  <c r="E4657" i="4" s="1"/>
  <c r="F4080" i="4"/>
  <c r="E4080" i="4"/>
  <c r="F4079" i="4"/>
  <c r="E4079" i="4"/>
  <c r="F4078" i="4"/>
  <c r="E4078" i="4"/>
  <c r="F4077" i="4"/>
  <c r="E4077" i="4"/>
  <c r="F4076" i="4"/>
  <c r="E4076" i="4"/>
  <c r="G4076" i="4" s="1"/>
  <c r="H4076" i="4" s="1"/>
  <c r="F4075" i="4"/>
  <c r="E4075" i="4"/>
  <c r="F4074" i="4"/>
  <c r="E4074" i="4"/>
  <c r="F4073" i="4"/>
  <c r="E4073" i="4"/>
  <c r="F4072" i="4"/>
  <c r="E4072" i="4"/>
  <c r="F4071" i="4"/>
  <c r="F4647" i="4" s="1"/>
  <c r="E4071" i="4"/>
  <c r="F4070" i="4"/>
  <c r="E4070" i="4"/>
  <c r="F4069" i="4"/>
  <c r="E4069" i="4"/>
  <c r="E4645" i="4" s="1"/>
  <c r="F4068" i="4"/>
  <c r="E4068" i="4"/>
  <c r="F4067" i="4"/>
  <c r="E4067" i="4"/>
  <c r="F4066" i="4"/>
  <c r="E4066" i="4"/>
  <c r="F4065" i="4"/>
  <c r="E4065" i="4"/>
  <c r="F4064" i="4"/>
  <c r="E4064" i="4"/>
  <c r="F4063" i="4"/>
  <c r="E4063" i="4"/>
  <c r="F4062" i="4"/>
  <c r="E4062" i="4"/>
  <c r="F4061" i="4"/>
  <c r="E4061" i="4"/>
  <c r="F4060" i="4"/>
  <c r="E4060" i="4"/>
  <c r="F4059" i="4"/>
  <c r="G4059" i="4" s="1"/>
  <c r="I4059" i="4" s="1"/>
  <c r="E4059" i="4"/>
  <c r="F4058" i="4"/>
  <c r="E4058" i="4"/>
  <c r="F4057" i="4"/>
  <c r="F4633" i="4" s="1"/>
  <c r="E4057" i="4"/>
  <c r="F4056" i="4"/>
  <c r="E4056" i="4"/>
  <c r="F4055" i="4"/>
  <c r="E4055" i="4"/>
  <c r="F4054" i="4"/>
  <c r="E4054" i="4"/>
  <c r="F4053" i="4"/>
  <c r="F5013" i="4" s="1"/>
  <c r="E4053" i="4"/>
  <c r="F4052" i="4"/>
  <c r="E4052" i="4"/>
  <c r="F4051" i="4"/>
  <c r="E4051" i="4"/>
  <c r="F4050" i="4"/>
  <c r="E4050" i="4"/>
  <c r="F4049" i="4"/>
  <c r="E4049" i="4"/>
  <c r="F4048" i="4"/>
  <c r="E4048" i="4"/>
  <c r="F4047" i="4"/>
  <c r="F4623" i="4" s="1"/>
  <c r="E4047" i="4"/>
  <c r="F4046" i="4"/>
  <c r="E4046" i="4"/>
  <c r="F4033" i="4"/>
  <c r="F4993" i="4" s="1"/>
  <c r="F4032" i="4"/>
  <c r="F4992" i="4" s="1"/>
  <c r="F4031" i="4"/>
  <c r="F4030" i="4"/>
  <c r="F4029" i="4"/>
  <c r="F4028" i="4"/>
  <c r="F4027" i="4"/>
  <c r="F4026" i="4"/>
  <c r="F4025" i="4"/>
  <c r="F4018" i="4"/>
  <c r="F4978" i="4" s="1"/>
  <c r="F4017" i="4"/>
  <c r="F4977" i="4" s="1"/>
  <c r="G4977" i="4" s="1"/>
  <c r="I4977" i="4" s="1"/>
  <c r="F4016" i="4"/>
  <c r="F3929" i="4"/>
  <c r="F3878" i="4"/>
  <c r="F4838" i="4" s="1"/>
  <c r="E3855" i="4"/>
  <c r="E4815" i="4" s="1"/>
  <c r="E3842" i="4"/>
  <c r="E4802" i="4" s="1"/>
  <c r="J3491" i="4"/>
  <c r="J5411" i="4" s="1"/>
  <c r="J3476" i="4"/>
  <c r="K3475" i="4"/>
  <c r="K3474" i="4"/>
  <c r="K3473" i="4"/>
  <c r="L3473" i="4" s="1"/>
  <c r="N3473" i="4" s="1"/>
  <c r="J3458" i="4"/>
  <c r="J5378" i="4" s="1"/>
  <c r="K3457" i="4"/>
  <c r="K3456" i="4"/>
  <c r="K3455" i="4"/>
  <c r="K3454" i="4"/>
  <c r="K3453" i="4"/>
  <c r="K3452" i="4"/>
  <c r="K3451" i="4"/>
  <c r="K3450" i="4"/>
  <c r="K3449" i="4"/>
  <c r="K3448" i="4"/>
  <c r="K3447" i="4"/>
  <c r="K3446" i="4"/>
  <c r="K3445" i="4"/>
  <c r="K3444" i="4"/>
  <c r="K3443" i="4"/>
  <c r="K3442" i="4"/>
  <c r="K3441" i="4"/>
  <c r="K3440" i="4"/>
  <c r="K3439" i="4"/>
  <c r="K3438" i="4"/>
  <c r="K3437" i="4"/>
  <c r="K3436" i="4"/>
  <c r="K3435" i="4"/>
  <c r="L3435" i="4" s="1"/>
  <c r="N3435" i="4" s="1"/>
  <c r="K3434" i="4"/>
  <c r="L3434" i="4" s="1"/>
  <c r="K3433" i="4"/>
  <c r="K3432" i="4"/>
  <c r="K3431" i="4"/>
  <c r="K3430" i="4"/>
  <c r="K3429" i="4"/>
  <c r="K3428" i="4"/>
  <c r="K3427" i="4"/>
  <c r="K3426" i="4"/>
  <c r="K3425" i="4"/>
  <c r="K3424" i="4"/>
  <c r="K3423" i="4"/>
  <c r="K3422" i="4"/>
  <c r="K3421" i="4"/>
  <c r="K3420" i="4"/>
  <c r="K3419" i="4"/>
  <c r="K3418" i="4"/>
  <c r="K3417" i="4"/>
  <c r="K3416" i="4"/>
  <c r="K3415" i="4"/>
  <c r="K3414" i="4"/>
  <c r="K3413" i="4"/>
  <c r="K3412" i="4"/>
  <c r="J3412" i="4"/>
  <c r="L3412" i="4" s="1"/>
  <c r="N3412" i="4" s="1"/>
  <c r="K3411" i="4"/>
  <c r="J3411" i="4"/>
  <c r="K3410" i="4"/>
  <c r="J3410" i="4"/>
  <c r="K3409" i="4"/>
  <c r="J3409" i="4"/>
  <c r="K3408" i="4"/>
  <c r="J3408" i="4"/>
  <c r="K3407" i="4"/>
  <c r="J3407" i="4"/>
  <c r="K3406" i="4"/>
  <c r="J3406" i="4"/>
  <c r="K3405" i="4"/>
  <c r="J3405" i="4"/>
  <c r="K3404" i="4"/>
  <c r="J3404" i="4"/>
  <c r="L3404" i="4" s="1"/>
  <c r="N3404" i="4" s="1"/>
  <c r="K3403" i="4"/>
  <c r="J3403" i="4"/>
  <c r="K3402" i="4"/>
  <c r="J3402" i="4"/>
  <c r="K3401" i="4"/>
  <c r="J3401" i="4"/>
  <c r="K3400" i="4"/>
  <c r="J3400" i="4"/>
  <c r="L3400" i="4" s="1"/>
  <c r="K3399" i="4"/>
  <c r="J3399" i="4"/>
  <c r="K3398" i="4"/>
  <c r="J3398" i="4"/>
  <c r="K3397" i="4"/>
  <c r="J3397" i="4"/>
  <c r="K3396" i="4"/>
  <c r="J3396" i="4"/>
  <c r="K3395" i="4"/>
  <c r="J3395" i="4"/>
  <c r="K3394" i="4"/>
  <c r="J3394" i="4"/>
  <c r="K3393" i="4"/>
  <c r="J3393" i="4"/>
  <c r="K3392" i="4"/>
  <c r="J3392" i="4"/>
  <c r="L3392" i="4" s="1"/>
  <c r="N3392" i="4" s="1"/>
  <c r="K3391" i="4"/>
  <c r="J3391" i="4"/>
  <c r="K3390" i="4"/>
  <c r="J3390" i="4"/>
  <c r="K3389" i="4"/>
  <c r="J3389" i="4"/>
  <c r="K3388" i="4"/>
  <c r="J3388" i="4"/>
  <c r="L3388" i="4" s="1"/>
  <c r="N3388" i="4" s="1"/>
  <c r="K3387" i="4"/>
  <c r="J3387" i="4"/>
  <c r="K3386" i="4"/>
  <c r="J3386" i="4"/>
  <c r="K3385" i="4"/>
  <c r="J3385" i="4"/>
  <c r="K3384" i="4"/>
  <c r="J3384" i="4"/>
  <c r="K3383" i="4"/>
  <c r="J3383" i="4"/>
  <c r="K3382" i="4"/>
  <c r="J3382" i="4"/>
  <c r="K3381" i="4"/>
  <c r="J3381" i="4"/>
  <c r="K3380" i="4"/>
  <c r="J3380" i="4"/>
  <c r="L3380" i="4" s="1"/>
  <c r="M3380" i="4" s="1"/>
  <c r="K3379" i="4"/>
  <c r="J3379" i="4"/>
  <c r="K3378" i="4"/>
  <c r="J3378" i="4"/>
  <c r="K3377" i="4"/>
  <c r="J3377" i="4"/>
  <c r="K3376" i="4"/>
  <c r="J3376" i="4"/>
  <c r="L3376" i="4" s="1"/>
  <c r="M3376" i="4" s="1"/>
  <c r="K3375" i="4"/>
  <c r="J3375" i="4"/>
  <c r="K3374" i="4"/>
  <c r="J3374" i="4"/>
  <c r="K3373" i="4"/>
  <c r="J3373" i="4"/>
  <c r="K3372" i="4"/>
  <c r="J3372" i="4"/>
  <c r="K3371" i="4"/>
  <c r="J3371" i="4"/>
  <c r="K3370" i="4"/>
  <c r="J3370" i="4"/>
  <c r="K3369" i="4"/>
  <c r="J3369" i="4"/>
  <c r="K3368" i="4"/>
  <c r="J3368" i="4"/>
  <c r="L3368" i="4" s="1"/>
  <c r="M3368" i="4" s="1"/>
  <c r="K3367" i="4"/>
  <c r="J3367" i="4"/>
  <c r="K3366" i="4"/>
  <c r="J3366" i="4"/>
  <c r="K3365" i="4"/>
  <c r="J3365" i="4"/>
  <c r="K3364" i="4"/>
  <c r="J3364" i="4"/>
  <c r="L3364" i="4" s="1"/>
  <c r="K3363" i="4"/>
  <c r="J3363" i="4"/>
  <c r="K3362" i="4"/>
  <c r="J3362" i="4"/>
  <c r="K3361" i="4"/>
  <c r="J3361" i="4"/>
  <c r="K3360" i="4"/>
  <c r="J3360" i="4"/>
  <c r="K3359" i="4"/>
  <c r="J3359" i="4"/>
  <c r="K3358" i="4"/>
  <c r="J3358" i="4"/>
  <c r="K3357" i="4"/>
  <c r="J3357" i="4"/>
  <c r="K3356" i="4"/>
  <c r="J3356" i="4"/>
  <c r="L3356" i="4" s="1"/>
  <c r="M3356" i="4" s="1"/>
  <c r="K3355" i="4"/>
  <c r="J3355" i="4"/>
  <c r="K3354" i="4"/>
  <c r="J3354" i="4"/>
  <c r="K3353" i="4"/>
  <c r="J3353" i="4"/>
  <c r="K3352" i="4"/>
  <c r="J3352" i="4"/>
  <c r="L3352" i="4" s="1"/>
  <c r="N3352" i="4" s="1"/>
  <c r="K3351" i="4"/>
  <c r="J3351" i="4"/>
  <c r="K3350" i="4"/>
  <c r="J3350" i="4"/>
  <c r="K3349" i="4"/>
  <c r="J3349" i="4"/>
  <c r="K3348" i="4"/>
  <c r="J3348" i="4"/>
  <c r="K3347" i="4"/>
  <c r="J3347" i="4"/>
  <c r="K3346" i="4"/>
  <c r="J3346" i="4"/>
  <c r="K3345" i="4"/>
  <c r="J3345" i="4"/>
  <c r="K3344" i="4"/>
  <c r="J3344" i="4"/>
  <c r="K3343" i="4"/>
  <c r="J3343" i="4"/>
  <c r="K3342" i="4"/>
  <c r="J3342" i="4"/>
  <c r="K3341" i="4"/>
  <c r="J3341" i="4"/>
  <c r="K3340" i="4"/>
  <c r="J3340" i="4"/>
  <c r="L3340" i="4" s="1"/>
  <c r="M3340" i="4" s="1"/>
  <c r="K3339" i="4"/>
  <c r="J3339" i="4"/>
  <c r="K3338" i="4"/>
  <c r="J3338" i="4"/>
  <c r="K3337" i="4"/>
  <c r="J3337" i="4"/>
  <c r="K3336" i="4"/>
  <c r="J3336" i="4"/>
  <c r="K3335" i="4"/>
  <c r="J3335" i="4"/>
  <c r="K3334" i="4"/>
  <c r="J3334" i="4"/>
  <c r="K3333" i="4"/>
  <c r="J3333" i="4"/>
  <c r="K3332" i="4"/>
  <c r="J3332" i="4"/>
  <c r="L3332" i="4" s="1"/>
  <c r="N3332" i="4" s="1"/>
  <c r="K3331" i="4"/>
  <c r="J3331" i="4"/>
  <c r="K3330" i="4"/>
  <c r="J3330" i="4"/>
  <c r="K3329" i="4"/>
  <c r="J3329" i="4"/>
  <c r="K3328" i="4"/>
  <c r="J3328" i="4"/>
  <c r="L3328" i="4" s="1"/>
  <c r="K3327" i="4"/>
  <c r="J3327" i="4"/>
  <c r="K3326" i="4"/>
  <c r="J3326" i="4"/>
  <c r="K3325" i="4"/>
  <c r="J3325" i="4"/>
  <c r="K3324" i="4"/>
  <c r="J3324" i="4"/>
  <c r="K3323" i="4"/>
  <c r="J3323" i="4"/>
  <c r="K3322" i="4"/>
  <c r="J3322" i="4"/>
  <c r="K3321" i="4"/>
  <c r="J3321" i="4"/>
  <c r="K3320" i="4"/>
  <c r="J3320" i="4"/>
  <c r="L3320" i="4" s="1"/>
  <c r="M3320" i="4" s="1"/>
  <c r="K3319" i="4"/>
  <c r="J3319" i="4"/>
  <c r="K3318" i="4"/>
  <c r="J3318" i="4"/>
  <c r="K3317" i="4"/>
  <c r="J3317" i="4"/>
  <c r="K3316" i="4"/>
  <c r="J3316" i="4"/>
  <c r="L3316" i="4" s="1"/>
  <c r="N3316" i="4" s="1"/>
  <c r="K3315" i="4"/>
  <c r="J3315" i="4"/>
  <c r="K3314" i="4"/>
  <c r="J3314" i="4"/>
  <c r="K3313" i="4"/>
  <c r="J3313" i="4"/>
  <c r="K3312" i="4"/>
  <c r="J3312" i="4"/>
  <c r="K3311" i="4"/>
  <c r="J3311" i="4"/>
  <c r="K3310" i="4"/>
  <c r="J3310" i="4"/>
  <c r="K3309" i="4"/>
  <c r="J3309" i="4"/>
  <c r="K3308" i="4"/>
  <c r="J3308" i="4"/>
  <c r="L3308" i="4" s="1"/>
  <c r="N3308" i="4" s="1"/>
  <c r="K3307" i="4"/>
  <c r="J3307" i="4"/>
  <c r="K3306" i="4"/>
  <c r="J3306" i="4"/>
  <c r="K3305" i="4"/>
  <c r="J3305" i="4"/>
  <c r="K3304" i="4"/>
  <c r="J3304" i="4"/>
  <c r="L3304" i="4" s="1"/>
  <c r="K3303" i="4"/>
  <c r="J3303" i="4"/>
  <c r="K3302" i="4"/>
  <c r="K3301" i="4"/>
  <c r="J3301" i="4"/>
  <c r="K3300" i="4"/>
  <c r="J3300" i="4"/>
  <c r="K3299" i="4"/>
  <c r="J3299" i="4"/>
  <c r="K3298" i="4"/>
  <c r="J3298" i="4"/>
  <c r="K3297" i="4"/>
  <c r="J3297" i="4"/>
  <c r="K3296" i="4"/>
  <c r="J3296" i="4"/>
  <c r="L3296" i="4" s="1"/>
  <c r="N3296" i="4" s="1"/>
  <c r="K3295" i="4"/>
  <c r="J3295" i="4"/>
  <c r="K3294" i="4"/>
  <c r="J3294" i="4"/>
  <c r="K3293" i="4"/>
  <c r="J3293" i="4"/>
  <c r="K3292" i="4"/>
  <c r="J3292" i="4"/>
  <c r="K3291" i="4"/>
  <c r="K3675" i="4" s="1"/>
  <c r="J3291" i="4"/>
  <c r="K3290" i="4"/>
  <c r="J3290" i="4"/>
  <c r="K3289" i="4"/>
  <c r="K5209" i="4" s="1"/>
  <c r="J3289" i="4"/>
  <c r="K3288" i="4"/>
  <c r="J3288" i="4"/>
  <c r="K3287" i="4"/>
  <c r="J3287" i="4"/>
  <c r="K3286" i="4"/>
  <c r="K5206" i="4" s="1"/>
  <c r="J3286" i="4"/>
  <c r="K3285" i="4"/>
  <c r="J3285" i="4"/>
  <c r="K3284" i="4"/>
  <c r="K5204" i="4" s="1"/>
  <c r="J3284" i="4"/>
  <c r="L3284" i="4" s="1"/>
  <c r="N3284" i="4" s="1"/>
  <c r="K3283" i="4"/>
  <c r="J3283" i="4"/>
  <c r="K3282" i="4"/>
  <c r="J3282" i="4"/>
  <c r="K3281" i="4"/>
  <c r="J3281" i="4"/>
  <c r="K3280" i="4"/>
  <c r="J3280" i="4"/>
  <c r="K3279" i="4"/>
  <c r="K3663" i="4" s="1"/>
  <c r="J3279" i="4"/>
  <c r="K3278" i="4"/>
  <c r="J3278" i="4"/>
  <c r="J3266" i="4"/>
  <c r="K3265" i="4"/>
  <c r="J3265" i="4"/>
  <c r="K3264" i="4"/>
  <c r="J3264" i="4"/>
  <c r="K3263" i="4"/>
  <c r="J3263" i="4"/>
  <c r="K3262" i="4"/>
  <c r="J3262" i="4"/>
  <c r="K3261" i="4"/>
  <c r="J3261" i="4"/>
  <c r="K3260" i="4"/>
  <c r="J3260" i="4"/>
  <c r="K3259" i="4"/>
  <c r="J3259" i="4"/>
  <c r="K3258" i="4"/>
  <c r="J3258" i="4"/>
  <c r="K3257" i="4"/>
  <c r="J3257" i="4"/>
  <c r="K3256" i="4"/>
  <c r="J3256" i="4"/>
  <c r="L3256" i="4" s="1"/>
  <c r="K3255" i="4"/>
  <c r="J3255" i="4"/>
  <c r="K3254" i="4"/>
  <c r="J3254" i="4"/>
  <c r="K3253" i="4"/>
  <c r="J3253" i="4"/>
  <c r="K3252" i="4"/>
  <c r="J3252" i="4"/>
  <c r="K3251" i="4"/>
  <c r="J3251" i="4"/>
  <c r="K3250" i="4"/>
  <c r="J3250" i="4"/>
  <c r="K3249" i="4"/>
  <c r="J3249" i="4"/>
  <c r="K3248" i="4"/>
  <c r="J3248" i="4"/>
  <c r="K3247" i="4"/>
  <c r="J3247" i="4"/>
  <c r="K3246" i="4"/>
  <c r="J3246" i="4"/>
  <c r="K3245" i="4"/>
  <c r="J3245" i="4"/>
  <c r="K3244" i="4"/>
  <c r="J3244" i="4"/>
  <c r="L3244" i="4" s="1"/>
  <c r="N3244" i="4" s="1"/>
  <c r="K3243" i="4"/>
  <c r="J3243" i="4"/>
  <c r="K3242" i="4"/>
  <c r="J3242" i="4"/>
  <c r="K3241" i="4"/>
  <c r="J3241" i="4"/>
  <c r="K3240" i="4"/>
  <c r="J3240" i="4"/>
  <c r="K3239" i="4"/>
  <c r="J3239" i="4"/>
  <c r="K3238" i="4"/>
  <c r="J3238" i="4"/>
  <c r="K3237" i="4"/>
  <c r="J3237" i="4"/>
  <c r="K3236" i="4"/>
  <c r="J3236" i="4"/>
  <c r="K3235" i="4"/>
  <c r="J3235" i="4"/>
  <c r="K3234" i="4"/>
  <c r="J3234" i="4"/>
  <c r="K3233" i="4"/>
  <c r="J3233" i="4"/>
  <c r="K3232" i="4"/>
  <c r="J3232" i="4"/>
  <c r="J3808" i="4" s="1"/>
  <c r="K3231" i="4"/>
  <c r="J3231" i="4"/>
  <c r="K3230" i="4"/>
  <c r="J3230" i="4"/>
  <c r="K3229" i="4"/>
  <c r="J3229" i="4"/>
  <c r="K3228" i="4"/>
  <c r="J3228" i="4"/>
  <c r="K3227" i="4"/>
  <c r="J3227" i="4"/>
  <c r="K3226" i="4"/>
  <c r="J3226" i="4"/>
  <c r="K3225" i="4"/>
  <c r="J3225" i="4"/>
  <c r="K3224" i="4"/>
  <c r="J3224" i="4"/>
  <c r="K3223" i="4"/>
  <c r="J3223" i="4"/>
  <c r="K3222" i="4"/>
  <c r="J3222" i="4"/>
  <c r="K3221" i="4"/>
  <c r="J3221" i="4"/>
  <c r="K3220" i="4"/>
  <c r="J3220" i="4"/>
  <c r="K3219" i="4"/>
  <c r="J3219" i="4"/>
  <c r="K3218" i="4"/>
  <c r="K3794" i="4" s="1"/>
  <c r="J3218" i="4"/>
  <c r="K3217" i="4"/>
  <c r="J3217" i="4"/>
  <c r="K3216" i="4"/>
  <c r="J3216" i="4"/>
  <c r="K3215" i="4"/>
  <c r="J3215" i="4"/>
  <c r="K3214" i="4"/>
  <c r="J3214" i="4"/>
  <c r="K3213" i="4"/>
  <c r="J3213" i="4"/>
  <c r="K3212" i="4"/>
  <c r="K3788" i="4" s="1"/>
  <c r="J3212" i="4"/>
  <c r="K3211" i="4"/>
  <c r="J3211" i="4"/>
  <c r="K3210" i="4"/>
  <c r="J3210" i="4"/>
  <c r="K3209" i="4"/>
  <c r="J3209" i="4"/>
  <c r="K3208" i="4"/>
  <c r="J3208" i="4"/>
  <c r="K3207" i="4"/>
  <c r="J3207" i="4"/>
  <c r="K3206" i="4"/>
  <c r="J3206" i="4"/>
  <c r="K3205" i="4"/>
  <c r="J3205" i="4"/>
  <c r="K3204" i="4"/>
  <c r="J3204" i="4"/>
  <c r="K3203" i="4"/>
  <c r="J3203" i="4"/>
  <c r="K3202" i="4"/>
  <c r="J3202" i="4"/>
  <c r="K3201" i="4"/>
  <c r="J3201" i="4"/>
  <c r="K3200" i="4"/>
  <c r="K3776" i="4" s="1"/>
  <c r="J3200" i="4"/>
  <c r="K3199" i="4"/>
  <c r="J3199" i="4"/>
  <c r="K3198" i="4"/>
  <c r="J3198" i="4"/>
  <c r="K3197" i="4"/>
  <c r="J3197" i="4"/>
  <c r="K3196" i="4"/>
  <c r="J3196" i="4"/>
  <c r="J3772" i="4" s="1"/>
  <c r="K3195" i="4"/>
  <c r="J3195" i="4"/>
  <c r="K3194" i="4"/>
  <c r="J3194" i="4"/>
  <c r="K3193" i="4"/>
  <c r="J3193" i="4"/>
  <c r="K3192" i="4"/>
  <c r="J3192" i="4"/>
  <c r="K3191" i="4"/>
  <c r="J3191" i="4"/>
  <c r="K3190" i="4"/>
  <c r="J3190" i="4"/>
  <c r="K3189" i="4"/>
  <c r="J3189" i="4"/>
  <c r="K3188" i="4"/>
  <c r="K3764" i="4" s="1"/>
  <c r="J3188" i="4"/>
  <c r="K3187" i="4"/>
  <c r="J3187" i="4"/>
  <c r="K3186" i="4"/>
  <c r="J3186" i="4"/>
  <c r="K3185" i="4"/>
  <c r="J3185" i="4"/>
  <c r="K3184" i="4"/>
  <c r="J3184" i="4"/>
  <c r="L3184" i="4" s="1"/>
  <c r="K3183" i="4"/>
  <c r="J3183" i="4"/>
  <c r="K3182" i="4"/>
  <c r="K3758" i="4" s="1"/>
  <c r="J3182" i="4"/>
  <c r="K3181" i="4"/>
  <c r="J3181" i="4"/>
  <c r="K3180" i="4"/>
  <c r="J3180" i="4"/>
  <c r="K3179" i="4"/>
  <c r="J3179" i="4"/>
  <c r="K3178" i="4"/>
  <c r="J3178" i="4"/>
  <c r="K3177" i="4"/>
  <c r="J3177" i="4"/>
  <c r="K3176" i="4"/>
  <c r="K3752" i="4" s="1"/>
  <c r="J3176" i="4"/>
  <c r="K3175" i="4"/>
  <c r="J3175" i="4"/>
  <c r="K3174" i="4"/>
  <c r="J3174" i="4"/>
  <c r="K3173" i="4"/>
  <c r="J3173" i="4"/>
  <c r="K3172" i="4"/>
  <c r="J3172" i="4"/>
  <c r="L3172" i="4" s="1"/>
  <c r="N3172" i="4" s="1"/>
  <c r="K3171" i="4"/>
  <c r="J3171" i="4"/>
  <c r="K3170" i="4"/>
  <c r="K3746" i="4" s="1"/>
  <c r="J3170" i="4"/>
  <c r="K3169" i="4"/>
  <c r="J3169" i="4"/>
  <c r="K3168" i="4"/>
  <c r="J3168" i="4"/>
  <c r="K3167" i="4"/>
  <c r="J3167" i="4"/>
  <c r="K3166" i="4"/>
  <c r="J3166" i="4"/>
  <c r="K3165" i="4"/>
  <c r="J3165" i="4"/>
  <c r="K3164" i="4"/>
  <c r="K3740" i="4" s="1"/>
  <c r="J3164" i="4"/>
  <c r="K3163" i="4"/>
  <c r="J3163" i="4"/>
  <c r="K3162" i="4"/>
  <c r="J3162" i="4"/>
  <c r="K3161" i="4"/>
  <c r="J3161" i="4"/>
  <c r="K3160" i="4"/>
  <c r="J3160" i="4"/>
  <c r="L3160" i="4" s="1"/>
  <c r="K3159" i="4"/>
  <c r="J3159" i="4"/>
  <c r="K3158" i="4"/>
  <c r="J3158" i="4"/>
  <c r="K3157" i="4"/>
  <c r="J3157" i="4"/>
  <c r="K3156" i="4"/>
  <c r="J3156" i="4"/>
  <c r="K3155" i="4"/>
  <c r="J3155" i="4"/>
  <c r="K3154" i="4"/>
  <c r="J3154" i="4"/>
  <c r="K3153" i="4"/>
  <c r="J3153" i="4"/>
  <c r="K3152" i="4"/>
  <c r="K3728" i="4" s="1"/>
  <c r="J3152" i="4"/>
  <c r="L3152" i="4" s="1"/>
  <c r="N3152" i="4" s="1"/>
  <c r="K3151" i="4"/>
  <c r="J3151" i="4"/>
  <c r="K3150" i="4"/>
  <c r="J3150" i="4"/>
  <c r="K3149" i="4"/>
  <c r="J3149" i="4"/>
  <c r="K3148" i="4"/>
  <c r="J3148" i="4"/>
  <c r="J3724" i="4" s="1"/>
  <c r="K3147" i="4"/>
  <c r="J3147" i="4"/>
  <c r="K3146" i="4"/>
  <c r="K3722" i="4" s="1"/>
  <c r="J3146" i="4"/>
  <c r="K3145" i="4"/>
  <c r="J3145" i="4"/>
  <c r="K3144" i="4"/>
  <c r="J3144" i="4"/>
  <c r="K3143" i="4"/>
  <c r="J3143" i="4"/>
  <c r="K3142" i="4"/>
  <c r="J3142" i="4"/>
  <c r="K3141" i="4"/>
  <c r="J3141" i="4"/>
  <c r="K3140" i="4"/>
  <c r="K3716" i="4" s="1"/>
  <c r="J3140" i="4"/>
  <c r="K3139" i="4"/>
  <c r="J3139" i="4"/>
  <c r="K3138" i="4"/>
  <c r="J3138" i="4"/>
  <c r="K3137" i="4"/>
  <c r="J3137" i="4"/>
  <c r="K3136" i="4"/>
  <c r="J3136" i="4"/>
  <c r="J3712" i="4" s="1"/>
  <c r="K3135" i="4"/>
  <c r="J3135" i="4"/>
  <c r="K3134" i="4"/>
  <c r="K3710" i="4" s="1"/>
  <c r="J3134" i="4"/>
  <c r="K3133" i="4"/>
  <c r="J3133" i="4"/>
  <c r="K3132" i="4"/>
  <c r="J3132" i="4"/>
  <c r="K3131" i="4"/>
  <c r="J3131" i="4"/>
  <c r="K3130" i="4"/>
  <c r="J3130" i="4"/>
  <c r="K3129" i="4"/>
  <c r="J3129" i="4"/>
  <c r="K3128" i="4"/>
  <c r="K3704" i="4" s="1"/>
  <c r="J3128" i="4"/>
  <c r="K3127" i="4"/>
  <c r="J3127" i="4"/>
  <c r="K3126" i="4"/>
  <c r="J3126" i="4"/>
  <c r="K3125" i="4"/>
  <c r="J3125" i="4"/>
  <c r="K3124" i="4"/>
  <c r="J3124" i="4"/>
  <c r="J3700" i="4" s="1"/>
  <c r="K3123" i="4"/>
  <c r="J3123" i="4"/>
  <c r="K3122" i="4"/>
  <c r="L3122" i="4" s="1"/>
  <c r="J3122" i="4"/>
  <c r="K3121" i="4"/>
  <c r="J3121" i="4"/>
  <c r="K3120" i="4"/>
  <c r="J3120" i="4"/>
  <c r="K3119" i="4"/>
  <c r="J3119" i="4"/>
  <c r="K3118" i="4"/>
  <c r="J3118" i="4"/>
  <c r="K3117" i="4"/>
  <c r="J3117" i="4"/>
  <c r="K3116" i="4"/>
  <c r="K3692" i="4" s="1"/>
  <c r="J3116" i="4"/>
  <c r="K3115" i="4"/>
  <c r="J3115" i="4"/>
  <c r="K3114" i="4"/>
  <c r="J3114" i="4"/>
  <c r="K3113" i="4"/>
  <c r="J3113" i="4"/>
  <c r="K3112" i="4"/>
  <c r="J3112" i="4"/>
  <c r="J3688" i="4" s="1"/>
  <c r="K3111" i="4"/>
  <c r="J3111" i="4"/>
  <c r="K3110" i="4"/>
  <c r="K3686" i="4" s="1"/>
  <c r="J3110" i="4"/>
  <c r="K3109" i="4"/>
  <c r="J3109" i="4"/>
  <c r="K3108" i="4"/>
  <c r="J3108" i="4"/>
  <c r="K3107" i="4"/>
  <c r="J3107" i="4"/>
  <c r="K3106" i="4"/>
  <c r="J3106" i="4"/>
  <c r="K3105" i="4"/>
  <c r="J3105" i="4"/>
  <c r="K3104" i="4"/>
  <c r="K3680" i="4" s="1"/>
  <c r="J3104" i="4"/>
  <c r="K3103" i="4"/>
  <c r="J3103" i="4"/>
  <c r="K3102" i="4"/>
  <c r="J3102" i="4"/>
  <c r="K3101" i="4"/>
  <c r="J3101" i="4"/>
  <c r="K3100" i="4"/>
  <c r="J3100" i="4"/>
  <c r="L3100" i="4" s="1"/>
  <c r="K3099" i="4"/>
  <c r="J3099" i="4"/>
  <c r="K3098" i="4"/>
  <c r="J3098" i="4"/>
  <c r="K3097" i="4"/>
  <c r="K5017" i="4" s="1"/>
  <c r="J3097" i="4"/>
  <c r="K3096" i="4"/>
  <c r="J3096" i="4"/>
  <c r="K3095" i="4"/>
  <c r="K5015" i="4" s="1"/>
  <c r="J3095" i="4"/>
  <c r="J3094" i="4"/>
  <c r="J3093" i="4"/>
  <c r="K3091" i="4"/>
  <c r="J3091" i="4"/>
  <c r="K3090" i="4"/>
  <c r="J3090" i="4"/>
  <c r="K3089" i="4"/>
  <c r="J3089" i="4"/>
  <c r="K3088" i="4"/>
  <c r="J3088" i="4"/>
  <c r="K3087" i="4"/>
  <c r="J3087" i="4"/>
  <c r="K3086" i="4"/>
  <c r="J3086" i="4"/>
  <c r="J3662" i="4" s="1"/>
  <c r="J3074" i="4"/>
  <c r="K2937" i="4"/>
  <c r="K4857" i="4" s="1"/>
  <c r="J2883" i="4"/>
  <c r="J4803" i="4" s="1"/>
  <c r="J2882" i="4"/>
  <c r="F3475" i="4"/>
  <c r="F3474" i="4"/>
  <c r="F3473" i="4"/>
  <c r="E3470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826" i="4" s="1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802" i="4" s="1"/>
  <c r="F3417" i="4"/>
  <c r="F3416" i="4"/>
  <c r="F3415" i="4"/>
  <c r="F3414" i="4"/>
  <c r="F3413" i="4"/>
  <c r="F3412" i="4"/>
  <c r="E3412" i="4"/>
  <c r="F3411" i="4"/>
  <c r="E3411" i="4"/>
  <c r="F3410" i="4"/>
  <c r="E3410" i="4"/>
  <c r="F3409" i="4"/>
  <c r="E3409" i="4"/>
  <c r="F3408" i="4"/>
  <c r="E3408" i="4"/>
  <c r="G3408" i="4" s="1"/>
  <c r="I3408" i="4" s="1"/>
  <c r="F3407" i="4"/>
  <c r="G3407" i="4" s="1"/>
  <c r="H3407" i="4" s="1"/>
  <c r="E3407" i="4"/>
  <c r="F3406" i="4"/>
  <c r="E3406" i="4"/>
  <c r="F3405" i="4"/>
  <c r="E3405" i="4"/>
  <c r="F3404" i="4"/>
  <c r="E3404" i="4"/>
  <c r="F3403" i="4"/>
  <c r="G3403" i="4" s="1"/>
  <c r="H3403" i="4" s="1"/>
  <c r="E3403" i="4"/>
  <c r="F3402" i="4"/>
  <c r="E3402" i="4"/>
  <c r="F3401" i="4"/>
  <c r="E3401" i="4"/>
  <c r="F3400" i="4"/>
  <c r="E3400" i="4"/>
  <c r="F3399" i="4"/>
  <c r="E3399" i="4"/>
  <c r="F3398" i="4"/>
  <c r="E3398" i="4"/>
  <c r="F3397" i="4"/>
  <c r="E3397" i="4"/>
  <c r="F3396" i="4"/>
  <c r="E3396" i="4"/>
  <c r="G3396" i="4" s="1"/>
  <c r="I3396" i="4" s="1"/>
  <c r="F3395" i="4"/>
  <c r="G3395" i="4" s="1"/>
  <c r="H3395" i="4" s="1"/>
  <c r="E3395" i="4"/>
  <c r="F3394" i="4"/>
  <c r="E3394" i="4"/>
  <c r="F3393" i="4"/>
  <c r="E3393" i="4"/>
  <c r="F3392" i="4"/>
  <c r="E3392" i="4"/>
  <c r="F3391" i="4"/>
  <c r="G3391" i="4" s="1"/>
  <c r="H3391" i="4" s="1"/>
  <c r="E3391" i="4"/>
  <c r="F3390" i="4"/>
  <c r="E3390" i="4"/>
  <c r="F3389" i="4"/>
  <c r="E3389" i="4"/>
  <c r="F3388" i="4"/>
  <c r="E3388" i="4"/>
  <c r="F3387" i="4"/>
  <c r="E3387" i="4"/>
  <c r="F3386" i="4"/>
  <c r="E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E3341" i="4"/>
  <c r="G3341" i="4" s="1"/>
  <c r="I3341" i="4" s="1"/>
  <c r="F3328" i="4"/>
  <c r="E3328" i="4"/>
  <c r="F3327" i="4"/>
  <c r="E3327" i="4"/>
  <c r="F3326" i="4"/>
  <c r="E3326" i="4"/>
  <c r="E3323" i="4"/>
  <c r="G3323" i="4" s="1"/>
  <c r="E3317" i="4"/>
  <c r="E3314" i="4"/>
  <c r="F3298" i="4"/>
  <c r="E3298" i="4"/>
  <c r="F3297" i="4"/>
  <c r="E3297" i="4"/>
  <c r="F3296" i="4"/>
  <c r="E3296" i="4"/>
  <c r="F3295" i="4"/>
  <c r="E3295" i="4"/>
  <c r="F3294" i="4"/>
  <c r="E3294" i="4"/>
  <c r="F3293" i="4"/>
  <c r="E3293" i="4"/>
  <c r="F3292" i="4"/>
  <c r="E3292" i="4"/>
  <c r="F3291" i="4"/>
  <c r="G3291" i="4" s="1"/>
  <c r="E3291" i="4"/>
  <c r="F3290" i="4"/>
  <c r="E3290" i="4"/>
  <c r="E3287" i="4"/>
  <c r="F3282" i="4"/>
  <c r="F3280" i="4"/>
  <c r="E3280" i="4"/>
  <c r="F3279" i="4"/>
  <c r="E3279" i="4"/>
  <c r="F3278" i="4"/>
  <c r="E3278" i="4"/>
  <c r="F3265" i="4"/>
  <c r="E3265" i="4"/>
  <c r="F3264" i="4"/>
  <c r="E3264" i="4"/>
  <c r="F3263" i="4"/>
  <c r="E3263" i="4"/>
  <c r="F3262" i="4"/>
  <c r="E3262" i="4"/>
  <c r="F3261" i="4"/>
  <c r="E3261" i="4"/>
  <c r="F3260" i="4"/>
  <c r="E3260" i="4"/>
  <c r="F3259" i="4"/>
  <c r="G3259" i="4" s="1"/>
  <c r="I3259" i="4" s="1"/>
  <c r="E3259" i="4"/>
  <c r="F3258" i="4"/>
  <c r="E3258" i="4"/>
  <c r="F3257" i="4"/>
  <c r="E3257" i="4"/>
  <c r="F3256" i="4"/>
  <c r="E3256" i="4"/>
  <c r="F3255" i="4"/>
  <c r="E3255" i="4"/>
  <c r="F3254" i="4"/>
  <c r="E3254" i="4"/>
  <c r="F3253" i="4"/>
  <c r="E3253" i="4"/>
  <c r="F3252" i="4"/>
  <c r="E3252" i="4"/>
  <c r="F3251" i="4"/>
  <c r="E3251" i="4"/>
  <c r="F3250" i="4"/>
  <c r="E3250" i="4"/>
  <c r="F3249" i="4"/>
  <c r="E3249" i="4"/>
  <c r="F3248" i="4"/>
  <c r="E3248" i="4"/>
  <c r="F3247" i="4"/>
  <c r="F3823" i="4" s="1"/>
  <c r="E3247" i="4"/>
  <c r="F3246" i="4"/>
  <c r="E3246" i="4"/>
  <c r="F3245" i="4"/>
  <c r="E3245" i="4"/>
  <c r="F3244" i="4"/>
  <c r="E3244" i="4"/>
  <c r="F3243" i="4"/>
  <c r="E3243" i="4"/>
  <c r="F3242" i="4"/>
  <c r="E3242" i="4"/>
  <c r="F3241" i="4"/>
  <c r="E3241" i="4"/>
  <c r="F3240" i="4"/>
  <c r="E3240" i="4"/>
  <c r="F3239" i="4"/>
  <c r="E3239" i="4"/>
  <c r="F3238" i="4"/>
  <c r="E3238" i="4"/>
  <c r="F3237" i="4"/>
  <c r="E3237" i="4"/>
  <c r="F3236" i="4"/>
  <c r="E3236" i="4"/>
  <c r="F3235" i="4"/>
  <c r="G3235" i="4" s="1"/>
  <c r="I3235" i="4" s="1"/>
  <c r="E3235" i="4"/>
  <c r="F3234" i="4"/>
  <c r="E3234" i="4"/>
  <c r="F3233" i="4"/>
  <c r="E3233" i="4"/>
  <c r="F3232" i="4"/>
  <c r="E3232" i="4"/>
  <c r="F3231" i="4"/>
  <c r="E3231" i="4"/>
  <c r="F3230" i="4"/>
  <c r="E3230" i="4"/>
  <c r="F3229" i="4"/>
  <c r="E3229" i="4"/>
  <c r="F3228" i="4"/>
  <c r="E3228" i="4"/>
  <c r="F3227" i="4"/>
  <c r="E3227" i="4"/>
  <c r="F3226" i="4"/>
  <c r="E3226" i="4"/>
  <c r="F3225" i="4"/>
  <c r="E3225" i="4"/>
  <c r="F3224" i="4"/>
  <c r="E3224" i="4"/>
  <c r="F3223" i="4"/>
  <c r="F3799" i="4" s="1"/>
  <c r="E3223" i="4"/>
  <c r="F3222" i="4"/>
  <c r="E3222" i="4"/>
  <c r="F3221" i="4"/>
  <c r="E3221" i="4"/>
  <c r="F3220" i="4"/>
  <c r="E3220" i="4"/>
  <c r="F3219" i="4"/>
  <c r="E3219" i="4"/>
  <c r="F3218" i="4"/>
  <c r="F3794" i="4" s="1"/>
  <c r="E3218" i="4"/>
  <c r="F3217" i="4"/>
  <c r="E3217" i="4"/>
  <c r="F3216" i="4"/>
  <c r="E3216" i="4"/>
  <c r="F3215" i="4"/>
  <c r="E3215" i="4"/>
  <c r="F3214" i="4"/>
  <c r="E3214" i="4"/>
  <c r="F3213" i="4"/>
  <c r="E3213" i="4"/>
  <c r="F3212" i="4"/>
  <c r="E3212" i="4"/>
  <c r="F3211" i="4"/>
  <c r="F3787" i="4" s="1"/>
  <c r="E3211" i="4"/>
  <c r="F3210" i="4"/>
  <c r="E3210" i="4"/>
  <c r="F3209" i="4"/>
  <c r="E3209" i="4"/>
  <c r="F3208" i="4"/>
  <c r="E3208" i="4"/>
  <c r="F3207" i="4"/>
  <c r="E3207" i="4"/>
  <c r="F3206" i="4"/>
  <c r="F3782" i="4" s="1"/>
  <c r="E3206" i="4"/>
  <c r="F3205" i="4"/>
  <c r="E3205" i="4"/>
  <c r="F3204" i="4"/>
  <c r="E3204" i="4"/>
  <c r="F3203" i="4"/>
  <c r="E3203" i="4"/>
  <c r="F3202" i="4"/>
  <c r="E3202" i="4"/>
  <c r="F3201" i="4"/>
  <c r="E3201" i="4"/>
  <c r="F3200" i="4"/>
  <c r="E3200" i="4"/>
  <c r="F3199" i="4"/>
  <c r="G3199" i="4" s="1"/>
  <c r="I3199" i="4" s="1"/>
  <c r="E3199" i="4"/>
  <c r="F3198" i="4"/>
  <c r="E3198" i="4"/>
  <c r="F3197" i="4"/>
  <c r="E3197" i="4"/>
  <c r="F3196" i="4"/>
  <c r="E3196" i="4"/>
  <c r="F3195" i="4"/>
  <c r="E3195" i="4"/>
  <c r="F3194" i="4"/>
  <c r="F3770" i="4" s="1"/>
  <c r="E3194" i="4"/>
  <c r="F3193" i="4"/>
  <c r="E3193" i="4"/>
  <c r="F3192" i="4"/>
  <c r="E3192" i="4"/>
  <c r="F3191" i="4"/>
  <c r="E3191" i="4"/>
  <c r="F3190" i="4"/>
  <c r="E3190" i="4"/>
  <c r="F3189" i="4"/>
  <c r="E3189" i="4"/>
  <c r="F3188" i="4"/>
  <c r="E3188" i="4"/>
  <c r="F3187" i="4"/>
  <c r="G3187" i="4" s="1"/>
  <c r="E3187" i="4"/>
  <c r="F3186" i="4"/>
  <c r="E3186" i="4"/>
  <c r="F3185" i="4"/>
  <c r="E3185" i="4"/>
  <c r="F3184" i="4"/>
  <c r="E3184" i="4"/>
  <c r="F3183" i="4"/>
  <c r="E3183" i="4"/>
  <c r="F3182" i="4"/>
  <c r="F3758" i="4" s="1"/>
  <c r="E3182" i="4"/>
  <c r="F3181" i="4"/>
  <c r="E3181" i="4"/>
  <c r="F3180" i="4"/>
  <c r="E3180" i="4"/>
  <c r="F3179" i="4"/>
  <c r="E3179" i="4"/>
  <c r="F3178" i="4"/>
  <c r="E3178" i="4"/>
  <c r="F3177" i="4"/>
  <c r="E3177" i="4"/>
  <c r="F3176" i="4"/>
  <c r="E3176" i="4"/>
  <c r="F3175" i="4"/>
  <c r="G3175" i="4" s="1"/>
  <c r="H3175" i="4" s="1"/>
  <c r="E3175" i="4"/>
  <c r="F3174" i="4"/>
  <c r="E3174" i="4"/>
  <c r="F3173" i="4"/>
  <c r="E3173" i="4"/>
  <c r="F3172" i="4"/>
  <c r="E3172" i="4"/>
  <c r="F3171" i="4"/>
  <c r="E3171" i="4"/>
  <c r="F3170" i="4"/>
  <c r="F3746" i="4" s="1"/>
  <c r="E3170" i="4"/>
  <c r="F3169" i="4"/>
  <c r="E3169" i="4"/>
  <c r="F3168" i="4"/>
  <c r="E3168" i="4"/>
  <c r="F3167" i="4"/>
  <c r="E3167" i="4"/>
  <c r="F3166" i="4"/>
  <c r="E3166" i="4"/>
  <c r="F3165" i="4"/>
  <c r="E3165" i="4"/>
  <c r="F3164" i="4"/>
  <c r="E3164" i="4"/>
  <c r="F3163" i="4"/>
  <c r="F3739" i="4" s="1"/>
  <c r="E3163" i="4"/>
  <c r="F3162" i="4"/>
  <c r="E3162" i="4"/>
  <c r="F3161" i="4"/>
  <c r="E3161" i="4"/>
  <c r="F3160" i="4"/>
  <c r="E3160" i="4"/>
  <c r="F3159" i="4"/>
  <c r="E3159" i="4"/>
  <c r="F3158" i="4"/>
  <c r="G3158" i="4" s="1"/>
  <c r="E3158" i="4"/>
  <c r="F3157" i="4"/>
  <c r="E3157" i="4"/>
  <c r="F3156" i="4"/>
  <c r="E3156" i="4"/>
  <c r="F3155" i="4"/>
  <c r="F3154" i="4"/>
  <c r="E3154" i="4"/>
  <c r="F3153" i="4"/>
  <c r="E3153" i="4"/>
  <c r="F3152" i="4"/>
  <c r="E3152" i="4"/>
  <c r="F3151" i="4"/>
  <c r="E3151" i="4"/>
  <c r="G3151" i="4" s="1"/>
  <c r="H3151" i="4" s="1"/>
  <c r="F3150" i="4"/>
  <c r="E3150" i="4"/>
  <c r="F3149" i="4"/>
  <c r="E3149" i="4"/>
  <c r="F3148" i="4"/>
  <c r="E3148" i="4"/>
  <c r="F3147" i="4"/>
  <c r="E3147" i="4"/>
  <c r="F3146" i="4"/>
  <c r="E3146" i="4"/>
  <c r="F3145" i="4"/>
  <c r="E3145" i="4"/>
  <c r="F3144" i="4"/>
  <c r="E3144" i="4"/>
  <c r="F3143" i="4"/>
  <c r="F3719" i="4" s="1"/>
  <c r="E3143" i="4"/>
  <c r="F3142" i="4"/>
  <c r="E3142" i="4"/>
  <c r="F3141" i="4"/>
  <c r="E3141" i="4"/>
  <c r="F3140" i="4"/>
  <c r="E3140" i="4"/>
  <c r="F3139" i="4"/>
  <c r="E3139" i="4"/>
  <c r="E3715" i="4" s="1"/>
  <c r="F3138" i="4"/>
  <c r="E3138" i="4"/>
  <c r="F3137" i="4"/>
  <c r="E3137" i="4"/>
  <c r="F3136" i="4"/>
  <c r="E3136" i="4"/>
  <c r="F3135" i="4"/>
  <c r="E3135" i="4"/>
  <c r="F3134" i="4"/>
  <c r="E3134" i="4"/>
  <c r="F3133" i="4"/>
  <c r="E3133" i="4"/>
  <c r="F3132" i="4"/>
  <c r="E3132" i="4"/>
  <c r="F3131" i="4"/>
  <c r="F3707" i="4" s="1"/>
  <c r="E3131" i="4"/>
  <c r="F3130" i="4"/>
  <c r="E3130" i="4"/>
  <c r="F3129" i="4"/>
  <c r="E3129" i="4"/>
  <c r="F3128" i="4"/>
  <c r="E3128" i="4"/>
  <c r="F3127" i="4"/>
  <c r="E3127" i="4"/>
  <c r="G3127" i="4" s="1"/>
  <c r="F3126" i="4"/>
  <c r="E3126" i="4"/>
  <c r="F3125" i="4"/>
  <c r="E3125" i="4"/>
  <c r="F3124" i="4"/>
  <c r="E3124" i="4"/>
  <c r="F3123" i="4"/>
  <c r="E3123" i="4"/>
  <c r="F3122" i="4"/>
  <c r="E3122" i="4"/>
  <c r="F3121" i="4"/>
  <c r="E3121" i="4"/>
  <c r="F3120" i="4"/>
  <c r="E3120" i="4"/>
  <c r="F3119" i="4"/>
  <c r="F3695" i="4" s="1"/>
  <c r="E3119" i="4"/>
  <c r="F3118" i="4"/>
  <c r="E3118" i="4"/>
  <c r="F3117" i="4"/>
  <c r="E3117" i="4"/>
  <c r="F3116" i="4"/>
  <c r="E3116" i="4"/>
  <c r="F3115" i="4"/>
  <c r="E3115" i="4"/>
  <c r="G3115" i="4" s="1"/>
  <c r="I3115" i="4" s="1"/>
  <c r="F3114" i="4"/>
  <c r="E3114" i="4"/>
  <c r="F3113" i="4"/>
  <c r="E3113" i="4"/>
  <c r="F3112" i="4"/>
  <c r="E3112" i="4"/>
  <c r="F3111" i="4"/>
  <c r="E3111" i="4"/>
  <c r="F3110" i="4"/>
  <c r="E3110" i="4"/>
  <c r="E3686" i="4" s="1"/>
  <c r="F3109" i="4"/>
  <c r="E3109" i="4"/>
  <c r="F3108" i="4"/>
  <c r="E3108" i="4"/>
  <c r="F3107" i="4"/>
  <c r="E3107" i="4"/>
  <c r="F3106" i="4"/>
  <c r="E3106" i="4"/>
  <c r="F3105" i="4"/>
  <c r="E3105" i="4"/>
  <c r="F3104" i="4"/>
  <c r="E3104" i="4"/>
  <c r="F3103" i="4"/>
  <c r="E3103" i="4"/>
  <c r="G3103" i="4" s="1"/>
  <c r="I3103" i="4" s="1"/>
  <c r="F3102" i="4"/>
  <c r="E3102" i="4"/>
  <c r="F3101" i="4"/>
  <c r="E3101" i="4"/>
  <c r="F3100" i="4"/>
  <c r="E3100" i="4"/>
  <c r="F3099" i="4"/>
  <c r="E3099" i="4"/>
  <c r="F3098" i="4"/>
  <c r="E3098" i="4"/>
  <c r="F3097" i="4"/>
  <c r="F5017" i="4" s="1"/>
  <c r="E3097" i="4"/>
  <c r="F3096" i="4"/>
  <c r="F5016" i="4" s="1"/>
  <c r="E3096" i="4"/>
  <c r="F3095" i="4"/>
  <c r="F5015" i="4" s="1"/>
  <c r="F5591" i="4" s="1"/>
  <c r="E3095" i="4"/>
  <c r="F3094" i="4"/>
  <c r="F5014" i="4" s="1"/>
  <c r="F5590" i="4" s="1"/>
  <c r="F3092" i="4"/>
  <c r="F5012" i="4" s="1"/>
  <c r="F5588" i="4" s="1"/>
  <c r="F3091" i="4"/>
  <c r="E3091" i="4"/>
  <c r="F3090" i="4"/>
  <c r="E3090" i="4"/>
  <c r="F3089" i="4"/>
  <c r="E3089" i="4"/>
  <c r="E3665" i="4" s="1"/>
  <c r="F3088" i="4"/>
  <c r="E3088" i="4"/>
  <c r="F3087" i="4"/>
  <c r="E3087" i="4"/>
  <c r="F3086" i="4"/>
  <c r="E3086" i="4"/>
  <c r="F2894" i="4"/>
  <c r="F4814" i="4" s="1"/>
  <c r="J2528" i="4"/>
  <c r="J5408" i="4" s="1"/>
  <c r="K2515" i="4"/>
  <c r="K5395" i="4" s="1"/>
  <c r="K2514" i="4"/>
  <c r="K5394" i="4" s="1"/>
  <c r="K2513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L2485" i="4" s="1"/>
  <c r="N2485" i="4" s="1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L2461" i="4" s="1"/>
  <c r="N2461" i="4" s="1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L2437" i="4" s="1"/>
  <c r="N2437" i="4" s="1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797" i="4" s="1"/>
  <c r="K2412" i="4"/>
  <c r="K2411" i="4"/>
  <c r="K2410" i="4"/>
  <c r="K2409" i="4"/>
  <c r="K2408" i="4"/>
  <c r="K2407" i="4"/>
  <c r="K2406" i="4"/>
  <c r="K2405" i="4"/>
  <c r="K2404" i="4"/>
  <c r="K2403" i="4"/>
  <c r="L2403" i="4" s="1"/>
  <c r="N2403" i="4" s="1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J2390" i="4"/>
  <c r="J2774" i="4" s="1"/>
  <c r="K2389" i="4"/>
  <c r="K2388" i="4"/>
  <c r="K2387" i="4"/>
  <c r="J2387" i="4"/>
  <c r="K2386" i="4"/>
  <c r="K2385" i="4"/>
  <c r="K2384" i="4"/>
  <c r="J2384" i="4"/>
  <c r="K2383" i="4"/>
  <c r="K2382" i="4"/>
  <c r="L2382" i="4" s="1"/>
  <c r="K2381" i="4"/>
  <c r="K2380" i="4"/>
  <c r="J2380" i="4"/>
  <c r="K2379" i="4"/>
  <c r="J2379" i="4"/>
  <c r="K2378" i="4"/>
  <c r="J2378" i="4"/>
  <c r="K2377" i="4"/>
  <c r="J2377" i="4"/>
  <c r="K2376" i="4"/>
  <c r="J2376" i="4"/>
  <c r="K2375" i="4"/>
  <c r="J2375" i="4"/>
  <c r="K2374" i="4"/>
  <c r="K2758" i="4" s="1"/>
  <c r="J2374" i="4"/>
  <c r="K2373" i="4"/>
  <c r="J2373" i="4"/>
  <c r="K2372" i="4"/>
  <c r="J2372" i="4"/>
  <c r="K2371" i="4"/>
  <c r="J2371" i="4"/>
  <c r="K2370" i="4"/>
  <c r="J2370" i="4"/>
  <c r="L2370" i="4" s="1"/>
  <c r="K2369" i="4"/>
  <c r="J2369" i="4"/>
  <c r="K2368" i="4"/>
  <c r="J2368" i="4"/>
  <c r="K2367" i="4"/>
  <c r="J2367" i="4"/>
  <c r="L2367" i="4" s="1"/>
  <c r="N2367" i="4" s="1"/>
  <c r="K2366" i="4"/>
  <c r="L2366" i="4" s="1"/>
  <c r="N2366" i="4" s="1"/>
  <c r="J2366" i="4"/>
  <c r="K2365" i="4"/>
  <c r="K2364" i="4"/>
  <c r="J2364" i="4"/>
  <c r="K2363" i="4"/>
  <c r="J2363" i="4"/>
  <c r="K2362" i="4"/>
  <c r="J2362" i="4"/>
  <c r="J2746" i="4" s="1"/>
  <c r="K2361" i="4"/>
  <c r="J2361" i="4"/>
  <c r="K2360" i="4"/>
  <c r="J2360" i="4"/>
  <c r="K2359" i="4"/>
  <c r="J2359" i="4"/>
  <c r="K2358" i="4"/>
  <c r="J2358" i="4"/>
  <c r="K2357" i="4"/>
  <c r="J2357" i="4"/>
  <c r="K2356" i="4"/>
  <c r="J2356" i="4"/>
  <c r="K2355" i="4"/>
  <c r="J2355" i="4"/>
  <c r="K2354" i="4"/>
  <c r="J2354" i="4"/>
  <c r="J2738" i="4" s="1"/>
  <c r="K2353" i="4"/>
  <c r="J2353" i="4"/>
  <c r="K2352" i="4"/>
  <c r="J2352" i="4"/>
  <c r="K2351" i="4"/>
  <c r="J2351" i="4"/>
  <c r="K2350" i="4"/>
  <c r="J2350" i="4"/>
  <c r="J2734" i="4" s="1"/>
  <c r="K2349" i="4"/>
  <c r="J2349" i="4"/>
  <c r="K2348" i="4"/>
  <c r="J2348" i="4"/>
  <c r="K2347" i="4"/>
  <c r="J2347" i="4"/>
  <c r="K2346" i="4"/>
  <c r="J2346" i="4"/>
  <c r="K2345" i="4"/>
  <c r="J2345" i="4"/>
  <c r="K2344" i="4"/>
  <c r="J2344" i="4"/>
  <c r="K2343" i="4"/>
  <c r="J2343" i="4"/>
  <c r="K2342" i="4"/>
  <c r="J2342" i="4"/>
  <c r="J2726" i="4" s="1"/>
  <c r="K2341" i="4"/>
  <c r="K5221" i="4" s="1"/>
  <c r="J2341" i="4"/>
  <c r="K2340" i="4"/>
  <c r="K5220" i="4" s="1"/>
  <c r="J2340" i="4"/>
  <c r="J5220" i="4" s="1"/>
  <c r="K2339" i="4"/>
  <c r="K5219" i="4" s="1"/>
  <c r="J2339" i="4"/>
  <c r="K2338" i="4"/>
  <c r="J2338" i="4"/>
  <c r="J2722" i="4" s="1"/>
  <c r="K2337" i="4"/>
  <c r="K5217" i="4" s="1"/>
  <c r="J2337" i="4"/>
  <c r="J5217" i="4" s="1"/>
  <c r="K2336" i="4"/>
  <c r="K5216" i="4" s="1"/>
  <c r="J2336" i="4"/>
  <c r="K2335" i="4"/>
  <c r="J2335" i="4"/>
  <c r="K2334" i="4"/>
  <c r="K5214" i="4" s="1"/>
  <c r="J2334" i="4"/>
  <c r="K2333" i="4"/>
  <c r="K5213" i="4" s="1"/>
  <c r="L5213" i="4" s="1"/>
  <c r="N5213" i="4" s="1"/>
  <c r="J2333" i="4"/>
  <c r="J5213" i="4" s="1"/>
  <c r="K2332" i="4"/>
  <c r="K5212" i="4" s="1"/>
  <c r="J2332" i="4"/>
  <c r="J5212" i="4" s="1"/>
  <c r="K2331" i="4"/>
  <c r="J2331" i="4"/>
  <c r="J5211" i="4" s="1"/>
  <c r="K2330" i="4"/>
  <c r="K5210" i="4" s="1"/>
  <c r="J2330" i="4"/>
  <c r="J2329" i="4"/>
  <c r="J5209" i="4" s="1"/>
  <c r="J2328" i="4"/>
  <c r="J5208" i="4" s="1"/>
  <c r="J2327" i="4"/>
  <c r="J2326" i="4"/>
  <c r="J2325" i="4"/>
  <c r="J5205" i="4" s="1"/>
  <c r="J2324" i="4"/>
  <c r="K2323" i="4"/>
  <c r="J2323" i="4"/>
  <c r="J5203" i="4" s="1"/>
  <c r="K2322" i="4"/>
  <c r="K5202" i="4" s="1"/>
  <c r="J2322" i="4"/>
  <c r="K2321" i="4"/>
  <c r="K5201" i="4" s="1"/>
  <c r="J2321" i="4"/>
  <c r="K2320" i="4"/>
  <c r="K5200" i="4" s="1"/>
  <c r="J2320" i="4"/>
  <c r="K2319" i="4"/>
  <c r="J2319" i="4"/>
  <c r="K2318" i="4"/>
  <c r="K5198" i="4" s="1"/>
  <c r="J2318" i="4"/>
  <c r="J5198" i="4" s="1"/>
  <c r="J2306" i="4"/>
  <c r="J5186" i="4" s="1"/>
  <c r="K2305" i="4"/>
  <c r="J2305" i="4"/>
  <c r="K2304" i="4"/>
  <c r="J2304" i="4"/>
  <c r="K2303" i="4"/>
  <c r="J2303" i="4"/>
  <c r="K2302" i="4"/>
  <c r="J2302" i="4"/>
  <c r="K2301" i="4"/>
  <c r="J2301" i="4"/>
  <c r="K2300" i="4"/>
  <c r="J2300" i="4"/>
  <c r="K2299" i="4"/>
  <c r="L2299" i="4" s="1"/>
  <c r="N2299" i="4" s="1"/>
  <c r="J2299" i="4"/>
  <c r="K2298" i="4"/>
  <c r="J2298" i="4"/>
  <c r="K2297" i="4"/>
  <c r="J2297" i="4"/>
  <c r="K2296" i="4"/>
  <c r="J2296" i="4"/>
  <c r="K2295" i="4"/>
  <c r="J2295" i="4"/>
  <c r="K2294" i="4"/>
  <c r="J2294" i="4"/>
  <c r="K2293" i="4"/>
  <c r="J2293" i="4"/>
  <c r="K2292" i="4"/>
  <c r="J2292" i="4"/>
  <c r="J2868" i="4" s="1"/>
  <c r="K2291" i="4"/>
  <c r="J2291" i="4"/>
  <c r="K2290" i="4"/>
  <c r="J2290" i="4"/>
  <c r="K2289" i="4"/>
  <c r="J2289" i="4"/>
  <c r="K2288" i="4"/>
  <c r="J2288" i="4"/>
  <c r="K2287" i="4"/>
  <c r="L2287" i="4" s="1"/>
  <c r="P2287" i="4" s="1"/>
  <c r="J2287" i="4"/>
  <c r="K2286" i="4"/>
  <c r="J2286" i="4"/>
  <c r="K2285" i="4"/>
  <c r="J2285" i="4"/>
  <c r="K2284" i="4"/>
  <c r="J2284" i="4"/>
  <c r="K2283" i="4"/>
  <c r="J2283" i="4"/>
  <c r="J2859" i="4" s="1"/>
  <c r="K2282" i="4"/>
  <c r="J2282" i="4"/>
  <c r="K2281" i="4"/>
  <c r="J2281" i="4"/>
  <c r="K2280" i="4"/>
  <c r="J2280" i="4"/>
  <c r="J2856" i="4" s="1"/>
  <c r="K2279" i="4"/>
  <c r="J2279" i="4"/>
  <c r="K2278" i="4"/>
  <c r="J2278" i="4"/>
  <c r="K2277" i="4"/>
  <c r="J2277" i="4"/>
  <c r="K2276" i="4"/>
  <c r="J2276" i="4"/>
  <c r="K2275" i="4"/>
  <c r="L2275" i="4" s="1"/>
  <c r="N2275" i="4" s="1"/>
  <c r="J2275" i="4"/>
  <c r="K2274" i="4"/>
  <c r="J2274" i="4"/>
  <c r="K2273" i="4"/>
  <c r="J2273" i="4"/>
  <c r="K2272" i="4"/>
  <c r="J2272" i="4"/>
  <c r="K2271" i="4"/>
  <c r="J2271" i="4"/>
  <c r="K2270" i="4"/>
  <c r="J2270" i="4"/>
  <c r="K2269" i="4"/>
  <c r="J2269" i="4"/>
  <c r="K2268" i="4"/>
  <c r="J2268" i="4"/>
  <c r="K2267" i="4"/>
  <c r="J2267" i="4"/>
  <c r="K2266" i="4"/>
  <c r="J2266" i="4"/>
  <c r="K2265" i="4"/>
  <c r="J2265" i="4"/>
  <c r="K2264" i="4"/>
  <c r="J2264" i="4"/>
  <c r="K2263" i="4"/>
  <c r="K2839" i="4" s="1"/>
  <c r="J2263" i="4"/>
  <c r="K2262" i="4"/>
  <c r="J2262" i="4"/>
  <c r="K2261" i="4"/>
  <c r="J2261" i="4"/>
  <c r="K2260" i="4"/>
  <c r="J2260" i="4"/>
  <c r="K2259" i="4"/>
  <c r="J2259" i="4"/>
  <c r="J2835" i="4" s="1"/>
  <c r="K2258" i="4"/>
  <c r="J2258" i="4"/>
  <c r="K2257" i="4"/>
  <c r="J2257" i="4"/>
  <c r="K2256" i="4"/>
  <c r="J2256" i="4"/>
  <c r="K2255" i="4"/>
  <c r="K2831" i="4" s="1"/>
  <c r="J2255" i="4"/>
  <c r="K2254" i="4"/>
  <c r="J2254" i="4"/>
  <c r="K2253" i="4"/>
  <c r="J2253" i="4"/>
  <c r="K2252" i="4"/>
  <c r="J2252" i="4"/>
  <c r="K2251" i="4"/>
  <c r="L2251" i="4" s="1"/>
  <c r="J2251" i="4"/>
  <c r="K2250" i="4"/>
  <c r="J2250" i="4"/>
  <c r="K2249" i="4"/>
  <c r="J2249" i="4"/>
  <c r="K2248" i="4"/>
  <c r="J2248" i="4"/>
  <c r="K2247" i="4"/>
  <c r="J2247" i="4"/>
  <c r="J2823" i="4" s="1"/>
  <c r="K2246" i="4"/>
  <c r="J2246" i="4"/>
  <c r="K2245" i="4"/>
  <c r="J2245" i="4"/>
  <c r="K2244" i="4"/>
  <c r="J2244" i="4"/>
  <c r="K2243" i="4"/>
  <c r="K2819" i="4" s="1"/>
  <c r="J2243" i="4"/>
  <c r="K2242" i="4"/>
  <c r="J2242" i="4"/>
  <c r="K2241" i="4"/>
  <c r="J2241" i="4"/>
  <c r="K2240" i="4"/>
  <c r="J2240" i="4"/>
  <c r="K2239" i="4"/>
  <c r="L2239" i="4" s="1"/>
  <c r="J2239" i="4"/>
  <c r="K2238" i="4"/>
  <c r="J2238" i="4"/>
  <c r="K2237" i="4"/>
  <c r="J2237" i="4"/>
  <c r="K2236" i="4"/>
  <c r="J2236" i="4"/>
  <c r="K2235" i="4"/>
  <c r="J2235" i="4"/>
  <c r="J2811" i="4" s="1"/>
  <c r="K2234" i="4"/>
  <c r="J2234" i="4"/>
  <c r="K2233" i="4"/>
  <c r="J2233" i="4"/>
  <c r="K2232" i="4"/>
  <c r="J2232" i="4"/>
  <c r="J2808" i="4" s="1"/>
  <c r="K2231" i="4"/>
  <c r="K2807" i="4" s="1"/>
  <c r="J2231" i="4"/>
  <c r="K2230" i="4"/>
  <c r="J2230" i="4"/>
  <c r="K2229" i="4"/>
  <c r="J2229" i="4"/>
  <c r="K2228" i="4"/>
  <c r="J2228" i="4"/>
  <c r="K2227" i="4"/>
  <c r="K2803" i="4" s="1"/>
  <c r="J2227" i="4"/>
  <c r="K2226" i="4"/>
  <c r="J2226" i="4"/>
  <c r="K2225" i="4"/>
  <c r="J2225" i="4"/>
  <c r="K2224" i="4"/>
  <c r="J2224" i="4"/>
  <c r="K2223" i="4"/>
  <c r="J2223" i="4"/>
  <c r="K2222" i="4"/>
  <c r="L2222" i="4" s="1"/>
  <c r="N2222" i="4" s="1"/>
  <c r="J2222" i="4"/>
  <c r="K2221" i="4"/>
  <c r="J2221" i="4"/>
  <c r="K2220" i="4"/>
  <c r="J2220" i="4"/>
  <c r="J2796" i="4" s="1"/>
  <c r="K2219" i="4"/>
  <c r="J2219" i="4"/>
  <c r="K2218" i="4"/>
  <c r="J2218" i="4"/>
  <c r="K2217" i="4"/>
  <c r="J2217" i="4"/>
  <c r="K2216" i="4"/>
  <c r="J2216" i="4"/>
  <c r="K2215" i="4"/>
  <c r="K2791" i="4" s="1"/>
  <c r="J2215" i="4"/>
  <c r="K2214" i="4"/>
  <c r="J2214" i="4"/>
  <c r="K2213" i="4"/>
  <c r="J2213" i="4"/>
  <c r="K2212" i="4"/>
  <c r="J2212" i="4"/>
  <c r="K2211" i="4"/>
  <c r="J2211" i="4"/>
  <c r="L2211" i="4" s="1"/>
  <c r="K2210" i="4"/>
  <c r="L2210" i="4" s="1"/>
  <c r="J2210" i="4"/>
  <c r="K2209" i="4"/>
  <c r="J2209" i="4"/>
  <c r="K2208" i="4"/>
  <c r="J2208" i="4"/>
  <c r="K2207" i="4"/>
  <c r="K2783" i="4" s="1"/>
  <c r="J2207" i="4"/>
  <c r="K2206" i="4"/>
  <c r="J2206" i="4"/>
  <c r="K2205" i="4"/>
  <c r="J2205" i="4"/>
  <c r="K2204" i="4"/>
  <c r="J2204" i="4"/>
  <c r="K2203" i="4"/>
  <c r="L2203" i="4" s="1"/>
  <c r="P2203" i="4" s="1"/>
  <c r="J2203" i="4"/>
  <c r="K2202" i="4"/>
  <c r="J2202" i="4"/>
  <c r="K2201" i="4"/>
  <c r="J2201" i="4"/>
  <c r="K2200" i="4"/>
  <c r="J2200" i="4"/>
  <c r="K2199" i="4"/>
  <c r="J2199" i="4"/>
  <c r="J2775" i="4" s="1"/>
  <c r="K2198" i="4"/>
  <c r="J2198" i="4"/>
  <c r="K2197" i="4"/>
  <c r="J2197" i="4"/>
  <c r="K2196" i="4"/>
  <c r="J2196" i="4"/>
  <c r="J2772" i="4" s="1"/>
  <c r="K2195" i="4"/>
  <c r="J2195" i="4"/>
  <c r="K2194" i="4"/>
  <c r="J2194" i="4"/>
  <c r="K2193" i="4"/>
  <c r="J2193" i="4"/>
  <c r="K2192" i="4"/>
  <c r="J2192" i="4"/>
  <c r="K2191" i="4"/>
  <c r="L2191" i="4" s="1"/>
  <c r="M2191" i="4" s="1"/>
  <c r="J2191" i="4"/>
  <c r="K2190" i="4"/>
  <c r="J2190" i="4"/>
  <c r="K2189" i="4"/>
  <c r="J2189" i="4"/>
  <c r="K2188" i="4"/>
  <c r="J2188" i="4"/>
  <c r="K2187" i="4"/>
  <c r="J2187" i="4"/>
  <c r="L2187" i="4" s="1"/>
  <c r="K2186" i="4"/>
  <c r="L2186" i="4" s="1"/>
  <c r="J2186" i="4"/>
  <c r="K2185" i="4"/>
  <c r="J2185" i="4"/>
  <c r="K2184" i="4"/>
  <c r="J2184" i="4"/>
  <c r="K2183" i="4"/>
  <c r="J2183" i="4"/>
  <c r="K2182" i="4"/>
  <c r="J2182" i="4"/>
  <c r="K2181" i="4"/>
  <c r="J2181" i="4"/>
  <c r="K2180" i="4"/>
  <c r="J2180" i="4"/>
  <c r="K2179" i="4"/>
  <c r="K2755" i="4" s="1"/>
  <c r="J2179" i="4"/>
  <c r="K2178" i="4"/>
  <c r="J2178" i="4"/>
  <c r="K2177" i="4"/>
  <c r="J2177" i="4"/>
  <c r="K2176" i="4"/>
  <c r="J2176" i="4"/>
  <c r="K2175" i="4"/>
  <c r="J2175" i="4"/>
  <c r="K2174" i="4"/>
  <c r="J2174" i="4"/>
  <c r="K2173" i="4"/>
  <c r="J2173" i="4"/>
  <c r="K2172" i="4"/>
  <c r="J2172" i="4"/>
  <c r="J2748" i="4" s="1"/>
  <c r="K2171" i="4"/>
  <c r="J2171" i="4"/>
  <c r="K2170" i="4"/>
  <c r="J2170" i="4"/>
  <c r="K2169" i="4"/>
  <c r="J2169" i="4"/>
  <c r="K2168" i="4"/>
  <c r="J2168" i="4"/>
  <c r="K2167" i="4"/>
  <c r="L2167" i="4" s="1"/>
  <c r="N2167" i="4" s="1"/>
  <c r="J2167" i="4"/>
  <c r="K2166" i="4"/>
  <c r="J2166" i="4"/>
  <c r="K2165" i="4"/>
  <c r="J2165" i="4"/>
  <c r="K2164" i="4"/>
  <c r="J2164" i="4"/>
  <c r="K2163" i="4"/>
  <c r="J2163" i="4"/>
  <c r="J2739" i="4" s="1"/>
  <c r="K2162" i="4"/>
  <c r="J2162" i="4"/>
  <c r="K2161" i="4"/>
  <c r="J2161" i="4"/>
  <c r="K2160" i="4"/>
  <c r="J2160" i="4"/>
  <c r="J2736" i="4" s="1"/>
  <c r="K2159" i="4"/>
  <c r="J2159" i="4"/>
  <c r="K2158" i="4"/>
  <c r="J2158" i="4"/>
  <c r="K2157" i="4"/>
  <c r="J2157" i="4"/>
  <c r="K2156" i="4"/>
  <c r="J2156" i="4"/>
  <c r="K2155" i="4"/>
  <c r="K2731" i="4" s="1"/>
  <c r="J2155" i="4"/>
  <c r="K2154" i="4"/>
  <c r="J2154" i="4"/>
  <c r="K2153" i="4"/>
  <c r="J2153" i="4"/>
  <c r="K2152" i="4"/>
  <c r="J2152" i="4"/>
  <c r="K2151" i="4"/>
  <c r="J2151" i="4"/>
  <c r="L2151" i="4" s="1"/>
  <c r="K2150" i="4"/>
  <c r="J2150" i="4"/>
  <c r="K2149" i="4"/>
  <c r="J2149" i="4"/>
  <c r="J5029" i="4" s="1"/>
  <c r="K2148" i="4"/>
  <c r="K5028" i="4" s="1"/>
  <c r="J2148" i="4"/>
  <c r="K2147" i="4"/>
  <c r="J2147" i="4"/>
  <c r="J5027" i="4" s="1"/>
  <c r="K2146" i="4"/>
  <c r="J2146" i="4"/>
  <c r="K2145" i="4"/>
  <c r="J2145" i="4"/>
  <c r="J5025" i="4" s="1"/>
  <c r="K2144" i="4"/>
  <c r="J2144" i="4"/>
  <c r="K2143" i="4"/>
  <c r="K5023" i="4" s="1"/>
  <c r="L5023" i="4" s="1"/>
  <c r="J2143" i="4"/>
  <c r="J5023" i="4" s="1"/>
  <c r="K2142" i="4"/>
  <c r="K5022" i="4" s="1"/>
  <c r="K5598" i="4" s="1"/>
  <c r="J2142" i="4"/>
  <c r="K2141" i="4"/>
  <c r="J2141" i="4"/>
  <c r="K2140" i="4"/>
  <c r="J2140" i="4"/>
  <c r="K2139" i="4"/>
  <c r="J2139" i="4"/>
  <c r="J5019" i="4" s="1"/>
  <c r="K2138" i="4"/>
  <c r="K5018" i="4" s="1"/>
  <c r="J2138" i="4"/>
  <c r="J2137" i="4"/>
  <c r="J5017" i="4" s="1"/>
  <c r="J2136" i="4"/>
  <c r="J5016" i="4" s="1"/>
  <c r="J2135" i="4"/>
  <c r="J5015" i="4" s="1"/>
  <c r="J2134" i="4"/>
  <c r="J2133" i="4"/>
  <c r="J2132" i="4"/>
  <c r="J5012" i="4" s="1"/>
  <c r="K2131" i="4"/>
  <c r="J2131" i="4"/>
  <c r="K2130" i="4"/>
  <c r="J2130" i="4"/>
  <c r="K2129" i="4"/>
  <c r="J2129" i="4"/>
  <c r="K2128" i="4"/>
  <c r="K5008" i="4" s="1"/>
  <c r="K5584" i="4" s="1"/>
  <c r="J2128" i="4"/>
  <c r="J5008" i="4" s="1"/>
  <c r="K2127" i="4"/>
  <c r="K5007" i="4" s="1"/>
  <c r="J2127" i="4"/>
  <c r="K2126" i="4"/>
  <c r="J2126" i="4"/>
  <c r="J2114" i="4"/>
  <c r="J2026" i="4"/>
  <c r="J4906" i="4" s="1"/>
  <c r="J2025" i="4"/>
  <c r="J4905" i="4" s="1"/>
  <c r="J2024" i="4"/>
  <c r="J4904" i="4" s="1"/>
  <c r="J1941" i="4"/>
  <c r="J4821" i="4" s="1"/>
  <c r="J1922" i="4"/>
  <c r="J4802" i="4" s="1"/>
  <c r="E2528" i="4"/>
  <c r="E5408" i="4" s="1"/>
  <c r="E2519" i="4"/>
  <c r="E5399" i="4" s="1"/>
  <c r="E2515" i="4"/>
  <c r="E2514" i="4"/>
  <c r="E2513" i="4"/>
  <c r="E2510" i="4"/>
  <c r="E5390" i="4" s="1"/>
  <c r="G5390" i="4" s="1"/>
  <c r="I5390" i="4" s="1"/>
  <c r="F2497" i="4"/>
  <c r="F2496" i="4"/>
  <c r="F2495" i="4"/>
  <c r="F2494" i="4"/>
  <c r="F2493" i="4"/>
  <c r="F2492" i="4"/>
  <c r="F2491" i="4"/>
  <c r="F2875" i="4" s="1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G2474" i="4" s="1"/>
  <c r="F2473" i="4"/>
  <c r="F2472" i="4"/>
  <c r="F2471" i="4"/>
  <c r="F2470" i="4"/>
  <c r="F2469" i="4"/>
  <c r="F2468" i="4"/>
  <c r="F2467" i="4"/>
  <c r="F2851" i="4" s="1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836" i="4" s="1"/>
  <c r="F2451" i="4"/>
  <c r="E2451" i="4"/>
  <c r="F2450" i="4"/>
  <c r="E2450" i="4"/>
  <c r="F2449" i="4"/>
  <c r="F2448" i="4"/>
  <c r="F2447" i="4"/>
  <c r="F2446" i="4"/>
  <c r="F2445" i="4"/>
  <c r="G2445" i="4" s="1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813" i="4" s="1"/>
  <c r="F2428" i="4"/>
  <c r="G2428" i="4" s="1"/>
  <c r="H2428" i="4" s="1"/>
  <c r="F2427" i="4"/>
  <c r="F2426" i="4"/>
  <c r="F2425" i="4"/>
  <c r="F2424" i="4"/>
  <c r="F2423" i="4"/>
  <c r="F2422" i="4"/>
  <c r="F2421" i="4"/>
  <c r="G2421" i="4" s="1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G2405" i="4" s="1"/>
  <c r="F2404" i="4"/>
  <c r="F2403" i="4"/>
  <c r="F2402" i="4"/>
  <c r="F2401" i="4"/>
  <c r="F2400" i="4"/>
  <c r="F2399" i="4"/>
  <c r="F2398" i="4"/>
  <c r="F2397" i="4"/>
  <c r="G2397" i="4" s="1"/>
  <c r="F2396" i="4"/>
  <c r="F2395" i="4"/>
  <c r="F2394" i="4"/>
  <c r="F2393" i="4"/>
  <c r="F2392" i="4"/>
  <c r="F2391" i="4"/>
  <c r="F2390" i="4"/>
  <c r="E2384" i="4"/>
  <c r="F2380" i="4"/>
  <c r="F2379" i="4"/>
  <c r="F2378" i="4"/>
  <c r="E2378" i="4"/>
  <c r="F2377" i="4"/>
  <c r="F2376" i="4"/>
  <c r="E2376" i="4"/>
  <c r="F2375" i="4"/>
  <c r="E2375" i="4"/>
  <c r="F2371" i="4"/>
  <c r="E2371" i="4"/>
  <c r="F2370" i="4"/>
  <c r="E2370" i="4"/>
  <c r="F2369" i="4"/>
  <c r="E2369" i="4"/>
  <c r="F2368" i="4"/>
  <c r="G2368" i="4" s="1"/>
  <c r="H2368" i="4" s="1"/>
  <c r="E2368" i="4"/>
  <c r="F2367" i="4"/>
  <c r="E2367" i="4"/>
  <c r="F2366" i="4"/>
  <c r="E2366" i="4"/>
  <c r="F2362" i="4"/>
  <c r="E2362" i="4"/>
  <c r="F2361" i="4"/>
  <c r="E2361" i="4"/>
  <c r="F2360" i="4"/>
  <c r="E2360" i="4"/>
  <c r="F2359" i="4"/>
  <c r="F2358" i="4"/>
  <c r="F2357" i="4"/>
  <c r="F2356" i="4"/>
  <c r="F2355" i="4"/>
  <c r="F2354" i="4"/>
  <c r="F2353" i="4"/>
  <c r="F2352" i="4"/>
  <c r="F2351" i="4"/>
  <c r="F2347" i="4"/>
  <c r="F2346" i="4"/>
  <c r="F2345" i="4"/>
  <c r="E2345" i="4"/>
  <c r="G2345" i="4" s="1"/>
  <c r="I2345" i="4" s="1"/>
  <c r="E2339" i="4"/>
  <c r="E5219" i="4" s="1"/>
  <c r="F2338" i="4"/>
  <c r="F5218" i="4" s="1"/>
  <c r="E2338" i="4"/>
  <c r="E5218" i="4" s="1"/>
  <c r="F2337" i="4"/>
  <c r="F5217" i="4" s="1"/>
  <c r="E2337" i="4"/>
  <c r="F2336" i="4"/>
  <c r="E2336" i="4"/>
  <c r="F2335" i="4"/>
  <c r="E2335" i="4"/>
  <c r="E5215" i="4" s="1"/>
  <c r="F2334" i="4"/>
  <c r="F5214" i="4" s="1"/>
  <c r="E2334" i="4"/>
  <c r="E5214" i="4" s="1"/>
  <c r="F2333" i="4"/>
  <c r="F5213" i="4" s="1"/>
  <c r="E2333" i="4"/>
  <c r="F2332" i="4"/>
  <c r="F5212" i="4" s="1"/>
  <c r="E2332" i="4"/>
  <c r="F2331" i="4"/>
  <c r="E2331" i="4"/>
  <c r="F2330" i="4"/>
  <c r="E2330" i="4"/>
  <c r="E2327" i="4"/>
  <c r="F2323" i="4"/>
  <c r="F5203" i="4" s="1"/>
  <c r="E2323" i="4"/>
  <c r="E5203" i="4" s="1"/>
  <c r="G5203" i="4" s="1"/>
  <c r="F2322" i="4"/>
  <c r="F5202" i="4" s="1"/>
  <c r="E2322" i="4"/>
  <c r="E5202" i="4" s="1"/>
  <c r="F2321" i="4"/>
  <c r="F5201" i="4" s="1"/>
  <c r="E2321" i="4"/>
  <c r="E5201" i="4" s="1"/>
  <c r="F2320" i="4"/>
  <c r="F5200" i="4" s="1"/>
  <c r="G5200" i="4" s="1"/>
  <c r="I5200" i="4" s="1"/>
  <c r="E2320" i="4"/>
  <c r="E5200" i="4" s="1"/>
  <c r="F2319" i="4"/>
  <c r="F5199" i="4" s="1"/>
  <c r="E2319" i="4"/>
  <c r="F2318" i="4"/>
  <c r="E2318" i="4"/>
  <c r="F2305" i="4"/>
  <c r="E2305" i="4"/>
  <c r="F2304" i="4"/>
  <c r="E2304" i="4"/>
  <c r="F2303" i="4"/>
  <c r="E2303" i="4"/>
  <c r="F2302" i="4"/>
  <c r="F2878" i="4" s="1"/>
  <c r="E2302" i="4"/>
  <c r="F2301" i="4"/>
  <c r="E2301" i="4"/>
  <c r="F2300" i="4"/>
  <c r="E2300" i="4"/>
  <c r="F2299" i="4"/>
  <c r="E2299" i="4"/>
  <c r="F2298" i="4"/>
  <c r="E2298" i="4"/>
  <c r="G2298" i="4" s="1"/>
  <c r="I2298" i="4" s="1"/>
  <c r="F2297" i="4"/>
  <c r="E2297" i="4"/>
  <c r="F2296" i="4"/>
  <c r="E2296" i="4"/>
  <c r="F2295" i="4"/>
  <c r="E2295" i="4"/>
  <c r="F2294" i="4"/>
  <c r="E2294" i="4"/>
  <c r="F2293" i="4"/>
  <c r="E2293" i="4"/>
  <c r="F2292" i="4"/>
  <c r="E2292" i="4"/>
  <c r="F2291" i="4"/>
  <c r="E2291" i="4"/>
  <c r="F2290" i="4"/>
  <c r="E2290" i="4"/>
  <c r="E2866" i="4" s="1"/>
  <c r="F2289" i="4"/>
  <c r="E2289" i="4"/>
  <c r="F2288" i="4"/>
  <c r="E2288" i="4"/>
  <c r="F2287" i="4"/>
  <c r="E2287" i="4"/>
  <c r="F2286" i="4"/>
  <c r="E2286" i="4"/>
  <c r="G2286" i="4" s="1"/>
  <c r="I2286" i="4" s="1"/>
  <c r="F2285" i="4"/>
  <c r="E2285" i="4"/>
  <c r="F2284" i="4"/>
  <c r="E2284" i="4"/>
  <c r="F2283" i="4"/>
  <c r="E2283" i="4"/>
  <c r="F2282" i="4"/>
  <c r="E2282" i="4"/>
  <c r="F2281" i="4"/>
  <c r="E2281" i="4"/>
  <c r="F2280" i="4"/>
  <c r="E2280" i="4"/>
  <c r="F2279" i="4"/>
  <c r="E2279" i="4"/>
  <c r="F2278" i="4"/>
  <c r="F2854" i="4" s="1"/>
  <c r="E2278" i="4"/>
  <c r="E2854" i="4" s="1"/>
  <c r="F2277" i="4"/>
  <c r="E2277" i="4"/>
  <c r="F2276" i="4"/>
  <c r="E2276" i="4"/>
  <c r="F2275" i="4"/>
  <c r="E2275" i="4"/>
  <c r="F2274" i="4"/>
  <c r="E2274" i="4"/>
  <c r="G2274" i="4" s="1"/>
  <c r="I2274" i="4" s="1"/>
  <c r="F2273" i="4"/>
  <c r="E2273" i="4"/>
  <c r="F2272" i="4"/>
  <c r="E2272" i="4"/>
  <c r="F2271" i="4"/>
  <c r="E2271" i="4"/>
  <c r="F2270" i="4"/>
  <c r="E2270" i="4"/>
  <c r="E2846" i="4" s="1"/>
  <c r="F2269" i="4"/>
  <c r="E2269" i="4"/>
  <c r="F2268" i="4"/>
  <c r="E2268" i="4"/>
  <c r="F2267" i="4"/>
  <c r="E2267" i="4"/>
  <c r="F2266" i="4"/>
  <c r="F2842" i="4" s="1"/>
  <c r="E2266" i="4"/>
  <c r="E2842" i="4" s="1"/>
  <c r="F2265" i="4"/>
  <c r="E2265" i="4"/>
  <c r="F2264" i="4"/>
  <c r="E2264" i="4"/>
  <c r="F2263" i="4"/>
  <c r="E2263" i="4"/>
  <c r="F2262" i="4"/>
  <c r="E2262" i="4"/>
  <c r="E2838" i="4" s="1"/>
  <c r="F2261" i="4"/>
  <c r="E2261" i="4"/>
  <c r="F2260" i="4"/>
  <c r="E2260" i="4"/>
  <c r="F2259" i="4"/>
  <c r="E2259" i="4"/>
  <c r="F2258" i="4"/>
  <c r="E2258" i="4"/>
  <c r="E2834" i="4" s="1"/>
  <c r="F2257" i="4"/>
  <c r="E2257" i="4"/>
  <c r="F2256" i="4"/>
  <c r="E2256" i="4"/>
  <c r="F2255" i="4"/>
  <c r="E2255" i="4"/>
  <c r="F2254" i="4"/>
  <c r="F2830" i="4" s="1"/>
  <c r="E2254" i="4"/>
  <c r="F2253" i="4"/>
  <c r="E2253" i="4"/>
  <c r="F2252" i="4"/>
  <c r="E2252" i="4"/>
  <c r="F2251" i="4"/>
  <c r="E2251" i="4"/>
  <c r="F2250" i="4"/>
  <c r="E2250" i="4"/>
  <c r="G2250" i="4" s="1"/>
  <c r="H2250" i="4" s="1"/>
  <c r="F2249" i="4"/>
  <c r="E2249" i="4"/>
  <c r="F2248" i="4"/>
  <c r="E2248" i="4"/>
  <c r="F2247" i="4"/>
  <c r="E2247" i="4"/>
  <c r="F2246" i="4"/>
  <c r="E2246" i="4"/>
  <c r="G2246" i="4" s="1"/>
  <c r="H2246" i="4" s="1"/>
  <c r="F2245" i="4"/>
  <c r="E2245" i="4"/>
  <c r="F2244" i="4"/>
  <c r="E2244" i="4"/>
  <c r="F2243" i="4"/>
  <c r="E2243" i="4"/>
  <c r="F2242" i="4"/>
  <c r="F2818" i="4" s="1"/>
  <c r="E2242" i="4"/>
  <c r="F2241" i="4"/>
  <c r="F2817" i="4" s="1"/>
  <c r="E2241" i="4"/>
  <c r="F2240" i="4"/>
  <c r="E2240" i="4"/>
  <c r="F2239" i="4"/>
  <c r="E2239" i="4"/>
  <c r="F2238" i="4"/>
  <c r="E2238" i="4"/>
  <c r="G2238" i="4" s="1"/>
  <c r="I2238" i="4" s="1"/>
  <c r="F2237" i="4"/>
  <c r="E2237" i="4"/>
  <c r="F2236" i="4"/>
  <c r="E2236" i="4"/>
  <c r="F2235" i="4"/>
  <c r="E2235" i="4"/>
  <c r="F2234" i="4"/>
  <c r="F2810" i="4" s="1"/>
  <c r="E2234" i="4"/>
  <c r="F2233" i="4"/>
  <c r="E2233" i="4"/>
  <c r="F2232" i="4"/>
  <c r="E2232" i="4"/>
  <c r="F2231" i="4"/>
  <c r="E2231" i="4"/>
  <c r="F2230" i="4"/>
  <c r="F2806" i="4" s="1"/>
  <c r="E2230" i="4"/>
  <c r="F2229" i="4"/>
  <c r="E2229" i="4"/>
  <c r="F2228" i="4"/>
  <c r="E2228" i="4"/>
  <c r="F2227" i="4"/>
  <c r="E2227" i="4"/>
  <c r="F2226" i="4"/>
  <c r="E2226" i="4"/>
  <c r="E2802" i="4" s="1"/>
  <c r="F2225" i="4"/>
  <c r="E2225" i="4"/>
  <c r="F2224" i="4"/>
  <c r="E2224" i="4"/>
  <c r="F2223" i="4"/>
  <c r="E2223" i="4"/>
  <c r="F2222" i="4"/>
  <c r="E2222" i="4"/>
  <c r="G2222" i="4" s="1"/>
  <c r="I2222" i="4" s="1"/>
  <c r="F2221" i="4"/>
  <c r="E2221" i="4"/>
  <c r="F2220" i="4"/>
  <c r="E2220" i="4"/>
  <c r="F2219" i="4"/>
  <c r="E2219" i="4"/>
  <c r="F2218" i="4"/>
  <c r="F2794" i="4" s="1"/>
  <c r="E2218" i="4"/>
  <c r="E2794" i="4" s="1"/>
  <c r="F2217" i="4"/>
  <c r="E2217" i="4"/>
  <c r="F2216" i="4"/>
  <c r="E2216" i="4"/>
  <c r="F2215" i="4"/>
  <c r="E2215" i="4"/>
  <c r="F2214" i="4"/>
  <c r="E2214" i="4"/>
  <c r="E2790" i="4" s="1"/>
  <c r="F2213" i="4"/>
  <c r="E2213" i="4"/>
  <c r="F2212" i="4"/>
  <c r="E2212" i="4"/>
  <c r="F2211" i="4"/>
  <c r="F2787" i="4" s="1"/>
  <c r="E2211" i="4"/>
  <c r="F2210" i="4"/>
  <c r="E2210" i="4"/>
  <c r="F2209" i="4"/>
  <c r="E2209" i="4"/>
  <c r="F2208" i="4"/>
  <c r="E2208" i="4"/>
  <c r="F2207" i="4"/>
  <c r="E2207" i="4"/>
  <c r="F2206" i="4"/>
  <c r="F2782" i="4" s="1"/>
  <c r="E2206" i="4"/>
  <c r="F2205" i="4"/>
  <c r="E2205" i="4"/>
  <c r="F2204" i="4"/>
  <c r="E2204" i="4"/>
  <c r="F2203" i="4"/>
  <c r="E2203" i="4"/>
  <c r="F2202" i="4"/>
  <c r="E2202" i="4"/>
  <c r="G2202" i="4" s="1"/>
  <c r="H2202" i="4" s="1"/>
  <c r="F2201" i="4"/>
  <c r="E2201" i="4"/>
  <c r="F2200" i="4"/>
  <c r="E2200" i="4"/>
  <c r="F2199" i="4"/>
  <c r="F2775" i="4" s="1"/>
  <c r="E2199" i="4"/>
  <c r="F2198" i="4"/>
  <c r="F2774" i="4" s="1"/>
  <c r="E2198" i="4"/>
  <c r="E2774" i="4" s="1"/>
  <c r="F2197" i="4"/>
  <c r="E2197" i="4"/>
  <c r="F2196" i="4"/>
  <c r="E2196" i="4"/>
  <c r="F2195" i="4"/>
  <c r="E2195" i="4"/>
  <c r="F2194" i="4"/>
  <c r="F2770" i="4" s="1"/>
  <c r="E2194" i="4"/>
  <c r="E2770" i="4" s="1"/>
  <c r="F2193" i="4"/>
  <c r="E2193" i="4"/>
  <c r="F2192" i="4"/>
  <c r="E2192" i="4"/>
  <c r="F2191" i="4"/>
  <c r="E2191" i="4"/>
  <c r="F2190" i="4"/>
  <c r="E2190" i="4"/>
  <c r="E2766" i="4" s="1"/>
  <c r="F2189" i="4"/>
  <c r="E2189" i="4"/>
  <c r="F2188" i="4"/>
  <c r="E2188" i="4"/>
  <c r="F2187" i="4"/>
  <c r="F2763" i="4" s="1"/>
  <c r="E2187" i="4"/>
  <c r="F2186" i="4"/>
  <c r="E2186" i="4"/>
  <c r="F2185" i="4"/>
  <c r="E2185" i="4"/>
  <c r="F2184" i="4"/>
  <c r="E2184" i="4"/>
  <c r="F2183" i="4"/>
  <c r="E2183" i="4"/>
  <c r="F2182" i="4"/>
  <c r="F2758" i="4" s="1"/>
  <c r="E2182" i="4"/>
  <c r="F2181" i="4"/>
  <c r="E2181" i="4"/>
  <c r="F2180" i="4"/>
  <c r="E2180" i="4"/>
  <c r="F2179" i="4"/>
  <c r="E2179" i="4"/>
  <c r="F2178" i="4"/>
  <c r="E2178" i="4"/>
  <c r="E2754" i="4" s="1"/>
  <c r="F2177" i="4"/>
  <c r="E2177" i="4"/>
  <c r="F2176" i="4"/>
  <c r="E2176" i="4"/>
  <c r="F2175" i="4"/>
  <c r="E2175" i="4"/>
  <c r="F2174" i="4"/>
  <c r="E2174" i="4"/>
  <c r="F2173" i="4"/>
  <c r="E2173" i="4"/>
  <c r="F2172" i="4"/>
  <c r="E2172" i="4"/>
  <c r="F2171" i="4"/>
  <c r="E2171" i="4"/>
  <c r="F2170" i="4"/>
  <c r="F2746" i="4" s="1"/>
  <c r="E2170" i="4"/>
  <c r="E2746" i="4" s="1"/>
  <c r="F2169" i="4"/>
  <c r="E2169" i="4"/>
  <c r="F2168" i="4"/>
  <c r="E2168" i="4"/>
  <c r="F2167" i="4"/>
  <c r="E2167" i="4"/>
  <c r="F2166" i="4"/>
  <c r="E2166" i="4"/>
  <c r="E2742" i="4" s="1"/>
  <c r="F2165" i="4"/>
  <c r="E2165" i="4"/>
  <c r="F2164" i="4"/>
  <c r="E2164" i="4"/>
  <c r="F2163" i="4"/>
  <c r="E2163" i="4"/>
  <c r="F2162" i="4"/>
  <c r="E2162" i="4"/>
  <c r="E2738" i="4" s="1"/>
  <c r="F2161" i="4"/>
  <c r="E2161" i="4"/>
  <c r="F2160" i="4"/>
  <c r="E2160" i="4"/>
  <c r="F2159" i="4"/>
  <c r="E2159" i="4"/>
  <c r="F2158" i="4"/>
  <c r="F2734" i="4" s="1"/>
  <c r="E2158" i="4"/>
  <c r="E2734" i="4" s="1"/>
  <c r="F2157" i="4"/>
  <c r="E2157" i="4"/>
  <c r="F2156" i="4"/>
  <c r="E2156" i="4"/>
  <c r="F2155" i="4"/>
  <c r="E2155" i="4"/>
  <c r="F2154" i="4"/>
  <c r="E2154" i="4"/>
  <c r="G2154" i="4" s="1"/>
  <c r="I2154" i="4" s="1"/>
  <c r="F2153" i="4"/>
  <c r="E2153" i="4"/>
  <c r="F2152" i="4"/>
  <c r="F5032" i="4" s="1"/>
  <c r="E2152" i="4"/>
  <c r="F2151" i="4"/>
  <c r="E2151" i="4"/>
  <c r="F2150" i="4"/>
  <c r="F2726" i="4" s="1"/>
  <c r="E2150" i="4"/>
  <c r="F2149" i="4"/>
  <c r="F5029" i="4" s="1"/>
  <c r="F5605" i="4" s="1"/>
  <c r="E2149" i="4"/>
  <c r="E5029" i="4" s="1"/>
  <c r="F2148" i="4"/>
  <c r="F5028" i="4" s="1"/>
  <c r="F5604" i="4" s="1"/>
  <c r="E2148" i="4"/>
  <c r="E5028" i="4" s="1"/>
  <c r="E5604" i="4" s="1"/>
  <c r="F2147" i="4"/>
  <c r="E2147" i="4"/>
  <c r="F2146" i="4"/>
  <c r="E2146" i="4"/>
  <c r="F2145" i="4"/>
  <c r="E2145" i="4"/>
  <c r="E5025" i="4" s="1"/>
  <c r="F2144" i="4"/>
  <c r="E2144" i="4"/>
  <c r="F2143" i="4"/>
  <c r="E2143" i="4"/>
  <c r="F2142" i="4"/>
  <c r="F5022" i="4" s="1"/>
  <c r="E2142" i="4"/>
  <c r="E5022" i="4" s="1"/>
  <c r="E5598" i="4" s="1"/>
  <c r="F2141" i="4"/>
  <c r="F5021" i="4" s="1"/>
  <c r="E2141" i="4"/>
  <c r="E5021" i="4" s="1"/>
  <c r="F2140" i="4"/>
  <c r="F5020" i="4" s="1"/>
  <c r="E2140" i="4"/>
  <c r="E5020" i="4" s="1"/>
  <c r="F2139" i="4"/>
  <c r="E2139" i="4"/>
  <c r="E5019" i="4" s="1"/>
  <c r="F2138" i="4"/>
  <c r="E2138" i="4"/>
  <c r="E2137" i="4"/>
  <c r="E5017" i="4" s="1"/>
  <c r="G5017" i="4" s="1"/>
  <c r="I5017" i="4" s="1"/>
  <c r="E2136" i="4"/>
  <c r="E5016" i="4" s="1"/>
  <c r="E2135" i="4"/>
  <c r="E2134" i="4"/>
  <c r="E5014" i="4" s="1"/>
  <c r="E5590" i="4" s="1"/>
  <c r="E2133" i="4"/>
  <c r="E5013" i="4" s="1"/>
  <c r="E2132" i="4"/>
  <c r="F2131" i="4"/>
  <c r="F5011" i="4" s="1"/>
  <c r="E2131" i="4"/>
  <c r="F2130" i="4"/>
  <c r="F5010" i="4" s="1"/>
  <c r="E2130" i="4"/>
  <c r="F2129" i="4"/>
  <c r="E2129" i="4"/>
  <c r="F2128" i="4"/>
  <c r="F5008" i="4" s="1"/>
  <c r="E2128" i="4"/>
  <c r="F2127" i="4"/>
  <c r="E2127" i="4"/>
  <c r="E5007" i="4" s="1"/>
  <c r="F2126" i="4"/>
  <c r="F5006" i="4" s="1"/>
  <c r="E2126" i="4"/>
  <c r="E5006" i="4" s="1"/>
  <c r="E2858" i="4"/>
  <c r="F2847" i="4"/>
  <c r="G2247" i="4"/>
  <c r="I2247" i="4" s="1"/>
  <c r="F2822" i="4"/>
  <c r="F2750" i="4"/>
  <c r="F2727" i="4"/>
  <c r="F2002" i="4"/>
  <c r="F4882" i="4" s="1"/>
  <c r="F2001" i="4"/>
  <c r="F4881" i="4" s="1"/>
  <c r="F2000" i="4"/>
  <c r="F4880" i="4" s="1"/>
  <c r="F1966" i="4"/>
  <c r="F4846" i="4" s="1"/>
  <c r="F1965" i="4"/>
  <c r="F4845" i="4" s="1"/>
  <c r="G4845" i="4" s="1"/>
  <c r="I4845" i="4" s="1"/>
  <c r="F1964" i="4"/>
  <c r="K1537" i="4"/>
  <c r="J1537" i="4"/>
  <c r="K1536" i="4"/>
  <c r="J1536" i="4"/>
  <c r="K1535" i="4"/>
  <c r="J1535" i="4"/>
  <c r="K1534" i="4"/>
  <c r="J1534" i="4"/>
  <c r="K1533" i="4"/>
  <c r="J1533" i="4"/>
  <c r="L1533" i="4" s="1"/>
  <c r="K1532" i="4"/>
  <c r="J1532" i="4"/>
  <c r="K1531" i="4"/>
  <c r="J1531" i="4"/>
  <c r="K1530" i="4"/>
  <c r="J1530" i="4"/>
  <c r="K1529" i="4"/>
  <c r="J1529" i="4"/>
  <c r="K1528" i="4"/>
  <c r="K5368" i="4" s="1"/>
  <c r="J1528" i="4"/>
  <c r="K1527" i="4"/>
  <c r="K5367" i="4" s="1"/>
  <c r="J1527" i="4"/>
  <c r="K1526" i="4"/>
  <c r="J1526" i="4"/>
  <c r="K1525" i="4"/>
  <c r="J1525" i="4"/>
  <c r="J5365" i="4" s="1"/>
  <c r="K1524" i="4"/>
  <c r="J1524" i="4"/>
  <c r="J5364" i="4" s="1"/>
  <c r="K1523" i="4"/>
  <c r="J1523" i="4"/>
  <c r="J5363" i="4" s="1"/>
  <c r="K1522" i="4"/>
  <c r="J1522" i="4"/>
  <c r="K1521" i="4"/>
  <c r="J1521" i="4"/>
  <c r="L1521" i="4" s="1"/>
  <c r="N1521" i="4" s="1"/>
  <c r="K1520" i="4"/>
  <c r="J1520" i="4"/>
  <c r="K1519" i="4"/>
  <c r="J1519" i="4"/>
  <c r="K1518" i="4"/>
  <c r="J1518" i="4"/>
  <c r="K1517" i="4"/>
  <c r="J1517" i="4"/>
  <c r="K1516" i="4"/>
  <c r="J1516" i="4"/>
  <c r="K1515" i="4"/>
  <c r="J1515" i="4"/>
  <c r="K1514" i="4"/>
  <c r="J1514" i="4"/>
  <c r="K1513" i="4"/>
  <c r="J1513" i="4"/>
  <c r="K1512" i="4"/>
  <c r="J1512" i="4"/>
  <c r="K1511" i="4"/>
  <c r="J1511" i="4"/>
  <c r="K1510" i="4"/>
  <c r="J1510" i="4"/>
  <c r="K1509" i="4"/>
  <c r="J1509" i="4"/>
  <c r="L1509" i="4" s="1"/>
  <c r="K1508" i="4"/>
  <c r="J1508" i="4"/>
  <c r="K1507" i="4"/>
  <c r="J1507" i="4"/>
  <c r="K1506" i="4"/>
  <c r="J1506" i="4"/>
  <c r="K1505" i="4"/>
  <c r="J1505" i="4"/>
  <c r="K1504" i="4"/>
  <c r="J1504" i="4"/>
  <c r="K1503" i="4"/>
  <c r="J1503" i="4"/>
  <c r="K1502" i="4"/>
  <c r="J1502" i="4"/>
  <c r="K1501" i="4"/>
  <c r="J1501" i="4"/>
  <c r="K1500" i="4"/>
  <c r="J1500" i="4"/>
  <c r="K1499" i="4"/>
  <c r="J1499" i="4"/>
  <c r="K1498" i="4"/>
  <c r="J1498" i="4"/>
  <c r="K1497" i="4"/>
  <c r="J1497" i="4"/>
  <c r="K1496" i="4"/>
  <c r="J1496" i="4"/>
  <c r="K1495" i="4"/>
  <c r="J1495" i="4"/>
  <c r="K1494" i="4"/>
  <c r="J1494" i="4"/>
  <c r="K1493" i="4"/>
  <c r="J1493" i="4"/>
  <c r="K1492" i="4"/>
  <c r="J1492" i="4"/>
  <c r="K1491" i="4"/>
  <c r="J1491" i="4"/>
  <c r="K1490" i="4"/>
  <c r="J1490" i="4"/>
  <c r="K1489" i="4"/>
  <c r="J1489" i="4"/>
  <c r="K1488" i="4"/>
  <c r="J1488" i="4"/>
  <c r="K1487" i="4"/>
  <c r="J1487" i="4"/>
  <c r="K1486" i="4"/>
  <c r="J1486" i="4"/>
  <c r="K1485" i="4"/>
  <c r="J1485" i="4"/>
  <c r="L1485" i="4" s="1"/>
  <c r="M1485" i="4" s="1"/>
  <c r="K1484" i="4"/>
  <c r="J1484" i="4"/>
  <c r="K1483" i="4"/>
  <c r="J1483" i="4"/>
  <c r="K1482" i="4"/>
  <c r="J1482" i="4"/>
  <c r="K1481" i="4"/>
  <c r="J1481" i="4"/>
  <c r="K1480" i="4"/>
  <c r="J1480" i="4"/>
  <c r="K1479" i="4"/>
  <c r="J1479" i="4"/>
  <c r="K1478" i="4"/>
  <c r="J1478" i="4"/>
  <c r="K1477" i="4"/>
  <c r="J1477" i="4"/>
  <c r="K1476" i="4"/>
  <c r="J1476" i="4"/>
  <c r="K1475" i="4"/>
  <c r="J1475" i="4"/>
  <c r="K1474" i="4"/>
  <c r="J1474" i="4"/>
  <c r="K1473" i="4"/>
  <c r="J1473" i="4"/>
  <c r="K1472" i="4"/>
  <c r="J1472" i="4"/>
  <c r="K1471" i="4"/>
  <c r="J1471" i="4"/>
  <c r="K1470" i="4"/>
  <c r="J1470" i="4"/>
  <c r="K1469" i="4"/>
  <c r="J1469" i="4"/>
  <c r="K1468" i="4"/>
  <c r="J1468" i="4"/>
  <c r="K1467" i="4"/>
  <c r="J1467" i="4"/>
  <c r="K1466" i="4"/>
  <c r="J1466" i="4"/>
  <c r="K1465" i="4"/>
  <c r="J1465" i="4"/>
  <c r="K1464" i="4"/>
  <c r="J1464" i="4"/>
  <c r="K1463" i="4"/>
  <c r="J1463" i="4"/>
  <c r="K1462" i="4"/>
  <c r="J1462" i="4"/>
  <c r="K1461" i="4"/>
  <c r="J1461" i="4"/>
  <c r="L1461" i="4" s="1"/>
  <c r="M1461" i="4" s="1"/>
  <c r="K1460" i="4"/>
  <c r="J1460" i="4"/>
  <c r="K1459" i="4"/>
  <c r="J1459" i="4"/>
  <c r="K1458" i="4"/>
  <c r="J1458" i="4"/>
  <c r="K1457" i="4"/>
  <c r="J1457" i="4"/>
  <c r="K1456" i="4"/>
  <c r="J1456" i="4"/>
  <c r="K1455" i="4"/>
  <c r="J1455" i="4"/>
  <c r="L1455" i="4" s="1"/>
  <c r="M1455" i="4" s="1"/>
  <c r="K1454" i="4"/>
  <c r="J1454" i="4"/>
  <c r="K1453" i="4"/>
  <c r="J1453" i="4"/>
  <c r="K1452" i="4"/>
  <c r="J1452" i="4"/>
  <c r="K1451" i="4"/>
  <c r="J1451" i="4"/>
  <c r="K1450" i="4"/>
  <c r="J1450" i="4"/>
  <c r="K1449" i="4"/>
  <c r="J1449" i="4"/>
  <c r="L1449" i="4" s="1"/>
  <c r="M1449" i="4" s="1"/>
  <c r="K1448" i="4"/>
  <c r="J1448" i="4"/>
  <c r="K1447" i="4"/>
  <c r="J1447" i="4"/>
  <c r="K1446" i="4"/>
  <c r="J1446" i="4"/>
  <c r="K1445" i="4"/>
  <c r="J1445" i="4"/>
  <c r="K1444" i="4"/>
  <c r="J1444" i="4"/>
  <c r="K1443" i="4"/>
  <c r="J1443" i="4"/>
  <c r="L1443" i="4" s="1"/>
  <c r="M1443" i="4" s="1"/>
  <c r="K1442" i="4"/>
  <c r="J1442" i="4"/>
  <c r="K1441" i="4"/>
  <c r="J1441" i="4"/>
  <c r="K1440" i="4"/>
  <c r="J1440" i="4"/>
  <c r="K1439" i="4"/>
  <c r="J1439" i="4"/>
  <c r="K1438" i="4"/>
  <c r="J1438" i="4"/>
  <c r="K1437" i="4"/>
  <c r="J1437" i="4"/>
  <c r="L1437" i="4" s="1"/>
  <c r="K1436" i="4"/>
  <c r="J1436" i="4"/>
  <c r="K1435" i="4"/>
  <c r="J1435" i="4"/>
  <c r="K1434" i="4"/>
  <c r="J1434" i="4"/>
  <c r="K1433" i="4"/>
  <c r="J1433" i="4"/>
  <c r="K1432" i="4"/>
  <c r="J1432" i="4"/>
  <c r="K1431" i="4"/>
  <c r="J1431" i="4"/>
  <c r="L1431" i="4" s="1"/>
  <c r="M1431" i="4" s="1"/>
  <c r="K1430" i="4"/>
  <c r="J1430" i="4"/>
  <c r="K1429" i="4"/>
  <c r="J1429" i="4"/>
  <c r="K1428" i="4"/>
  <c r="J1428" i="4"/>
  <c r="K1427" i="4"/>
  <c r="J1427" i="4"/>
  <c r="K1426" i="4"/>
  <c r="J1426" i="4"/>
  <c r="K1425" i="4"/>
  <c r="J1425" i="4"/>
  <c r="L1425" i="4" s="1"/>
  <c r="K1424" i="4"/>
  <c r="J1424" i="4"/>
  <c r="K1423" i="4"/>
  <c r="J1423" i="4"/>
  <c r="K1422" i="4"/>
  <c r="J1422" i="4"/>
  <c r="K1421" i="4"/>
  <c r="J1421" i="4"/>
  <c r="K1420" i="4"/>
  <c r="J1420" i="4"/>
  <c r="K1419" i="4"/>
  <c r="J1419" i="4"/>
  <c r="L1419" i="4" s="1"/>
  <c r="M1419" i="4" s="1"/>
  <c r="K1418" i="4"/>
  <c r="J1418" i="4"/>
  <c r="K1417" i="4"/>
  <c r="J1417" i="4"/>
  <c r="K1416" i="4"/>
  <c r="J1416" i="4"/>
  <c r="K1415" i="4"/>
  <c r="J1415" i="4"/>
  <c r="K1414" i="4"/>
  <c r="J1414" i="4"/>
  <c r="K1413" i="4"/>
  <c r="J1413" i="4"/>
  <c r="L1413" i="4" s="1"/>
  <c r="M1413" i="4" s="1"/>
  <c r="K1412" i="4"/>
  <c r="J1412" i="4"/>
  <c r="K1411" i="4"/>
  <c r="J1411" i="4"/>
  <c r="K1410" i="4"/>
  <c r="J1410" i="4"/>
  <c r="K1409" i="4"/>
  <c r="J1409" i="4"/>
  <c r="K1408" i="4"/>
  <c r="J1408" i="4"/>
  <c r="K1407" i="4"/>
  <c r="J1407" i="4"/>
  <c r="L1407" i="4" s="1"/>
  <c r="N1407" i="4" s="1"/>
  <c r="K1406" i="4"/>
  <c r="J1406" i="4"/>
  <c r="K1405" i="4"/>
  <c r="J1405" i="4"/>
  <c r="K1404" i="4"/>
  <c r="J1404" i="4"/>
  <c r="K1403" i="4"/>
  <c r="J1403" i="4"/>
  <c r="K1402" i="4"/>
  <c r="J1402" i="4"/>
  <c r="K1401" i="4"/>
  <c r="J1401" i="4"/>
  <c r="K1400" i="4"/>
  <c r="J1400" i="4"/>
  <c r="K1399" i="4"/>
  <c r="J1399" i="4"/>
  <c r="K1398" i="4"/>
  <c r="J1398" i="4"/>
  <c r="K1397" i="4"/>
  <c r="J1397" i="4"/>
  <c r="K1396" i="4"/>
  <c r="J1396" i="4"/>
  <c r="K1395" i="4"/>
  <c r="J1395" i="4"/>
  <c r="L1395" i="4" s="1"/>
  <c r="K1394" i="4"/>
  <c r="J1394" i="4"/>
  <c r="K1393" i="4"/>
  <c r="J1393" i="4"/>
  <c r="K1392" i="4"/>
  <c r="J1392" i="4"/>
  <c r="K1391" i="4"/>
  <c r="J1391" i="4"/>
  <c r="K1390" i="4"/>
  <c r="J1390" i="4"/>
  <c r="K1389" i="4"/>
  <c r="J1389" i="4"/>
  <c r="L1389" i="4" s="1"/>
  <c r="M1389" i="4" s="1"/>
  <c r="K1388" i="4"/>
  <c r="J1388" i="4"/>
  <c r="K1387" i="4"/>
  <c r="J1387" i="4"/>
  <c r="K1386" i="4"/>
  <c r="J1386" i="4"/>
  <c r="K1385" i="4"/>
  <c r="J1385" i="4"/>
  <c r="K1384" i="4"/>
  <c r="K5224" i="4" s="1"/>
  <c r="J1384" i="4"/>
  <c r="K1383" i="4"/>
  <c r="K5223" i="4" s="1"/>
  <c r="J1383" i="4"/>
  <c r="K1382" i="4"/>
  <c r="J1382" i="4"/>
  <c r="K1345" i="4"/>
  <c r="J1345" i="4"/>
  <c r="K1344" i="4"/>
  <c r="J1344" i="4"/>
  <c r="K1343" i="4"/>
  <c r="J1343" i="4"/>
  <c r="K1342" i="4"/>
  <c r="J1342" i="4"/>
  <c r="K1341" i="4"/>
  <c r="J1341" i="4"/>
  <c r="J1917" i="4" s="1"/>
  <c r="K1340" i="4"/>
  <c r="K1916" i="4" s="1"/>
  <c r="J1340" i="4"/>
  <c r="K1339" i="4"/>
  <c r="J1339" i="4"/>
  <c r="K1338" i="4"/>
  <c r="J1338" i="4"/>
  <c r="K1337" i="4"/>
  <c r="J1337" i="4"/>
  <c r="K1336" i="4"/>
  <c r="K5176" i="4" s="1"/>
  <c r="K5752" i="4" s="1"/>
  <c r="J1336" i="4"/>
  <c r="K1335" i="4"/>
  <c r="K5175" i="4" s="1"/>
  <c r="J1335" i="4"/>
  <c r="L1335" i="4" s="1"/>
  <c r="M1335" i="4" s="1"/>
  <c r="K1334" i="4"/>
  <c r="K5174" i="4" s="1"/>
  <c r="J1334" i="4"/>
  <c r="K1333" i="4"/>
  <c r="K5173" i="4" s="1"/>
  <c r="J1333" i="4"/>
  <c r="K1332" i="4"/>
  <c r="J1332" i="4"/>
  <c r="K1331" i="4"/>
  <c r="J1331" i="4"/>
  <c r="J5171" i="4" s="1"/>
  <c r="K1330" i="4"/>
  <c r="J1330" i="4"/>
  <c r="K1329" i="4"/>
  <c r="J1329" i="4"/>
  <c r="L1329" i="4" s="1"/>
  <c r="K1328" i="4"/>
  <c r="K1904" i="4" s="1"/>
  <c r="J1328" i="4"/>
  <c r="K1327" i="4"/>
  <c r="J1327" i="4"/>
  <c r="K1326" i="4"/>
  <c r="J1326" i="4"/>
  <c r="K1325" i="4"/>
  <c r="J1325" i="4"/>
  <c r="K1324" i="4"/>
  <c r="J1324" i="4"/>
  <c r="K1323" i="4"/>
  <c r="J1323" i="4"/>
  <c r="J1899" i="4" s="1"/>
  <c r="K1322" i="4"/>
  <c r="J1322" i="4"/>
  <c r="K1321" i="4"/>
  <c r="J1321" i="4"/>
  <c r="K1320" i="4"/>
  <c r="J1320" i="4"/>
  <c r="K1319" i="4"/>
  <c r="J1319" i="4"/>
  <c r="K1318" i="4"/>
  <c r="J1318" i="4"/>
  <c r="K1317" i="4"/>
  <c r="J1317" i="4"/>
  <c r="J1893" i="4" s="1"/>
  <c r="L1893" i="4" s="1"/>
  <c r="M1893" i="4" s="1"/>
  <c r="K1316" i="4"/>
  <c r="J1316" i="4"/>
  <c r="K1315" i="4"/>
  <c r="J1315" i="4"/>
  <c r="K1314" i="4"/>
  <c r="J1314" i="4"/>
  <c r="K1313" i="4"/>
  <c r="J1313" i="4"/>
  <c r="K1312" i="4"/>
  <c r="J1312" i="4"/>
  <c r="K1311" i="4"/>
  <c r="J1311" i="4"/>
  <c r="L1311" i="4" s="1"/>
  <c r="M1311" i="4" s="1"/>
  <c r="K1310" i="4"/>
  <c r="J1310" i="4"/>
  <c r="K1309" i="4"/>
  <c r="J1309" i="4"/>
  <c r="K1308" i="4"/>
  <c r="J1308" i="4"/>
  <c r="K1307" i="4"/>
  <c r="J1307" i="4"/>
  <c r="K1306" i="4"/>
  <c r="J1306" i="4"/>
  <c r="K1305" i="4"/>
  <c r="J1305" i="4"/>
  <c r="J1881" i="4" s="1"/>
  <c r="K1304" i="4"/>
  <c r="K1880" i="4" s="1"/>
  <c r="J1304" i="4"/>
  <c r="K1303" i="4"/>
  <c r="J1303" i="4"/>
  <c r="K1302" i="4"/>
  <c r="J1302" i="4"/>
  <c r="K1301" i="4"/>
  <c r="J1301" i="4"/>
  <c r="K1300" i="4"/>
  <c r="J1300" i="4"/>
  <c r="K1299" i="4"/>
  <c r="J1299" i="4"/>
  <c r="J1875" i="4" s="1"/>
  <c r="K1298" i="4"/>
  <c r="J1298" i="4"/>
  <c r="K1297" i="4"/>
  <c r="J1297" i="4"/>
  <c r="K1296" i="4"/>
  <c r="J1296" i="4"/>
  <c r="K1295" i="4"/>
  <c r="J1295" i="4"/>
  <c r="K1294" i="4"/>
  <c r="J1294" i="4"/>
  <c r="K1293" i="4"/>
  <c r="J1293" i="4"/>
  <c r="J1869" i="4" s="1"/>
  <c r="K1292" i="4"/>
  <c r="J1292" i="4"/>
  <c r="K1291" i="4"/>
  <c r="J1291" i="4"/>
  <c r="K1290" i="4"/>
  <c r="J1290" i="4"/>
  <c r="K1289" i="4"/>
  <c r="J1289" i="4"/>
  <c r="K1288" i="4"/>
  <c r="J1288" i="4"/>
  <c r="K1287" i="4"/>
  <c r="J1287" i="4"/>
  <c r="L1287" i="4" s="1"/>
  <c r="K1286" i="4"/>
  <c r="J1286" i="4"/>
  <c r="K1285" i="4"/>
  <c r="J1285" i="4"/>
  <c r="K1284" i="4"/>
  <c r="J1284" i="4"/>
  <c r="K1283" i="4"/>
  <c r="J1283" i="4"/>
  <c r="K1282" i="4"/>
  <c r="K5122" i="4" s="1"/>
  <c r="J1282" i="4"/>
  <c r="J5122" i="4" s="1"/>
  <c r="K1281" i="4"/>
  <c r="K5121" i="4" s="1"/>
  <c r="J1281" i="4"/>
  <c r="J5121" i="4" s="1"/>
  <c r="K1280" i="4"/>
  <c r="J1280" i="4"/>
  <c r="K1279" i="4"/>
  <c r="J1279" i="4"/>
  <c r="K1278" i="4"/>
  <c r="J1278" i="4"/>
  <c r="K1277" i="4"/>
  <c r="K5117" i="4" s="1"/>
  <c r="J1277" i="4"/>
  <c r="K1276" i="4"/>
  <c r="K5116" i="4" s="1"/>
  <c r="J1276" i="4"/>
  <c r="K1275" i="4"/>
  <c r="K5115" i="4" s="1"/>
  <c r="J1275" i="4"/>
  <c r="K1274" i="4"/>
  <c r="K5114" i="4" s="1"/>
  <c r="J1274" i="4"/>
  <c r="J5114" i="4" s="1"/>
  <c r="L5114" i="4" s="1"/>
  <c r="K1273" i="4"/>
  <c r="J1273" i="4"/>
  <c r="K1272" i="4"/>
  <c r="J1272" i="4"/>
  <c r="K1271" i="4"/>
  <c r="J1271" i="4"/>
  <c r="K1270" i="4"/>
  <c r="J1270" i="4"/>
  <c r="K1269" i="4"/>
  <c r="J1269" i="4"/>
  <c r="J1845" i="4" s="1"/>
  <c r="K1268" i="4"/>
  <c r="K1844" i="4" s="1"/>
  <c r="J1268" i="4"/>
  <c r="K1267" i="4"/>
  <c r="J1267" i="4"/>
  <c r="K1266" i="4"/>
  <c r="J1266" i="4"/>
  <c r="K1265" i="4"/>
  <c r="J1265" i="4"/>
  <c r="K1264" i="4"/>
  <c r="J1264" i="4"/>
  <c r="K1263" i="4"/>
  <c r="J1263" i="4"/>
  <c r="J1839" i="4" s="1"/>
  <c r="K1262" i="4"/>
  <c r="J1262" i="4"/>
  <c r="J1838" i="4" s="1"/>
  <c r="K1261" i="4"/>
  <c r="J1261" i="4"/>
  <c r="K1260" i="4"/>
  <c r="J1260" i="4"/>
  <c r="K1259" i="4"/>
  <c r="J1259" i="4"/>
  <c r="K1258" i="4"/>
  <c r="J1258" i="4"/>
  <c r="K1257" i="4"/>
  <c r="J1257" i="4"/>
  <c r="K1256" i="4"/>
  <c r="K1832" i="4" s="1"/>
  <c r="J1256" i="4"/>
  <c r="K1255" i="4"/>
  <c r="J1255" i="4"/>
  <c r="K1254" i="4"/>
  <c r="J1254" i="4"/>
  <c r="K1253" i="4"/>
  <c r="J1253" i="4"/>
  <c r="K1252" i="4"/>
  <c r="J1252" i="4"/>
  <c r="K1251" i="4"/>
  <c r="J1251" i="4"/>
  <c r="J1827" i="4" s="1"/>
  <c r="K1250" i="4"/>
  <c r="J1250" i="4"/>
  <c r="K1249" i="4"/>
  <c r="J1249" i="4"/>
  <c r="K1248" i="4"/>
  <c r="J1248" i="4"/>
  <c r="K1247" i="4"/>
  <c r="J1247" i="4"/>
  <c r="K1246" i="4"/>
  <c r="J1246" i="4"/>
  <c r="K1245" i="4"/>
  <c r="J1245" i="4"/>
  <c r="J1821" i="4" s="1"/>
  <c r="K1244" i="4"/>
  <c r="J1244" i="4"/>
  <c r="K1243" i="4"/>
  <c r="J1243" i="4"/>
  <c r="K1242" i="4"/>
  <c r="J1242" i="4"/>
  <c r="K1241" i="4"/>
  <c r="J1241" i="4"/>
  <c r="K1240" i="4"/>
  <c r="J1240" i="4"/>
  <c r="K1239" i="4"/>
  <c r="J1239" i="4"/>
  <c r="J1815" i="4" s="1"/>
  <c r="K1238" i="4"/>
  <c r="J1238" i="4"/>
  <c r="J1814" i="4" s="1"/>
  <c r="K1237" i="4"/>
  <c r="J1237" i="4"/>
  <c r="K1236" i="4"/>
  <c r="J1236" i="4"/>
  <c r="K1235" i="4"/>
  <c r="J1235" i="4"/>
  <c r="K1234" i="4"/>
  <c r="J1234" i="4"/>
  <c r="K1233" i="4"/>
  <c r="J1233" i="4"/>
  <c r="J1809" i="4" s="1"/>
  <c r="K1232" i="4"/>
  <c r="K1808" i="4" s="1"/>
  <c r="J1232" i="4"/>
  <c r="K1231" i="4"/>
  <c r="J1231" i="4"/>
  <c r="K1230" i="4"/>
  <c r="J1230" i="4"/>
  <c r="K1229" i="4"/>
  <c r="J1229" i="4"/>
  <c r="K1228" i="4"/>
  <c r="J1228" i="4"/>
  <c r="K1227" i="4"/>
  <c r="J1227" i="4"/>
  <c r="L1227" i="4" s="1"/>
  <c r="N1227" i="4" s="1"/>
  <c r="K1226" i="4"/>
  <c r="J1226" i="4"/>
  <c r="J1802" i="4" s="1"/>
  <c r="K1225" i="4"/>
  <c r="J1225" i="4"/>
  <c r="K1224" i="4"/>
  <c r="J1224" i="4"/>
  <c r="K1223" i="4"/>
  <c r="J1223" i="4"/>
  <c r="K1222" i="4"/>
  <c r="J1222" i="4"/>
  <c r="K1221" i="4"/>
  <c r="J1221" i="4"/>
  <c r="L1221" i="4" s="1"/>
  <c r="M1221" i="4" s="1"/>
  <c r="K1220" i="4"/>
  <c r="K1796" i="4" s="1"/>
  <c r="J1220" i="4"/>
  <c r="K1219" i="4"/>
  <c r="J1219" i="4"/>
  <c r="K1218" i="4"/>
  <c r="J1218" i="4"/>
  <c r="K1217" i="4"/>
  <c r="J1217" i="4"/>
  <c r="K1216" i="4"/>
  <c r="J1216" i="4"/>
  <c r="K1215" i="4"/>
  <c r="J1215" i="4"/>
  <c r="K1214" i="4"/>
  <c r="J1214" i="4"/>
  <c r="K1213" i="4"/>
  <c r="J1213" i="4"/>
  <c r="K1212" i="4"/>
  <c r="J1212" i="4"/>
  <c r="K1211" i="4"/>
  <c r="J1211" i="4"/>
  <c r="K1210" i="4"/>
  <c r="J1210" i="4"/>
  <c r="K1209" i="4"/>
  <c r="J1209" i="4"/>
  <c r="J1785" i="4" s="1"/>
  <c r="K1208" i="4"/>
  <c r="K1784" i="4" s="1"/>
  <c r="J1208" i="4"/>
  <c r="K1207" i="4"/>
  <c r="J1207" i="4"/>
  <c r="K1206" i="4"/>
  <c r="J1206" i="4"/>
  <c r="K1205" i="4"/>
  <c r="J1205" i="4"/>
  <c r="K1204" i="4"/>
  <c r="J1204" i="4"/>
  <c r="K1203" i="4"/>
  <c r="J1203" i="4"/>
  <c r="L1203" i="4" s="1"/>
  <c r="M1203" i="4" s="1"/>
  <c r="K1202" i="4"/>
  <c r="J1202" i="4"/>
  <c r="K1201" i="4"/>
  <c r="J1201" i="4"/>
  <c r="K1200" i="4"/>
  <c r="J1200" i="4"/>
  <c r="K1199" i="4"/>
  <c r="J1199" i="4"/>
  <c r="K1198" i="4"/>
  <c r="J1198" i="4"/>
  <c r="K1197" i="4"/>
  <c r="J1197" i="4"/>
  <c r="J1773" i="4" s="1"/>
  <c r="K1196" i="4"/>
  <c r="J1196" i="4"/>
  <c r="K1195" i="4"/>
  <c r="J1195" i="4"/>
  <c r="K1194" i="4"/>
  <c r="J1194" i="4"/>
  <c r="K1193" i="4"/>
  <c r="J1193" i="4"/>
  <c r="K1192" i="4"/>
  <c r="K5032" i="4" s="1"/>
  <c r="J1192" i="4"/>
  <c r="K1191" i="4"/>
  <c r="K5031" i="4" s="1"/>
  <c r="J1191" i="4"/>
  <c r="J5031" i="4" s="1"/>
  <c r="K1190" i="4"/>
  <c r="K5030" i="4" s="1"/>
  <c r="J1190" i="4"/>
  <c r="J1078" i="4"/>
  <c r="J4918" i="4" s="1"/>
  <c r="J1077" i="4"/>
  <c r="J4917" i="4" s="1"/>
  <c r="J1076" i="4"/>
  <c r="J4916" i="4" s="1"/>
  <c r="J1075" i="4"/>
  <c r="J4915" i="4" s="1"/>
  <c r="J1074" i="4"/>
  <c r="J4914" i="4" s="1"/>
  <c r="J1073" i="4"/>
  <c r="J4913" i="4" s="1"/>
  <c r="J1040" i="4"/>
  <c r="J4880" i="4" s="1"/>
  <c r="J1032" i="4"/>
  <c r="J4872" i="4" s="1"/>
  <c r="K1019" i="4"/>
  <c r="K4859" i="4" s="1"/>
  <c r="K998" i="4"/>
  <c r="K4838" i="4" s="1"/>
  <c r="L4838" i="4" s="1"/>
  <c r="E1678" i="4"/>
  <c r="E5518" i="4" s="1"/>
  <c r="G5518" i="4" s="1"/>
  <c r="I5518" i="4" s="1"/>
  <c r="E1677" i="4"/>
  <c r="E5517" i="4" s="1"/>
  <c r="G5517" i="4" s="1"/>
  <c r="I5517" i="4" s="1"/>
  <c r="E1676" i="4"/>
  <c r="E5516" i="4" s="1"/>
  <c r="G5516" i="4" s="1"/>
  <c r="E1654" i="4"/>
  <c r="E5494" i="4" s="1"/>
  <c r="E1653" i="4"/>
  <c r="E5493" i="4" s="1"/>
  <c r="E1652" i="4"/>
  <c r="E5492" i="4" s="1"/>
  <c r="F1625" i="4"/>
  <c r="F5465" i="4" s="1"/>
  <c r="E1607" i="4"/>
  <c r="E5447" i="4" s="1"/>
  <c r="G5447" i="4" s="1"/>
  <c r="H5447" i="4" s="1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G1530" i="4" s="1"/>
  <c r="H1530" i="4" s="1"/>
  <c r="F1529" i="4"/>
  <c r="E1529" i="4"/>
  <c r="F1528" i="4"/>
  <c r="F5368" i="4" s="1"/>
  <c r="E1528" i="4"/>
  <c r="F1527" i="4"/>
  <c r="E1527" i="4"/>
  <c r="F1526" i="4"/>
  <c r="E1526" i="4"/>
  <c r="G1526" i="4" s="1"/>
  <c r="F1525" i="4"/>
  <c r="F5365" i="4" s="1"/>
  <c r="E1525" i="4"/>
  <c r="F1524" i="4"/>
  <c r="E1524" i="4"/>
  <c r="F1523" i="4"/>
  <c r="F5363" i="4" s="1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G1506" i="4" s="1"/>
  <c r="H1506" i="4" s="1"/>
  <c r="F1505" i="4"/>
  <c r="E1505" i="4"/>
  <c r="F1504" i="4"/>
  <c r="E1504" i="4"/>
  <c r="F1503" i="4"/>
  <c r="E1503" i="4"/>
  <c r="F1502" i="4"/>
  <c r="E1502" i="4"/>
  <c r="G1502" i="4" s="1"/>
  <c r="H1502" i="4" s="1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G1494" i="4" s="1"/>
  <c r="H1494" i="4" s="1"/>
  <c r="F1493" i="4"/>
  <c r="E1493" i="4"/>
  <c r="F1492" i="4"/>
  <c r="E1492" i="4"/>
  <c r="F1491" i="4"/>
  <c r="E1491" i="4"/>
  <c r="F1490" i="4"/>
  <c r="E1490" i="4"/>
  <c r="G1490" i="4" s="1"/>
  <c r="H1490" i="4" s="1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G1482" i="4" s="1"/>
  <c r="H1482" i="4" s="1"/>
  <c r="F1481" i="4"/>
  <c r="E1481" i="4"/>
  <c r="F1480" i="4"/>
  <c r="E1480" i="4"/>
  <c r="F1479" i="4"/>
  <c r="E1479" i="4"/>
  <c r="F1478" i="4"/>
  <c r="E1478" i="4"/>
  <c r="G1478" i="4" s="1"/>
  <c r="H1478" i="4" s="1"/>
  <c r="F1477" i="4"/>
  <c r="E1477" i="4"/>
  <c r="F1476" i="4"/>
  <c r="E1476" i="4"/>
  <c r="F1475" i="4"/>
  <c r="E1475" i="4"/>
  <c r="F1474" i="4"/>
  <c r="F5314" i="4" s="1"/>
  <c r="E1474" i="4"/>
  <c r="E5314" i="4" s="1"/>
  <c r="F1473" i="4"/>
  <c r="E1473" i="4"/>
  <c r="E5313" i="4" s="1"/>
  <c r="F1472" i="4"/>
  <c r="F5312" i="4" s="1"/>
  <c r="E1472" i="4"/>
  <c r="E5312" i="4" s="1"/>
  <c r="F1471" i="4"/>
  <c r="E1471" i="4"/>
  <c r="E5311" i="4" s="1"/>
  <c r="F1470" i="4"/>
  <c r="E1470" i="4"/>
  <c r="E5310" i="4" s="1"/>
  <c r="F1469" i="4"/>
  <c r="E1469" i="4"/>
  <c r="E5309" i="4" s="1"/>
  <c r="F1468" i="4"/>
  <c r="F5308" i="4" s="1"/>
  <c r="G5308" i="4" s="1"/>
  <c r="E1468" i="4"/>
  <c r="E5308" i="4" s="1"/>
  <c r="F1467" i="4"/>
  <c r="F5307" i="4" s="1"/>
  <c r="E1467" i="4"/>
  <c r="E5307" i="4" s="1"/>
  <c r="F1466" i="4"/>
  <c r="E1466" i="4"/>
  <c r="F1465" i="4"/>
  <c r="E1465" i="4"/>
  <c r="F1464" i="4"/>
  <c r="E1464" i="4"/>
  <c r="F1463" i="4"/>
  <c r="E1463" i="4"/>
  <c r="G1463" i="4" s="1"/>
  <c r="H1463" i="4" s="1"/>
  <c r="F1462" i="4"/>
  <c r="E1462" i="4"/>
  <c r="F1461" i="4"/>
  <c r="E1461" i="4"/>
  <c r="F1460" i="4"/>
  <c r="E1460" i="4"/>
  <c r="F1459" i="4"/>
  <c r="E1459" i="4"/>
  <c r="F1458" i="4"/>
  <c r="E1458" i="4"/>
  <c r="G1458" i="4" s="1"/>
  <c r="H1458" i="4" s="1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G1446" i="4" s="1"/>
  <c r="H1446" i="4" s="1"/>
  <c r="F1445" i="4"/>
  <c r="E1445" i="4"/>
  <c r="F1444" i="4"/>
  <c r="E1444" i="4"/>
  <c r="F1443" i="4"/>
  <c r="E1443" i="4"/>
  <c r="F1442" i="4"/>
  <c r="E1442" i="4"/>
  <c r="G1442" i="4" s="1"/>
  <c r="H1442" i="4" s="1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G1434" i="4" s="1"/>
  <c r="H1434" i="4" s="1"/>
  <c r="F1433" i="4"/>
  <c r="E1433" i="4"/>
  <c r="F1432" i="4"/>
  <c r="E1432" i="4"/>
  <c r="F1431" i="4"/>
  <c r="E1431" i="4"/>
  <c r="F1430" i="4"/>
  <c r="E1430" i="4"/>
  <c r="G1430" i="4" s="1"/>
  <c r="H1430" i="4" s="1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G1422" i="4" s="1"/>
  <c r="H1422" i="4" s="1"/>
  <c r="F1421" i="4"/>
  <c r="E1421" i="4"/>
  <c r="F1417" i="4"/>
  <c r="F5257" i="4" s="1"/>
  <c r="E1417" i="4"/>
  <c r="F1416" i="4"/>
  <c r="E1416" i="4"/>
  <c r="F1415" i="4"/>
  <c r="E1415" i="4"/>
  <c r="G1415" i="4" s="1"/>
  <c r="I1415" i="4" s="1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G1407" i="4" s="1"/>
  <c r="H1407" i="4" s="1"/>
  <c r="F1406" i="4"/>
  <c r="E1406" i="4"/>
  <c r="F1405" i="4"/>
  <c r="E1405" i="4"/>
  <c r="F1404" i="4"/>
  <c r="E1404" i="4"/>
  <c r="F1403" i="4"/>
  <c r="E1403" i="4"/>
  <c r="G1403" i="4" s="1"/>
  <c r="H1403" i="4" s="1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87" i="4"/>
  <c r="E1387" i="4"/>
  <c r="F1386" i="4"/>
  <c r="E1386" i="4"/>
  <c r="F1385" i="4"/>
  <c r="E1385" i="4"/>
  <c r="F1384" i="4"/>
  <c r="E1384" i="4"/>
  <c r="E5224" i="4" s="1"/>
  <c r="F1383" i="4"/>
  <c r="E1383" i="4"/>
  <c r="F1382" i="4"/>
  <c r="F1766" i="4" s="1"/>
  <c r="E1382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F1914" i="4" s="1"/>
  <c r="E1338" i="4"/>
  <c r="E1914" i="4" s="1"/>
  <c r="F1337" i="4"/>
  <c r="E1337" i="4"/>
  <c r="F1336" i="4"/>
  <c r="F5176" i="4" s="1"/>
  <c r="E1336" i="4"/>
  <c r="F1335" i="4"/>
  <c r="E1335" i="4"/>
  <c r="F1334" i="4"/>
  <c r="F5174" i="4" s="1"/>
  <c r="E1334" i="4"/>
  <c r="G1334" i="4" s="1"/>
  <c r="H1334" i="4" s="1"/>
  <c r="F1333" i="4"/>
  <c r="F5173" i="4" s="1"/>
  <c r="F5749" i="4" s="1"/>
  <c r="E1333" i="4"/>
  <c r="F1332" i="4"/>
  <c r="F5172" i="4" s="1"/>
  <c r="E1332" i="4"/>
  <c r="F1331" i="4"/>
  <c r="E1331" i="4"/>
  <c r="E1907" i="4" s="1"/>
  <c r="F1330" i="4"/>
  <c r="E1330" i="4"/>
  <c r="F1329" i="4"/>
  <c r="E1329" i="4"/>
  <c r="F1328" i="4"/>
  <c r="E1328" i="4"/>
  <c r="F1327" i="4"/>
  <c r="E1327" i="4"/>
  <c r="F1326" i="4"/>
  <c r="F1902" i="4" s="1"/>
  <c r="E1326" i="4"/>
  <c r="E1902" i="4" s="1"/>
  <c r="F1325" i="4"/>
  <c r="E1325" i="4"/>
  <c r="F1324" i="4"/>
  <c r="E1324" i="4"/>
  <c r="F1323" i="4"/>
  <c r="E1323" i="4"/>
  <c r="F1322" i="4"/>
  <c r="E1322" i="4"/>
  <c r="E1898" i="4" s="1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E1878" i="4" s="1"/>
  <c r="F1301" i="4"/>
  <c r="E1301" i="4"/>
  <c r="F1300" i="4"/>
  <c r="E1300" i="4"/>
  <c r="F1299" i="4"/>
  <c r="E1299" i="4"/>
  <c r="F1298" i="4"/>
  <c r="E1298" i="4"/>
  <c r="E1874" i="4" s="1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F1866" i="4" s="1"/>
  <c r="E1290" i="4"/>
  <c r="E1866" i="4" s="1"/>
  <c r="F1289" i="4"/>
  <c r="E1289" i="4"/>
  <c r="F1288" i="4"/>
  <c r="E1288" i="4"/>
  <c r="F1287" i="4"/>
  <c r="E1287" i="4"/>
  <c r="F1286" i="4"/>
  <c r="E1286" i="4"/>
  <c r="E1862" i="4" s="1"/>
  <c r="F1285" i="4"/>
  <c r="E1285" i="4"/>
  <c r="F1284" i="4"/>
  <c r="E1284" i="4"/>
  <c r="F1283" i="4"/>
  <c r="E1283" i="4"/>
  <c r="F1282" i="4"/>
  <c r="E1282" i="4"/>
  <c r="F1281" i="4"/>
  <c r="E1281" i="4"/>
  <c r="E5121" i="4" s="1"/>
  <c r="F1280" i="4"/>
  <c r="F5120" i="4" s="1"/>
  <c r="F5696" i="4" s="1"/>
  <c r="E1280" i="4"/>
  <c r="E5120" i="4" s="1"/>
  <c r="F1279" i="4"/>
  <c r="E1279" i="4"/>
  <c r="F1278" i="4"/>
  <c r="E1278" i="4"/>
  <c r="E5118" i="4" s="1"/>
  <c r="E5694" i="4" s="1"/>
  <c r="F1277" i="4"/>
  <c r="F5117" i="4" s="1"/>
  <c r="E1277" i="4"/>
  <c r="E5117" i="4" s="1"/>
  <c r="F1276" i="4"/>
  <c r="F5116" i="4" s="1"/>
  <c r="E1276" i="4"/>
  <c r="F1275" i="4"/>
  <c r="E1275" i="4"/>
  <c r="E5115" i="4" s="1"/>
  <c r="F1274" i="4"/>
  <c r="F5114" i="4" s="1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E1842" i="4" s="1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F1835" i="4" s="1"/>
  <c r="E1259" i="4"/>
  <c r="E1835" i="4" s="1"/>
  <c r="F1258" i="4"/>
  <c r="E1258" i="4"/>
  <c r="F1257" i="4"/>
  <c r="E1257" i="4"/>
  <c r="F1256" i="4"/>
  <c r="E1256" i="4"/>
  <c r="F1255" i="4"/>
  <c r="E1255" i="4"/>
  <c r="F1254" i="4"/>
  <c r="F1830" i="4" s="1"/>
  <c r="E1254" i="4"/>
  <c r="E1830" i="4" s="1"/>
  <c r="F1253" i="4"/>
  <c r="E1253" i="4"/>
  <c r="F1252" i="4"/>
  <c r="E1252" i="4"/>
  <c r="F1251" i="4"/>
  <c r="E1251" i="4"/>
  <c r="F1250" i="4"/>
  <c r="E1250" i="4"/>
  <c r="E1826" i="4" s="1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F1818" i="4" s="1"/>
  <c r="E1242" i="4"/>
  <c r="F1241" i="4"/>
  <c r="E1241" i="4"/>
  <c r="F1240" i="4"/>
  <c r="E1240" i="4"/>
  <c r="F1239" i="4"/>
  <c r="E1239" i="4"/>
  <c r="F1238" i="4"/>
  <c r="E1238" i="4"/>
  <c r="G1238" i="4" s="1"/>
  <c r="H1238" i="4" s="1"/>
  <c r="F1237" i="4"/>
  <c r="E1237" i="4"/>
  <c r="F1236" i="4"/>
  <c r="E1236" i="4"/>
  <c r="F1235" i="4"/>
  <c r="F1811" i="4" s="1"/>
  <c r="E1235" i="4"/>
  <c r="E1811" i="4" s="1"/>
  <c r="F1234" i="4"/>
  <c r="E1234" i="4"/>
  <c r="F1233" i="4"/>
  <c r="E1233" i="4"/>
  <c r="F1232" i="4"/>
  <c r="E1232" i="4"/>
  <c r="F1231" i="4"/>
  <c r="E1231" i="4"/>
  <c r="F1230" i="4"/>
  <c r="F1806" i="4" s="1"/>
  <c r="E1230" i="4"/>
  <c r="E1806" i="4" s="1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E1794" i="4" s="1"/>
  <c r="F1217" i="4"/>
  <c r="E1217" i="4"/>
  <c r="F1216" i="4"/>
  <c r="E1216" i="4"/>
  <c r="F1215" i="4"/>
  <c r="E1215" i="4"/>
  <c r="F1214" i="4"/>
  <c r="E1214" i="4"/>
  <c r="E1790" i="4" s="1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E1782" i="4" s="1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F1770" i="4" s="1"/>
  <c r="E1194" i="4"/>
  <c r="E1770" i="4" s="1"/>
  <c r="F1193" i="4"/>
  <c r="E1193" i="4"/>
  <c r="E1192" i="4"/>
  <c r="E5032" i="4" s="1"/>
  <c r="E5608" i="4" s="1"/>
  <c r="E1191" i="4"/>
  <c r="E5031" i="4" s="1"/>
  <c r="E1190" i="4"/>
  <c r="E1102" i="4"/>
  <c r="E4942" i="4" s="1"/>
  <c r="E1101" i="4"/>
  <c r="E4941" i="4" s="1"/>
  <c r="E1100" i="4"/>
  <c r="E4940" i="4" s="1"/>
  <c r="G4940" i="4" s="1"/>
  <c r="H4940" i="4" s="1"/>
  <c r="J5747" i="4"/>
  <c r="E5697" i="4"/>
  <c r="E5605" i="4"/>
  <c r="K5604" i="4"/>
  <c r="J5601" i="4"/>
  <c r="F5598" i="4"/>
  <c r="F5597" i="4"/>
  <c r="K5593" i="4"/>
  <c r="J5593" i="4"/>
  <c r="F5593" i="4"/>
  <c r="J5592" i="4"/>
  <c r="F5592" i="4"/>
  <c r="E5592" i="4"/>
  <c r="K5590" i="4"/>
  <c r="F5589" i="4"/>
  <c r="E5589" i="4"/>
  <c r="K5588" i="4"/>
  <c r="F5581" i="4"/>
  <c r="E5581" i="4"/>
  <c r="K5580" i="4"/>
  <c r="J5580" i="4"/>
  <c r="L5580" i="4" s="1"/>
  <c r="M5580" i="4" s="1"/>
  <c r="F5580" i="4"/>
  <c r="E5580" i="4"/>
  <c r="K5579" i="4"/>
  <c r="F5579" i="4"/>
  <c r="E5579" i="4"/>
  <c r="G5579" i="4" s="1"/>
  <c r="H5579" i="4" s="1"/>
  <c r="F5578" i="4"/>
  <c r="E5578" i="4"/>
  <c r="K5577" i="4"/>
  <c r="L5577" i="4" s="1"/>
  <c r="J5577" i="4"/>
  <c r="K5576" i="4"/>
  <c r="J5576" i="4"/>
  <c r="K5575" i="4"/>
  <c r="J5575" i="4"/>
  <c r="F5575" i="4"/>
  <c r="E5575" i="4"/>
  <c r="K5574" i="4"/>
  <c r="L5574" i="4" s="1"/>
  <c r="N5574" i="4" s="1"/>
  <c r="J5574" i="4"/>
  <c r="E5574" i="4"/>
  <c r="K5573" i="4"/>
  <c r="J5573" i="4"/>
  <c r="F5573" i="4"/>
  <c r="K5572" i="4"/>
  <c r="J5572" i="4"/>
  <c r="K5571" i="4"/>
  <c r="K5570" i="4"/>
  <c r="L5555" i="4"/>
  <c r="N5555" i="4" s="1"/>
  <c r="L5554" i="4"/>
  <c r="N5554" i="4" s="1"/>
  <c r="G5554" i="4"/>
  <c r="I5554" i="4" s="1"/>
  <c r="L5553" i="4"/>
  <c r="M5553" i="4" s="1"/>
  <c r="G5553" i="4"/>
  <c r="H5553" i="4" s="1"/>
  <c r="L5552" i="4"/>
  <c r="N5552" i="4" s="1"/>
  <c r="G5551" i="4"/>
  <c r="I5551" i="4" s="1"/>
  <c r="G5550" i="4"/>
  <c r="I5550" i="4" s="1"/>
  <c r="L5549" i="4"/>
  <c r="N5549" i="4" s="1"/>
  <c r="L5548" i="4"/>
  <c r="N5548" i="4" s="1"/>
  <c r="G5548" i="4"/>
  <c r="H5548" i="4" s="1"/>
  <c r="G5547" i="4"/>
  <c r="I5547" i="4" s="1"/>
  <c r="L5546" i="4"/>
  <c r="N5546" i="4" s="1"/>
  <c r="G5546" i="4"/>
  <c r="H5546" i="4" s="1"/>
  <c r="L5545" i="4"/>
  <c r="N5545" i="4" s="1"/>
  <c r="L5544" i="4"/>
  <c r="N5544" i="4" s="1"/>
  <c r="L5543" i="4"/>
  <c r="N5543" i="4" s="1"/>
  <c r="G5543" i="4"/>
  <c r="N5542" i="4"/>
  <c r="L5542" i="4"/>
  <c r="M5542" i="4" s="1"/>
  <c r="G5542" i="4"/>
  <c r="H5542" i="4" s="1"/>
  <c r="L5541" i="4"/>
  <c r="N5541" i="4" s="1"/>
  <c r="G5541" i="4"/>
  <c r="I5541" i="4" s="1"/>
  <c r="L5540" i="4"/>
  <c r="N5540" i="4" s="1"/>
  <c r="G5540" i="4"/>
  <c r="H5540" i="4" s="1"/>
  <c r="G5539" i="4"/>
  <c r="I5539" i="4" s="1"/>
  <c r="G5538" i="4"/>
  <c r="H5538" i="4" s="1"/>
  <c r="L5537" i="4"/>
  <c r="M5537" i="4" s="1"/>
  <c r="L5536" i="4"/>
  <c r="N5536" i="4" s="1"/>
  <c r="G5536" i="4"/>
  <c r="H5536" i="4" s="1"/>
  <c r="G5535" i="4"/>
  <c r="I5535" i="4" s="1"/>
  <c r="L5534" i="4"/>
  <c r="N5534" i="4" s="1"/>
  <c r="G5534" i="4"/>
  <c r="I5534" i="4" s="1"/>
  <c r="L5533" i="4"/>
  <c r="N5533" i="4" s="1"/>
  <c r="L5532" i="4"/>
  <c r="G5532" i="4"/>
  <c r="H5532" i="4" s="1"/>
  <c r="L5531" i="4"/>
  <c r="N5531" i="4" s="1"/>
  <c r="L5530" i="4"/>
  <c r="N5530" i="4" s="1"/>
  <c r="G5530" i="4"/>
  <c r="I5530" i="4" s="1"/>
  <c r="L5529" i="4"/>
  <c r="N5529" i="4" s="1"/>
  <c r="G5529" i="4"/>
  <c r="I5529" i="4" s="1"/>
  <c r="L5528" i="4"/>
  <c r="N5528" i="4" s="1"/>
  <c r="G5528" i="4"/>
  <c r="H5528" i="4" s="1"/>
  <c r="G5527" i="4"/>
  <c r="I5527" i="4" s="1"/>
  <c r="G5526" i="4"/>
  <c r="I5526" i="4" s="1"/>
  <c r="L5525" i="4"/>
  <c r="N5525" i="4" s="1"/>
  <c r="L5524" i="4"/>
  <c r="N5524" i="4" s="1"/>
  <c r="G5524" i="4"/>
  <c r="H5524" i="4" s="1"/>
  <c r="G5523" i="4"/>
  <c r="I5523" i="4" s="1"/>
  <c r="N5522" i="4"/>
  <c r="M5522" i="4"/>
  <c r="L5522" i="4"/>
  <c r="G5522" i="4"/>
  <c r="I5522" i="4" s="1"/>
  <c r="L5521" i="4"/>
  <c r="M5521" i="4" s="1"/>
  <c r="L5520" i="4"/>
  <c r="N5520" i="4" s="1"/>
  <c r="L5519" i="4"/>
  <c r="N5519" i="4" s="1"/>
  <c r="L5518" i="4"/>
  <c r="L5517" i="4"/>
  <c r="M5517" i="4" s="1"/>
  <c r="L5516" i="4"/>
  <c r="N5516" i="4" s="1"/>
  <c r="G5515" i="4"/>
  <c r="I5515" i="4" s="1"/>
  <c r="G5514" i="4"/>
  <c r="H5514" i="4" s="1"/>
  <c r="L5513" i="4"/>
  <c r="N5513" i="4" s="1"/>
  <c r="L5512" i="4"/>
  <c r="N5512" i="4" s="1"/>
  <c r="G5512" i="4"/>
  <c r="H5512" i="4" s="1"/>
  <c r="G5511" i="4"/>
  <c r="I5511" i="4" s="1"/>
  <c r="L5510" i="4"/>
  <c r="N5510" i="4" s="1"/>
  <c r="G5510" i="4"/>
  <c r="I5510" i="4" s="1"/>
  <c r="L5509" i="4"/>
  <c r="G5509" i="4"/>
  <c r="I5509" i="4" s="1"/>
  <c r="L5508" i="4"/>
  <c r="N5508" i="4" s="1"/>
  <c r="G5508" i="4"/>
  <c r="H5508" i="4" s="1"/>
  <c r="L5507" i="4"/>
  <c r="N5507" i="4" s="1"/>
  <c r="L5506" i="4"/>
  <c r="N5506" i="4" s="1"/>
  <c r="L5505" i="4"/>
  <c r="N5505" i="4" s="1"/>
  <c r="G5505" i="4"/>
  <c r="H5505" i="4" s="1"/>
  <c r="L5504" i="4"/>
  <c r="N5504" i="4" s="1"/>
  <c r="G5504" i="4"/>
  <c r="H5504" i="4" s="1"/>
  <c r="G5503" i="4"/>
  <c r="I5503" i="4" s="1"/>
  <c r="G5502" i="4"/>
  <c r="I5502" i="4" s="1"/>
  <c r="L5501" i="4"/>
  <c r="N5501" i="4" s="1"/>
  <c r="L5500" i="4"/>
  <c r="M5500" i="4" s="1"/>
  <c r="G5500" i="4"/>
  <c r="H5500" i="4" s="1"/>
  <c r="G5499" i="4"/>
  <c r="I5499" i="4" s="1"/>
  <c r="L5498" i="4"/>
  <c r="N5498" i="4" s="1"/>
  <c r="G5498" i="4"/>
  <c r="I5498" i="4" s="1"/>
  <c r="L5497" i="4"/>
  <c r="N5497" i="4" s="1"/>
  <c r="G5497" i="4"/>
  <c r="I5497" i="4" s="1"/>
  <c r="L5496" i="4"/>
  <c r="N5496" i="4" s="1"/>
  <c r="G5496" i="4"/>
  <c r="H5496" i="4" s="1"/>
  <c r="L5495" i="4"/>
  <c r="N5495" i="4" s="1"/>
  <c r="L5494" i="4"/>
  <c r="N5494" i="4" s="1"/>
  <c r="L5493" i="4"/>
  <c r="N5493" i="4" s="1"/>
  <c r="L5492" i="4"/>
  <c r="N5492" i="4" s="1"/>
  <c r="G5492" i="4"/>
  <c r="H5492" i="4" s="1"/>
  <c r="G5491" i="4"/>
  <c r="I5491" i="4" s="1"/>
  <c r="G5490" i="4"/>
  <c r="I5490" i="4" s="1"/>
  <c r="L5489" i="4"/>
  <c r="N5489" i="4" s="1"/>
  <c r="L5488" i="4"/>
  <c r="N5488" i="4" s="1"/>
  <c r="G5488" i="4"/>
  <c r="H5488" i="4" s="1"/>
  <c r="H5487" i="4"/>
  <c r="G5487" i="4"/>
  <c r="I5487" i="4" s="1"/>
  <c r="L5486" i="4"/>
  <c r="M5486" i="4" s="1"/>
  <c r="G5486" i="4"/>
  <c r="I5486" i="4" s="1"/>
  <c r="L5485" i="4"/>
  <c r="N5485" i="4" s="1"/>
  <c r="G5485" i="4"/>
  <c r="I5485" i="4" s="1"/>
  <c r="L5484" i="4"/>
  <c r="N5484" i="4" s="1"/>
  <c r="G5484" i="4"/>
  <c r="H5484" i="4" s="1"/>
  <c r="L5483" i="4"/>
  <c r="N5483" i="4" s="1"/>
  <c r="G5483" i="4"/>
  <c r="I5483" i="4" s="1"/>
  <c r="L5482" i="4"/>
  <c r="N5482" i="4" s="1"/>
  <c r="L5481" i="4"/>
  <c r="M5481" i="4" s="1"/>
  <c r="L5480" i="4"/>
  <c r="N5480" i="4" s="1"/>
  <c r="G5479" i="4"/>
  <c r="I5479" i="4" s="1"/>
  <c r="G5478" i="4"/>
  <c r="I5478" i="4" s="1"/>
  <c r="L5477" i="4"/>
  <c r="L5476" i="4"/>
  <c r="N5476" i="4" s="1"/>
  <c r="G5476" i="4"/>
  <c r="H5476" i="4" s="1"/>
  <c r="G5475" i="4"/>
  <c r="I5475" i="4" s="1"/>
  <c r="G5474" i="4"/>
  <c r="H5474" i="4" s="1"/>
  <c r="L5473" i="4"/>
  <c r="M5473" i="4" s="1"/>
  <c r="G5473" i="4"/>
  <c r="I5473" i="4" s="1"/>
  <c r="L5472" i="4"/>
  <c r="N5472" i="4" s="1"/>
  <c r="G5472" i="4"/>
  <c r="L5471" i="4"/>
  <c r="N5471" i="4" s="1"/>
  <c r="G5471" i="4"/>
  <c r="I5471" i="4" s="1"/>
  <c r="L5470" i="4"/>
  <c r="N5470" i="4" s="1"/>
  <c r="L5469" i="4"/>
  <c r="N5469" i="4" s="1"/>
  <c r="L5468" i="4"/>
  <c r="N5468" i="4" s="1"/>
  <c r="G5467" i="4"/>
  <c r="I5467" i="4" s="1"/>
  <c r="G5466" i="4"/>
  <c r="H5466" i="4" s="1"/>
  <c r="L5464" i="4"/>
  <c r="G5464" i="4"/>
  <c r="H5464" i="4" s="1"/>
  <c r="G5463" i="4"/>
  <c r="H5463" i="4" s="1"/>
  <c r="L5462" i="4"/>
  <c r="G5462" i="4"/>
  <c r="I5462" i="4" s="1"/>
  <c r="L5461" i="4"/>
  <c r="N5461" i="4" s="1"/>
  <c r="G5461" i="4"/>
  <c r="H5461" i="4" s="1"/>
  <c r="M5460" i="4"/>
  <c r="L5460" i="4"/>
  <c r="N5460" i="4" s="1"/>
  <c r="G5460" i="4"/>
  <c r="H5460" i="4" s="1"/>
  <c r="L5459" i="4"/>
  <c r="N5459" i="4" s="1"/>
  <c r="G5459" i="4"/>
  <c r="I5459" i="4" s="1"/>
  <c r="L5458" i="4"/>
  <c r="N5458" i="4" s="1"/>
  <c r="G5458" i="4"/>
  <c r="I5458" i="4" s="1"/>
  <c r="L5457" i="4"/>
  <c r="N5457" i="4" s="1"/>
  <c r="L5456" i="4"/>
  <c r="N5456" i="4" s="1"/>
  <c r="G5455" i="4"/>
  <c r="H5455" i="4" s="1"/>
  <c r="G5454" i="4"/>
  <c r="I5454" i="4" s="1"/>
  <c r="L5452" i="4"/>
  <c r="M5452" i="4" s="1"/>
  <c r="G5452" i="4"/>
  <c r="H5452" i="4" s="1"/>
  <c r="G5451" i="4"/>
  <c r="I5451" i="4" s="1"/>
  <c r="L5450" i="4"/>
  <c r="N5450" i="4" s="1"/>
  <c r="G5450" i="4"/>
  <c r="H5450" i="4" s="1"/>
  <c r="L5449" i="4"/>
  <c r="M5449" i="4" s="1"/>
  <c r="G5449" i="4"/>
  <c r="I5449" i="4" s="1"/>
  <c r="L5448" i="4"/>
  <c r="G5448" i="4"/>
  <c r="H5448" i="4" s="1"/>
  <c r="L5447" i="4"/>
  <c r="N5447" i="4" s="1"/>
  <c r="L5446" i="4"/>
  <c r="N5446" i="4" s="1"/>
  <c r="G5446" i="4"/>
  <c r="I5446" i="4" s="1"/>
  <c r="L5445" i="4"/>
  <c r="N5445" i="4" s="1"/>
  <c r="L5443" i="4"/>
  <c r="N5443" i="4" s="1"/>
  <c r="G5442" i="4"/>
  <c r="H5442" i="4" s="1"/>
  <c r="L5440" i="4"/>
  <c r="N5440" i="4" s="1"/>
  <c r="G5440" i="4"/>
  <c r="H5440" i="4" s="1"/>
  <c r="G5439" i="4"/>
  <c r="H5439" i="4" s="1"/>
  <c r="L5438" i="4"/>
  <c r="N5438" i="4" s="1"/>
  <c r="L5437" i="4"/>
  <c r="N5437" i="4" s="1"/>
  <c r="G5437" i="4"/>
  <c r="H5437" i="4" s="1"/>
  <c r="L5436" i="4"/>
  <c r="M5436" i="4" s="1"/>
  <c r="G5436" i="4"/>
  <c r="H5436" i="4" s="1"/>
  <c r="L5435" i="4"/>
  <c r="N5435" i="4" s="1"/>
  <c r="G5435" i="4"/>
  <c r="I5435" i="4" s="1"/>
  <c r="L5434" i="4"/>
  <c r="N5434" i="4" s="1"/>
  <c r="G5434" i="4"/>
  <c r="H5434" i="4" s="1"/>
  <c r="L5432" i="4"/>
  <c r="N5432" i="4" s="1"/>
  <c r="L5431" i="4"/>
  <c r="M5431" i="4" s="1"/>
  <c r="L5430" i="4"/>
  <c r="M5430" i="4" s="1"/>
  <c r="H5430" i="4"/>
  <c r="G5430" i="4"/>
  <c r="I5430" i="4" s="1"/>
  <c r="G5428" i="4"/>
  <c r="H5428" i="4" s="1"/>
  <c r="G5427" i="4"/>
  <c r="H5427" i="4" s="1"/>
  <c r="L5425" i="4"/>
  <c r="N5425" i="4" s="1"/>
  <c r="G5425" i="4"/>
  <c r="H5425" i="4" s="1"/>
  <c r="L5424" i="4"/>
  <c r="N5424" i="4" s="1"/>
  <c r="G5424" i="4"/>
  <c r="H5424" i="4" s="1"/>
  <c r="L5423" i="4"/>
  <c r="N5423" i="4" s="1"/>
  <c r="G5423" i="4"/>
  <c r="I5423" i="4" s="1"/>
  <c r="L5422" i="4"/>
  <c r="N5422" i="4" s="1"/>
  <c r="G5422" i="4"/>
  <c r="I5422" i="4" s="1"/>
  <c r="L5421" i="4"/>
  <c r="N5421" i="4" s="1"/>
  <c r="L5420" i="4"/>
  <c r="N5420" i="4" s="1"/>
  <c r="L5419" i="4"/>
  <c r="N5419" i="4" s="1"/>
  <c r="G5418" i="4"/>
  <c r="I5418" i="4" s="1"/>
  <c r="L5417" i="4"/>
  <c r="N5417" i="4" s="1"/>
  <c r="L5416" i="4"/>
  <c r="N5416" i="4" s="1"/>
  <c r="G5416" i="4"/>
  <c r="I5416" i="4" s="1"/>
  <c r="G5415" i="4"/>
  <c r="I5415" i="4" s="1"/>
  <c r="L5414" i="4"/>
  <c r="N5414" i="4" s="1"/>
  <c r="L5413" i="4"/>
  <c r="N5413" i="4" s="1"/>
  <c r="G5413" i="4"/>
  <c r="L5412" i="4"/>
  <c r="N5412" i="4" s="1"/>
  <c r="G5412" i="4"/>
  <c r="I5412" i="4" s="1"/>
  <c r="L5411" i="4"/>
  <c r="N5411" i="4" s="1"/>
  <c r="G5411" i="4"/>
  <c r="I5411" i="4" s="1"/>
  <c r="L5410" i="4"/>
  <c r="N5410" i="4" s="1"/>
  <c r="G5410" i="4"/>
  <c r="I5410" i="4" s="1"/>
  <c r="L5409" i="4"/>
  <c r="N5409" i="4" s="1"/>
  <c r="L5408" i="4"/>
  <c r="N5408" i="4" s="1"/>
  <c r="G5408" i="4"/>
  <c r="I5408" i="4" s="1"/>
  <c r="L5407" i="4"/>
  <c r="N5407" i="4" s="1"/>
  <c r="L5406" i="4"/>
  <c r="N5406" i="4" s="1"/>
  <c r="G5406" i="4"/>
  <c r="I5406" i="4" s="1"/>
  <c r="L5405" i="4"/>
  <c r="M5405" i="4" s="1"/>
  <c r="L5404" i="4"/>
  <c r="N5404" i="4" s="1"/>
  <c r="G5404" i="4"/>
  <c r="I5404" i="4" s="1"/>
  <c r="G5403" i="4"/>
  <c r="I5403" i="4" s="1"/>
  <c r="G5402" i="4"/>
  <c r="H5402" i="4" s="1"/>
  <c r="L5401" i="4"/>
  <c r="M5401" i="4" s="1"/>
  <c r="G5401" i="4"/>
  <c r="I5401" i="4" s="1"/>
  <c r="L5400" i="4"/>
  <c r="N5400" i="4" s="1"/>
  <c r="G5400" i="4"/>
  <c r="I5400" i="4" s="1"/>
  <c r="L5399" i="4"/>
  <c r="N5399" i="4" s="1"/>
  <c r="G5399" i="4"/>
  <c r="H5399" i="4" s="1"/>
  <c r="L5398" i="4"/>
  <c r="N5398" i="4" s="1"/>
  <c r="G5398" i="4"/>
  <c r="I5398" i="4" s="1"/>
  <c r="L5397" i="4"/>
  <c r="N5397" i="4" s="1"/>
  <c r="G5397" i="4"/>
  <c r="I5397" i="4" s="1"/>
  <c r="L5395" i="4"/>
  <c r="N5395" i="4" s="1"/>
  <c r="L5394" i="4"/>
  <c r="N5394" i="4" s="1"/>
  <c r="L5392" i="4"/>
  <c r="N5392" i="4" s="1"/>
  <c r="G5392" i="4"/>
  <c r="I5392" i="4" s="1"/>
  <c r="L5390" i="4"/>
  <c r="N5390" i="4" s="1"/>
  <c r="L5389" i="4"/>
  <c r="N5389" i="4" s="1"/>
  <c r="G5389" i="4"/>
  <c r="I5389" i="4" s="1"/>
  <c r="G5388" i="4"/>
  <c r="I5388" i="4" s="1"/>
  <c r="G5387" i="4"/>
  <c r="I5387" i="4" s="1"/>
  <c r="L5386" i="4"/>
  <c r="G5386" i="4"/>
  <c r="L5385" i="4"/>
  <c r="M5385" i="4" s="1"/>
  <c r="G5385" i="4"/>
  <c r="I5385" i="4" s="1"/>
  <c r="L5384" i="4"/>
  <c r="N5384" i="4" s="1"/>
  <c r="G5384" i="4"/>
  <c r="I5384" i="4" s="1"/>
  <c r="L5383" i="4"/>
  <c r="N5383" i="4" s="1"/>
  <c r="G5383" i="4"/>
  <c r="I5383" i="4" s="1"/>
  <c r="L5382" i="4"/>
  <c r="N5382" i="4" s="1"/>
  <c r="G5382" i="4"/>
  <c r="I5382" i="4" s="1"/>
  <c r="L5381" i="4"/>
  <c r="N5381" i="4" s="1"/>
  <c r="G5381" i="4"/>
  <c r="I5381" i="4" s="1"/>
  <c r="L5380" i="4"/>
  <c r="N5380" i="4" s="1"/>
  <c r="G5380" i="4"/>
  <c r="I5380" i="4" s="1"/>
  <c r="L5378" i="4"/>
  <c r="N5378" i="4" s="1"/>
  <c r="G5378" i="4"/>
  <c r="I5378" i="4" s="1"/>
  <c r="G5314" i="4"/>
  <c r="I5314" i="4" s="1"/>
  <c r="G5312" i="4"/>
  <c r="G5307" i="4"/>
  <c r="H5307" i="4" s="1"/>
  <c r="G5221" i="4"/>
  <c r="I5221" i="4" s="1"/>
  <c r="L5220" i="4"/>
  <c r="N5220" i="4" s="1"/>
  <c r="G5220" i="4"/>
  <c r="I5220" i="4" s="1"/>
  <c r="G5219" i="4"/>
  <c r="I5219" i="4" s="1"/>
  <c r="L5217" i="4"/>
  <c r="N5217" i="4" s="1"/>
  <c r="G5214" i="4"/>
  <c r="I5214" i="4" s="1"/>
  <c r="L5212" i="4"/>
  <c r="N5212" i="4" s="1"/>
  <c r="L5209" i="4"/>
  <c r="N5209" i="4" s="1"/>
  <c r="G5209" i="4"/>
  <c r="I5209" i="4" s="1"/>
  <c r="G5208" i="4"/>
  <c r="H5208" i="4" s="1"/>
  <c r="G5206" i="4"/>
  <c r="I5206" i="4" s="1"/>
  <c r="G5205" i="4"/>
  <c r="I5205" i="4" s="1"/>
  <c r="G5204" i="4"/>
  <c r="I5204" i="4" s="1"/>
  <c r="G5202" i="4"/>
  <c r="I5202" i="4" s="1"/>
  <c r="L5198" i="4"/>
  <c r="M5198" i="4" s="1"/>
  <c r="G5197" i="4"/>
  <c r="I5197" i="4" s="1"/>
  <c r="L5196" i="4"/>
  <c r="N5196" i="4" s="1"/>
  <c r="G5196" i="4"/>
  <c r="I5196" i="4" s="1"/>
  <c r="L5195" i="4"/>
  <c r="M5195" i="4" s="1"/>
  <c r="G5195" i="4"/>
  <c r="I5195" i="4" s="1"/>
  <c r="G5194" i="4"/>
  <c r="I5194" i="4" s="1"/>
  <c r="L5193" i="4"/>
  <c r="N5193" i="4" s="1"/>
  <c r="L5192" i="4"/>
  <c r="N5192" i="4" s="1"/>
  <c r="L5191" i="4"/>
  <c r="G5191" i="4"/>
  <c r="L5190" i="4"/>
  <c r="G5190" i="4"/>
  <c r="H5190" i="4" s="1"/>
  <c r="L5189" i="4"/>
  <c r="N5189" i="4" s="1"/>
  <c r="L5188" i="4"/>
  <c r="N5188" i="4" s="1"/>
  <c r="G5188" i="4"/>
  <c r="I5188" i="4" s="1"/>
  <c r="G5187" i="4"/>
  <c r="L5186" i="4"/>
  <c r="G5186" i="4"/>
  <c r="H5186" i="4" s="1"/>
  <c r="L5122" i="4"/>
  <c r="M5122" i="4" s="1"/>
  <c r="G5120" i="4"/>
  <c r="H5120" i="4" s="1"/>
  <c r="G5032" i="4"/>
  <c r="H5032" i="4" s="1"/>
  <c r="G5029" i="4"/>
  <c r="I5029" i="4" s="1"/>
  <c r="G5028" i="4"/>
  <c r="I5028" i="4" s="1"/>
  <c r="G5020" i="4"/>
  <c r="L5017" i="4"/>
  <c r="G5016" i="4"/>
  <c r="I5016" i="4" s="1"/>
  <c r="L5015" i="4"/>
  <c r="M5015" i="4" s="1"/>
  <c r="G5014" i="4"/>
  <c r="I5014" i="4" s="1"/>
  <c r="G5013" i="4"/>
  <c r="L5012" i="4"/>
  <c r="M5012" i="4" s="1"/>
  <c r="G5006" i="4"/>
  <c r="I5006" i="4" s="1"/>
  <c r="L5005" i="4"/>
  <c r="G5005" i="4"/>
  <c r="I5005" i="4" s="1"/>
  <c r="L5004" i="4"/>
  <c r="N5004" i="4" s="1"/>
  <c r="G5004" i="4"/>
  <c r="H5004" i="4" s="1"/>
  <c r="L5003" i="4"/>
  <c r="G5003" i="4"/>
  <c r="I5003" i="4" s="1"/>
  <c r="G5002" i="4"/>
  <c r="I5002" i="4" s="1"/>
  <c r="L5001" i="4"/>
  <c r="N5001" i="4" s="1"/>
  <c r="L5000" i="4"/>
  <c r="N5000" i="4" s="1"/>
  <c r="L4999" i="4"/>
  <c r="N4999" i="4" s="1"/>
  <c r="G4999" i="4"/>
  <c r="L4998" i="4"/>
  <c r="N4998" i="4" s="1"/>
  <c r="G4998" i="4"/>
  <c r="L4997" i="4"/>
  <c r="N4997" i="4" s="1"/>
  <c r="L4996" i="4"/>
  <c r="P4996" i="4" s="1"/>
  <c r="G4996" i="4"/>
  <c r="I4996" i="4" s="1"/>
  <c r="G4995" i="4"/>
  <c r="L4979" i="4"/>
  <c r="N4979" i="4" s="1"/>
  <c r="L4976" i="4"/>
  <c r="L4975" i="4"/>
  <c r="O4975" i="4" s="1"/>
  <c r="G4975" i="4"/>
  <c r="H4975" i="4" s="1"/>
  <c r="G4974" i="4"/>
  <c r="L4973" i="4"/>
  <c r="M4973" i="4" s="1"/>
  <c r="G4973" i="4"/>
  <c r="I4973" i="4" s="1"/>
  <c r="L4972" i="4"/>
  <c r="N4972" i="4" s="1"/>
  <c r="G4972" i="4"/>
  <c r="H4972" i="4" s="1"/>
  <c r="L4970" i="4"/>
  <c r="M4970" i="4" s="1"/>
  <c r="G4970" i="4"/>
  <c r="I4970" i="4" s="1"/>
  <c r="M4969" i="4"/>
  <c r="L4969" i="4"/>
  <c r="N4969" i="4" s="1"/>
  <c r="L4968" i="4"/>
  <c r="G4968" i="4"/>
  <c r="I4968" i="4" s="1"/>
  <c r="G4967" i="4"/>
  <c r="I4967" i="4" s="1"/>
  <c r="G4966" i="4"/>
  <c r="I4966" i="4" s="1"/>
  <c r="L4965" i="4"/>
  <c r="N4965" i="4" s="1"/>
  <c r="L4964" i="4"/>
  <c r="G4964" i="4"/>
  <c r="H4964" i="4" s="1"/>
  <c r="L4963" i="4"/>
  <c r="G4963" i="4"/>
  <c r="I4963" i="4" s="1"/>
  <c r="G4962" i="4"/>
  <c r="H4962" i="4" s="1"/>
  <c r="L4961" i="4"/>
  <c r="O4961" i="4" s="1"/>
  <c r="G4961" i="4"/>
  <c r="H4961" i="4" s="1"/>
  <c r="L4960" i="4"/>
  <c r="N4960" i="4" s="1"/>
  <c r="G4960" i="4"/>
  <c r="L4958" i="4"/>
  <c r="M4958" i="4" s="1"/>
  <c r="G4958" i="4"/>
  <c r="I4958" i="4" s="1"/>
  <c r="L4957" i="4"/>
  <c r="L4956" i="4"/>
  <c r="N4956" i="4" s="1"/>
  <c r="G4956" i="4"/>
  <c r="I4956" i="4" s="1"/>
  <c r="G4955" i="4"/>
  <c r="I4955" i="4" s="1"/>
  <c r="G4954" i="4"/>
  <c r="I4954" i="4" s="1"/>
  <c r="L4953" i="4"/>
  <c r="M4953" i="4" s="1"/>
  <c r="L4952" i="4"/>
  <c r="N4952" i="4" s="1"/>
  <c r="G4952" i="4"/>
  <c r="I4952" i="4" s="1"/>
  <c r="L4951" i="4"/>
  <c r="N4951" i="4" s="1"/>
  <c r="G4951" i="4"/>
  <c r="H4951" i="4" s="1"/>
  <c r="G4950" i="4"/>
  <c r="L4949" i="4"/>
  <c r="G4949" i="4"/>
  <c r="I4949" i="4" s="1"/>
  <c r="L4948" i="4"/>
  <c r="G4948" i="4"/>
  <c r="L4946" i="4"/>
  <c r="O4946" i="4" s="1"/>
  <c r="G4946" i="4"/>
  <c r="H4946" i="4" s="1"/>
  <c r="L4945" i="4"/>
  <c r="G4945" i="4"/>
  <c r="I4945" i="4" s="1"/>
  <c r="L4944" i="4"/>
  <c r="M4944" i="4" s="1"/>
  <c r="G4944" i="4"/>
  <c r="I4944" i="4" s="1"/>
  <c r="G4943" i="4"/>
  <c r="I4943" i="4" s="1"/>
  <c r="G4942" i="4"/>
  <c r="I4942" i="4" s="1"/>
  <c r="L4941" i="4"/>
  <c r="G4941" i="4"/>
  <c r="I4941" i="4" s="1"/>
  <c r="L4940" i="4"/>
  <c r="N4940" i="4" s="1"/>
  <c r="L4939" i="4"/>
  <c r="N4939" i="4" s="1"/>
  <c r="G4938" i="4"/>
  <c r="L4937" i="4"/>
  <c r="N4937" i="4" s="1"/>
  <c r="G4937" i="4"/>
  <c r="H4937" i="4" s="1"/>
  <c r="L4936" i="4"/>
  <c r="N4936" i="4" s="1"/>
  <c r="G4936" i="4"/>
  <c r="I4936" i="4" s="1"/>
  <c r="L4934" i="4"/>
  <c r="O4934" i="4" s="1"/>
  <c r="G4934" i="4"/>
  <c r="I4934" i="4" s="1"/>
  <c r="L4933" i="4"/>
  <c r="N4933" i="4" s="1"/>
  <c r="G4933" i="4"/>
  <c r="I4933" i="4" s="1"/>
  <c r="L4932" i="4"/>
  <c r="G4932" i="4"/>
  <c r="I4932" i="4" s="1"/>
  <c r="G4930" i="4"/>
  <c r="I4930" i="4" s="1"/>
  <c r="L4929" i="4"/>
  <c r="N4929" i="4" s="1"/>
  <c r="G4929" i="4"/>
  <c r="I4929" i="4" s="1"/>
  <c r="L4928" i="4"/>
  <c r="N4928" i="4" s="1"/>
  <c r="L4927" i="4"/>
  <c r="G4926" i="4"/>
  <c r="H4926" i="4" s="1"/>
  <c r="L4925" i="4"/>
  <c r="G4925" i="4"/>
  <c r="I4925" i="4" s="1"/>
  <c r="L4924" i="4"/>
  <c r="M4924" i="4" s="1"/>
  <c r="G4924" i="4"/>
  <c r="I4924" i="4" s="1"/>
  <c r="L4922" i="4"/>
  <c r="G4922" i="4"/>
  <c r="I4922" i="4" s="1"/>
  <c r="L4921" i="4"/>
  <c r="M4921" i="4" s="1"/>
  <c r="G4921" i="4"/>
  <c r="I4921" i="4" s="1"/>
  <c r="L4920" i="4"/>
  <c r="N4920" i="4" s="1"/>
  <c r="G4920" i="4"/>
  <c r="I4920" i="4" s="1"/>
  <c r="G4918" i="4"/>
  <c r="I4918" i="4" s="1"/>
  <c r="L4917" i="4"/>
  <c r="G4917" i="4"/>
  <c r="I4917" i="4" s="1"/>
  <c r="L4916" i="4"/>
  <c r="N4916" i="4" s="1"/>
  <c r="L4915" i="4"/>
  <c r="L4914" i="4"/>
  <c r="N4914" i="4" s="1"/>
  <c r="G4914" i="4"/>
  <c r="O4914" i="4" s="1"/>
  <c r="L4913" i="4"/>
  <c r="G4913" i="4"/>
  <c r="L4912" i="4"/>
  <c r="N4912" i="4" s="1"/>
  <c r="G4912" i="4"/>
  <c r="I4912" i="4" s="1"/>
  <c r="L4910" i="4"/>
  <c r="G4910" i="4"/>
  <c r="I4910" i="4" s="1"/>
  <c r="L4909" i="4"/>
  <c r="G4909" i="4"/>
  <c r="I4909" i="4" s="1"/>
  <c r="L4908" i="4"/>
  <c r="N4908" i="4" s="1"/>
  <c r="G4908" i="4"/>
  <c r="I4908" i="4" s="1"/>
  <c r="L4907" i="4"/>
  <c r="N4907" i="4" s="1"/>
  <c r="L4906" i="4"/>
  <c r="G4906" i="4"/>
  <c r="I4906" i="4" s="1"/>
  <c r="L4905" i="4"/>
  <c r="N4905" i="4" s="1"/>
  <c r="G4905" i="4"/>
  <c r="H4905" i="4" s="1"/>
  <c r="L4904" i="4"/>
  <c r="M4904" i="4" s="1"/>
  <c r="L4903" i="4"/>
  <c r="G4902" i="4"/>
  <c r="L4901" i="4"/>
  <c r="N4901" i="4" s="1"/>
  <c r="G4901" i="4"/>
  <c r="I4901" i="4" s="1"/>
  <c r="L4900" i="4"/>
  <c r="N4900" i="4" s="1"/>
  <c r="G4900" i="4"/>
  <c r="I4900" i="4" s="1"/>
  <c r="G4898" i="4"/>
  <c r="I4898" i="4" s="1"/>
  <c r="L4897" i="4"/>
  <c r="N4897" i="4" s="1"/>
  <c r="G4897" i="4"/>
  <c r="H4897" i="4" s="1"/>
  <c r="L4896" i="4"/>
  <c r="G4896" i="4"/>
  <c r="I4896" i="4" s="1"/>
  <c r="L4895" i="4"/>
  <c r="M4895" i="4" s="1"/>
  <c r="L4894" i="4"/>
  <c r="N4894" i="4" s="1"/>
  <c r="G4894" i="4"/>
  <c r="I4894" i="4" s="1"/>
  <c r="M4893" i="4"/>
  <c r="L4893" i="4"/>
  <c r="N4893" i="4" s="1"/>
  <c r="G4893" i="4"/>
  <c r="H4893" i="4" s="1"/>
  <c r="L4892" i="4"/>
  <c r="L4891" i="4"/>
  <c r="N4891" i="4" s="1"/>
  <c r="G4891" i="4"/>
  <c r="H4891" i="4" s="1"/>
  <c r="G4890" i="4"/>
  <c r="I4890" i="4" s="1"/>
  <c r="L4889" i="4"/>
  <c r="N4889" i="4" s="1"/>
  <c r="L4888" i="4"/>
  <c r="N4888" i="4" s="1"/>
  <c r="G4888" i="4"/>
  <c r="I4888" i="4" s="1"/>
  <c r="G4886" i="4"/>
  <c r="L4885" i="4"/>
  <c r="M4885" i="4" s="1"/>
  <c r="G4885" i="4"/>
  <c r="I4885" i="4" s="1"/>
  <c r="N4884" i="4"/>
  <c r="L4884" i="4"/>
  <c r="M4884" i="4" s="1"/>
  <c r="G4884" i="4"/>
  <c r="I4884" i="4" s="1"/>
  <c r="L4883" i="4"/>
  <c r="L4882" i="4"/>
  <c r="G4882" i="4"/>
  <c r="L4881" i="4"/>
  <c r="M4881" i="4" s="1"/>
  <c r="G4881" i="4"/>
  <c r="I4881" i="4" s="1"/>
  <c r="L4880" i="4"/>
  <c r="N4880" i="4" s="1"/>
  <c r="G4880" i="4"/>
  <c r="H4880" i="4" s="1"/>
  <c r="L4879" i="4"/>
  <c r="G4879" i="4"/>
  <c r="I4879" i="4" s="1"/>
  <c r="G4877" i="4"/>
  <c r="I4877" i="4" s="1"/>
  <c r="L4876" i="4"/>
  <c r="G4876" i="4"/>
  <c r="I4876" i="4" s="1"/>
  <c r="G4874" i="4"/>
  <c r="I4874" i="4" s="1"/>
  <c r="G4873" i="4"/>
  <c r="I4873" i="4" s="1"/>
  <c r="L4872" i="4"/>
  <c r="N4872" i="4" s="1"/>
  <c r="G4872" i="4"/>
  <c r="L4871" i="4"/>
  <c r="M4871" i="4" s="1"/>
  <c r="G4871" i="4"/>
  <c r="I4871" i="4" s="1"/>
  <c r="L4870" i="4"/>
  <c r="M4870" i="4" s="1"/>
  <c r="G4870" i="4"/>
  <c r="I4870" i="4" s="1"/>
  <c r="L4869" i="4"/>
  <c r="L4868" i="4"/>
  <c r="G4868" i="4"/>
  <c r="H4868" i="4" s="1"/>
  <c r="L4867" i="4"/>
  <c r="N4867" i="4" s="1"/>
  <c r="G4867" i="4"/>
  <c r="M4866" i="4"/>
  <c r="L4866" i="4"/>
  <c r="N4866" i="4" s="1"/>
  <c r="G4865" i="4"/>
  <c r="I4865" i="4" s="1"/>
  <c r="G4864" i="4"/>
  <c r="I4864" i="4" s="1"/>
  <c r="L4862" i="4"/>
  <c r="N4862" i="4" s="1"/>
  <c r="G4862" i="4"/>
  <c r="I4862" i="4" s="1"/>
  <c r="L4861" i="4"/>
  <c r="N4861" i="4" s="1"/>
  <c r="G4861" i="4"/>
  <c r="I4861" i="4" s="1"/>
  <c r="G4860" i="4"/>
  <c r="L4859" i="4"/>
  <c r="M4859" i="4" s="1"/>
  <c r="G4859" i="4"/>
  <c r="I4859" i="4" s="1"/>
  <c r="L4858" i="4"/>
  <c r="M4858" i="4" s="1"/>
  <c r="G4858" i="4"/>
  <c r="L4857" i="4"/>
  <c r="L4856" i="4"/>
  <c r="G4856" i="4"/>
  <c r="I4856" i="4" s="1"/>
  <c r="L4855" i="4"/>
  <c r="N4855" i="4" s="1"/>
  <c r="G4855" i="4"/>
  <c r="I4855" i="4" s="1"/>
  <c r="L4854" i="4"/>
  <c r="N4854" i="4" s="1"/>
  <c r="L4853" i="4"/>
  <c r="N4853" i="4" s="1"/>
  <c r="G4853" i="4"/>
  <c r="G4852" i="4"/>
  <c r="I4852" i="4" s="1"/>
  <c r="L4850" i="4"/>
  <c r="G4850" i="4"/>
  <c r="I4850" i="4" s="1"/>
  <c r="L4849" i="4"/>
  <c r="O4849" i="4" s="1"/>
  <c r="G4849" i="4"/>
  <c r="H4849" i="4" s="1"/>
  <c r="L4848" i="4"/>
  <c r="G4848" i="4"/>
  <c r="I4848" i="4" s="1"/>
  <c r="G4847" i="4"/>
  <c r="H4847" i="4" s="1"/>
  <c r="L4846" i="4"/>
  <c r="N4846" i="4" s="1"/>
  <c r="G4846" i="4"/>
  <c r="O4846" i="4" s="1"/>
  <c r="L4845" i="4"/>
  <c r="M4845" i="4" s="1"/>
  <c r="L4844" i="4"/>
  <c r="N4844" i="4" s="1"/>
  <c r="L4843" i="4"/>
  <c r="G4843" i="4"/>
  <c r="I4843" i="4" s="1"/>
  <c r="L4842" i="4"/>
  <c r="G4842" i="4"/>
  <c r="H4842" i="4" s="1"/>
  <c r="L4841" i="4"/>
  <c r="G4838" i="4"/>
  <c r="H4838" i="4" s="1"/>
  <c r="L4837" i="4"/>
  <c r="G4837" i="4"/>
  <c r="I4837" i="4" s="1"/>
  <c r="L4836" i="4"/>
  <c r="M4836" i="4" s="1"/>
  <c r="G4836" i="4"/>
  <c r="I4836" i="4" s="1"/>
  <c r="G4835" i="4"/>
  <c r="I4835" i="4" s="1"/>
  <c r="L4834" i="4"/>
  <c r="G4834" i="4"/>
  <c r="I4834" i="4" s="1"/>
  <c r="L4833" i="4"/>
  <c r="M4833" i="4" s="1"/>
  <c r="G4833" i="4"/>
  <c r="I4833" i="4" s="1"/>
  <c r="L4832" i="4"/>
  <c r="N4832" i="4" s="1"/>
  <c r="G4832" i="4"/>
  <c r="I4832" i="4" s="1"/>
  <c r="L4831" i="4"/>
  <c r="N4831" i="4" s="1"/>
  <c r="L4830" i="4"/>
  <c r="N4830" i="4" s="1"/>
  <c r="G4830" i="4"/>
  <c r="H4830" i="4" s="1"/>
  <c r="L4829" i="4"/>
  <c r="N4829" i="4" s="1"/>
  <c r="G4829" i="4"/>
  <c r="I4829" i="4" s="1"/>
  <c r="L4828" i="4"/>
  <c r="N4828" i="4" s="1"/>
  <c r="L4826" i="4"/>
  <c r="N4826" i="4" s="1"/>
  <c r="G4826" i="4"/>
  <c r="I4826" i="4" s="1"/>
  <c r="L4825" i="4"/>
  <c r="G4825" i="4"/>
  <c r="I4825" i="4" s="1"/>
  <c r="L4824" i="4"/>
  <c r="N4824" i="4" s="1"/>
  <c r="G4824" i="4"/>
  <c r="I4824" i="4" s="1"/>
  <c r="G4823" i="4"/>
  <c r="H4823" i="4" s="1"/>
  <c r="L4822" i="4"/>
  <c r="N4822" i="4" s="1"/>
  <c r="G4822" i="4"/>
  <c r="L4821" i="4"/>
  <c r="M4821" i="4" s="1"/>
  <c r="G4821" i="4"/>
  <c r="I4821" i="4" s="1"/>
  <c r="L4820" i="4"/>
  <c r="N4820" i="4" s="1"/>
  <c r="G4820" i="4"/>
  <c r="L4819" i="4"/>
  <c r="L4818" i="4"/>
  <c r="G4818" i="4"/>
  <c r="H4818" i="4" s="1"/>
  <c r="L4817" i="4"/>
  <c r="N4817" i="4" s="1"/>
  <c r="G4817" i="4"/>
  <c r="I4817" i="4" s="1"/>
  <c r="L4816" i="4"/>
  <c r="N4816" i="4" s="1"/>
  <c r="G4814" i="4"/>
  <c r="H4814" i="4" s="1"/>
  <c r="L4813" i="4"/>
  <c r="G4813" i="4"/>
  <c r="I4813" i="4" s="1"/>
  <c r="L4812" i="4"/>
  <c r="M4812" i="4" s="1"/>
  <c r="G4812" i="4"/>
  <c r="I4812" i="4" s="1"/>
  <c r="L4811" i="4"/>
  <c r="N4811" i="4" s="1"/>
  <c r="G4811" i="4"/>
  <c r="I4811" i="4" s="1"/>
  <c r="G4810" i="4"/>
  <c r="I4810" i="4" s="1"/>
  <c r="L4809" i="4"/>
  <c r="M4809" i="4" s="1"/>
  <c r="G4809" i="4"/>
  <c r="I4809" i="4" s="1"/>
  <c r="L4808" i="4"/>
  <c r="N4808" i="4" s="1"/>
  <c r="G4808" i="4"/>
  <c r="I4808" i="4" s="1"/>
  <c r="L4807" i="4"/>
  <c r="N4807" i="4" s="1"/>
  <c r="G4807" i="4"/>
  <c r="I4807" i="4" s="1"/>
  <c r="L4806" i="4"/>
  <c r="N4806" i="4" s="1"/>
  <c r="L4805" i="4"/>
  <c r="N4805" i="4" s="1"/>
  <c r="G4805" i="4"/>
  <c r="I4805" i="4" s="1"/>
  <c r="L4804" i="4"/>
  <c r="L4803" i="4"/>
  <c r="M4803" i="4" s="1"/>
  <c r="L4802" i="4"/>
  <c r="N4802" i="4" s="1"/>
  <c r="J4801" i="4"/>
  <c r="E4801" i="4"/>
  <c r="J4800" i="4"/>
  <c r="J4799" i="4"/>
  <c r="J4798" i="4"/>
  <c r="E4798" i="4"/>
  <c r="J4797" i="4"/>
  <c r="E4797" i="4"/>
  <c r="J4796" i="4"/>
  <c r="E4796" i="4"/>
  <c r="E4795" i="4"/>
  <c r="E4794" i="4"/>
  <c r="J4793" i="4"/>
  <c r="K4792" i="4"/>
  <c r="J4792" i="4"/>
  <c r="F4792" i="4"/>
  <c r="E4792" i="4"/>
  <c r="F4791" i="4"/>
  <c r="E4790" i="4"/>
  <c r="J4789" i="4"/>
  <c r="F4789" i="4"/>
  <c r="E4789" i="4"/>
  <c r="J4788" i="4"/>
  <c r="E4788" i="4"/>
  <c r="K4787" i="4"/>
  <c r="J4787" i="4"/>
  <c r="F4787" i="4"/>
  <c r="E4787" i="4"/>
  <c r="J4786" i="4"/>
  <c r="F4786" i="4"/>
  <c r="E4786" i="4"/>
  <c r="J4785" i="4"/>
  <c r="K4784" i="4"/>
  <c r="J4784" i="4"/>
  <c r="E4784" i="4"/>
  <c r="K4783" i="4"/>
  <c r="F4783" i="4"/>
  <c r="E4783" i="4"/>
  <c r="J4782" i="4"/>
  <c r="F4782" i="4"/>
  <c r="E4782" i="4"/>
  <c r="K4781" i="4"/>
  <c r="J4781" i="4"/>
  <c r="F4781" i="4"/>
  <c r="E4781" i="4"/>
  <c r="G4781" i="4" s="1"/>
  <c r="H4781" i="4" s="1"/>
  <c r="K4780" i="4"/>
  <c r="F4780" i="4"/>
  <c r="E4780" i="4"/>
  <c r="K4779" i="4"/>
  <c r="F4779" i="4"/>
  <c r="E4779" i="4"/>
  <c r="J4778" i="4"/>
  <c r="E4778" i="4"/>
  <c r="K4777" i="4"/>
  <c r="J4777" i="4"/>
  <c r="E4777" i="4"/>
  <c r="K4776" i="4"/>
  <c r="J4776" i="4"/>
  <c r="E4776" i="4"/>
  <c r="K4775" i="4"/>
  <c r="F4775" i="4"/>
  <c r="K4774" i="4"/>
  <c r="J4774" i="4"/>
  <c r="F4774" i="4"/>
  <c r="E4774" i="4"/>
  <c r="G4774" i="4" s="1"/>
  <c r="H4774" i="4" s="1"/>
  <c r="K4773" i="4"/>
  <c r="F4773" i="4"/>
  <c r="E4773" i="4"/>
  <c r="K4772" i="4"/>
  <c r="F4772" i="4"/>
  <c r="E4772" i="4"/>
  <c r="K4771" i="4"/>
  <c r="F4771" i="4"/>
  <c r="E4771" i="4"/>
  <c r="J4770" i="4"/>
  <c r="F4770" i="4"/>
  <c r="E4770" i="4"/>
  <c r="K4769" i="4"/>
  <c r="J4769" i="4"/>
  <c r="F4769" i="4"/>
  <c r="E4769" i="4"/>
  <c r="K4768" i="4"/>
  <c r="J4768" i="4"/>
  <c r="F4768" i="4"/>
  <c r="E4768" i="4"/>
  <c r="K4767" i="4"/>
  <c r="F4767" i="4"/>
  <c r="E4767" i="4"/>
  <c r="J4766" i="4"/>
  <c r="F4766" i="4"/>
  <c r="E4766" i="4"/>
  <c r="G4766" i="4" s="1"/>
  <c r="H4766" i="4" s="1"/>
  <c r="K4765" i="4"/>
  <c r="J4765" i="4"/>
  <c r="F4765" i="4"/>
  <c r="E4765" i="4"/>
  <c r="K4764" i="4"/>
  <c r="J4764" i="4"/>
  <c r="F4764" i="4"/>
  <c r="E4764" i="4"/>
  <c r="K4763" i="4"/>
  <c r="J4763" i="4"/>
  <c r="F4763" i="4"/>
  <c r="E4763" i="4"/>
  <c r="K4762" i="4"/>
  <c r="J4762" i="4"/>
  <c r="F4762" i="4"/>
  <c r="K4761" i="4"/>
  <c r="J4761" i="4"/>
  <c r="L4761" i="4" s="1"/>
  <c r="N4761" i="4" s="1"/>
  <c r="F4761" i="4"/>
  <c r="K4760" i="4"/>
  <c r="J4760" i="4"/>
  <c r="F4760" i="4"/>
  <c r="E4760" i="4"/>
  <c r="K4759" i="4"/>
  <c r="J4759" i="4"/>
  <c r="F4759" i="4"/>
  <c r="E4759" i="4"/>
  <c r="K4758" i="4"/>
  <c r="J4758" i="4"/>
  <c r="F4758" i="4"/>
  <c r="E4758" i="4"/>
  <c r="F4757" i="4"/>
  <c r="E4757" i="4"/>
  <c r="K4756" i="4"/>
  <c r="J4756" i="4"/>
  <c r="F4756" i="4"/>
  <c r="E4756" i="4"/>
  <c r="K4755" i="4"/>
  <c r="J4755" i="4"/>
  <c r="F4755" i="4"/>
  <c r="E4755" i="4"/>
  <c r="K4754" i="4"/>
  <c r="J4754" i="4"/>
  <c r="F4754" i="4"/>
  <c r="E4754" i="4"/>
  <c r="F4753" i="4"/>
  <c r="E4753" i="4"/>
  <c r="K4752" i="4"/>
  <c r="J4752" i="4"/>
  <c r="F4752" i="4"/>
  <c r="E4752" i="4"/>
  <c r="K4751" i="4"/>
  <c r="J4751" i="4"/>
  <c r="L4751" i="4" s="1"/>
  <c r="M4751" i="4" s="1"/>
  <c r="F4751" i="4"/>
  <c r="K4750" i="4"/>
  <c r="J4750" i="4"/>
  <c r="F4750" i="4"/>
  <c r="E4750" i="4"/>
  <c r="K4749" i="4"/>
  <c r="J4749" i="4"/>
  <c r="F4749" i="4"/>
  <c r="E4749" i="4"/>
  <c r="G4749" i="4" s="1"/>
  <c r="I4749" i="4" s="1"/>
  <c r="K4748" i="4"/>
  <c r="J4748" i="4"/>
  <c r="F4748" i="4"/>
  <c r="E4748" i="4"/>
  <c r="G4748" i="4" s="1"/>
  <c r="H4748" i="4" s="1"/>
  <c r="K4747" i="4"/>
  <c r="J4747" i="4"/>
  <c r="F4747" i="4"/>
  <c r="E4747" i="4"/>
  <c r="K4746" i="4"/>
  <c r="J4746" i="4"/>
  <c r="F4746" i="4"/>
  <c r="E4746" i="4"/>
  <c r="F4745" i="4"/>
  <c r="E4745" i="4"/>
  <c r="K4744" i="4"/>
  <c r="F4744" i="4"/>
  <c r="E4744" i="4"/>
  <c r="K4743" i="4"/>
  <c r="F4743" i="4"/>
  <c r="E4743" i="4"/>
  <c r="K4742" i="4"/>
  <c r="J4742" i="4"/>
  <c r="K4741" i="4"/>
  <c r="F4741" i="4"/>
  <c r="E4741" i="4"/>
  <c r="G4741" i="4" s="1"/>
  <c r="I4741" i="4" s="1"/>
  <c r="K4740" i="4"/>
  <c r="F4740" i="4"/>
  <c r="E4740" i="4"/>
  <c r="K4739" i="4"/>
  <c r="J4739" i="4"/>
  <c r="F4739" i="4"/>
  <c r="E4739" i="4"/>
  <c r="K4738" i="4"/>
  <c r="J4738" i="4"/>
  <c r="F4738" i="4"/>
  <c r="E4738" i="4"/>
  <c r="K4737" i="4"/>
  <c r="J4737" i="4"/>
  <c r="F4737" i="4"/>
  <c r="E4737" i="4"/>
  <c r="K4736" i="4"/>
  <c r="F4736" i="4"/>
  <c r="E4736" i="4"/>
  <c r="K4735" i="4"/>
  <c r="J4735" i="4"/>
  <c r="F4735" i="4"/>
  <c r="K4734" i="4"/>
  <c r="F4734" i="4"/>
  <c r="K4733" i="4"/>
  <c r="F4733" i="4"/>
  <c r="E4733" i="4"/>
  <c r="K4732" i="4"/>
  <c r="J4732" i="4"/>
  <c r="F4732" i="4"/>
  <c r="E4732" i="4"/>
  <c r="K4731" i="4"/>
  <c r="J4731" i="4"/>
  <c r="F4731" i="4"/>
  <c r="E4731" i="4"/>
  <c r="K4730" i="4"/>
  <c r="J4730" i="4"/>
  <c r="F4730" i="4"/>
  <c r="E4730" i="4"/>
  <c r="K4729" i="4"/>
  <c r="J4729" i="4"/>
  <c r="F4729" i="4"/>
  <c r="E4729" i="4"/>
  <c r="K4728" i="4"/>
  <c r="J4728" i="4"/>
  <c r="F4728" i="4"/>
  <c r="E4728" i="4"/>
  <c r="K4727" i="4"/>
  <c r="J4727" i="4"/>
  <c r="F4727" i="4"/>
  <c r="E4727" i="4"/>
  <c r="F4726" i="4"/>
  <c r="E4726" i="4"/>
  <c r="K4725" i="4"/>
  <c r="J4725" i="4"/>
  <c r="F4725" i="4"/>
  <c r="E4725" i="4"/>
  <c r="K4724" i="4"/>
  <c r="J4724" i="4"/>
  <c r="F4724" i="4"/>
  <c r="K4723" i="4"/>
  <c r="J4723" i="4"/>
  <c r="E4723" i="4"/>
  <c r="E4722" i="4"/>
  <c r="J4721" i="4"/>
  <c r="F4721" i="4"/>
  <c r="E4721" i="4"/>
  <c r="K4720" i="4"/>
  <c r="J4720" i="4"/>
  <c r="F4720" i="4"/>
  <c r="E4720" i="4"/>
  <c r="J4719" i="4"/>
  <c r="E4719" i="4"/>
  <c r="K4718" i="4"/>
  <c r="F4718" i="4"/>
  <c r="E4718" i="4"/>
  <c r="K4717" i="4"/>
  <c r="J4717" i="4"/>
  <c r="F4717" i="4"/>
  <c r="K4716" i="4"/>
  <c r="J4716" i="4"/>
  <c r="F4716" i="4"/>
  <c r="E4716" i="4"/>
  <c r="K4715" i="4"/>
  <c r="J4715" i="4"/>
  <c r="F4715" i="4"/>
  <c r="E4715" i="4"/>
  <c r="F4714" i="4"/>
  <c r="E4714" i="4"/>
  <c r="K4713" i="4"/>
  <c r="J4713" i="4"/>
  <c r="F4713" i="4"/>
  <c r="E4713" i="4"/>
  <c r="K4712" i="4"/>
  <c r="J4712" i="4"/>
  <c r="F4712" i="4"/>
  <c r="E4712" i="4"/>
  <c r="K4711" i="4"/>
  <c r="J4711" i="4"/>
  <c r="E4711" i="4"/>
  <c r="F4710" i="4"/>
  <c r="E4710" i="4"/>
  <c r="J4709" i="4"/>
  <c r="F4709" i="4"/>
  <c r="E4709" i="4"/>
  <c r="K4708" i="4"/>
  <c r="J4708" i="4"/>
  <c r="F4708" i="4"/>
  <c r="E4708" i="4"/>
  <c r="J4707" i="4"/>
  <c r="E4707" i="4"/>
  <c r="F4706" i="4"/>
  <c r="E4706" i="4"/>
  <c r="K4705" i="4"/>
  <c r="J4705" i="4"/>
  <c r="K4704" i="4"/>
  <c r="J4704" i="4"/>
  <c r="F4704" i="4"/>
  <c r="E4704" i="4"/>
  <c r="K4703" i="4"/>
  <c r="J4703" i="4"/>
  <c r="F4703" i="4"/>
  <c r="E4703" i="4"/>
  <c r="F4702" i="4"/>
  <c r="E4702" i="4"/>
  <c r="G4702" i="4" s="1"/>
  <c r="H4702" i="4" s="1"/>
  <c r="K4701" i="4"/>
  <c r="J4701" i="4"/>
  <c r="F4701" i="4"/>
  <c r="E4701" i="4"/>
  <c r="K4700" i="4"/>
  <c r="J4700" i="4"/>
  <c r="F4700" i="4"/>
  <c r="K4699" i="4"/>
  <c r="J4699" i="4"/>
  <c r="E4699" i="4"/>
  <c r="F4698" i="4"/>
  <c r="E4698" i="4"/>
  <c r="J4697" i="4"/>
  <c r="E4697" i="4"/>
  <c r="K4696" i="4"/>
  <c r="J4696" i="4"/>
  <c r="F4696" i="4"/>
  <c r="E4696" i="4"/>
  <c r="J4695" i="4"/>
  <c r="E4695" i="4"/>
  <c r="F4694" i="4"/>
  <c r="E4694" i="4"/>
  <c r="K4693" i="4"/>
  <c r="J4693" i="4"/>
  <c r="L4693" i="4" s="1"/>
  <c r="M4693" i="4" s="1"/>
  <c r="K4692" i="4"/>
  <c r="J4692" i="4"/>
  <c r="F4692" i="4"/>
  <c r="E4692" i="4"/>
  <c r="K4691" i="4"/>
  <c r="J4691" i="4"/>
  <c r="F4691" i="4"/>
  <c r="E4691" i="4"/>
  <c r="F4690" i="4"/>
  <c r="E4690" i="4"/>
  <c r="K4689" i="4"/>
  <c r="J4689" i="4"/>
  <c r="F4689" i="4"/>
  <c r="E4689" i="4"/>
  <c r="K4688" i="4"/>
  <c r="J4688" i="4"/>
  <c r="F4688" i="4"/>
  <c r="K4687" i="4"/>
  <c r="J4687" i="4"/>
  <c r="E4687" i="4"/>
  <c r="F4686" i="4"/>
  <c r="E4686" i="4"/>
  <c r="J4685" i="4"/>
  <c r="F4685" i="4"/>
  <c r="E4685" i="4"/>
  <c r="K4684" i="4"/>
  <c r="J4684" i="4"/>
  <c r="F4684" i="4"/>
  <c r="E4684" i="4"/>
  <c r="G4684" i="4" s="1"/>
  <c r="J4683" i="4"/>
  <c r="E4683" i="4"/>
  <c r="K4682" i="4"/>
  <c r="F4682" i="4"/>
  <c r="E4682" i="4"/>
  <c r="K4681" i="4"/>
  <c r="J4681" i="4"/>
  <c r="K4680" i="4"/>
  <c r="J4680" i="4"/>
  <c r="F4680" i="4"/>
  <c r="E4680" i="4"/>
  <c r="K4679" i="4"/>
  <c r="J4679" i="4"/>
  <c r="F4679" i="4"/>
  <c r="E4679" i="4"/>
  <c r="J4678" i="4"/>
  <c r="F4678" i="4"/>
  <c r="E4678" i="4"/>
  <c r="K4677" i="4"/>
  <c r="J4677" i="4"/>
  <c r="F4677" i="4"/>
  <c r="E4677" i="4"/>
  <c r="K4676" i="4"/>
  <c r="J4676" i="4"/>
  <c r="F4676" i="4"/>
  <c r="K4675" i="4"/>
  <c r="J4675" i="4"/>
  <c r="E4675" i="4"/>
  <c r="F4674" i="4"/>
  <c r="E4674" i="4"/>
  <c r="J4673" i="4"/>
  <c r="F4673" i="4"/>
  <c r="E4673" i="4"/>
  <c r="K4672" i="4"/>
  <c r="J4672" i="4"/>
  <c r="F4672" i="4"/>
  <c r="E4672" i="4"/>
  <c r="J4671" i="4"/>
  <c r="K4670" i="4"/>
  <c r="K4669" i="4"/>
  <c r="J4669" i="4"/>
  <c r="K4668" i="4"/>
  <c r="J4668" i="4"/>
  <c r="F4668" i="4"/>
  <c r="E4668" i="4"/>
  <c r="K4667" i="4"/>
  <c r="J4667" i="4"/>
  <c r="F4667" i="4"/>
  <c r="E4667" i="4"/>
  <c r="F4666" i="4"/>
  <c r="E4666" i="4"/>
  <c r="K4665" i="4"/>
  <c r="J4665" i="4"/>
  <c r="F4665" i="4"/>
  <c r="E4665" i="4"/>
  <c r="K4664" i="4"/>
  <c r="J4664" i="4"/>
  <c r="F4664" i="4"/>
  <c r="K4663" i="4"/>
  <c r="J4663" i="4"/>
  <c r="E4663" i="4"/>
  <c r="F4662" i="4"/>
  <c r="E4662" i="4"/>
  <c r="J4661" i="4"/>
  <c r="F4661" i="4"/>
  <c r="E4661" i="4"/>
  <c r="K4660" i="4"/>
  <c r="J4660" i="4"/>
  <c r="F4660" i="4"/>
  <c r="E4660" i="4"/>
  <c r="J4659" i="4"/>
  <c r="E4659" i="4"/>
  <c r="F4658" i="4"/>
  <c r="E4658" i="4"/>
  <c r="K4657" i="4"/>
  <c r="J4657" i="4"/>
  <c r="L4657" i="4" s="1"/>
  <c r="M4657" i="4" s="1"/>
  <c r="K4656" i="4"/>
  <c r="J4656" i="4"/>
  <c r="F4656" i="4"/>
  <c r="E4656" i="4"/>
  <c r="K4655" i="4"/>
  <c r="J4655" i="4"/>
  <c r="F4655" i="4"/>
  <c r="E4655" i="4"/>
  <c r="F4654" i="4"/>
  <c r="E4654" i="4"/>
  <c r="K4653" i="4"/>
  <c r="J4653" i="4"/>
  <c r="F4653" i="4"/>
  <c r="E4653" i="4"/>
  <c r="K4652" i="4"/>
  <c r="J4652" i="4"/>
  <c r="F4652" i="4"/>
  <c r="E4652" i="4"/>
  <c r="K4651" i="4"/>
  <c r="J4651" i="4"/>
  <c r="E4651" i="4"/>
  <c r="K4650" i="4"/>
  <c r="F4650" i="4"/>
  <c r="E4650" i="4"/>
  <c r="J4649" i="4"/>
  <c r="F4649" i="4"/>
  <c r="E4649" i="4"/>
  <c r="K4648" i="4"/>
  <c r="J4648" i="4"/>
  <c r="F4648" i="4"/>
  <c r="E4648" i="4"/>
  <c r="J4647" i="4"/>
  <c r="E4647" i="4"/>
  <c r="K4646" i="4"/>
  <c r="F4646" i="4"/>
  <c r="E4646" i="4"/>
  <c r="K4645" i="4"/>
  <c r="J4645" i="4"/>
  <c r="K4644" i="4"/>
  <c r="J4644" i="4"/>
  <c r="F4644" i="4"/>
  <c r="E4644" i="4"/>
  <c r="K4643" i="4"/>
  <c r="J4643" i="4"/>
  <c r="F4643" i="4"/>
  <c r="E4643" i="4"/>
  <c r="F4642" i="4"/>
  <c r="E4642" i="4"/>
  <c r="K4641" i="4"/>
  <c r="J4641" i="4"/>
  <c r="K4640" i="4"/>
  <c r="L4640" i="4" s="1"/>
  <c r="M4640" i="4" s="1"/>
  <c r="J4640" i="4"/>
  <c r="K4639" i="4"/>
  <c r="J4639" i="4"/>
  <c r="E4639" i="4"/>
  <c r="K4638" i="4"/>
  <c r="F4638" i="4"/>
  <c r="E4638" i="4"/>
  <c r="J4637" i="4"/>
  <c r="F4637" i="4"/>
  <c r="K4636" i="4"/>
  <c r="J4636" i="4"/>
  <c r="F4636" i="4"/>
  <c r="E4636" i="4"/>
  <c r="J4635" i="4"/>
  <c r="F4635" i="4"/>
  <c r="E4635" i="4"/>
  <c r="E4634" i="4"/>
  <c r="K4633" i="4"/>
  <c r="J4633" i="4"/>
  <c r="K4632" i="4"/>
  <c r="J4632" i="4"/>
  <c r="F4632" i="4"/>
  <c r="E4632" i="4"/>
  <c r="K4631" i="4"/>
  <c r="J4631" i="4"/>
  <c r="F4631" i="4"/>
  <c r="E4631" i="4"/>
  <c r="K4630" i="4"/>
  <c r="F4630" i="4"/>
  <c r="E4630" i="4"/>
  <c r="J4629" i="4"/>
  <c r="F4629" i="4"/>
  <c r="E4629" i="4"/>
  <c r="G4629" i="4" s="1"/>
  <c r="I4629" i="4" s="1"/>
  <c r="K4628" i="4"/>
  <c r="F4628" i="4"/>
  <c r="K4627" i="4"/>
  <c r="J4627" i="4"/>
  <c r="E4627" i="4"/>
  <c r="K4626" i="4"/>
  <c r="F4626" i="4"/>
  <c r="E4626" i="4"/>
  <c r="J4625" i="4"/>
  <c r="F4625" i="4"/>
  <c r="E4625" i="4"/>
  <c r="K4624" i="4"/>
  <c r="J4624" i="4"/>
  <c r="F4624" i="4"/>
  <c r="E4624" i="4"/>
  <c r="J4623" i="4"/>
  <c r="E4623" i="4"/>
  <c r="F4622" i="4"/>
  <c r="E4622" i="4"/>
  <c r="K4621" i="4"/>
  <c r="J4621" i="4"/>
  <c r="F4621" i="4"/>
  <c r="E4621" i="4"/>
  <c r="K4620" i="4"/>
  <c r="J4620" i="4"/>
  <c r="F4620" i="4"/>
  <c r="E4620" i="4"/>
  <c r="K4619" i="4"/>
  <c r="J4619" i="4"/>
  <c r="F4619" i="4"/>
  <c r="E4619" i="4"/>
  <c r="K4618" i="4"/>
  <c r="J4618" i="4"/>
  <c r="F4618" i="4"/>
  <c r="E4618" i="4"/>
  <c r="K4617" i="4"/>
  <c r="J4617" i="4"/>
  <c r="F4617" i="4"/>
  <c r="E4617" i="4"/>
  <c r="K4616" i="4"/>
  <c r="J4616" i="4"/>
  <c r="F4616" i="4"/>
  <c r="E4616" i="4"/>
  <c r="K4615" i="4"/>
  <c r="J4615" i="4"/>
  <c r="F4615" i="4"/>
  <c r="E4615" i="4"/>
  <c r="K4614" i="4"/>
  <c r="J4614" i="4"/>
  <c r="F4614" i="4"/>
  <c r="E4614" i="4"/>
  <c r="K4613" i="4"/>
  <c r="J4613" i="4"/>
  <c r="F4613" i="4"/>
  <c r="E4613" i="4"/>
  <c r="K4612" i="4"/>
  <c r="J4612" i="4"/>
  <c r="F4612" i="4"/>
  <c r="E4612" i="4"/>
  <c r="K4611" i="4"/>
  <c r="J4611" i="4"/>
  <c r="F4611" i="4"/>
  <c r="E4611" i="4"/>
  <c r="K4610" i="4"/>
  <c r="J4610" i="4"/>
  <c r="F4610" i="4"/>
  <c r="E4610" i="4"/>
  <c r="L4609" i="4"/>
  <c r="M4609" i="4" s="1"/>
  <c r="G4609" i="4"/>
  <c r="I4609" i="4" s="1"/>
  <c r="L4608" i="4"/>
  <c r="N4608" i="4" s="1"/>
  <c r="G4608" i="4"/>
  <c r="H4608" i="4" s="1"/>
  <c r="L4607" i="4"/>
  <c r="G4607" i="4"/>
  <c r="I4607" i="4" s="1"/>
  <c r="L4606" i="4"/>
  <c r="N4606" i="4" s="1"/>
  <c r="N4605" i="4"/>
  <c r="L4605" i="4"/>
  <c r="M4605" i="4" s="1"/>
  <c r="G4605" i="4"/>
  <c r="I4605" i="4" s="1"/>
  <c r="L4604" i="4"/>
  <c r="N4604" i="4" s="1"/>
  <c r="G4604" i="4"/>
  <c r="I4604" i="4" s="1"/>
  <c r="L4603" i="4"/>
  <c r="G4603" i="4"/>
  <c r="I4603" i="4" s="1"/>
  <c r="L4602" i="4"/>
  <c r="N4602" i="4" s="1"/>
  <c r="H4602" i="4"/>
  <c r="G4602" i="4"/>
  <c r="I4602" i="4" s="1"/>
  <c r="L4601" i="4"/>
  <c r="M4601" i="4" s="1"/>
  <c r="G4601" i="4"/>
  <c r="I4601" i="4" s="1"/>
  <c r="L4600" i="4"/>
  <c r="N4600" i="4" s="1"/>
  <c r="G4600" i="4"/>
  <c r="I4600" i="4" s="1"/>
  <c r="L4599" i="4"/>
  <c r="G4599" i="4"/>
  <c r="I4599" i="4" s="1"/>
  <c r="N4598" i="4"/>
  <c r="L4598" i="4"/>
  <c r="M4598" i="4" s="1"/>
  <c r="G4598" i="4"/>
  <c r="I4598" i="4" s="1"/>
  <c r="G4597" i="4"/>
  <c r="I4597" i="4" s="1"/>
  <c r="G4596" i="4"/>
  <c r="I4596" i="4" s="1"/>
  <c r="L4595" i="4"/>
  <c r="G4595" i="4"/>
  <c r="I4595" i="4" s="1"/>
  <c r="L4594" i="4"/>
  <c r="N4594" i="4" s="1"/>
  <c r="G4594" i="4"/>
  <c r="I4594" i="4" s="1"/>
  <c r="L4593" i="4"/>
  <c r="M4593" i="4" s="1"/>
  <c r="G4593" i="4"/>
  <c r="H4593" i="4" s="1"/>
  <c r="L4592" i="4"/>
  <c r="N4592" i="4" s="1"/>
  <c r="G4592" i="4"/>
  <c r="I4592" i="4" s="1"/>
  <c r="L4591" i="4"/>
  <c r="G4591" i="4"/>
  <c r="I4591" i="4" s="1"/>
  <c r="L4590" i="4"/>
  <c r="N4590" i="4" s="1"/>
  <c r="G4590" i="4"/>
  <c r="I4590" i="4" s="1"/>
  <c r="L4589" i="4"/>
  <c r="N4589" i="4" s="1"/>
  <c r="G4589" i="4"/>
  <c r="L4588" i="4"/>
  <c r="N4588" i="4" s="1"/>
  <c r="G4588" i="4"/>
  <c r="I4588" i="4" s="1"/>
  <c r="L4587" i="4"/>
  <c r="G4587" i="4"/>
  <c r="I4587" i="4" s="1"/>
  <c r="L4586" i="4"/>
  <c r="M4586" i="4" s="1"/>
  <c r="G4586" i="4"/>
  <c r="I4586" i="4" s="1"/>
  <c r="L4585" i="4"/>
  <c r="N4585" i="4" s="1"/>
  <c r="G4585" i="4"/>
  <c r="H4585" i="4" s="1"/>
  <c r="L4584" i="4"/>
  <c r="N4584" i="4" s="1"/>
  <c r="G4584" i="4"/>
  <c r="I4584" i="4" s="1"/>
  <c r="L4583" i="4"/>
  <c r="G4583" i="4"/>
  <c r="I4583" i="4" s="1"/>
  <c r="L4582" i="4"/>
  <c r="N4582" i="4" s="1"/>
  <c r="G4582" i="4"/>
  <c r="I4582" i="4" s="1"/>
  <c r="L4581" i="4"/>
  <c r="N4581" i="4" s="1"/>
  <c r="G4581" i="4"/>
  <c r="L4580" i="4"/>
  <c r="G4580" i="4"/>
  <c r="H4580" i="4" s="1"/>
  <c r="L4579" i="4"/>
  <c r="G4579" i="4"/>
  <c r="I4579" i="4" s="1"/>
  <c r="L4578" i="4"/>
  <c r="M4578" i="4" s="1"/>
  <c r="G4578" i="4"/>
  <c r="I4578" i="4" s="1"/>
  <c r="L4577" i="4"/>
  <c r="N4577" i="4" s="1"/>
  <c r="G4577" i="4"/>
  <c r="I4577" i="4" s="1"/>
  <c r="L4576" i="4"/>
  <c r="N4576" i="4" s="1"/>
  <c r="G4576" i="4"/>
  <c r="I4576" i="4" s="1"/>
  <c r="L4575" i="4"/>
  <c r="G4575" i="4"/>
  <c r="I4575" i="4" s="1"/>
  <c r="L4574" i="4"/>
  <c r="M4574" i="4" s="1"/>
  <c r="G4574" i="4"/>
  <c r="I4574" i="4" s="1"/>
  <c r="L4573" i="4"/>
  <c r="M4573" i="4" s="1"/>
  <c r="G4573" i="4"/>
  <c r="L4572" i="4"/>
  <c r="N4572" i="4" s="1"/>
  <c r="G4572" i="4"/>
  <c r="I4572" i="4" s="1"/>
  <c r="L4571" i="4"/>
  <c r="G4571" i="4"/>
  <c r="H4571" i="4" s="1"/>
  <c r="L4570" i="4"/>
  <c r="N4570" i="4" s="1"/>
  <c r="G4570" i="4"/>
  <c r="I4570" i="4" s="1"/>
  <c r="L4569" i="4"/>
  <c r="N4569" i="4" s="1"/>
  <c r="G4569" i="4"/>
  <c r="I4569" i="4" s="1"/>
  <c r="L4568" i="4"/>
  <c r="N4568" i="4" s="1"/>
  <c r="I4568" i="4"/>
  <c r="H4568" i="4"/>
  <c r="G4568" i="4"/>
  <c r="L4567" i="4"/>
  <c r="G4567" i="4"/>
  <c r="I4567" i="4" s="1"/>
  <c r="L4566" i="4"/>
  <c r="N4566" i="4" s="1"/>
  <c r="G4566" i="4"/>
  <c r="I4566" i="4" s="1"/>
  <c r="L4565" i="4"/>
  <c r="M4565" i="4" s="1"/>
  <c r="G4565" i="4"/>
  <c r="I4565" i="4" s="1"/>
  <c r="L4564" i="4"/>
  <c r="N4564" i="4" s="1"/>
  <c r="G4564" i="4"/>
  <c r="I4564" i="4" s="1"/>
  <c r="L4563" i="4"/>
  <c r="G4563" i="4"/>
  <c r="H4563" i="4" s="1"/>
  <c r="L4562" i="4"/>
  <c r="N4562" i="4" s="1"/>
  <c r="G4562" i="4"/>
  <c r="I4562" i="4" s="1"/>
  <c r="L4561" i="4"/>
  <c r="N4561" i="4" s="1"/>
  <c r="G4561" i="4"/>
  <c r="I4561" i="4" s="1"/>
  <c r="M4560" i="4"/>
  <c r="L4560" i="4"/>
  <c r="N4560" i="4" s="1"/>
  <c r="G4560" i="4"/>
  <c r="I4560" i="4" s="1"/>
  <c r="L4559" i="4"/>
  <c r="G4559" i="4"/>
  <c r="L4558" i="4"/>
  <c r="G4558" i="4"/>
  <c r="H4558" i="4" s="1"/>
  <c r="L4557" i="4"/>
  <c r="N4557" i="4" s="1"/>
  <c r="G4557" i="4"/>
  <c r="L4556" i="4"/>
  <c r="N4556" i="4" s="1"/>
  <c r="G4556" i="4"/>
  <c r="I4556" i="4" s="1"/>
  <c r="L4555" i="4"/>
  <c r="G4555" i="4"/>
  <c r="I4555" i="4" s="1"/>
  <c r="L4554" i="4"/>
  <c r="N4554" i="4" s="1"/>
  <c r="G4554" i="4"/>
  <c r="I4554" i="4" s="1"/>
  <c r="L4553" i="4"/>
  <c r="N4553" i="4" s="1"/>
  <c r="G4553" i="4"/>
  <c r="I4553" i="4" s="1"/>
  <c r="L4552" i="4"/>
  <c r="M4552" i="4" s="1"/>
  <c r="I4552" i="4"/>
  <c r="G4552" i="4"/>
  <c r="H4552" i="4" s="1"/>
  <c r="L4551" i="4"/>
  <c r="G4551" i="4"/>
  <c r="I4551" i="4" s="1"/>
  <c r="L4550" i="4"/>
  <c r="N4550" i="4" s="1"/>
  <c r="G4550" i="4"/>
  <c r="H4550" i="4" s="1"/>
  <c r="L4549" i="4"/>
  <c r="N4549" i="4" s="1"/>
  <c r="G4549" i="4"/>
  <c r="I4549" i="4" s="1"/>
  <c r="L4548" i="4"/>
  <c r="M4548" i="4" s="1"/>
  <c r="G4548" i="4"/>
  <c r="I4548" i="4" s="1"/>
  <c r="L4547" i="4"/>
  <c r="G4547" i="4"/>
  <c r="I4547" i="4" s="1"/>
  <c r="L4546" i="4"/>
  <c r="N4546" i="4" s="1"/>
  <c r="G4546" i="4"/>
  <c r="L4545" i="4"/>
  <c r="N4545" i="4" s="1"/>
  <c r="G4545" i="4"/>
  <c r="H4545" i="4" s="1"/>
  <c r="L4544" i="4"/>
  <c r="N4544" i="4" s="1"/>
  <c r="G4544" i="4"/>
  <c r="I4544" i="4" s="1"/>
  <c r="L4543" i="4"/>
  <c r="G4543" i="4"/>
  <c r="I4543" i="4" s="1"/>
  <c r="L4542" i="4"/>
  <c r="N4542" i="4" s="1"/>
  <c r="G4542" i="4"/>
  <c r="I4542" i="4" s="1"/>
  <c r="L4541" i="4"/>
  <c r="M4541" i="4" s="1"/>
  <c r="G4541" i="4"/>
  <c r="L4540" i="4"/>
  <c r="M4540" i="4" s="1"/>
  <c r="G4540" i="4"/>
  <c r="I4540" i="4" s="1"/>
  <c r="L4539" i="4"/>
  <c r="G4539" i="4"/>
  <c r="H4539" i="4" s="1"/>
  <c r="L4538" i="4"/>
  <c r="N4538" i="4" s="1"/>
  <c r="G4538" i="4"/>
  <c r="I4538" i="4" s="1"/>
  <c r="L4537" i="4"/>
  <c r="M4537" i="4" s="1"/>
  <c r="G4537" i="4"/>
  <c r="L4536" i="4"/>
  <c r="G4536" i="4"/>
  <c r="I4536" i="4" s="1"/>
  <c r="L4535" i="4"/>
  <c r="G4535" i="4"/>
  <c r="I4535" i="4" s="1"/>
  <c r="L4534" i="4"/>
  <c r="M4534" i="4" s="1"/>
  <c r="G4534" i="4"/>
  <c r="I4534" i="4" s="1"/>
  <c r="L4533" i="4"/>
  <c r="N4533" i="4" s="1"/>
  <c r="G4533" i="4"/>
  <c r="I4533" i="4" s="1"/>
  <c r="L4532" i="4"/>
  <c r="N4532" i="4" s="1"/>
  <c r="G4532" i="4"/>
  <c r="H4532" i="4" s="1"/>
  <c r="L4531" i="4"/>
  <c r="G4531" i="4"/>
  <c r="I4531" i="4" s="1"/>
  <c r="L4530" i="4"/>
  <c r="M4530" i="4" s="1"/>
  <c r="G4530" i="4"/>
  <c r="I4530" i="4" s="1"/>
  <c r="L4529" i="4"/>
  <c r="N4529" i="4" s="1"/>
  <c r="G4529" i="4"/>
  <c r="I4529" i="4" s="1"/>
  <c r="L4528" i="4"/>
  <c r="N4528" i="4" s="1"/>
  <c r="G4528" i="4"/>
  <c r="H4528" i="4" s="1"/>
  <c r="L4527" i="4"/>
  <c r="M4527" i="4" s="1"/>
  <c r="G4527" i="4"/>
  <c r="I4527" i="4" s="1"/>
  <c r="L4526" i="4"/>
  <c r="N4526" i="4" s="1"/>
  <c r="G4526" i="4"/>
  <c r="H4526" i="4" s="1"/>
  <c r="L4525" i="4"/>
  <c r="M4525" i="4" s="1"/>
  <c r="G4525" i="4"/>
  <c r="I4525" i="4" s="1"/>
  <c r="L4524" i="4"/>
  <c r="N4524" i="4" s="1"/>
  <c r="G4524" i="4"/>
  <c r="I4524" i="4" s="1"/>
  <c r="L4523" i="4"/>
  <c r="G4523" i="4"/>
  <c r="H4523" i="4" s="1"/>
  <c r="L4522" i="4"/>
  <c r="N4522" i="4" s="1"/>
  <c r="G4522" i="4"/>
  <c r="I4522" i="4" s="1"/>
  <c r="L4521" i="4"/>
  <c r="N4521" i="4" s="1"/>
  <c r="G4521" i="4"/>
  <c r="I4521" i="4" s="1"/>
  <c r="L4520" i="4"/>
  <c r="N4520" i="4" s="1"/>
  <c r="G4520" i="4"/>
  <c r="L4519" i="4"/>
  <c r="M4519" i="4" s="1"/>
  <c r="G4519" i="4"/>
  <c r="H4519" i="4" s="1"/>
  <c r="L4518" i="4"/>
  <c r="N4518" i="4" s="1"/>
  <c r="G4518" i="4"/>
  <c r="H4518" i="4" s="1"/>
  <c r="L4517" i="4"/>
  <c r="M4517" i="4" s="1"/>
  <c r="G4517" i="4"/>
  <c r="I4517" i="4" s="1"/>
  <c r="M4516" i="4"/>
  <c r="L4516" i="4"/>
  <c r="N4516" i="4" s="1"/>
  <c r="G4516" i="4"/>
  <c r="I4516" i="4" s="1"/>
  <c r="L4515" i="4"/>
  <c r="M4515" i="4" s="1"/>
  <c r="G4515" i="4"/>
  <c r="I4515" i="4" s="1"/>
  <c r="L4514" i="4"/>
  <c r="N4514" i="4" s="1"/>
  <c r="G4514" i="4"/>
  <c r="I4514" i="4" s="1"/>
  <c r="L4513" i="4"/>
  <c r="G4513" i="4"/>
  <c r="I4513" i="4" s="1"/>
  <c r="L4512" i="4"/>
  <c r="N4512" i="4" s="1"/>
  <c r="G4512" i="4"/>
  <c r="I4512" i="4" s="1"/>
  <c r="L4511" i="4"/>
  <c r="G4511" i="4"/>
  <c r="L4510" i="4"/>
  <c r="M4510" i="4" s="1"/>
  <c r="G4510" i="4"/>
  <c r="I4510" i="4" s="1"/>
  <c r="L4509" i="4"/>
  <c r="N4509" i="4" s="1"/>
  <c r="G4509" i="4"/>
  <c r="I4509" i="4" s="1"/>
  <c r="L4508" i="4"/>
  <c r="N4508" i="4" s="1"/>
  <c r="G4508" i="4"/>
  <c r="I4508" i="4" s="1"/>
  <c r="L4507" i="4"/>
  <c r="G4507" i="4"/>
  <c r="H4507" i="4" s="1"/>
  <c r="L4506" i="4"/>
  <c r="N4506" i="4" s="1"/>
  <c r="G4506" i="4"/>
  <c r="I4506" i="4" s="1"/>
  <c r="L4505" i="4"/>
  <c r="N4505" i="4" s="1"/>
  <c r="G4505" i="4"/>
  <c r="I4505" i="4" s="1"/>
  <c r="L4504" i="4"/>
  <c r="N4504" i="4" s="1"/>
  <c r="G4504" i="4"/>
  <c r="I4504" i="4" s="1"/>
  <c r="L4503" i="4"/>
  <c r="M4503" i="4" s="1"/>
  <c r="G4503" i="4"/>
  <c r="H4503" i="4" s="1"/>
  <c r="L4502" i="4"/>
  <c r="N4502" i="4" s="1"/>
  <c r="G4502" i="4"/>
  <c r="I4502" i="4" s="1"/>
  <c r="L4501" i="4"/>
  <c r="M4501" i="4" s="1"/>
  <c r="G4501" i="4"/>
  <c r="H4501" i="4" s="1"/>
  <c r="L4500" i="4"/>
  <c r="N4500" i="4" s="1"/>
  <c r="G4500" i="4"/>
  <c r="I4500" i="4" s="1"/>
  <c r="L4499" i="4"/>
  <c r="G4499" i="4"/>
  <c r="I4499" i="4" s="1"/>
  <c r="L4498" i="4"/>
  <c r="G4498" i="4"/>
  <c r="H4498" i="4" s="1"/>
  <c r="L4497" i="4"/>
  <c r="M4497" i="4" s="1"/>
  <c r="G4497" i="4"/>
  <c r="I4497" i="4" s="1"/>
  <c r="L4496" i="4"/>
  <c r="N4496" i="4" s="1"/>
  <c r="G4496" i="4"/>
  <c r="I4496" i="4" s="1"/>
  <c r="L4495" i="4"/>
  <c r="M4495" i="4" s="1"/>
  <c r="G4495" i="4"/>
  <c r="H4495" i="4" s="1"/>
  <c r="L4494" i="4"/>
  <c r="M4494" i="4" s="1"/>
  <c r="G4494" i="4"/>
  <c r="H4494" i="4" s="1"/>
  <c r="L4493" i="4"/>
  <c r="M4493" i="4" s="1"/>
  <c r="G4493" i="4"/>
  <c r="H4493" i="4" s="1"/>
  <c r="L4492" i="4"/>
  <c r="N4492" i="4" s="1"/>
  <c r="G4492" i="4"/>
  <c r="I4492" i="4" s="1"/>
  <c r="L4491" i="4"/>
  <c r="M4491" i="4" s="1"/>
  <c r="G4491" i="4"/>
  <c r="I4491" i="4" s="1"/>
  <c r="L4490" i="4"/>
  <c r="N4490" i="4" s="1"/>
  <c r="G4490" i="4"/>
  <c r="I4490" i="4" s="1"/>
  <c r="N4489" i="4"/>
  <c r="L4489" i="4"/>
  <c r="M4489" i="4" s="1"/>
  <c r="G4489" i="4"/>
  <c r="I4489" i="4" s="1"/>
  <c r="L4488" i="4"/>
  <c r="M4488" i="4" s="1"/>
  <c r="G4488" i="4"/>
  <c r="I4488" i="4" s="1"/>
  <c r="L4487" i="4"/>
  <c r="M4487" i="4" s="1"/>
  <c r="G4487" i="4"/>
  <c r="L4486" i="4"/>
  <c r="N4486" i="4" s="1"/>
  <c r="G4486" i="4"/>
  <c r="I4486" i="4" s="1"/>
  <c r="L4485" i="4"/>
  <c r="N4485" i="4" s="1"/>
  <c r="G4485" i="4"/>
  <c r="I4485" i="4" s="1"/>
  <c r="L4484" i="4"/>
  <c r="N4484" i="4" s="1"/>
  <c r="G4484" i="4"/>
  <c r="I4484" i="4" s="1"/>
  <c r="L4483" i="4"/>
  <c r="M4483" i="4" s="1"/>
  <c r="G4483" i="4"/>
  <c r="I4483" i="4" s="1"/>
  <c r="L4482" i="4"/>
  <c r="M4482" i="4" s="1"/>
  <c r="G4482" i="4"/>
  <c r="I4482" i="4" s="1"/>
  <c r="L4481" i="4"/>
  <c r="N4481" i="4" s="1"/>
  <c r="G4481" i="4"/>
  <c r="I4481" i="4" s="1"/>
  <c r="L4480" i="4"/>
  <c r="M4480" i="4" s="1"/>
  <c r="G4480" i="4"/>
  <c r="I4480" i="4" s="1"/>
  <c r="L4479" i="4"/>
  <c r="M4479" i="4" s="1"/>
  <c r="G4479" i="4"/>
  <c r="I4479" i="4" s="1"/>
  <c r="L4478" i="4"/>
  <c r="N4478" i="4" s="1"/>
  <c r="G4478" i="4"/>
  <c r="I4478" i="4" s="1"/>
  <c r="M4477" i="4"/>
  <c r="L4477" i="4"/>
  <c r="N4477" i="4" s="1"/>
  <c r="G4477" i="4"/>
  <c r="I4477" i="4" s="1"/>
  <c r="L4476" i="4"/>
  <c r="N4476" i="4" s="1"/>
  <c r="G4476" i="4"/>
  <c r="H4476" i="4" s="1"/>
  <c r="L4475" i="4"/>
  <c r="M4475" i="4" s="1"/>
  <c r="G4475" i="4"/>
  <c r="I4475" i="4" s="1"/>
  <c r="L4474" i="4"/>
  <c r="G4474" i="4"/>
  <c r="I4474" i="4" s="1"/>
  <c r="L4473" i="4"/>
  <c r="N4473" i="4" s="1"/>
  <c r="G4473" i="4"/>
  <c r="H4473" i="4" s="1"/>
  <c r="L4472" i="4"/>
  <c r="N4472" i="4" s="1"/>
  <c r="G4472" i="4"/>
  <c r="H4472" i="4" s="1"/>
  <c r="L4471" i="4"/>
  <c r="M4471" i="4" s="1"/>
  <c r="G4471" i="4"/>
  <c r="H4471" i="4" s="1"/>
  <c r="L4470" i="4"/>
  <c r="N4470" i="4" s="1"/>
  <c r="G4470" i="4"/>
  <c r="N4469" i="4"/>
  <c r="L4469" i="4"/>
  <c r="M4469" i="4" s="1"/>
  <c r="G4469" i="4"/>
  <c r="I4469" i="4" s="1"/>
  <c r="L4468" i="4"/>
  <c r="N4468" i="4" s="1"/>
  <c r="G4468" i="4"/>
  <c r="I4468" i="4" s="1"/>
  <c r="L4467" i="4"/>
  <c r="M4467" i="4" s="1"/>
  <c r="G4467" i="4"/>
  <c r="I4467" i="4" s="1"/>
  <c r="L4466" i="4"/>
  <c r="N4466" i="4" s="1"/>
  <c r="G4466" i="4"/>
  <c r="I4466" i="4" s="1"/>
  <c r="L4465" i="4"/>
  <c r="N4465" i="4" s="1"/>
  <c r="G4465" i="4"/>
  <c r="H4465" i="4" s="1"/>
  <c r="L4464" i="4"/>
  <c r="N4464" i="4" s="1"/>
  <c r="G4464" i="4"/>
  <c r="I4464" i="4" s="1"/>
  <c r="L4463" i="4"/>
  <c r="M4463" i="4" s="1"/>
  <c r="G4463" i="4"/>
  <c r="L4462" i="4"/>
  <c r="N4462" i="4" s="1"/>
  <c r="G4462" i="4"/>
  <c r="H4462" i="4" s="1"/>
  <c r="L4461" i="4"/>
  <c r="M4461" i="4" s="1"/>
  <c r="G4461" i="4"/>
  <c r="I4461" i="4" s="1"/>
  <c r="L4460" i="4"/>
  <c r="M4460" i="4" s="1"/>
  <c r="G4460" i="4"/>
  <c r="L4459" i="4"/>
  <c r="M4459" i="4" s="1"/>
  <c r="G4459" i="4"/>
  <c r="L4458" i="4"/>
  <c r="G4458" i="4"/>
  <c r="I4458" i="4" s="1"/>
  <c r="L4457" i="4"/>
  <c r="N4457" i="4" s="1"/>
  <c r="G4457" i="4"/>
  <c r="H4457" i="4" s="1"/>
  <c r="L4456" i="4"/>
  <c r="M4456" i="4" s="1"/>
  <c r="G4456" i="4"/>
  <c r="L4455" i="4"/>
  <c r="N4455" i="4" s="1"/>
  <c r="G4455" i="4"/>
  <c r="L4454" i="4"/>
  <c r="G4454" i="4"/>
  <c r="I4454" i="4" s="1"/>
  <c r="L4453" i="4"/>
  <c r="N4453" i="4" s="1"/>
  <c r="G4453" i="4"/>
  <c r="H4453" i="4" s="1"/>
  <c r="L4452" i="4"/>
  <c r="M4452" i="4" s="1"/>
  <c r="G4452" i="4"/>
  <c r="L4451" i="4"/>
  <c r="N4451" i="4" s="1"/>
  <c r="G4451" i="4"/>
  <c r="L4450" i="4"/>
  <c r="G4450" i="4"/>
  <c r="I4450" i="4" s="1"/>
  <c r="L4449" i="4"/>
  <c r="N4449" i="4" s="1"/>
  <c r="G4449" i="4"/>
  <c r="I4449" i="4" s="1"/>
  <c r="L4448" i="4"/>
  <c r="M4448" i="4" s="1"/>
  <c r="G4448" i="4"/>
  <c r="L4447" i="4"/>
  <c r="N4447" i="4" s="1"/>
  <c r="G4447" i="4"/>
  <c r="L4446" i="4"/>
  <c r="G4446" i="4"/>
  <c r="L4445" i="4"/>
  <c r="N4445" i="4" s="1"/>
  <c r="G4445" i="4"/>
  <c r="I4445" i="4" s="1"/>
  <c r="L4444" i="4"/>
  <c r="M4444" i="4" s="1"/>
  <c r="G4444" i="4"/>
  <c r="M4443" i="4"/>
  <c r="L4443" i="4"/>
  <c r="N4443" i="4" s="1"/>
  <c r="G4443" i="4"/>
  <c r="L4442" i="4"/>
  <c r="M4442" i="4" s="1"/>
  <c r="G4442" i="4"/>
  <c r="I4442" i="4" s="1"/>
  <c r="L4441" i="4"/>
  <c r="M4441" i="4" s="1"/>
  <c r="G4441" i="4"/>
  <c r="L4440" i="4"/>
  <c r="M4440" i="4" s="1"/>
  <c r="G4440" i="4"/>
  <c r="L4439" i="4"/>
  <c r="M4439" i="4" s="1"/>
  <c r="G4439" i="4"/>
  <c r="L4438" i="4"/>
  <c r="M4438" i="4" s="1"/>
  <c r="G4438" i="4"/>
  <c r="I4438" i="4" s="1"/>
  <c r="L4437" i="4"/>
  <c r="M4437" i="4" s="1"/>
  <c r="G4437" i="4"/>
  <c r="I4437" i="4" s="1"/>
  <c r="G4436" i="4"/>
  <c r="L4435" i="4"/>
  <c r="G4435" i="4"/>
  <c r="L4434" i="4"/>
  <c r="M4434" i="4" s="1"/>
  <c r="G4434" i="4"/>
  <c r="I4434" i="4" s="1"/>
  <c r="L4433" i="4"/>
  <c r="N4433" i="4" s="1"/>
  <c r="G4433" i="4"/>
  <c r="I4433" i="4" s="1"/>
  <c r="L4432" i="4"/>
  <c r="M4432" i="4" s="1"/>
  <c r="G4432" i="4"/>
  <c r="L4431" i="4"/>
  <c r="N4431" i="4" s="1"/>
  <c r="G4431" i="4"/>
  <c r="L4430" i="4"/>
  <c r="M4430" i="4" s="1"/>
  <c r="G4430" i="4"/>
  <c r="L4429" i="4"/>
  <c r="N4429" i="4" s="1"/>
  <c r="G4429" i="4"/>
  <c r="I4429" i="4" s="1"/>
  <c r="L4428" i="4"/>
  <c r="M4428" i="4" s="1"/>
  <c r="G4428" i="4"/>
  <c r="L4427" i="4"/>
  <c r="M4427" i="4" s="1"/>
  <c r="G4427" i="4"/>
  <c r="L4426" i="4"/>
  <c r="M4426" i="4" s="1"/>
  <c r="G4426" i="4"/>
  <c r="I4426" i="4" s="1"/>
  <c r="M4425" i="4"/>
  <c r="L4425" i="4"/>
  <c r="N4425" i="4" s="1"/>
  <c r="G4425" i="4"/>
  <c r="L4424" i="4"/>
  <c r="M4424" i="4" s="1"/>
  <c r="G4424" i="4"/>
  <c r="L4423" i="4"/>
  <c r="N4423" i="4" s="1"/>
  <c r="G4423" i="4"/>
  <c r="L4422" i="4"/>
  <c r="M4422" i="4" s="1"/>
  <c r="G4422" i="4"/>
  <c r="I4422" i="4" s="1"/>
  <c r="L4421" i="4"/>
  <c r="N4421" i="4" s="1"/>
  <c r="G4421" i="4"/>
  <c r="I4421" i="4" s="1"/>
  <c r="L4420" i="4"/>
  <c r="M4420" i="4" s="1"/>
  <c r="G4420" i="4"/>
  <c r="N4419" i="4"/>
  <c r="L4419" i="4"/>
  <c r="M4419" i="4" s="1"/>
  <c r="G4419" i="4"/>
  <c r="L4418" i="4"/>
  <c r="M4418" i="4" s="1"/>
  <c r="G4418" i="4"/>
  <c r="I4418" i="4" s="1"/>
  <c r="L4417" i="4"/>
  <c r="M4417" i="4" s="1"/>
  <c r="H4417" i="4"/>
  <c r="L4416" i="4"/>
  <c r="M4416" i="4" s="1"/>
  <c r="L4415" i="4"/>
  <c r="G4415" i="4"/>
  <c r="I4415" i="4" s="1"/>
  <c r="L4414" i="4"/>
  <c r="M4414" i="4" s="1"/>
  <c r="G4414" i="4"/>
  <c r="I4414" i="4" s="1"/>
  <c r="L4413" i="4"/>
  <c r="N4413" i="4" s="1"/>
  <c r="G4413" i="4"/>
  <c r="I4413" i="4" s="1"/>
  <c r="L4412" i="4"/>
  <c r="M4412" i="4" s="1"/>
  <c r="G4412" i="4"/>
  <c r="G4411" i="4"/>
  <c r="I4411" i="4" s="1"/>
  <c r="G4410" i="4"/>
  <c r="I4410" i="4" s="1"/>
  <c r="L4409" i="4"/>
  <c r="N4409" i="4" s="1"/>
  <c r="L4408" i="4"/>
  <c r="M4408" i="4" s="1"/>
  <c r="G4408" i="4"/>
  <c r="G4407" i="4"/>
  <c r="I4407" i="4" s="1"/>
  <c r="G4406" i="4"/>
  <c r="I4406" i="4" s="1"/>
  <c r="L4405" i="4"/>
  <c r="N4405" i="4" s="1"/>
  <c r="G4405" i="4"/>
  <c r="I4405" i="4" s="1"/>
  <c r="L4404" i="4"/>
  <c r="M4404" i="4" s="1"/>
  <c r="L4403" i="4"/>
  <c r="N4403" i="4" s="1"/>
  <c r="G4403" i="4"/>
  <c r="I4403" i="4" s="1"/>
  <c r="L4402" i="4"/>
  <c r="M4402" i="4" s="1"/>
  <c r="G4402" i="4"/>
  <c r="I4402" i="4" s="1"/>
  <c r="L4401" i="4"/>
  <c r="N4401" i="4" s="1"/>
  <c r="G4401" i="4"/>
  <c r="I4401" i="4" s="1"/>
  <c r="L4400" i="4"/>
  <c r="M4400" i="4" s="1"/>
  <c r="G4400" i="4"/>
  <c r="G4399" i="4"/>
  <c r="G4398" i="4"/>
  <c r="I4398" i="4" s="1"/>
  <c r="L4397" i="4"/>
  <c r="N4397" i="4" s="1"/>
  <c r="G4397" i="4"/>
  <c r="I4397" i="4" s="1"/>
  <c r="N4396" i="4"/>
  <c r="L4396" i="4"/>
  <c r="M4396" i="4" s="1"/>
  <c r="G4396" i="4"/>
  <c r="G4395" i="4"/>
  <c r="I4395" i="4" s="1"/>
  <c r="L4393" i="4"/>
  <c r="N4393" i="4" s="1"/>
  <c r="L4392" i="4"/>
  <c r="M4392" i="4" s="1"/>
  <c r="L4391" i="4"/>
  <c r="N4391" i="4" s="1"/>
  <c r="G4391" i="4"/>
  <c r="I4391" i="4" s="1"/>
  <c r="L4390" i="4"/>
  <c r="M4390" i="4" s="1"/>
  <c r="G4390" i="4"/>
  <c r="I4390" i="4" s="1"/>
  <c r="L4389" i="4"/>
  <c r="G4389" i="4"/>
  <c r="H4389" i="4" s="1"/>
  <c r="L4388" i="4"/>
  <c r="M4388" i="4" s="1"/>
  <c r="G4388" i="4"/>
  <c r="G4387" i="4"/>
  <c r="I4387" i="4" s="1"/>
  <c r="G4386" i="4"/>
  <c r="H4386" i="4" s="1"/>
  <c r="L4385" i="4"/>
  <c r="N4385" i="4" s="1"/>
  <c r="G4385" i="4"/>
  <c r="I4385" i="4" s="1"/>
  <c r="L4384" i="4"/>
  <c r="M4384" i="4" s="1"/>
  <c r="G4384" i="4"/>
  <c r="G4383" i="4"/>
  <c r="I4383" i="4" s="1"/>
  <c r="G4382" i="4"/>
  <c r="I4382" i="4" s="1"/>
  <c r="L4381" i="4"/>
  <c r="N4381" i="4" s="1"/>
  <c r="H4381" i="4"/>
  <c r="G4381" i="4"/>
  <c r="I4381" i="4" s="1"/>
  <c r="L4380" i="4"/>
  <c r="M4380" i="4" s="1"/>
  <c r="G4380" i="4"/>
  <c r="L4379" i="4"/>
  <c r="N4379" i="4" s="1"/>
  <c r="G4379" i="4"/>
  <c r="I4379" i="4" s="1"/>
  <c r="L4378" i="4"/>
  <c r="M4378" i="4" s="1"/>
  <c r="G4378" i="4"/>
  <c r="H4378" i="4" s="1"/>
  <c r="L4377" i="4"/>
  <c r="N4377" i="4" s="1"/>
  <c r="G4377" i="4"/>
  <c r="I4377" i="4" s="1"/>
  <c r="L4376" i="4"/>
  <c r="M4376" i="4" s="1"/>
  <c r="G4376" i="4"/>
  <c r="L4375" i="4"/>
  <c r="N4375" i="4" s="1"/>
  <c r="G4375" i="4"/>
  <c r="L4374" i="4"/>
  <c r="M4374" i="4" s="1"/>
  <c r="G4374" i="4"/>
  <c r="I4374" i="4" s="1"/>
  <c r="G4373" i="4"/>
  <c r="I4373" i="4" s="1"/>
  <c r="L4372" i="4"/>
  <c r="M4372" i="4" s="1"/>
  <c r="G4372" i="4"/>
  <c r="L4371" i="4"/>
  <c r="N4371" i="4" s="1"/>
  <c r="G4371" i="4"/>
  <c r="H4371" i="4" s="1"/>
  <c r="L4370" i="4"/>
  <c r="N4370" i="4" s="1"/>
  <c r="H4370" i="4"/>
  <c r="G4370" i="4"/>
  <c r="I4370" i="4" s="1"/>
  <c r="G4369" i="4"/>
  <c r="I4369" i="4" s="1"/>
  <c r="L4368" i="4"/>
  <c r="M4368" i="4" s="1"/>
  <c r="G4368" i="4"/>
  <c r="L4367" i="4"/>
  <c r="N4367" i="4" s="1"/>
  <c r="G4367" i="4"/>
  <c r="H4367" i="4" s="1"/>
  <c r="L4366" i="4"/>
  <c r="M4366" i="4" s="1"/>
  <c r="G4366" i="4"/>
  <c r="I4366" i="4" s="1"/>
  <c r="L4365" i="4"/>
  <c r="M4365" i="4" s="1"/>
  <c r="G4365" i="4"/>
  <c r="I4365" i="4" s="1"/>
  <c r="L4364" i="4"/>
  <c r="M4364" i="4" s="1"/>
  <c r="G4364" i="4"/>
  <c r="L4363" i="4"/>
  <c r="N4363" i="4" s="1"/>
  <c r="G4363" i="4"/>
  <c r="I4363" i="4" s="1"/>
  <c r="L4362" i="4"/>
  <c r="M4362" i="4" s="1"/>
  <c r="G4362" i="4"/>
  <c r="H4362" i="4" s="1"/>
  <c r="G4361" i="4"/>
  <c r="I4361" i="4" s="1"/>
  <c r="L4360" i="4"/>
  <c r="M4360" i="4" s="1"/>
  <c r="G4360" i="4"/>
  <c r="L4359" i="4"/>
  <c r="N4359" i="4" s="1"/>
  <c r="G4359" i="4"/>
  <c r="I4359" i="4" s="1"/>
  <c r="L4358" i="4"/>
  <c r="N4358" i="4" s="1"/>
  <c r="G4357" i="4"/>
  <c r="I4357" i="4" s="1"/>
  <c r="G4356" i="4"/>
  <c r="L4355" i="4"/>
  <c r="N4355" i="4" s="1"/>
  <c r="G4355" i="4"/>
  <c r="I4355" i="4" s="1"/>
  <c r="L4354" i="4"/>
  <c r="N4354" i="4" s="1"/>
  <c r="G4354" i="4"/>
  <c r="I4354" i="4" s="1"/>
  <c r="L4353" i="4"/>
  <c r="N4353" i="4" s="1"/>
  <c r="G4353" i="4"/>
  <c r="H4353" i="4" s="1"/>
  <c r="L4352" i="4"/>
  <c r="M4352" i="4" s="1"/>
  <c r="G4352" i="4"/>
  <c r="L4351" i="4"/>
  <c r="N4351" i="4" s="1"/>
  <c r="G4351" i="4"/>
  <c r="I4351" i="4" s="1"/>
  <c r="L4350" i="4"/>
  <c r="M4350" i="4" s="1"/>
  <c r="G4350" i="4"/>
  <c r="I4350" i="4" s="1"/>
  <c r="L4349" i="4"/>
  <c r="N4349" i="4" s="1"/>
  <c r="G4349" i="4"/>
  <c r="I4349" i="4" s="1"/>
  <c r="L4348" i="4"/>
  <c r="M4348" i="4" s="1"/>
  <c r="G4348" i="4"/>
  <c r="L4347" i="4"/>
  <c r="N4347" i="4" s="1"/>
  <c r="G4347" i="4"/>
  <c r="I4347" i="4" s="1"/>
  <c r="L4346" i="4"/>
  <c r="N4346" i="4" s="1"/>
  <c r="G4346" i="4"/>
  <c r="H4346" i="4" s="1"/>
  <c r="L4345" i="4"/>
  <c r="N4345" i="4" s="1"/>
  <c r="G4345" i="4"/>
  <c r="I4345" i="4" s="1"/>
  <c r="L4344" i="4"/>
  <c r="M4344" i="4" s="1"/>
  <c r="G4344" i="4"/>
  <c r="I4344" i="4" s="1"/>
  <c r="L4343" i="4"/>
  <c r="N4343" i="4" s="1"/>
  <c r="G4343" i="4"/>
  <c r="G4342" i="4"/>
  <c r="I4342" i="4" s="1"/>
  <c r="L4341" i="4"/>
  <c r="N4341" i="4" s="1"/>
  <c r="G4341" i="4"/>
  <c r="I4341" i="4" s="1"/>
  <c r="L4340" i="4"/>
  <c r="M4340" i="4" s="1"/>
  <c r="G4340" i="4"/>
  <c r="I4340" i="4" s="1"/>
  <c r="L4339" i="4"/>
  <c r="N4339" i="4" s="1"/>
  <c r="G4339" i="4"/>
  <c r="I4339" i="4" s="1"/>
  <c r="L4337" i="4"/>
  <c r="N4337" i="4" s="1"/>
  <c r="G4337" i="4"/>
  <c r="H4337" i="4" s="1"/>
  <c r="L4336" i="4"/>
  <c r="G4336" i="4"/>
  <c r="I4336" i="4" s="1"/>
  <c r="L4335" i="4"/>
  <c r="N4335" i="4" s="1"/>
  <c r="G4335" i="4"/>
  <c r="H4335" i="4" s="1"/>
  <c r="L4334" i="4"/>
  <c r="N4334" i="4" s="1"/>
  <c r="G4334" i="4"/>
  <c r="I4334" i="4" s="1"/>
  <c r="L4333" i="4"/>
  <c r="N4333" i="4" s="1"/>
  <c r="G4333" i="4"/>
  <c r="H4333" i="4" s="1"/>
  <c r="L4332" i="4"/>
  <c r="M4332" i="4" s="1"/>
  <c r="G4332" i="4"/>
  <c r="I4332" i="4" s="1"/>
  <c r="L4331" i="4"/>
  <c r="M4331" i="4" s="1"/>
  <c r="G4331" i="4"/>
  <c r="I4331" i="4" s="1"/>
  <c r="G4330" i="4"/>
  <c r="L4329" i="4"/>
  <c r="M4329" i="4" s="1"/>
  <c r="G4329" i="4"/>
  <c r="I4329" i="4" s="1"/>
  <c r="L4328" i="4"/>
  <c r="M4328" i="4" s="1"/>
  <c r="G4328" i="4"/>
  <c r="I4328" i="4" s="1"/>
  <c r="L4327" i="4"/>
  <c r="N4327" i="4" s="1"/>
  <c r="G4327" i="4"/>
  <c r="I4327" i="4" s="1"/>
  <c r="G4326" i="4"/>
  <c r="I4326" i="4" s="1"/>
  <c r="L4325" i="4"/>
  <c r="N4325" i="4" s="1"/>
  <c r="G4325" i="4"/>
  <c r="I4325" i="4" s="1"/>
  <c r="L4324" i="4"/>
  <c r="M4324" i="4" s="1"/>
  <c r="G4324" i="4"/>
  <c r="I4324" i="4" s="1"/>
  <c r="L4323" i="4"/>
  <c r="N4323" i="4" s="1"/>
  <c r="G4323" i="4"/>
  <c r="I4323" i="4" s="1"/>
  <c r="L4322" i="4"/>
  <c r="N4322" i="4" s="1"/>
  <c r="G4322" i="4"/>
  <c r="H4322" i="4" s="1"/>
  <c r="L4321" i="4"/>
  <c r="N4321" i="4" s="1"/>
  <c r="G4321" i="4"/>
  <c r="I4321" i="4" s="1"/>
  <c r="L4320" i="4"/>
  <c r="M4320" i="4" s="1"/>
  <c r="G4320" i="4"/>
  <c r="I4320" i="4" s="1"/>
  <c r="L4319" i="4"/>
  <c r="G4319" i="4"/>
  <c r="I4319" i="4" s="1"/>
  <c r="G4318" i="4"/>
  <c r="I4318" i="4" s="1"/>
  <c r="L4317" i="4"/>
  <c r="N4317" i="4" s="1"/>
  <c r="G4317" i="4"/>
  <c r="L4316" i="4"/>
  <c r="M4316" i="4" s="1"/>
  <c r="G4316" i="4"/>
  <c r="I4316" i="4" s="1"/>
  <c r="L4315" i="4"/>
  <c r="N4315" i="4" s="1"/>
  <c r="G4315" i="4"/>
  <c r="I4315" i="4" s="1"/>
  <c r="G4314" i="4"/>
  <c r="I4314" i="4" s="1"/>
  <c r="L4313" i="4"/>
  <c r="M4313" i="4" s="1"/>
  <c r="G4313" i="4"/>
  <c r="I4313" i="4" s="1"/>
  <c r="L4312" i="4"/>
  <c r="M4312" i="4" s="1"/>
  <c r="G4312" i="4"/>
  <c r="I4312" i="4" s="1"/>
  <c r="L4311" i="4"/>
  <c r="N4311" i="4" s="1"/>
  <c r="G4311" i="4"/>
  <c r="H4311" i="4" s="1"/>
  <c r="L4310" i="4"/>
  <c r="N4310" i="4" s="1"/>
  <c r="G4310" i="4"/>
  <c r="I4310" i="4" s="1"/>
  <c r="L4309" i="4"/>
  <c r="N4309" i="4" s="1"/>
  <c r="G4309" i="4"/>
  <c r="I4309" i="4" s="1"/>
  <c r="L4308" i="4"/>
  <c r="M4308" i="4" s="1"/>
  <c r="G4308" i="4"/>
  <c r="H4308" i="4" s="1"/>
  <c r="L4307" i="4"/>
  <c r="N4307" i="4" s="1"/>
  <c r="G4307" i="4"/>
  <c r="H4307" i="4" s="1"/>
  <c r="G4306" i="4"/>
  <c r="H4306" i="4" s="1"/>
  <c r="L4305" i="4"/>
  <c r="N4305" i="4" s="1"/>
  <c r="G4305" i="4"/>
  <c r="I4305" i="4" s="1"/>
  <c r="L4304" i="4"/>
  <c r="M4304" i="4" s="1"/>
  <c r="G4304" i="4"/>
  <c r="I4304" i="4" s="1"/>
  <c r="L4303" i="4"/>
  <c r="N4303" i="4" s="1"/>
  <c r="G4303" i="4"/>
  <c r="I4303" i="4" s="1"/>
  <c r="G4302" i="4"/>
  <c r="L4301" i="4"/>
  <c r="N4301" i="4" s="1"/>
  <c r="G4301" i="4"/>
  <c r="H4301" i="4" s="1"/>
  <c r="L4300" i="4"/>
  <c r="M4300" i="4" s="1"/>
  <c r="G4300" i="4"/>
  <c r="I4300" i="4" s="1"/>
  <c r="L4299" i="4"/>
  <c r="N4299" i="4" s="1"/>
  <c r="G4299" i="4"/>
  <c r="I4299" i="4" s="1"/>
  <c r="L4298" i="4"/>
  <c r="M4298" i="4" s="1"/>
  <c r="G4298" i="4"/>
  <c r="I4298" i="4" s="1"/>
  <c r="L4297" i="4"/>
  <c r="N4297" i="4" s="1"/>
  <c r="G4297" i="4"/>
  <c r="I4297" i="4" s="1"/>
  <c r="L4296" i="4"/>
  <c r="M4296" i="4" s="1"/>
  <c r="G4296" i="4"/>
  <c r="L4295" i="4"/>
  <c r="M4295" i="4" s="1"/>
  <c r="G4295" i="4"/>
  <c r="I4295" i="4" s="1"/>
  <c r="G4294" i="4"/>
  <c r="I4294" i="4" s="1"/>
  <c r="L4293" i="4"/>
  <c r="M4293" i="4" s="1"/>
  <c r="G4293" i="4"/>
  <c r="I4293" i="4" s="1"/>
  <c r="L4292" i="4"/>
  <c r="M4292" i="4" s="1"/>
  <c r="G4292" i="4"/>
  <c r="I4292" i="4" s="1"/>
  <c r="L4291" i="4"/>
  <c r="N4291" i="4" s="1"/>
  <c r="G4291" i="4"/>
  <c r="I4291" i="4" s="1"/>
  <c r="G4290" i="4"/>
  <c r="I4290" i="4" s="1"/>
  <c r="L4289" i="4"/>
  <c r="N4289" i="4" s="1"/>
  <c r="G4289" i="4"/>
  <c r="I4289" i="4" s="1"/>
  <c r="L4288" i="4"/>
  <c r="M4288" i="4" s="1"/>
  <c r="G4288" i="4"/>
  <c r="I4288" i="4" s="1"/>
  <c r="L4287" i="4"/>
  <c r="N4287" i="4" s="1"/>
  <c r="L4286" i="4"/>
  <c r="N4286" i="4" s="1"/>
  <c r="L4285" i="4"/>
  <c r="M4285" i="4" s="1"/>
  <c r="G4285" i="4"/>
  <c r="I4285" i="4" s="1"/>
  <c r="L4284" i="4"/>
  <c r="M4284" i="4" s="1"/>
  <c r="G4284" i="4"/>
  <c r="I4284" i="4" s="1"/>
  <c r="L4283" i="4"/>
  <c r="G4283" i="4"/>
  <c r="H4283" i="4" s="1"/>
  <c r="G4282" i="4"/>
  <c r="H4282" i="4" s="1"/>
  <c r="L4281" i="4"/>
  <c r="N4281" i="4" s="1"/>
  <c r="G4281" i="4"/>
  <c r="H4281" i="4" s="1"/>
  <c r="L4280" i="4"/>
  <c r="M4280" i="4" s="1"/>
  <c r="G4280" i="4"/>
  <c r="H4280" i="4" s="1"/>
  <c r="L4279" i="4"/>
  <c r="N4279" i="4" s="1"/>
  <c r="G4279" i="4"/>
  <c r="I4279" i="4" s="1"/>
  <c r="G4278" i="4"/>
  <c r="I4278" i="4" s="1"/>
  <c r="L4277" i="4"/>
  <c r="N4277" i="4" s="1"/>
  <c r="G4277" i="4"/>
  <c r="I4277" i="4" s="1"/>
  <c r="L4276" i="4"/>
  <c r="M4276" i="4" s="1"/>
  <c r="G4276" i="4"/>
  <c r="I4276" i="4" s="1"/>
  <c r="L4275" i="4"/>
  <c r="N4275" i="4" s="1"/>
  <c r="L4274" i="4"/>
  <c r="N4274" i="4" s="1"/>
  <c r="G4274" i="4"/>
  <c r="I4274" i="4" s="1"/>
  <c r="L4273" i="4"/>
  <c r="M4273" i="4" s="1"/>
  <c r="G4273" i="4"/>
  <c r="H4273" i="4" s="1"/>
  <c r="L4272" i="4"/>
  <c r="M4272" i="4" s="1"/>
  <c r="G4272" i="4"/>
  <c r="I4272" i="4" s="1"/>
  <c r="L4271" i="4"/>
  <c r="N4271" i="4" s="1"/>
  <c r="G4271" i="4"/>
  <c r="G4270" i="4"/>
  <c r="I4270" i="4" s="1"/>
  <c r="M4269" i="4"/>
  <c r="L4269" i="4"/>
  <c r="N4269" i="4" s="1"/>
  <c r="G4269" i="4"/>
  <c r="I4269" i="4" s="1"/>
  <c r="L4268" i="4"/>
  <c r="M4268" i="4" s="1"/>
  <c r="G4268" i="4"/>
  <c r="I4268" i="4" s="1"/>
  <c r="N4267" i="4"/>
  <c r="L4267" i="4"/>
  <c r="M4267" i="4" s="1"/>
  <c r="G4267" i="4"/>
  <c r="I4267" i="4" s="1"/>
  <c r="G4266" i="4"/>
  <c r="I4266" i="4" s="1"/>
  <c r="L4265" i="4"/>
  <c r="N4265" i="4" s="1"/>
  <c r="L4264" i="4"/>
  <c r="M4264" i="4" s="1"/>
  <c r="G4264" i="4"/>
  <c r="I4264" i="4" s="1"/>
  <c r="L4263" i="4"/>
  <c r="N4263" i="4" s="1"/>
  <c r="G4263" i="4"/>
  <c r="I4263" i="4" s="1"/>
  <c r="L4262" i="4"/>
  <c r="N4262" i="4" s="1"/>
  <c r="G4262" i="4"/>
  <c r="I4262" i="4" s="1"/>
  <c r="L4261" i="4"/>
  <c r="N4261" i="4" s="1"/>
  <c r="G4261" i="4"/>
  <c r="H4261" i="4" s="1"/>
  <c r="L4260" i="4"/>
  <c r="M4260" i="4" s="1"/>
  <c r="G4260" i="4"/>
  <c r="H4260" i="4" s="1"/>
  <c r="L4259" i="4"/>
  <c r="N4259" i="4" s="1"/>
  <c r="G4259" i="4"/>
  <c r="I4259" i="4" s="1"/>
  <c r="G4258" i="4"/>
  <c r="L4257" i="4"/>
  <c r="N4257" i="4" s="1"/>
  <c r="L4256" i="4"/>
  <c r="M4256" i="4" s="1"/>
  <c r="L4255" i="4"/>
  <c r="N4255" i="4" s="1"/>
  <c r="G4255" i="4"/>
  <c r="H4255" i="4" s="1"/>
  <c r="G4254" i="4"/>
  <c r="I4254" i="4" s="1"/>
  <c r="L4252" i="4"/>
  <c r="G4252" i="4"/>
  <c r="H4252" i="4" s="1"/>
  <c r="L4251" i="4"/>
  <c r="N4251" i="4" s="1"/>
  <c r="G4251" i="4"/>
  <c r="I4251" i="4" s="1"/>
  <c r="L4250" i="4"/>
  <c r="N4250" i="4" s="1"/>
  <c r="L4249" i="4"/>
  <c r="N4249" i="4" s="1"/>
  <c r="G4249" i="4"/>
  <c r="I4249" i="4" s="1"/>
  <c r="L4248" i="4"/>
  <c r="M4248" i="4" s="1"/>
  <c r="G4248" i="4"/>
  <c r="I4248" i="4" s="1"/>
  <c r="L4247" i="4"/>
  <c r="M4247" i="4" s="1"/>
  <c r="G4247" i="4"/>
  <c r="I4247" i="4" s="1"/>
  <c r="G4246" i="4"/>
  <c r="L4245" i="4"/>
  <c r="M4245" i="4" s="1"/>
  <c r="G4245" i="4"/>
  <c r="I4245" i="4" s="1"/>
  <c r="L4244" i="4"/>
  <c r="M4244" i="4" s="1"/>
  <c r="G4244" i="4"/>
  <c r="I4244" i="4" s="1"/>
  <c r="L4243" i="4"/>
  <c r="N4243" i="4" s="1"/>
  <c r="G4243" i="4"/>
  <c r="I4243" i="4" s="1"/>
  <c r="G4242" i="4"/>
  <c r="I4242" i="4" s="1"/>
  <c r="L4241" i="4"/>
  <c r="M4241" i="4" s="1"/>
  <c r="G4241" i="4"/>
  <c r="I4241" i="4" s="1"/>
  <c r="L4240" i="4"/>
  <c r="N4240" i="4" s="1"/>
  <c r="G4240" i="4"/>
  <c r="I4240" i="4" s="1"/>
  <c r="L4239" i="4"/>
  <c r="N4239" i="4" s="1"/>
  <c r="G4239" i="4"/>
  <c r="I4239" i="4" s="1"/>
  <c r="L4238" i="4"/>
  <c r="M4238" i="4" s="1"/>
  <c r="G4238" i="4"/>
  <c r="I4238" i="4" s="1"/>
  <c r="L4237" i="4"/>
  <c r="M4237" i="4" s="1"/>
  <c r="G4237" i="4"/>
  <c r="I4237" i="4" s="1"/>
  <c r="L4236" i="4"/>
  <c r="N4236" i="4" s="1"/>
  <c r="G4236" i="4"/>
  <c r="I4236" i="4" s="1"/>
  <c r="L4235" i="4"/>
  <c r="N4235" i="4" s="1"/>
  <c r="G4235" i="4"/>
  <c r="I4235" i="4" s="1"/>
  <c r="L4234" i="4"/>
  <c r="M4234" i="4" s="1"/>
  <c r="G4234" i="4"/>
  <c r="H4234" i="4" s="1"/>
  <c r="L4233" i="4"/>
  <c r="N4233" i="4" s="1"/>
  <c r="G4233" i="4"/>
  <c r="I4233" i="4" s="1"/>
  <c r="L4232" i="4"/>
  <c r="N4232" i="4" s="1"/>
  <c r="G4232" i="4"/>
  <c r="I4232" i="4" s="1"/>
  <c r="L4231" i="4"/>
  <c r="N4231" i="4" s="1"/>
  <c r="G4231" i="4"/>
  <c r="I4231" i="4" s="1"/>
  <c r="L4230" i="4"/>
  <c r="M4230" i="4" s="1"/>
  <c r="G4230" i="4"/>
  <c r="H4230" i="4" s="1"/>
  <c r="L4229" i="4"/>
  <c r="M4229" i="4" s="1"/>
  <c r="G4229" i="4"/>
  <c r="I4229" i="4" s="1"/>
  <c r="L4228" i="4"/>
  <c r="N4228" i="4" s="1"/>
  <c r="G4228" i="4"/>
  <c r="I4228" i="4" s="1"/>
  <c r="L4227" i="4"/>
  <c r="N4227" i="4" s="1"/>
  <c r="G4227" i="4"/>
  <c r="I4227" i="4" s="1"/>
  <c r="L4226" i="4"/>
  <c r="N4226" i="4" s="1"/>
  <c r="G4226" i="4"/>
  <c r="G4222" i="4"/>
  <c r="H4222" i="4" s="1"/>
  <c r="L4216" i="4"/>
  <c r="G4216" i="4"/>
  <c r="I4216" i="4" s="1"/>
  <c r="L4213" i="4"/>
  <c r="N4213" i="4" s="1"/>
  <c r="G4213" i="4"/>
  <c r="I4213" i="4" s="1"/>
  <c r="L4212" i="4"/>
  <c r="G4212" i="4"/>
  <c r="I4212" i="4" s="1"/>
  <c r="L4211" i="4"/>
  <c r="G4211" i="4"/>
  <c r="I4211" i="4" s="1"/>
  <c r="L4210" i="4"/>
  <c r="M4210" i="4" s="1"/>
  <c r="G4210" i="4"/>
  <c r="H4210" i="4" s="1"/>
  <c r="L4209" i="4"/>
  <c r="N4209" i="4" s="1"/>
  <c r="L4208" i="4"/>
  <c r="G4208" i="4"/>
  <c r="I4208" i="4" s="1"/>
  <c r="L4207" i="4"/>
  <c r="N4207" i="4" s="1"/>
  <c r="H4207" i="4"/>
  <c r="G4207" i="4"/>
  <c r="L4206" i="4"/>
  <c r="N4206" i="4" s="1"/>
  <c r="G4206" i="4"/>
  <c r="L4205" i="4"/>
  <c r="N4205" i="4" s="1"/>
  <c r="G4205" i="4"/>
  <c r="H4205" i="4" s="1"/>
  <c r="G4204" i="4"/>
  <c r="I4204" i="4" s="1"/>
  <c r="G4203" i="4"/>
  <c r="I4203" i="4" s="1"/>
  <c r="L4202" i="4"/>
  <c r="N4202" i="4" s="1"/>
  <c r="G4202" i="4"/>
  <c r="I4202" i="4" s="1"/>
  <c r="L4201" i="4"/>
  <c r="M4201" i="4" s="1"/>
  <c r="G4201" i="4"/>
  <c r="I4201" i="4" s="1"/>
  <c r="L4200" i="4"/>
  <c r="N4200" i="4" s="1"/>
  <c r="G4200" i="4"/>
  <c r="L4198" i="4"/>
  <c r="G4198" i="4"/>
  <c r="H4198" i="4" s="1"/>
  <c r="G4197" i="4"/>
  <c r="H4197" i="4" s="1"/>
  <c r="G4196" i="4"/>
  <c r="I4196" i="4" s="1"/>
  <c r="L4195" i="4"/>
  <c r="N4195" i="4" s="1"/>
  <c r="G4195" i="4"/>
  <c r="L4194" i="4"/>
  <c r="N4194" i="4" s="1"/>
  <c r="G4194" i="4"/>
  <c r="I4194" i="4" s="1"/>
  <c r="L4193" i="4"/>
  <c r="G4193" i="4"/>
  <c r="I4193" i="4" s="1"/>
  <c r="L4192" i="4"/>
  <c r="G4192" i="4"/>
  <c r="I4192" i="4" s="1"/>
  <c r="L4191" i="4"/>
  <c r="M4191" i="4" s="1"/>
  <c r="G4191" i="4"/>
  <c r="I4191" i="4" s="1"/>
  <c r="L4190" i="4"/>
  <c r="G4190" i="4"/>
  <c r="I4190" i="4" s="1"/>
  <c r="L4189" i="4"/>
  <c r="G4189" i="4"/>
  <c r="I4189" i="4" s="1"/>
  <c r="L4188" i="4"/>
  <c r="P4188" i="4" s="1"/>
  <c r="H4188" i="4"/>
  <c r="G4188" i="4"/>
  <c r="I4188" i="4" s="1"/>
  <c r="L4187" i="4"/>
  <c r="G4187" i="4"/>
  <c r="I4187" i="4" s="1"/>
  <c r="L4186" i="4"/>
  <c r="M4186" i="4" s="1"/>
  <c r="G4186" i="4"/>
  <c r="H4186" i="4" s="1"/>
  <c r="L4185" i="4"/>
  <c r="N4185" i="4" s="1"/>
  <c r="L4184" i="4"/>
  <c r="N4184" i="4" s="1"/>
  <c r="G4184" i="4"/>
  <c r="I4184" i="4" s="1"/>
  <c r="L4183" i="4"/>
  <c r="M4183" i="4" s="1"/>
  <c r="G4183" i="4"/>
  <c r="H4183" i="4" s="1"/>
  <c r="L4182" i="4"/>
  <c r="N4182" i="4" s="1"/>
  <c r="G4182" i="4"/>
  <c r="I4182" i="4" s="1"/>
  <c r="L4181" i="4"/>
  <c r="G4181" i="4"/>
  <c r="H4181" i="4" s="1"/>
  <c r="L4180" i="4"/>
  <c r="P4180" i="4" s="1"/>
  <c r="G4180" i="4"/>
  <c r="I4180" i="4" s="1"/>
  <c r="L4179" i="4"/>
  <c r="G4179" i="4"/>
  <c r="I4179" i="4" s="1"/>
  <c r="L4178" i="4"/>
  <c r="N4178" i="4" s="1"/>
  <c r="G4178" i="4"/>
  <c r="L4177" i="4"/>
  <c r="M4177" i="4" s="1"/>
  <c r="G4177" i="4"/>
  <c r="I4177" i="4" s="1"/>
  <c r="L4176" i="4"/>
  <c r="N4176" i="4" s="1"/>
  <c r="G4176" i="4"/>
  <c r="L4175" i="4"/>
  <c r="L4174" i="4"/>
  <c r="G4174" i="4"/>
  <c r="L4173" i="4"/>
  <c r="G4173" i="4"/>
  <c r="I4173" i="4" s="1"/>
  <c r="L4172" i="4"/>
  <c r="N4172" i="4" s="1"/>
  <c r="G4172" i="4"/>
  <c r="I4172" i="4" s="1"/>
  <c r="L4171" i="4"/>
  <c r="G4171" i="4"/>
  <c r="L4170" i="4"/>
  <c r="N4170" i="4" s="1"/>
  <c r="G4170" i="4"/>
  <c r="I4170" i="4" s="1"/>
  <c r="L4169" i="4"/>
  <c r="G4169" i="4"/>
  <c r="I4169" i="4" s="1"/>
  <c r="G4168" i="4"/>
  <c r="I4168" i="4" s="1"/>
  <c r="G4167" i="4"/>
  <c r="I4167" i="4" s="1"/>
  <c r="L4166" i="4"/>
  <c r="L4165" i="4"/>
  <c r="G4165" i="4"/>
  <c r="L4164" i="4"/>
  <c r="P4164" i="4" s="1"/>
  <c r="G4164" i="4"/>
  <c r="I4164" i="4" s="1"/>
  <c r="L4163" i="4"/>
  <c r="G4163" i="4"/>
  <c r="I4163" i="4" s="1"/>
  <c r="L4162" i="4"/>
  <c r="G4162" i="4"/>
  <c r="H4162" i="4" s="1"/>
  <c r="M4161" i="4"/>
  <c r="L4161" i="4"/>
  <c r="G4161" i="4"/>
  <c r="I4161" i="4" s="1"/>
  <c r="G4160" i="4"/>
  <c r="I4160" i="4" s="1"/>
  <c r="L4159" i="4"/>
  <c r="N4159" i="4" s="1"/>
  <c r="L4158" i="4"/>
  <c r="N4158" i="4" s="1"/>
  <c r="G4157" i="4"/>
  <c r="I4157" i="4" s="1"/>
  <c r="L4156" i="4"/>
  <c r="G4156" i="4"/>
  <c r="I4156" i="4" s="1"/>
  <c r="L4155" i="4"/>
  <c r="G4155" i="4"/>
  <c r="I4155" i="4" s="1"/>
  <c r="L4154" i="4"/>
  <c r="N4154" i="4" s="1"/>
  <c r="G4154" i="4"/>
  <c r="I4154" i="4" s="1"/>
  <c r="L4153" i="4"/>
  <c r="M4153" i="4" s="1"/>
  <c r="G4153" i="4"/>
  <c r="I4153" i="4" s="1"/>
  <c r="L4152" i="4"/>
  <c r="N4152" i="4" s="1"/>
  <c r="G4152" i="4"/>
  <c r="L4151" i="4"/>
  <c r="P4151" i="4" s="1"/>
  <c r="G4151" i="4"/>
  <c r="I4151" i="4" s="1"/>
  <c r="L4150" i="4"/>
  <c r="N4150" i="4" s="1"/>
  <c r="G4150" i="4"/>
  <c r="H4150" i="4" s="1"/>
  <c r="L4149" i="4"/>
  <c r="G4149" i="4"/>
  <c r="I4149" i="4" s="1"/>
  <c r="L4148" i="4"/>
  <c r="N4148" i="4" s="1"/>
  <c r="L4147" i="4"/>
  <c r="G4146" i="4"/>
  <c r="I4146" i="4" s="1"/>
  <c r="G4145" i="4"/>
  <c r="I4145" i="4" s="1"/>
  <c r="L4144" i="4"/>
  <c r="G4144" i="4"/>
  <c r="G4142" i="4"/>
  <c r="L4141" i="4"/>
  <c r="N4141" i="4" s="1"/>
  <c r="L4140" i="4"/>
  <c r="M4140" i="4" s="1"/>
  <c r="G4140" i="4"/>
  <c r="I4140" i="4" s="1"/>
  <c r="L4139" i="4"/>
  <c r="G4139" i="4"/>
  <c r="I4139" i="4" s="1"/>
  <c r="L4138" i="4"/>
  <c r="M4138" i="4" s="1"/>
  <c r="G4138" i="4"/>
  <c r="H4138" i="4" s="1"/>
  <c r="L4137" i="4"/>
  <c r="N4137" i="4" s="1"/>
  <c r="G4137" i="4"/>
  <c r="I4137" i="4" s="1"/>
  <c r="L4136" i="4"/>
  <c r="L4135" i="4"/>
  <c r="N4135" i="4" s="1"/>
  <c r="G4134" i="4"/>
  <c r="I4134" i="4" s="1"/>
  <c r="G4133" i="4"/>
  <c r="I4133" i="4" s="1"/>
  <c r="L4132" i="4"/>
  <c r="G4132" i="4"/>
  <c r="I4132" i="4" s="1"/>
  <c r="G4130" i="4"/>
  <c r="H4130" i="4" s="1"/>
  <c r="L4129" i="4"/>
  <c r="M4129" i="4" s="1"/>
  <c r="L4128" i="4"/>
  <c r="N4128" i="4" s="1"/>
  <c r="G4128" i="4"/>
  <c r="L4127" i="4"/>
  <c r="G4127" i="4"/>
  <c r="I4127" i="4" s="1"/>
  <c r="L4126" i="4"/>
  <c r="N4126" i="4" s="1"/>
  <c r="G4126" i="4"/>
  <c r="H4126" i="4" s="1"/>
  <c r="L4125" i="4"/>
  <c r="G4125" i="4"/>
  <c r="H4125" i="4" s="1"/>
  <c r="L4124" i="4"/>
  <c r="N4124" i="4" s="1"/>
  <c r="L4123" i="4"/>
  <c r="G4122" i="4"/>
  <c r="I4122" i="4" s="1"/>
  <c r="G4121" i="4"/>
  <c r="I4121" i="4" s="1"/>
  <c r="L4120" i="4"/>
  <c r="G4120" i="4"/>
  <c r="G4118" i="4"/>
  <c r="L4117" i="4"/>
  <c r="N4117" i="4" s="1"/>
  <c r="L4116" i="4"/>
  <c r="N4116" i="4" s="1"/>
  <c r="G4116" i="4"/>
  <c r="I4116" i="4" s="1"/>
  <c r="L4115" i="4"/>
  <c r="G4115" i="4"/>
  <c r="L4114" i="4"/>
  <c r="M4114" i="4" s="1"/>
  <c r="G4114" i="4"/>
  <c r="H4114" i="4" s="1"/>
  <c r="L4113" i="4"/>
  <c r="P4113" i="4" s="1"/>
  <c r="G4113" i="4"/>
  <c r="I4113" i="4" s="1"/>
  <c r="L4112" i="4"/>
  <c r="M4112" i="4" s="1"/>
  <c r="L4111" i="4"/>
  <c r="G4110" i="4"/>
  <c r="G4109" i="4"/>
  <c r="H4109" i="4" s="1"/>
  <c r="L4108" i="4"/>
  <c r="G4108" i="4"/>
  <c r="I4108" i="4" s="1"/>
  <c r="G4106" i="4"/>
  <c r="I4106" i="4" s="1"/>
  <c r="L4105" i="4"/>
  <c r="M4105" i="4" s="1"/>
  <c r="L4104" i="4"/>
  <c r="N4104" i="4" s="1"/>
  <c r="G4104" i="4"/>
  <c r="H4104" i="4" s="1"/>
  <c r="L4103" i="4"/>
  <c r="G4103" i="4"/>
  <c r="I4103" i="4" s="1"/>
  <c r="L4102" i="4"/>
  <c r="G4102" i="4"/>
  <c r="H4102" i="4" s="1"/>
  <c r="L4101" i="4"/>
  <c r="G4101" i="4"/>
  <c r="I4101" i="4" s="1"/>
  <c r="L4100" i="4"/>
  <c r="N4100" i="4" s="1"/>
  <c r="L4099" i="4"/>
  <c r="M4099" i="4" s="1"/>
  <c r="G4098" i="4"/>
  <c r="G4097" i="4"/>
  <c r="I4097" i="4" s="1"/>
  <c r="L4096" i="4"/>
  <c r="G4096" i="4"/>
  <c r="I4096" i="4" s="1"/>
  <c r="G4094" i="4"/>
  <c r="L4093" i="4"/>
  <c r="N4093" i="4" s="1"/>
  <c r="L4092" i="4"/>
  <c r="N4092" i="4" s="1"/>
  <c r="G4092" i="4"/>
  <c r="I4092" i="4" s="1"/>
  <c r="L4091" i="4"/>
  <c r="G4091" i="4"/>
  <c r="I4091" i="4" s="1"/>
  <c r="L4090" i="4"/>
  <c r="G4090" i="4"/>
  <c r="I4090" i="4" s="1"/>
  <c r="L4089" i="4"/>
  <c r="M4089" i="4" s="1"/>
  <c r="G4089" i="4"/>
  <c r="I4089" i="4" s="1"/>
  <c r="L4088" i="4"/>
  <c r="N4088" i="4" s="1"/>
  <c r="L4087" i="4"/>
  <c r="M4087" i="4" s="1"/>
  <c r="G4086" i="4"/>
  <c r="I4086" i="4" s="1"/>
  <c r="G4085" i="4"/>
  <c r="I4085" i="4" s="1"/>
  <c r="L4084" i="4"/>
  <c r="G4084" i="4"/>
  <c r="I4084" i="4" s="1"/>
  <c r="G4082" i="4"/>
  <c r="I4082" i="4" s="1"/>
  <c r="L4081" i="4"/>
  <c r="M4081" i="4" s="1"/>
  <c r="G4081" i="4"/>
  <c r="L4080" i="4"/>
  <c r="G4080" i="4"/>
  <c r="H4080" i="4" s="1"/>
  <c r="L4079" i="4"/>
  <c r="G4079" i="4"/>
  <c r="I4079" i="4" s="1"/>
  <c r="L4078" i="4"/>
  <c r="N4078" i="4" s="1"/>
  <c r="G4078" i="4"/>
  <c r="H4078" i="4" s="1"/>
  <c r="L4077" i="4"/>
  <c r="G4077" i="4"/>
  <c r="I4077" i="4" s="1"/>
  <c r="L4076" i="4"/>
  <c r="L4075" i="4"/>
  <c r="G4074" i="4"/>
  <c r="I4074" i="4" s="1"/>
  <c r="G4073" i="4"/>
  <c r="L4072" i="4"/>
  <c r="G4072" i="4"/>
  <c r="I4072" i="4" s="1"/>
  <c r="G4070" i="4"/>
  <c r="L4069" i="4"/>
  <c r="N4069" i="4" s="1"/>
  <c r="L4068" i="4"/>
  <c r="G4068" i="4"/>
  <c r="H4068" i="4" s="1"/>
  <c r="L4067" i="4"/>
  <c r="G4067" i="4"/>
  <c r="I4067" i="4" s="1"/>
  <c r="L4066" i="4"/>
  <c r="G4066" i="4"/>
  <c r="I4066" i="4" s="1"/>
  <c r="L4065" i="4"/>
  <c r="M4065" i="4" s="1"/>
  <c r="G4065" i="4"/>
  <c r="L4064" i="4"/>
  <c r="N4064" i="4" s="1"/>
  <c r="N4063" i="4"/>
  <c r="L4063" i="4"/>
  <c r="M4063" i="4" s="1"/>
  <c r="G4062" i="4"/>
  <c r="I4062" i="4" s="1"/>
  <c r="G4061" i="4"/>
  <c r="I4061" i="4" s="1"/>
  <c r="L4060" i="4"/>
  <c r="G4060" i="4"/>
  <c r="H4060" i="4" s="1"/>
  <c r="G4058" i="4"/>
  <c r="I4058" i="4" s="1"/>
  <c r="L4057" i="4"/>
  <c r="M4057" i="4" s="1"/>
  <c r="L4056" i="4"/>
  <c r="N4056" i="4" s="1"/>
  <c r="G4056" i="4"/>
  <c r="L4055" i="4"/>
  <c r="M4055" i="4" s="1"/>
  <c r="G4055" i="4"/>
  <c r="I4055" i="4" s="1"/>
  <c r="L4054" i="4"/>
  <c r="G4054" i="4"/>
  <c r="H4054" i="4" s="1"/>
  <c r="L4053" i="4"/>
  <c r="M4053" i="4" s="1"/>
  <c r="G4053" i="4"/>
  <c r="I4053" i="4" s="1"/>
  <c r="L4052" i="4"/>
  <c r="L4051" i="4"/>
  <c r="M4051" i="4" s="1"/>
  <c r="G4050" i="4"/>
  <c r="G4049" i="4"/>
  <c r="L4048" i="4"/>
  <c r="M4048" i="4" s="1"/>
  <c r="G4048" i="4"/>
  <c r="G4046" i="4"/>
  <c r="L4045" i="4"/>
  <c r="N4045" i="4" s="1"/>
  <c r="G4045" i="4"/>
  <c r="P4045" i="4" s="1"/>
  <c r="L4044" i="4"/>
  <c r="M4044" i="4" s="1"/>
  <c r="G4044" i="4"/>
  <c r="L4043" i="4"/>
  <c r="G4043" i="4"/>
  <c r="H4043" i="4" s="1"/>
  <c r="L4042" i="4"/>
  <c r="G4042" i="4"/>
  <c r="I4042" i="4" s="1"/>
  <c r="L4041" i="4"/>
  <c r="G4041" i="4"/>
  <c r="I4041" i="4" s="1"/>
  <c r="L4040" i="4"/>
  <c r="M4040" i="4" s="1"/>
  <c r="G4040" i="4"/>
  <c r="L4039" i="4"/>
  <c r="N4039" i="4" s="1"/>
  <c r="G4039" i="4"/>
  <c r="I4039" i="4" s="1"/>
  <c r="L4038" i="4"/>
  <c r="P4038" i="4" s="1"/>
  <c r="G4038" i="4"/>
  <c r="I4038" i="4" s="1"/>
  <c r="L4037" i="4"/>
  <c r="G4037" i="4"/>
  <c r="H4037" i="4" s="1"/>
  <c r="L4036" i="4"/>
  <c r="H4036" i="4"/>
  <c r="G4036" i="4"/>
  <c r="I4036" i="4" s="1"/>
  <c r="L4035" i="4"/>
  <c r="G4035" i="4"/>
  <c r="H4035" i="4" s="1"/>
  <c r="L4034" i="4"/>
  <c r="G4034" i="4"/>
  <c r="I4034" i="4" s="1"/>
  <c r="L4033" i="4"/>
  <c r="M4033" i="4" s="1"/>
  <c r="G4033" i="4"/>
  <c r="I4033" i="4" s="1"/>
  <c r="L4032" i="4"/>
  <c r="M4032" i="4" s="1"/>
  <c r="G4032" i="4"/>
  <c r="L4031" i="4"/>
  <c r="O4031" i="4" s="1"/>
  <c r="G4031" i="4"/>
  <c r="I4031" i="4" s="1"/>
  <c r="N4030" i="4"/>
  <c r="L4030" i="4"/>
  <c r="M4030" i="4" s="1"/>
  <c r="G4030" i="4"/>
  <c r="H4030" i="4" s="1"/>
  <c r="L4029" i="4"/>
  <c r="N4029" i="4" s="1"/>
  <c r="G4029" i="4"/>
  <c r="I4029" i="4" s="1"/>
  <c r="L4028" i="4"/>
  <c r="N4028" i="4" s="1"/>
  <c r="G4028" i="4"/>
  <c r="L4027" i="4"/>
  <c r="N4027" i="4" s="1"/>
  <c r="G4027" i="4"/>
  <c r="I4027" i="4" s="1"/>
  <c r="L4026" i="4"/>
  <c r="N4026" i="4" s="1"/>
  <c r="G4026" i="4"/>
  <c r="L4025" i="4"/>
  <c r="G4025" i="4"/>
  <c r="I4025" i="4" s="1"/>
  <c r="L4024" i="4"/>
  <c r="O4024" i="4" s="1"/>
  <c r="G4024" i="4"/>
  <c r="I4024" i="4" s="1"/>
  <c r="L4023" i="4"/>
  <c r="G4023" i="4"/>
  <c r="I4023" i="4" s="1"/>
  <c r="L4022" i="4"/>
  <c r="G4022" i="4"/>
  <c r="H4022" i="4" s="1"/>
  <c r="L4021" i="4"/>
  <c r="G4021" i="4"/>
  <c r="I4021" i="4" s="1"/>
  <c r="L4020" i="4"/>
  <c r="N4020" i="4" s="1"/>
  <c r="G4020" i="4"/>
  <c r="I4020" i="4" s="1"/>
  <c r="L4019" i="4"/>
  <c r="G4019" i="4"/>
  <c r="I4019" i="4" s="1"/>
  <c r="G4018" i="4"/>
  <c r="I4018" i="4" s="1"/>
  <c r="G4017" i="4"/>
  <c r="I4017" i="4" s="1"/>
  <c r="L4016" i="4"/>
  <c r="N4016" i="4" s="1"/>
  <c r="L4015" i="4"/>
  <c r="O4015" i="4" s="1"/>
  <c r="G4015" i="4"/>
  <c r="I4015" i="4" s="1"/>
  <c r="L4014" i="4"/>
  <c r="G4014" i="4"/>
  <c r="I4014" i="4" s="1"/>
  <c r="L4013" i="4"/>
  <c r="G4013" i="4"/>
  <c r="I4013" i="4" s="1"/>
  <c r="L4012" i="4"/>
  <c r="M4012" i="4" s="1"/>
  <c r="G4012" i="4"/>
  <c r="I4012" i="4" s="1"/>
  <c r="L4011" i="4"/>
  <c r="N4011" i="4" s="1"/>
  <c r="G4011" i="4"/>
  <c r="I4011" i="4" s="1"/>
  <c r="L4010" i="4"/>
  <c r="N4010" i="4" s="1"/>
  <c r="G4010" i="4"/>
  <c r="I4010" i="4" s="1"/>
  <c r="L4009" i="4"/>
  <c r="M4009" i="4" s="1"/>
  <c r="G4009" i="4"/>
  <c r="I4009" i="4" s="1"/>
  <c r="L4008" i="4"/>
  <c r="N4008" i="4" s="1"/>
  <c r="G4008" i="4"/>
  <c r="I4008" i="4" s="1"/>
  <c r="L4007" i="4"/>
  <c r="G4007" i="4"/>
  <c r="H4007" i="4" s="1"/>
  <c r="L4006" i="4"/>
  <c r="O4006" i="4" s="1"/>
  <c r="G4006" i="4"/>
  <c r="H4006" i="4" s="1"/>
  <c r="L4005" i="4"/>
  <c r="I4005" i="4"/>
  <c r="H4005" i="4"/>
  <c r="G4005" i="4"/>
  <c r="L4004" i="4"/>
  <c r="G4004" i="4"/>
  <c r="I4004" i="4" s="1"/>
  <c r="L4003" i="4"/>
  <c r="N4003" i="4" s="1"/>
  <c r="G4003" i="4"/>
  <c r="L4002" i="4"/>
  <c r="N4002" i="4" s="1"/>
  <c r="G4002" i="4"/>
  <c r="H4002" i="4" s="1"/>
  <c r="L4001" i="4"/>
  <c r="N4001" i="4" s="1"/>
  <c r="G4001" i="4"/>
  <c r="I4001" i="4" s="1"/>
  <c r="L4000" i="4"/>
  <c r="M4000" i="4" s="1"/>
  <c r="G4000" i="4"/>
  <c r="I4000" i="4" s="1"/>
  <c r="M3999" i="4"/>
  <c r="L3999" i="4"/>
  <c r="N3999" i="4" s="1"/>
  <c r="G3999" i="4"/>
  <c r="I3999" i="4" s="1"/>
  <c r="L3998" i="4"/>
  <c r="N3998" i="4" s="1"/>
  <c r="G3998" i="4"/>
  <c r="L3997" i="4"/>
  <c r="M3997" i="4" s="1"/>
  <c r="G3997" i="4"/>
  <c r="I3997" i="4" s="1"/>
  <c r="L3996" i="4"/>
  <c r="G3996" i="4"/>
  <c r="I3996" i="4" s="1"/>
  <c r="L3995" i="4"/>
  <c r="G3995" i="4"/>
  <c r="I3995" i="4" s="1"/>
  <c r="L3994" i="4"/>
  <c r="M3994" i="4" s="1"/>
  <c r="G3994" i="4"/>
  <c r="L3993" i="4"/>
  <c r="N3993" i="4" s="1"/>
  <c r="G3993" i="4"/>
  <c r="I3993" i="4" s="1"/>
  <c r="L3992" i="4"/>
  <c r="N3992" i="4" s="1"/>
  <c r="G3992" i="4"/>
  <c r="L3991" i="4"/>
  <c r="N3991" i="4" s="1"/>
  <c r="G3991" i="4"/>
  <c r="I3991" i="4" s="1"/>
  <c r="L3990" i="4"/>
  <c r="G3990" i="4"/>
  <c r="I3990" i="4" s="1"/>
  <c r="L3989" i="4"/>
  <c r="G3989" i="4"/>
  <c r="I3989" i="4" s="1"/>
  <c r="L3988" i="4"/>
  <c r="G3988" i="4"/>
  <c r="H3988" i="4" s="1"/>
  <c r="L3987" i="4"/>
  <c r="O3987" i="4" s="1"/>
  <c r="G3987" i="4"/>
  <c r="H3987" i="4" s="1"/>
  <c r="L3986" i="4"/>
  <c r="G3986" i="4"/>
  <c r="I3986" i="4" s="1"/>
  <c r="L3985" i="4"/>
  <c r="M3985" i="4" s="1"/>
  <c r="G3985" i="4"/>
  <c r="I3985" i="4" s="1"/>
  <c r="L3984" i="4"/>
  <c r="N3984" i="4" s="1"/>
  <c r="G3984" i="4"/>
  <c r="O3984" i="4" s="1"/>
  <c r="L3983" i="4"/>
  <c r="N3983" i="4" s="1"/>
  <c r="G3983" i="4"/>
  <c r="L3982" i="4"/>
  <c r="M3982" i="4" s="1"/>
  <c r="G3982" i="4"/>
  <c r="H3982" i="4" s="1"/>
  <c r="L3981" i="4"/>
  <c r="G3981" i="4"/>
  <c r="I3981" i="4" s="1"/>
  <c r="L3980" i="4"/>
  <c r="O3980" i="4" s="1"/>
  <c r="G3980" i="4"/>
  <c r="I3980" i="4" s="1"/>
  <c r="L3979" i="4"/>
  <c r="G3979" i="4"/>
  <c r="I3979" i="4" s="1"/>
  <c r="L3978" i="4"/>
  <c r="N3978" i="4" s="1"/>
  <c r="G3978" i="4"/>
  <c r="I3978" i="4" s="1"/>
  <c r="L3977" i="4"/>
  <c r="G3977" i="4"/>
  <c r="I3977" i="4" s="1"/>
  <c r="L3976" i="4"/>
  <c r="M3976" i="4" s="1"/>
  <c r="G3976" i="4"/>
  <c r="I3976" i="4" s="1"/>
  <c r="L3975" i="4"/>
  <c r="M3975" i="4" s="1"/>
  <c r="G3975" i="4"/>
  <c r="I3975" i="4" s="1"/>
  <c r="L3974" i="4"/>
  <c r="G3974" i="4"/>
  <c r="I3974" i="4" s="1"/>
  <c r="L3973" i="4"/>
  <c r="N3973" i="4" s="1"/>
  <c r="G3973" i="4"/>
  <c r="L3972" i="4"/>
  <c r="G3972" i="4"/>
  <c r="I3972" i="4" s="1"/>
  <c r="L3971" i="4"/>
  <c r="G3971" i="4"/>
  <c r="I3971" i="4" s="1"/>
  <c r="L3970" i="4"/>
  <c r="G3970" i="4"/>
  <c r="H3970" i="4" s="1"/>
  <c r="L3969" i="4"/>
  <c r="G3969" i="4"/>
  <c r="H3969" i="4" s="1"/>
  <c r="L3968" i="4"/>
  <c r="O3968" i="4" s="1"/>
  <c r="G3968" i="4"/>
  <c r="I3968" i="4" s="1"/>
  <c r="L3967" i="4"/>
  <c r="M3967" i="4" s="1"/>
  <c r="G3967" i="4"/>
  <c r="I3967" i="4" s="1"/>
  <c r="L3966" i="4"/>
  <c r="N3966" i="4" s="1"/>
  <c r="G3966" i="4"/>
  <c r="L3965" i="4"/>
  <c r="G3965" i="4"/>
  <c r="I3965" i="4" s="1"/>
  <c r="L3964" i="4"/>
  <c r="G3964" i="4"/>
  <c r="I3964" i="4" s="1"/>
  <c r="L3963" i="4"/>
  <c r="G3963" i="4"/>
  <c r="I3963" i="4" s="1"/>
  <c r="L3962" i="4"/>
  <c r="M3962" i="4" s="1"/>
  <c r="G3962" i="4"/>
  <c r="I3962" i="4" s="1"/>
  <c r="L3961" i="4"/>
  <c r="M3961" i="4" s="1"/>
  <c r="G3961" i="4"/>
  <c r="I3961" i="4" s="1"/>
  <c r="L3960" i="4"/>
  <c r="G3960" i="4"/>
  <c r="I3960" i="4" s="1"/>
  <c r="L3959" i="4"/>
  <c r="N3959" i="4" s="1"/>
  <c r="G3959" i="4"/>
  <c r="L3958" i="4"/>
  <c r="G3958" i="4"/>
  <c r="H3958" i="4" s="1"/>
  <c r="L3957" i="4"/>
  <c r="N3957" i="4" s="1"/>
  <c r="G3957" i="4"/>
  <c r="I3957" i="4" s="1"/>
  <c r="L3956" i="4"/>
  <c r="G3956" i="4"/>
  <c r="H3956" i="4" s="1"/>
  <c r="L3955" i="4"/>
  <c r="G3955" i="4"/>
  <c r="I3955" i="4" s="1"/>
  <c r="L3954" i="4"/>
  <c r="N3954" i="4" s="1"/>
  <c r="G3954" i="4"/>
  <c r="H3954" i="4" s="1"/>
  <c r="L3953" i="4"/>
  <c r="G3953" i="4"/>
  <c r="I3953" i="4" s="1"/>
  <c r="L3952" i="4"/>
  <c r="G3952" i="4"/>
  <c r="I3952" i="4" s="1"/>
  <c r="L3951" i="4"/>
  <c r="N3951" i="4" s="1"/>
  <c r="G3951" i="4"/>
  <c r="I3951" i="4" s="1"/>
  <c r="L3950" i="4"/>
  <c r="M3950" i="4" s="1"/>
  <c r="G3950" i="4"/>
  <c r="I3950" i="4" s="1"/>
  <c r="L3949" i="4"/>
  <c r="M3949" i="4" s="1"/>
  <c r="G3949" i="4"/>
  <c r="H3949" i="4" s="1"/>
  <c r="L3948" i="4"/>
  <c r="N3948" i="4" s="1"/>
  <c r="G3948" i="4"/>
  <c r="I3948" i="4" s="1"/>
  <c r="L3947" i="4"/>
  <c r="G3947" i="4"/>
  <c r="H3947" i="4" s="1"/>
  <c r="L3946" i="4"/>
  <c r="G3946" i="4"/>
  <c r="H3946" i="4" s="1"/>
  <c r="L3945" i="4"/>
  <c r="M3945" i="4" s="1"/>
  <c r="G3945" i="4"/>
  <c r="H3945" i="4" s="1"/>
  <c r="L3944" i="4"/>
  <c r="N3944" i="4" s="1"/>
  <c r="G3944" i="4"/>
  <c r="L3943" i="4"/>
  <c r="M3943" i="4" s="1"/>
  <c r="G3943" i="4"/>
  <c r="I3943" i="4" s="1"/>
  <c r="L3942" i="4"/>
  <c r="M3942" i="4" s="1"/>
  <c r="G3942" i="4"/>
  <c r="I3942" i="4" s="1"/>
  <c r="L3941" i="4"/>
  <c r="N3941" i="4" s="1"/>
  <c r="G3941" i="4"/>
  <c r="H3941" i="4" s="1"/>
  <c r="L3940" i="4"/>
  <c r="G3940" i="4"/>
  <c r="H3940" i="4" s="1"/>
  <c r="L3939" i="4"/>
  <c r="G3939" i="4"/>
  <c r="H3939" i="4" s="1"/>
  <c r="L3938" i="4"/>
  <c r="N3938" i="4" s="1"/>
  <c r="G3938" i="4"/>
  <c r="I3938" i="4" s="1"/>
  <c r="L3937" i="4"/>
  <c r="M3937" i="4" s="1"/>
  <c r="G3937" i="4"/>
  <c r="L3936" i="4"/>
  <c r="M3936" i="4" s="1"/>
  <c r="G3936" i="4"/>
  <c r="I3936" i="4" s="1"/>
  <c r="L3935" i="4"/>
  <c r="M3935" i="4" s="1"/>
  <c r="G3935" i="4"/>
  <c r="I3935" i="4" s="1"/>
  <c r="L3934" i="4"/>
  <c r="N3934" i="4" s="1"/>
  <c r="G3934" i="4"/>
  <c r="H3934" i="4" s="1"/>
  <c r="L3933" i="4"/>
  <c r="G3933" i="4"/>
  <c r="I3933" i="4" s="1"/>
  <c r="L3932" i="4"/>
  <c r="G3932" i="4"/>
  <c r="I3932" i="4" s="1"/>
  <c r="L3931" i="4"/>
  <c r="O3931" i="4" s="1"/>
  <c r="G3931" i="4"/>
  <c r="I3931" i="4" s="1"/>
  <c r="L3930" i="4"/>
  <c r="N3930" i="4" s="1"/>
  <c r="G3930" i="4"/>
  <c r="I3930" i="4" s="1"/>
  <c r="L3929" i="4"/>
  <c r="M3929" i="4" s="1"/>
  <c r="N3928" i="4"/>
  <c r="L3928" i="4"/>
  <c r="M3928" i="4" s="1"/>
  <c r="G3928" i="4"/>
  <c r="I3928" i="4" s="1"/>
  <c r="L3927" i="4"/>
  <c r="G3927" i="4"/>
  <c r="I3927" i="4" s="1"/>
  <c r="L3926" i="4"/>
  <c r="N3926" i="4" s="1"/>
  <c r="G3926" i="4"/>
  <c r="I3926" i="4" s="1"/>
  <c r="L3925" i="4"/>
  <c r="G3925" i="4"/>
  <c r="I3925" i="4" s="1"/>
  <c r="L3924" i="4"/>
  <c r="G3924" i="4"/>
  <c r="I3924" i="4" s="1"/>
  <c r="L3923" i="4"/>
  <c r="G3923" i="4"/>
  <c r="I3923" i="4" s="1"/>
  <c r="L3922" i="4"/>
  <c r="G3922" i="4"/>
  <c r="I3922" i="4" s="1"/>
  <c r="L3921" i="4"/>
  <c r="G3921" i="4"/>
  <c r="I3921" i="4" s="1"/>
  <c r="L3920" i="4"/>
  <c r="N3920" i="4" s="1"/>
  <c r="G3920" i="4"/>
  <c r="L3919" i="4"/>
  <c r="N3919" i="4" s="1"/>
  <c r="G3919" i="4"/>
  <c r="O3919" i="4" s="1"/>
  <c r="L3918" i="4"/>
  <c r="G3918" i="4"/>
  <c r="I3918" i="4" s="1"/>
  <c r="L3917" i="4"/>
  <c r="G3917" i="4"/>
  <c r="I3917" i="4" s="1"/>
  <c r="L3916" i="4"/>
  <c r="M3916" i="4" s="1"/>
  <c r="G3916" i="4"/>
  <c r="I3916" i="4" s="1"/>
  <c r="L3915" i="4"/>
  <c r="N3915" i="4" s="1"/>
  <c r="G3915" i="4"/>
  <c r="I3915" i="4" s="1"/>
  <c r="L3914" i="4"/>
  <c r="M3914" i="4" s="1"/>
  <c r="G3914" i="4"/>
  <c r="I3914" i="4" s="1"/>
  <c r="L3913" i="4"/>
  <c r="M3913" i="4" s="1"/>
  <c r="G3913" i="4"/>
  <c r="I3913" i="4" s="1"/>
  <c r="L3912" i="4"/>
  <c r="N3912" i="4" s="1"/>
  <c r="I3912" i="4"/>
  <c r="G3912" i="4"/>
  <c r="H3912" i="4" s="1"/>
  <c r="L3911" i="4"/>
  <c r="G3911" i="4"/>
  <c r="I3911" i="4" s="1"/>
  <c r="L3910" i="4"/>
  <c r="G3910" i="4"/>
  <c r="H3910" i="4" s="1"/>
  <c r="L3909" i="4"/>
  <c r="G3909" i="4"/>
  <c r="I3909" i="4" s="1"/>
  <c r="L3908" i="4"/>
  <c r="N3908" i="4" s="1"/>
  <c r="G3908" i="4"/>
  <c r="I3908" i="4" s="1"/>
  <c r="L3907" i="4"/>
  <c r="G3907" i="4"/>
  <c r="I3907" i="4" s="1"/>
  <c r="L3906" i="4"/>
  <c r="N3906" i="4" s="1"/>
  <c r="G3906" i="4"/>
  <c r="I3906" i="4" s="1"/>
  <c r="L3905" i="4"/>
  <c r="N3905" i="4" s="1"/>
  <c r="G3905" i="4"/>
  <c r="L3904" i="4"/>
  <c r="N3904" i="4" s="1"/>
  <c r="G3904" i="4"/>
  <c r="I3904" i="4" s="1"/>
  <c r="L3903" i="4"/>
  <c r="G3903" i="4"/>
  <c r="I3903" i="4" s="1"/>
  <c r="L3902" i="4"/>
  <c r="N3902" i="4" s="1"/>
  <c r="G3902" i="4"/>
  <c r="O3902" i="4" s="1"/>
  <c r="L3901" i="4"/>
  <c r="G3901" i="4"/>
  <c r="L3900" i="4"/>
  <c r="G3900" i="4"/>
  <c r="H3900" i="4" s="1"/>
  <c r="L3899" i="4"/>
  <c r="O3899" i="4" s="1"/>
  <c r="G3899" i="4"/>
  <c r="I3899" i="4" s="1"/>
  <c r="L3898" i="4"/>
  <c r="G3898" i="4"/>
  <c r="I3898" i="4" s="1"/>
  <c r="L3897" i="4"/>
  <c r="M3897" i="4" s="1"/>
  <c r="G3897" i="4"/>
  <c r="I3897" i="4" s="1"/>
  <c r="L3896" i="4"/>
  <c r="O3896" i="4" s="1"/>
  <c r="G3896" i="4"/>
  <c r="I3896" i="4" s="1"/>
  <c r="L3895" i="4"/>
  <c r="G3895" i="4"/>
  <c r="L3894" i="4"/>
  <c r="O3894" i="4" s="1"/>
  <c r="I3894" i="4"/>
  <c r="G3894" i="4"/>
  <c r="H3894" i="4" s="1"/>
  <c r="L3893" i="4"/>
  <c r="G3893" i="4"/>
  <c r="I3893" i="4" s="1"/>
  <c r="L3892" i="4"/>
  <c r="G3892" i="4"/>
  <c r="I3892" i="4" s="1"/>
  <c r="L3891" i="4"/>
  <c r="N3891" i="4" s="1"/>
  <c r="G3891" i="4"/>
  <c r="L3890" i="4"/>
  <c r="N3890" i="4" s="1"/>
  <c r="G3890" i="4"/>
  <c r="I3890" i="4" s="1"/>
  <c r="L3889" i="4"/>
  <c r="M3889" i="4" s="1"/>
  <c r="G3889" i="4"/>
  <c r="L3888" i="4"/>
  <c r="N3888" i="4" s="1"/>
  <c r="G3888" i="4"/>
  <c r="I3888" i="4" s="1"/>
  <c r="L3887" i="4"/>
  <c r="G3887" i="4"/>
  <c r="L3886" i="4"/>
  <c r="O3886" i="4" s="1"/>
  <c r="G3886" i="4"/>
  <c r="H3886" i="4" s="1"/>
  <c r="L3885" i="4"/>
  <c r="N3885" i="4" s="1"/>
  <c r="G3885" i="4"/>
  <c r="I3885" i="4" s="1"/>
  <c r="L3884" i="4"/>
  <c r="N3884" i="4" s="1"/>
  <c r="G3884" i="4"/>
  <c r="O3884" i="4" s="1"/>
  <c r="L3883" i="4"/>
  <c r="M3883" i="4" s="1"/>
  <c r="G3883" i="4"/>
  <c r="I3883" i="4" s="1"/>
  <c r="L3882" i="4"/>
  <c r="N3882" i="4" s="1"/>
  <c r="G3882" i="4"/>
  <c r="H3882" i="4" s="1"/>
  <c r="L3881" i="4"/>
  <c r="N3881" i="4" s="1"/>
  <c r="G3881" i="4"/>
  <c r="O3881" i="4" s="1"/>
  <c r="L3880" i="4"/>
  <c r="G3880" i="4"/>
  <c r="H3880" i="4" s="1"/>
  <c r="L3879" i="4"/>
  <c r="G3879" i="4"/>
  <c r="I3879" i="4" s="1"/>
  <c r="L3878" i="4"/>
  <c r="M3878" i="4" s="1"/>
  <c r="G3878" i="4"/>
  <c r="I3878" i="4" s="1"/>
  <c r="L3877" i="4"/>
  <c r="M3877" i="4" s="1"/>
  <c r="G3877" i="4"/>
  <c r="I3877" i="4" s="1"/>
  <c r="L3876" i="4"/>
  <c r="N3876" i="4" s="1"/>
  <c r="G3876" i="4"/>
  <c r="I3876" i="4" s="1"/>
  <c r="L3875" i="4"/>
  <c r="G3875" i="4"/>
  <c r="I3875" i="4" s="1"/>
  <c r="L3874" i="4"/>
  <c r="N3874" i="4" s="1"/>
  <c r="G3874" i="4"/>
  <c r="L3873" i="4"/>
  <c r="N3873" i="4" s="1"/>
  <c r="G3873" i="4"/>
  <c r="L3872" i="4"/>
  <c r="M3872" i="4" s="1"/>
  <c r="G3872" i="4"/>
  <c r="L3871" i="4"/>
  <c r="G3871" i="4"/>
  <c r="I3871" i="4" s="1"/>
  <c r="L3870" i="4"/>
  <c r="G3870" i="4"/>
  <c r="I3870" i="4" s="1"/>
  <c r="L3869" i="4"/>
  <c r="N3869" i="4" s="1"/>
  <c r="G3869" i="4"/>
  <c r="H3869" i="4" s="1"/>
  <c r="L3868" i="4"/>
  <c r="G3868" i="4"/>
  <c r="I3868" i="4" s="1"/>
  <c r="L3867" i="4"/>
  <c r="N3867" i="4" s="1"/>
  <c r="G3867" i="4"/>
  <c r="O3867" i="4" s="1"/>
  <c r="L3866" i="4"/>
  <c r="O3866" i="4" s="1"/>
  <c r="G3866" i="4"/>
  <c r="H3866" i="4" s="1"/>
  <c r="L3865" i="4"/>
  <c r="M3865" i="4" s="1"/>
  <c r="G3865" i="4"/>
  <c r="I3865" i="4" s="1"/>
  <c r="L3864" i="4"/>
  <c r="M3864" i="4" s="1"/>
  <c r="G3864" i="4"/>
  <c r="I3864" i="4" s="1"/>
  <c r="L3863" i="4"/>
  <c r="M3863" i="4" s="1"/>
  <c r="G3863" i="4"/>
  <c r="I3863" i="4" s="1"/>
  <c r="L3862" i="4"/>
  <c r="G3862" i="4"/>
  <c r="H3862" i="4" s="1"/>
  <c r="L3861" i="4"/>
  <c r="G3861" i="4"/>
  <c r="I3861" i="4" s="1"/>
  <c r="L3860" i="4"/>
  <c r="N3860" i="4" s="1"/>
  <c r="G3860" i="4"/>
  <c r="L3859" i="4"/>
  <c r="N3859" i="4" s="1"/>
  <c r="G3859" i="4"/>
  <c r="H3859" i="4" s="1"/>
  <c r="L3858" i="4"/>
  <c r="N3858" i="4" s="1"/>
  <c r="G3858" i="4"/>
  <c r="I3858" i="4" s="1"/>
  <c r="L3857" i="4"/>
  <c r="G3857" i="4"/>
  <c r="I3857" i="4" s="1"/>
  <c r="L3856" i="4"/>
  <c r="G3856" i="4"/>
  <c r="I3856" i="4" s="1"/>
  <c r="L3855" i="4"/>
  <c r="G3855" i="4"/>
  <c r="I3855" i="4" s="1"/>
  <c r="L3854" i="4"/>
  <c r="G3854" i="4"/>
  <c r="L3853" i="4"/>
  <c r="N3853" i="4" s="1"/>
  <c r="G3853" i="4"/>
  <c r="I3853" i="4" s="1"/>
  <c r="L3852" i="4"/>
  <c r="G3852" i="4"/>
  <c r="L3851" i="4"/>
  <c r="N3851" i="4" s="1"/>
  <c r="G3851" i="4"/>
  <c r="I3851" i="4" s="1"/>
  <c r="L3850" i="4"/>
  <c r="G3850" i="4"/>
  <c r="I3850" i="4" s="1"/>
  <c r="L3849" i="4"/>
  <c r="N3849" i="4" s="1"/>
  <c r="G3849" i="4"/>
  <c r="N3848" i="4"/>
  <c r="M3848" i="4"/>
  <c r="L3848" i="4"/>
  <c r="G3848" i="4"/>
  <c r="H3848" i="4" s="1"/>
  <c r="L3847" i="4"/>
  <c r="G3847" i="4"/>
  <c r="I3847" i="4" s="1"/>
  <c r="L3846" i="4"/>
  <c r="N3846" i="4" s="1"/>
  <c r="G3846" i="4"/>
  <c r="I3846" i="4" s="1"/>
  <c r="L3845" i="4"/>
  <c r="G3845" i="4"/>
  <c r="L3844" i="4"/>
  <c r="N3844" i="4" s="1"/>
  <c r="G3844" i="4"/>
  <c r="I3844" i="4" s="1"/>
  <c r="L3843" i="4"/>
  <c r="G3843" i="4"/>
  <c r="I3843" i="4" s="1"/>
  <c r="L3842" i="4"/>
  <c r="G3842" i="4"/>
  <c r="I3842" i="4" s="1"/>
  <c r="K3841" i="4"/>
  <c r="J3841" i="4"/>
  <c r="F3841" i="4"/>
  <c r="E3841" i="4"/>
  <c r="K3840" i="4"/>
  <c r="J3840" i="4"/>
  <c r="F3840" i="4"/>
  <c r="K3839" i="4"/>
  <c r="J3839" i="4"/>
  <c r="E3839" i="4"/>
  <c r="K3838" i="4"/>
  <c r="J3838" i="4"/>
  <c r="F3838" i="4"/>
  <c r="E3838" i="4"/>
  <c r="K3837" i="4"/>
  <c r="J3837" i="4"/>
  <c r="L3837" i="4" s="1"/>
  <c r="M3837" i="4" s="1"/>
  <c r="F3837" i="4"/>
  <c r="E3837" i="4"/>
  <c r="F3836" i="4"/>
  <c r="E3836" i="4"/>
  <c r="K3835" i="4"/>
  <c r="J3835" i="4"/>
  <c r="E3835" i="4"/>
  <c r="K3834" i="4"/>
  <c r="J3834" i="4"/>
  <c r="E3834" i="4"/>
  <c r="K3833" i="4"/>
  <c r="J3833" i="4"/>
  <c r="F3833" i="4"/>
  <c r="E3833" i="4"/>
  <c r="K3832" i="4"/>
  <c r="F3832" i="4"/>
  <c r="E3832" i="4"/>
  <c r="K3831" i="4"/>
  <c r="J3831" i="4"/>
  <c r="L3831" i="4" s="1"/>
  <c r="F3831" i="4"/>
  <c r="E3831" i="4"/>
  <c r="J3830" i="4"/>
  <c r="E3830" i="4"/>
  <c r="K3829" i="4"/>
  <c r="J3829" i="4"/>
  <c r="F3829" i="4"/>
  <c r="E3829" i="4"/>
  <c r="J3828" i="4"/>
  <c r="F3828" i="4"/>
  <c r="J3827" i="4"/>
  <c r="E3827" i="4"/>
  <c r="K3826" i="4"/>
  <c r="J3826" i="4"/>
  <c r="E3826" i="4"/>
  <c r="K3825" i="4"/>
  <c r="J3825" i="4"/>
  <c r="F3825" i="4"/>
  <c r="E3825" i="4"/>
  <c r="K3824" i="4"/>
  <c r="F3824" i="4"/>
  <c r="E3824" i="4"/>
  <c r="K3823" i="4"/>
  <c r="J3823" i="4"/>
  <c r="E3823" i="4"/>
  <c r="K3822" i="4"/>
  <c r="J3822" i="4"/>
  <c r="F3822" i="4"/>
  <c r="E3822" i="4"/>
  <c r="K3821" i="4"/>
  <c r="J3821" i="4"/>
  <c r="F3821" i="4"/>
  <c r="E3821" i="4"/>
  <c r="K3820" i="4"/>
  <c r="F3820" i="4"/>
  <c r="E3820" i="4"/>
  <c r="J3819" i="4"/>
  <c r="E3819" i="4"/>
  <c r="J3818" i="4"/>
  <c r="E3818" i="4"/>
  <c r="K3817" i="4"/>
  <c r="J3817" i="4"/>
  <c r="F3817" i="4"/>
  <c r="E3817" i="4"/>
  <c r="G3817" i="4" s="1"/>
  <c r="H3817" i="4" s="1"/>
  <c r="K3816" i="4"/>
  <c r="L3816" i="4" s="1"/>
  <c r="J3816" i="4"/>
  <c r="F3816" i="4"/>
  <c r="K3815" i="4"/>
  <c r="J3815" i="4"/>
  <c r="E3815" i="4"/>
  <c r="K3814" i="4"/>
  <c r="J3814" i="4"/>
  <c r="F3814" i="4"/>
  <c r="E3814" i="4"/>
  <c r="K3813" i="4"/>
  <c r="J3813" i="4"/>
  <c r="F3813" i="4"/>
  <c r="E3813" i="4"/>
  <c r="F3812" i="4"/>
  <c r="E3812" i="4"/>
  <c r="K3811" i="4"/>
  <c r="J3811" i="4"/>
  <c r="E3811" i="4"/>
  <c r="K3810" i="4"/>
  <c r="J3810" i="4"/>
  <c r="E3810" i="4"/>
  <c r="K3809" i="4"/>
  <c r="J3809" i="4"/>
  <c r="F3809" i="4"/>
  <c r="E3809" i="4"/>
  <c r="K3808" i="4"/>
  <c r="F3808" i="4"/>
  <c r="E3808" i="4"/>
  <c r="K3807" i="4"/>
  <c r="J3807" i="4"/>
  <c r="F3807" i="4"/>
  <c r="E3807" i="4"/>
  <c r="J3806" i="4"/>
  <c r="E3806" i="4"/>
  <c r="K3805" i="4"/>
  <c r="J3805" i="4"/>
  <c r="F3805" i="4"/>
  <c r="E3805" i="4"/>
  <c r="J3804" i="4"/>
  <c r="F3804" i="4"/>
  <c r="J3803" i="4"/>
  <c r="E3803" i="4"/>
  <c r="K3802" i="4"/>
  <c r="J3802" i="4"/>
  <c r="E3802" i="4"/>
  <c r="K3801" i="4"/>
  <c r="J3801" i="4"/>
  <c r="F3801" i="4"/>
  <c r="E3801" i="4"/>
  <c r="F3800" i="4"/>
  <c r="E3800" i="4"/>
  <c r="G3800" i="4" s="1"/>
  <c r="K3799" i="4"/>
  <c r="J3799" i="4"/>
  <c r="E3799" i="4"/>
  <c r="K3798" i="4"/>
  <c r="J3798" i="4"/>
  <c r="F3798" i="4"/>
  <c r="E3798" i="4"/>
  <c r="K3797" i="4"/>
  <c r="J3797" i="4"/>
  <c r="F3797" i="4"/>
  <c r="E3797" i="4"/>
  <c r="K3796" i="4"/>
  <c r="F3796" i="4"/>
  <c r="J3795" i="4"/>
  <c r="F3795" i="4"/>
  <c r="E3795" i="4"/>
  <c r="J3794" i="4"/>
  <c r="E3794" i="4"/>
  <c r="K3793" i="4"/>
  <c r="J3793" i="4"/>
  <c r="F3793" i="4"/>
  <c r="E3793" i="4"/>
  <c r="K3792" i="4"/>
  <c r="J3792" i="4"/>
  <c r="F3792" i="4"/>
  <c r="K3791" i="4"/>
  <c r="J3791" i="4"/>
  <c r="L3791" i="4" s="1"/>
  <c r="M3791" i="4" s="1"/>
  <c r="E3791" i="4"/>
  <c r="K3790" i="4"/>
  <c r="J3790" i="4"/>
  <c r="F3790" i="4"/>
  <c r="E3790" i="4"/>
  <c r="K3789" i="4"/>
  <c r="J3789" i="4"/>
  <c r="L3789" i="4" s="1"/>
  <c r="M3789" i="4" s="1"/>
  <c r="F3789" i="4"/>
  <c r="E3789" i="4"/>
  <c r="F3788" i="4"/>
  <c r="E3788" i="4"/>
  <c r="K3787" i="4"/>
  <c r="J3787" i="4"/>
  <c r="E3787" i="4"/>
  <c r="K3786" i="4"/>
  <c r="J3786" i="4"/>
  <c r="F3786" i="4"/>
  <c r="E3786" i="4"/>
  <c r="K3785" i="4"/>
  <c r="J3785" i="4"/>
  <c r="L3785" i="4" s="1"/>
  <c r="M3785" i="4" s="1"/>
  <c r="F3785" i="4"/>
  <c r="E3785" i="4"/>
  <c r="K3784" i="4"/>
  <c r="J3784" i="4"/>
  <c r="F3784" i="4"/>
  <c r="J3783" i="4"/>
  <c r="F3783" i="4"/>
  <c r="E3783" i="4"/>
  <c r="J3782" i="4"/>
  <c r="E3782" i="4"/>
  <c r="K3781" i="4"/>
  <c r="J3781" i="4"/>
  <c r="F3781" i="4"/>
  <c r="E3781" i="4"/>
  <c r="K3780" i="4"/>
  <c r="J3780" i="4"/>
  <c r="F3780" i="4"/>
  <c r="K3779" i="4"/>
  <c r="J3779" i="4"/>
  <c r="E3779" i="4"/>
  <c r="K3778" i="4"/>
  <c r="J3778" i="4"/>
  <c r="F3778" i="4"/>
  <c r="E3778" i="4"/>
  <c r="K3777" i="4"/>
  <c r="J3777" i="4"/>
  <c r="F3777" i="4"/>
  <c r="E3777" i="4"/>
  <c r="F3776" i="4"/>
  <c r="E3776" i="4"/>
  <c r="K3775" i="4"/>
  <c r="J3775" i="4"/>
  <c r="E3775" i="4"/>
  <c r="K3774" i="4"/>
  <c r="J3774" i="4"/>
  <c r="F3774" i="4"/>
  <c r="E3774" i="4"/>
  <c r="K3773" i="4"/>
  <c r="J3773" i="4"/>
  <c r="F3773" i="4"/>
  <c r="E3773" i="4"/>
  <c r="K3772" i="4"/>
  <c r="F3772" i="4"/>
  <c r="J3771" i="4"/>
  <c r="F3771" i="4"/>
  <c r="E3771" i="4"/>
  <c r="J3770" i="4"/>
  <c r="E3770" i="4"/>
  <c r="K3769" i="4"/>
  <c r="J3769" i="4"/>
  <c r="F3769" i="4"/>
  <c r="E3769" i="4"/>
  <c r="K3768" i="4"/>
  <c r="J3768" i="4"/>
  <c r="F3768" i="4"/>
  <c r="K3767" i="4"/>
  <c r="J3767" i="4"/>
  <c r="E3767" i="4"/>
  <c r="K3766" i="4"/>
  <c r="J3766" i="4"/>
  <c r="E3766" i="4"/>
  <c r="K3765" i="4"/>
  <c r="J3765" i="4"/>
  <c r="L3765" i="4" s="1"/>
  <c r="M3765" i="4" s="1"/>
  <c r="E3765" i="4"/>
  <c r="F3764" i="4"/>
  <c r="E3764" i="4"/>
  <c r="G3764" i="4" s="1"/>
  <c r="K3763" i="4"/>
  <c r="J3763" i="4"/>
  <c r="E3763" i="4"/>
  <c r="K3762" i="4"/>
  <c r="J3762" i="4"/>
  <c r="F3762" i="4"/>
  <c r="E3762" i="4"/>
  <c r="K3761" i="4"/>
  <c r="J3761" i="4"/>
  <c r="F3761" i="4"/>
  <c r="E3761" i="4"/>
  <c r="K3760" i="4"/>
  <c r="F3760" i="4"/>
  <c r="E3760" i="4"/>
  <c r="J3759" i="4"/>
  <c r="F3759" i="4"/>
  <c r="E3759" i="4"/>
  <c r="J3758" i="4"/>
  <c r="E3758" i="4"/>
  <c r="K3757" i="4"/>
  <c r="J3757" i="4"/>
  <c r="F3757" i="4"/>
  <c r="E3757" i="4"/>
  <c r="K3756" i="4"/>
  <c r="J3756" i="4"/>
  <c r="L3756" i="4" s="1"/>
  <c r="M3756" i="4" s="1"/>
  <c r="F3756" i="4"/>
  <c r="K3755" i="4"/>
  <c r="J3755" i="4"/>
  <c r="E3755" i="4"/>
  <c r="K3754" i="4"/>
  <c r="J3754" i="4"/>
  <c r="F3754" i="4"/>
  <c r="E3754" i="4"/>
  <c r="K3753" i="4"/>
  <c r="J3753" i="4"/>
  <c r="F3753" i="4"/>
  <c r="E3753" i="4"/>
  <c r="F3752" i="4"/>
  <c r="E3752" i="4"/>
  <c r="K3751" i="4"/>
  <c r="J3751" i="4"/>
  <c r="E3751" i="4"/>
  <c r="K3750" i="4"/>
  <c r="J3750" i="4"/>
  <c r="F3750" i="4"/>
  <c r="E3750" i="4"/>
  <c r="K3749" i="4"/>
  <c r="J3749" i="4"/>
  <c r="F3749" i="4"/>
  <c r="E3749" i="4"/>
  <c r="K3748" i="4"/>
  <c r="F3748" i="4"/>
  <c r="E3748" i="4"/>
  <c r="J3747" i="4"/>
  <c r="F3747" i="4"/>
  <c r="E3747" i="4"/>
  <c r="J3746" i="4"/>
  <c r="E3746" i="4"/>
  <c r="K3745" i="4"/>
  <c r="J3745" i="4"/>
  <c r="F3745" i="4"/>
  <c r="E3745" i="4"/>
  <c r="K3744" i="4"/>
  <c r="J3744" i="4"/>
  <c r="F3744" i="4"/>
  <c r="K3743" i="4"/>
  <c r="L3743" i="4" s="1"/>
  <c r="J3743" i="4"/>
  <c r="E3743" i="4"/>
  <c r="K3742" i="4"/>
  <c r="J3742" i="4"/>
  <c r="F3742" i="4"/>
  <c r="E3742" i="4"/>
  <c r="K3741" i="4"/>
  <c r="J3741" i="4"/>
  <c r="F3741" i="4"/>
  <c r="E3741" i="4"/>
  <c r="F3740" i="4"/>
  <c r="E3740" i="4"/>
  <c r="G3740" i="4" s="1"/>
  <c r="K3739" i="4"/>
  <c r="J3739" i="4"/>
  <c r="E3739" i="4"/>
  <c r="K3738" i="4"/>
  <c r="J3738" i="4"/>
  <c r="F3738" i="4"/>
  <c r="E3738" i="4"/>
  <c r="K3737" i="4"/>
  <c r="J3737" i="4"/>
  <c r="F3737" i="4"/>
  <c r="E3737" i="4"/>
  <c r="K3736" i="4"/>
  <c r="F3736" i="4"/>
  <c r="E3736" i="4"/>
  <c r="J3735" i="4"/>
  <c r="F3735" i="4"/>
  <c r="E3735" i="4"/>
  <c r="J3734" i="4"/>
  <c r="E3734" i="4"/>
  <c r="K3733" i="4"/>
  <c r="J3733" i="4"/>
  <c r="F3733" i="4"/>
  <c r="E3733" i="4"/>
  <c r="K3732" i="4"/>
  <c r="J3732" i="4"/>
  <c r="F3732" i="4"/>
  <c r="K3731" i="4"/>
  <c r="J3731" i="4"/>
  <c r="E3731" i="4"/>
  <c r="K3730" i="4"/>
  <c r="J3730" i="4"/>
  <c r="F3730" i="4"/>
  <c r="E3730" i="4"/>
  <c r="G3730" i="4" s="1"/>
  <c r="K3729" i="4"/>
  <c r="J3729" i="4"/>
  <c r="F3729" i="4"/>
  <c r="E3729" i="4"/>
  <c r="J3728" i="4"/>
  <c r="F3728" i="4"/>
  <c r="E3728" i="4"/>
  <c r="K3727" i="4"/>
  <c r="J3727" i="4"/>
  <c r="L3727" i="4" s="1"/>
  <c r="F3727" i="4"/>
  <c r="E3727" i="4"/>
  <c r="K3726" i="4"/>
  <c r="J3726" i="4"/>
  <c r="F3726" i="4"/>
  <c r="E3726" i="4"/>
  <c r="K3725" i="4"/>
  <c r="J3725" i="4"/>
  <c r="F3725" i="4"/>
  <c r="K3724" i="4"/>
  <c r="F3724" i="4"/>
  <c r="E3724" i="4"/>
  <c r="G3724" i="4" s="1"/>
  <c r="J3723" i="4"/>
  <c r="F3723" i="4"/>
  <c r="E3723" i="4"/>
  <c r="J3722" i="4"/>
  <c r="F3722" i="4"/>
  <c r="K3721" i="4"/>
  <c r="J3721" i="4"/>
  <c r="F3721" i="4"/>
  <c r="E3721" i="4"/>
  <c r="K3720" i="4"/>
  <c r="J3720" i="4"/>
  <c r="F3720" i="4"/>
  <c r="E3720" i="4"/>
  <c r="K3719" i="4"/>
  <c r="J3719" i="4"/>
  <c r="K3718" i="4"/>
  <c r="J3718" i="4"/>
  <c r="F3718" i="4"/>
  <c r="E3718" i="4"/>
  <c r="K3717" i="4"/>
  <c r="J3717" i="4"/>
  <c r="F3717" i="4"/>
  <c r="E3717" i="4"/>
  <c r="F3716" i="4"/>
  <c r="E3716" i="4"/>
  <c r="K3715" i="4"/>
  <c r="J3715" i="4"/>
  <c r="F3715" i="4"/>
  <c r="K3714" i="4"/>
  <c r="J3714" i="4"/>
  <c r="F3714" i="4"/>
  <c r="E3714" i="4"/>
  <c r="K3713" i="4"/>
  <c r="J3713" i="4"/>
  <c r="F3713" i="4"/>
  <c r="E3713" i="4"/>
  <c r="K3712" i="4"/>
  <c r="F3712" i="4"/>
  <c r="E3712" i="4"/>
  <c r="J3711" i="4"/>
  <c r="F3711" i="4"/>
  <c r="E3711" i="4"/>
  <c r="J3710" i="4"/>
  <c r="F3710" i="4"/>
  <c r="K3709" i="4"/>
  <c r="J3709" i="4"/>
  <c r="F3709" i="4"/>
  <c r="E3709" i="4"/>
  <c r="K3708" i="4"/>
  <c r="J3708" i="4"/>
  <c r="F3708" i="4"/>
  <c r="E3708" i="4"/>
  <c r="K3707" i="4"/>
  <c r="J3707" i="4"/>
  <c r="K3706" i="4"/>
  <c r="J3706" i="4"/>
  <c r="F3706" i="4"/>
  <c r="E3706" i="4"/>
  <c r="K3705" i="4"/>
  <c r="J3705" i="4"/>
  <c r="F3705" i="4"/>
  <c r="E3705" i="4"/>
  <c r="F3704" i="4"/>
  <c r="E3704" i="4"/>
  <c r="K3703" i="4"/>
  <c r="J3703" i="4"/>
  <c r="F3703" i="4"/>
  <c r="K3702" i="4"/>
  <c r="J3702" i="4"/>
  <c r="F3702" i="4"/>
  <c r="E3702" i="4"/>
  <c r="K3701" i="4"/>
  <c r="J3701" i="4"/>
  <c r="F3701" i="4"/>
  <c r="E3701" i="4"/>
  <c r="K3700" i="4"/>
  <c r="F3700" i="4"/>
  <c r="E3700" i="4"/>
  <c r="J3699" i="4"/>
  <c r="F3699" i="4"/>
  <c r="E3699" i="4"/>
  <c r="J3698" i="4"/>
  <c r="F3698" i="4"/>
  <c r="K3697" i="4"/>
  <c r="J3697" i="4"/>
  <c r="F3697" i="4"/>
  <c r="E3697" i="4"/>
  <c r="K3696" i="4"/>
  <c r="J3696" i="4"/>
  <c r="F3696" i="4"/>
  <c r="E3696" i="4"/>
  <c r="K3695" i="4"/>
  <c r="J3695" i="4"/>
  <c r="K3694" i="4"/>
  <c r="J3694" i="4"/>
  <c r="F3694" i="4"/>
  <c r="E3694" i="4"/>
  <c r="K3693" i="4"/>
  <c r="J3693" i="4"/>
  <c r="F3693" i="4"/>
  <c r="E3693" i="4"/>
  <c r="F3692" i="4"/>
  <c r="E3692" i="4"/>
  <c r="K3691" i="4"/>
  <c r="J3691" i="4"/>
  <c r="F3691" i="4"/>
  <c r="K3690" i="4"/>
  <c r="L3690" i="4" s="1"/>
  <c r="M3690" i="4" s="1"/>
  <c r="J3690" i="4"/>
  <c r="F3690" i="4"/>
  <c r="E3690" i="4"/>
  <c r="K3689" i="4"/>
  <c r="J3689" i="4"/>
  <c r="F3689" i="4"/>
  <c r="E3689" i="4"/>
  <c r="K3688" i="4"/>
  <c r="F3688" i="4"/>
  <c r="E3688" i="4"/>
  <c r="J3687" i="4"/>
  <c r="F3687" i="4"/>
  <c r="E3687" i="4"/>
  <c r="J3686" i="4"/>
  <c r="F3686" i="4"/>
  <c r="K3685" i="4"/>
  <c r="J3685" i="4"/>
  <c r="F3685" i="4"/>
  <c r="E3685" i="4"/>
  <c r="K3684" i="4"/>
  <c r="J3684" i="4"/>
  <c r="F3684" i="4"/>
  <c r="E3684" i="4"/>
  <c r="K3683" i="4"/>
  <c r="J3683" i="4"/>
  <c r="F3683" i="4"/>
  <c r="E3683" i="4"/>
  <c r="K3682" i="4"/>
  <c r="J3682" i="4"/>
  <c r="F3682" i="4"/>
  <c r="E3682" i="4"/>
  <c r="K3681" i="4"/>
  <c r="J3681" i="4"/>
  <c r="F3681" i="4"/>
  <c r="E3681" i="4"/>
  <c r="F3680" i="4"/>
  <c r="J3679" i="4"/>
  <c r="K3678" i="4"/>
  <c r="J3678" i="4"/>
  <c r="F3678" i="4"/>
  <c r="E3678" i="4"/>
  <c r="K3677" i="4"/>
  <c r="J3677" i="4"/>
  <c r="F3677" i="4"/>
  <c r="E3677" i="4"/>
  <c r="K3676" i="4"/>
  <c r="F3676" i="4"/>
  <c r="E3676" i="4"/>
  <c r="G3676" i="4" s="1"/>
  <c r="E3675" i="4"/>
  <c r="J3674" i="4"/>
  <c r="F3674" i="4"/>
  <c r="E3674" i="4"/>
  <c r="J3673" i="4"/>
  <c r="E3673" i="4"/>
  <c r="J3672" i="4"/>
  <c r="E3672" i="4"/>
  <c r="J3671" i="4"/>
  <c r="F3670" i="4"/>
  <c r="F3669" i="4"/>
  <c r="F3668" i="4"/>
  <c r="J3667" i="4"/>
  <c r="F3667" i="4"/>
  <c r="E3667" i="4"/>
  <c r="K3666" i="4"/>
  <c r="F3666" i="4"/>
  <c r="E3666" i="4"/>
  <c r="J3665" i="4"/>
  <c r="F3665" i="4"/>
  <c r="K3664" i="4"/>
  <c r="J3664" i="4"/>
  <c r="F3664" i="4"/>
  <c r="E3664" i="4"/>
  <c r="F3663" i="4"/>
  <c r="E3663" i="4"/>
  <c r="F3662" i="4"/>
  <c r="K3661" i="4"/>
  <c r="J3661" i="4"/>
  <c r="L3661" i="4" s="1"/>
  <c r="M3661" i="4" s="1"/>
  <c r="F3661" i="4"/>
  <c r="E3661" i="4"/>
  <c r="K3660" i="4"/>
  <c r="J3660" i="4"/>
  <c r="F3660" i="4"/>
  <c r="E3660" i="4"/>
  <c r="K3659" i="4"/>
  <c r="J3659" i="4"/>
  <c r="F3659" i="4"/>
  <c r="E3659" i="4"/>
  <c r="K3658" i="4"/>
  <c r="J3658" i="4"/>
  <c r="F3658" i="4"/>
  <c r="E3658" i="4"/>
  <c r="K3657" i="4"/>
  <c r="J3657" i="4"/>
  <c r="F3657" i="4"/>
  <c r="E3657" i="4"/>
  <c r="K3656" i="4"/>
  <c r="J3656" i="4"/>
  <c r="F3656" i="4"/>
  <c r="E3656" i="4"/>
  <c r="K3655" i="4"/>
  <c r="J3655" i="4"/>
  <c r="L3655" i="4" s="1"/>
  <c r="F3655" i="4"/>
  <c r="E3655" i="4"/>
  <c r="K3654" i="4"/>
  <c r="J3654" i="4"/>
  <c r="F3654" i="4"/>
  <c r="E3654" i="4"/>
  <c r="K3653" i="4"/>
  <c r="J3653" i="4"/>
  <c r="F3653" i="4"/>
  <c r="E3653" i="4"/>
  <c r="K3652" i="4"/>
  <c r="J3652" i="4"/>
  <c r="F3652" i="4"/>
  <c r="E3652" i="4"/>
  <c r="K3651" i="4"/>
  <c r="J3651" i="4"/>
  <c r="F3651" i="4"/>
  <c r="E3651" i="4"/>
  <c r="K3650" i="4"/>
  <c r="J3650" i="4"/>
  <c r="F3650" i="4"/>
  <c r="E3650" i="4"/>
  <c r="G3650" i="4" s="1"/>
  <c r="H3650" i="4" s="1"/>
  <c r="L3649" i="4"/>
  <c r="M3649" i="4" s="1"/>
  <c r="G3649" i="4"/>
  <c r="I3649" i="4" s="1"/>
  <c r="L3648" i="4"/>
  <c r="N3648" i="4" s="1"/>
  <c r="G3648" i="4"/>
  <c r="H3648" i="4" s="1"/>
  <c r="L3647" i="4"/>
  <c r="M3647" i="4" s="1"/>
  <c r="G3647" i="4"/>
  <c r="L3646" i="4"/>
  <c r="N3646" i="4" s="1"/>
  <c r="G3646" i="4"/>
  <c r="I3646" i="4" s="1"/>
  <c r="L3645" i="4"/>
  <c r="M3645" i="4" s="1"/>
  <c r="G3645" i="4"/>
  <c r="I3645" i="4" s="1"/>
  <c r="L3644" i="4"/>
  <c r="N3644" i="4" s="1"/>
  <c r="G3644" i="4"/>
  <c r="H3644" i="4" s="1"/>
  <c r="L3643" i="4"/>
  <c r="N3643" i="4" s="1"/>
  <c r="G3643" i="4"/>
  <c r="L3642" i="4"/>
  <c r="N3642" i="4" s="1"/>
  <c r="G3642" i="4"/>
  <c r="H3642" i="4" s="1"/>
  <c r="L3641" i="4"/>
  <c r="M3641" i="4" s="1"/>
  <c r="G3641" i="4"/>
  <c r="I3641" i="4" s="1"/>
  <c r="L3640" i="4"/>
  <c r="N3640" i="4" s="1"/>
  <c r="G3640" i="4"/>
  <c r="H3640" i="4" s="1"/>
  <c r="L3639" i="4"/>
  <c r="M3639" i="4" s="1"/>
  <c r="G3639" i="4"/>
  <c r="L3638" i="4"/>
  <c r="N3638" i="4" s="1"/>
  <c r="G3638" i="4"/>
  <c r="I3638" i="4" s="1"/>
  <c r="L3637" i="4"/>
  <c r="M3637" i="4" s="1"/>
  <c r="G3637" i="4"/>
  <c r="I3637" i="4" s="1"/>
  <c r="L3636" i="4"/>
  <c r="M3636" i="4" s="1"/>
  <c r="G3636" i="4"/>
  <c r="H3636" i="4" s="1"/>
  <c r="L3635" i="4"/>
  <c r="M3635" i="4" s="1"/>
  <c r="G3635" i="4"/>
  <c r="L3634" i="4"/>
  <c r="G3634" i="4"/>
  <c r="I3634" i="4" s="1"/>
  <c r="L3633" i="4"/>
  <c r="M3633" i="4" s="1"/>
  <c r="G3633" i="4"/>
  <c r="L3632" i="4"/>
  <c r="N3632" i="4" s="1"/>
  <c r="G3632" i="4"/>
  <c r="L3631" i="4"/>
  <c r="G3631" i="4"/>
  <c r="I3631" i="4" s="1"/>
  <c r="L3630" i="4"/>
  <c r="N3630" i="4" s="1"/>
  <c r="G3630" i="4"/>
  <c r="I3630" i="4" s="1"/>
  <c r="L3629" i="4"/>
  <c r="M3629" i="4" s="1"/>
  <c r="G3629" i="4"/>
  <c r="L3628" i="4"/>
  <c r="N3628" i="4" s="1"/>
  <c r="G3628" i="4"/>
  <c r="H3628" i="4" s="1"/>
  <c r="L3627" i="4"/>
  <c r="N3627" i="4" s="1"/>
  <c r="G3627" i="4"/>
  <c r="I3627" i="4" s="1"/>
  <c r="L3626" i="4"/>
  <c r="N3626" i="4" s="1"/>
  <c r="G3626" i="4"/>
  <c r="L3625" i="4"/>
  <c r="M3625" i="4" s="1"/>
  <c r="G3625" i="4"/>
  <c r="L3624" i="4"/>
  <c r="N3624" i="4" s="1"/>
  <c r="G3624" i="4"/>
  <c r="H3624" i="4" s="1"/>
  <c r="L3623" i="4"/>
  <c r="N3623" i="4" s="1"/>
  <c r="G3623" i="4"/>
  <c r="I3623" i="4" s="1"/>
  <c r="L3622" i="4"/>
  <c r="N3622" i="4" s="1"/>
  <c r="G3622" i="4"/>
  <c r="I3622" i="4" s="1"/>
  <c r="L3621" i="4"/>
  <c r="M3621" i="4" s="1"/>
  <c r="G3621" i="4"/>
  <c r="I3621" i="4" s="1"/>
  <c r="M3620" i="4"/>
  <c r="L3620" i="4"/>
  <c r="N3620" i="4" s="1"/>
  <c r="G3620" i="4"/>
  <c r="H3620" i="4" s="1"/>
  <c r="L3619" i="4"/>
  <c r="M3619" i="4" s="1"/>
  <c r="G3619" i="4"/>
  <c r="I3619" i="4" s="1"/>
  <c r="L3618" i="4"/>
  <c r="N3618" i="4" s="1"/>
  <c r="G3618" i="4"/>
  <c r="H3618" i="4" s="1"/>
  <c r="L3617" i="4"/>
  <c r="G3617" i="4"/>
  <c r="I3617" i="4" s="1"/>
  <c r="L3616" i="4"/>
  <c r="M3616" i="4" s="1"/>
  <c r="G3616" i="4"/>
  <c r="H3616" i="4" s="1"/>
  <c r="L3615" i="4"/>
  <c r="M3615" i="4" s="1"/>
  <c r="G3615" i="4"/>
  <c r="I3615" i="4" s="1"/>
  <c r="L3614" i="4"/>
  <c r="N3614" i="4" s="1"/>
  <c r="G3614" i="4"/>
  <c r="I3614" i="4" s="1"/>
  <c r="L3613" i="4"/>
  <c r="G3613" i="4"/>
  <c r="L3612" i="4"/>
  <c r="N3612" i="4" s="1"/>
  <c r="G3612" i="4"/>
  <c r="H3612" i="4" s="1"/>
  <c r="L3611" i="4"/>
  <c r="G3611" i="4"/>
  <c r="I3611" i="4" s="1"/>
  <c r="L3610" i="4"/>
  <c r="N3610" i="4" s="1"/>
  <c r="G3610" i="4"/>
  <c r="H3610" i="4" s="1"/>
  <c r="L3609" i="4"/>
  <c r="G3609" i="4"/>
  <c r="I3609" i="4" s="1"/>
  <c r="L3608" i="4"/>
  <c r="N3608" i="4" s="1"/>
  <c r="G3608" i="4"/>
  <c r="H3608" i="4" s="1"/>
  <c r="L3607" i="4"/>
  <c r="N3607" i="4" s="1"/>
  <c r="G3607" i="4"/>
  <c r="I3607" i="4" s="1"/>
  <c r="L3606" i="4"/>
  <c r="M3606" i="4" s="1"/>
  <c r="G3606" i="4"/>
  <c r="L3605" i="4"/>
  <c r="M3605" i="4" s="1"/>
  <c r="G3605" i="4"/>
  <c r="I3605" i="4" s="1"/>
  <c r="L3604" i="4"/>
  <c r="N3604" i="4" s="1"/>
  <c r="G3604" i="4"/>
  <c r="H3604" i="4" s="1"/>
  <c r="L3603" i="4"/>
  <c r="N3603" i="4" s="1"/>
  <c r="G3603" i="4"/>
  <c r="I3603" i="4" s="1"/>
  <c r="L3602" i="4"/>
  <c r="N3602" i="4" s="1"/>
  <c r="G3602" i="4"/>
  <c r="I3602" i="4" s="1"/>
  <c r="L3601" i="4"/>
  <c r="M3601" i="4" s="1"/>
  <c r="G3601" i="4"/>
  <c r="L3600" i="4"/>
  <c r="N3600" i="4" s="1"/>
  <c r="G3600" i="4"/>
  <c r="H3600" i="4" s="1"/>
  <c r="L3599" i="4"/>
  <c r="N3599" i="4" s="1"/>
  <c r="G3599" i="4"/>
  <c r="I3599" i="4" s="1"/>
  <c r="L3598" i="4"/>
  <c r="M3598" i="4" s="1"/>
  <c r="G3598" i="4"/>
  <c r="I3598" i="4" s="1"/>
  <c r="L3597" i="4"/>
  <c r="M3597" i="4" s="1"/>
  <c r="G3597" i="4"/>
  <c r="I3597" i="4" s="1"/>
  <c r="L3596" i="4"/>
  <c r="N3596" i="4" s="1"/>
  <c r="G3596" i="4"/>
  <c r="H3596" i="4" s="1"/>
  <c r="L3595" i="4"/>
  <c r="M3595" i="4" s="1"/>
  <c r="G3595" i="4"/>
  <c r="I3595" i="4" s="1"/>
  <c r="L3594" i="4"/>
  <c r="N3594" i="4" s="1"/>
  <c r="G3594" i="4"/>
  <c r="H3594" i="4" s="1"/>
  <c r="L3593" i="4"/>
  <c r="M3593" i="4" s="1"/>
  <c r="G3593" i="4"/>
  <c r="I3593" i="4" s="1"/>
  <c r="L3592" i="4"/>
  <c r="M3592" i="4" s="1"/>
  <c r="G3592" i="4"/>
  <c r="H3592" i="4" s="1"/>
  <c r="L3591" i="4"/>
  <c r="N3591" i="4" s="1"/>
  <c r="G3591" i="4"/>
  <c r="I3591" i="4" s="1"/>
  <c r="L3590" i="4"/>
  <c r="N3590" i="4" s="1"/>
  <c r="G3590" i="4"/>
  <c r="I3590" i="4" s="1"/>
  <c r="L3589" i="4"/>
  <c r="M3589" i="4" s="1"/>
  <c r="G3589" i="4"/>
  <c r="I3589" i="4" s="1"/>
  <c r="L3588" i="4"/>
  <c r="N3588" i="4" s="1"/>
  <c r="G3588" i="4"/>
  <c r="H3588" i="4" s="1"/>
  <c r="L3587" i="4"/>
  <c r="N3587" i="4" s="1"/>
  <c r="G3587" i="4"/>
  <c r="I3587" i="4" s="1"/>
  <c r="L3586" i="4"/>
  <c r="G3586" i="4"/>
  <c r="H3586" i="4" s="1"/>
  <c r="L3585" i="4"/>
  <c r="M3585" i="4" s="1"/>
  <c r="G3585" i="4"/>
  <c r="I3585" i="4" s="1"/>
  <c r="L3584" i="4"/>
  <c r="N3584" i="4" s="1"/>
  <c r="G3584" i="4"/>
  <c r="L3583" i="4"/>
  <c r="G3583" i="4"/>
  <c r="I3583" i="4" s="1"/>
  <c r="L3582" i="4"/>
  <c r="M3582" i="4" s="1"/>
  <c r="G3582" i="4"/>
  <c r="L3581" i="4"/>
  <c r="M3581" i="4" s="1"/>
  <c r="G3581" i="4"/>
  <c r="I3581" i="4" s="1"/>
  <c r="L3580" i="4"/>
  <c r="N3580" i="4" s="1"/>
  <c r="G3580" i="4"/>
  <c r="H3580" i="4" s="1"/>
  <c r="L3579" i="4"/>
  <c r="M3579" i="4" s="1"/>
  <c r="G3579" i="4"/>
  <c r="I3579" i="4" s="1"/>
  <c r="L3578" i="4"/>
  <c r="N3578" i="4" s="1"/>
  <c r="G3578" i="4"/>
  <c r="I3578" i="4" s="1"/>
  <c r="L3577" i="4"/>
  <c r="M3577" i="4" s="1"/>
  <c r="G3577" i="4"/>
  <c r="L3576" i="4"/>
  <c r="N3576" i="4" s="1"/>
  <c r="G3576" i="4"/>
  <c r="H3576" i="4" s="1"/>
  <c r="L3575" i="4"/>
  <c r="M3575" i="4" s="1"/>
  <c r="G3575" i="4"/>
  <c r="I3575" i="4" s="1"/>
  <c r="L3574" i="4"/>
  <c r="N3574" i="4" s="1"/>
  <c r="G3574" i="4"/>
  <c r="I3574" i="4" s="1"/>
  <c r="L3573" i="4"/>
  <c r="M3573" i="4" s="1"/>
  <c r="H3573" i="4"/>
  <c r="G3573" i="4"/>
  <c r="I3573" i="4" s="1"/>
  <c r="L3572" i="4"/>
  <c r="N3572" i="4" s="1"/>
  <c r="G3572" i="4"/>
  <c r="H3572" i="4" s="1"/>
  <c r="L3571" i="4"/>
  <c r="N3571" i="4" s="1"/>
  <c r="G3571" i="4"/>
  <c r="I3571" i="4" s="1"/>
  <c r="L3570" i="4"/>
  <c r="N3570" i="4" s="1"/>
  <c r="G3570" i="4"/>
  <c r="H3570" i="4" s="1"/>
  <c r="L3569" i="4"/>
  <c r="M3569" i="4" s="1"/>
  <c r="G3569" i="4"/>
  <c r="I3569" i="4" s="1"/>
  <c r="L3568" i="4"/>
  <c r="N3568" i="4" s="1"/>
  <c r="G3568" i="4"/>
  <c r="H3568" i="4" s="1"/>
  <c r="L3567" i="4"/>
  <c r="N3567" i="4" s="1"/>
  <c r="G3567" i="4"/>
  <c r="I3567" i="4" s="1"/>
  <c r="L3566" i="4"/>
  <c r="N3566" i="4" s="1"/>
  <c r="G3566" i="4"/>
  <c r="I3566" i="4" s="1"/>
  <c r="L3565" i="4"/>
  <c r="G3565" i="4"/>
  <c r="I3565" i="4" s="1"/>
  <c r="L3564" i="4"/>
  <c r="N3564" i="4" s="1"/>
  <c r="G3564" i="4"/>
  <c r="H3564" i="4" s="1"/>
  <c r="L3563" i="4"/>
  <c r="N3563" i="4" s="1"/>
  <c r="G3563" i="4"/>
  <c r="I3563" i="4" s="1"/>
  <c r="L3562" i="4"/>
  <c r="N3562" i="4" s="1"/>
  <c r="G3562" i="4"/>
  <c r="H3562" i="4" s="1"/>
  <c r="L3561" i="4"/>
  <c r="M3561" i="4" s="1"/>
  <c r="G3561" i="4"/>
  <c r="I3561" i="4" s="1"/>
  <c r="L3560" i="4"/>
  <c r="N3560" i="4" s="1"/>
  <c r="G3560" i="4"/>
  <c r="H3560" i="4" s="1"/>
  <c r="L3559" i="4"/>
  <c r="N3559" i="4" s="1"/>
  <c r="G3559" i="4"/>
  <c r="I3559" i="4" s="1"/>
  <c r="L3558" i="4"/>
  <c r="M3558" i="4" s="1"/>
  <c r="G3558" i="4"/>
  <c r="L3557" i="4"/>
  <c r="M3557" i="4" s="1"/>
  <c r="G3557" i="4"/>
  <c r="I3557" i="4" s="1"/>
  <c r="L3556" i="4"/>
  <c r="N3556" i="4" s="1"/>
  <c r="G3556" i="4"/>
  <c r="H3556" i="4" s="1"/>
  <c r="L3555" i="4"/>
  <c r="N3555" i="4" s="1"/>
  <c r="G3555" i="4"/>
  <c r="I3555" i="4" s="1"/>
  <c r="L3554" i="4"/>
  <c r="N3554" i="4" s="1"/>
  <c r="G3554" i="4"/>
  <c r="I3554" i="4" s="1"/>
  <c r="L3553" i="4"/>
  <c r="M3553" i="4" s="1"/>
  <c r="G3553" i="4"/>
  <c r="L3552" i="4"/>
  <c r="N3552" i="4" s="1"/>
  <c r="G3552" i="4"/>
  <c r="H3552" i="4" s="1"/>
  <c r="L3551" i="4"/>
  <c r="N3551" i="4" s="1"/>
  <c r="G3551" i="4"/>
  <c r="I3551" i="4" s="1"/>
  <c r="L3550" i="4"/>
  <c r="N3550" i="4" s="1"/>
  <c r="G3550" i="4"/>
  <c r="H3550" i="4" s="1"/>
  <c r="L3549" i="4"/>
  <c r="M3549" i="4" s="1"/>
  <c r="G3549" i="4"/>
  <c r="I3549" i="4" s="1"/>
  <c r="M3548" i="4"/>
  <c r="L3548" i="4"/>
  <c r="N3548" i="4" s="1"/>
  <c r="G3548" i="4"/>
  <c r="H3548" i="4" s="1"/>
  <c r="L3547" i="4"/>
  <c r="N3547" i="4" s="1"/>
  <c r="G3547" i="4"/>
  <c r="I3547" i="4" s="1"/>
  <c r="L3546" i="4"/>
  <c r="N3546" i="4" s="1"/>
  <c r="G3546" i="4"/>
  <c r="I3546" i="4" s="1"/>
  <c r="L3545" i="4"/>
  <c r="M3545" i="4" s="1"/>
  <c r="G3545" i="4"/>
  <c r="I3545" i="4" s="1"/>
  <c r="L3544" i="4"/>
  <c r="M3544" i="4" s="1"/>
  <c r="G3544" i="4"/>
  <c r="H3544" i="4" s="1"/>
  <c r="L3543" i="4"/>
  <c r="N3543" i="4" s="1"/>
  <c r="G3543" i="4"/>
  <c r="L3542" i="4"/>
  <c r="N3542" i="4" s="1"/>
  <c r="G3542" i="4"/>
  <c r="I3542" i="4" s="1"/>
  <c r="L3541" i="4"/>
  <c r="M3541" i="4" s="1"/>
  <c r="G3541" i="4"/>
  <c r="I3541" i="4" s="1"/>
  <c r="L3540" i="4"/>
  <c r="G3540" i="4"/>
  <c r="H3540" i="4" s="1"/>
  <c r="L3539" i="4"/>
  <c r="N3539" i="4" s="1"/>
  <c r="G3539" i="4"/>
  <c r="I3539" i="4" s="1"/>
  <c r="L3538" i="4"/>
  <c r="M3538" i="4" s="1"/>
  <c r="G3538" i="4"/>
  <c r="I3538" i="4" s="1"/>
  <c r="L3537" i="4"/>
  <c r="M3537" i="4" s="1"/>
  <c r="G3537" i="4"/>
  <c r="I3537" i="4" s="1"/>
  <c r="L3536" i="4"/>
  <c r="N3536" i="4" s="1"/>
  <c r="G3536" i="4"/>
  <c r="H3536" i="4" s="1"/>
  <c r="L3535" i="4"/>
  <c r="N3535" i="4" s="1"/>
  <c r="G3535" i="4"/>
  <c r="I3535" i="4" s="1"/>
  <c r="L3534" i="4"/>
  <c r="N3534" i="4" s="1"/>
  <c r="G3534" i="4"/>
  <c r="L3533" i="4"/>
  <c r="N3533" i="4" s="1"/>
  <c r="G3533" i="4"/>
  <c r="I3533" i="4" s="1"/>
  <c r="L3532" i="4"/>
  <c r="N3532" i="4" s="1"/>
  <c r="G3532" i="4"/>
  <c r="H3532" i="4" s="1"/>
  <c r="L3531" i="4"/>
  <c r="N3531" i="4" s="1"/>
  <c r="G3531" i="4"/>
  <c r="I3531" i="4" s="1"/>
  <c r="L3530" i="4"/>
  <c r="N3530" i="4" s="1"/>
  <c r="G3530" i="4"/>
  <c r="H3530" i="4" s="1"/>
  <c r="L3529" i="4"/>
  <c r="M3529" i="4" s="1"/>
  <c r="G3529" i="4"/>
  <c r="I3529" i="4" s="1"/>
  <c r="L3528" i="4"/>
  <c r="N3528" i="4" s="1"/>
  <c r="G3528" i="4"/>
  <c r="H3528" i="4" s="1"/>
  <c r="L3527" i="4"/>
  <c r="N3527" i="4" s="1"/>
  <c r="G3527" i="4"/>
  <c r="I3527" i="4" s="1"/>
  <c r="L3526" i="4"/>
  <c r="N3526" i="4" s="1"/>
  <c r="G3526" i="4"/>
  <c r="I3526" i="4" s="1"/>
  <c r="L3525" i="4"/>
  <c r="N3525" i="4" s="1"/>
  <c r="G3525" i="4"/>
  <c r="I3525" i="4" s="1"/>
  <c r="L3524" i="4"/>
  <c r="N3524" i="4" s="1"/>
  <c r="G3524" i="4"/>
  <c r="H3524" i="4" s="1"/>
  <c r="L3523" i="4"/>
  <c r="N3523" i="4" s="1"/>
  <c r="G3523" i="4"/>
  <c r="I3523" i="4" s="1"/>
  <c r="L3522" i="4"/>
  <c r="M3522" i="4" s="1"/>
  <c r="G3522" i="4"/>
  <c r="L3521" i="4"/>
  <c r="N3521" i="4" s="1"/>
  <c r="G3521" i="4"/>
  <c r="I3521" i="4" s="1"/>
  <c r="L3520" i="4"/>
  <c r="N3520" i="4" s="1"/>
  <c r="G3520" i="4"/>
  <c r="H3520" i="4" s="1"/>
  <c r="L3519" i="4"/>
  <c r="N3519" i="4" s="1"/>
  <c r="G3519" i="4"/>
  <c r="L3518" i="4"/>
  <c r="N3518" i="4" s="1"/>
  <c r="G3518" i="4"/>
  <c r="I3518" i="4" s="1"/>
  <c r="L3517" i="4"/>
  <c r="N3517" i="4" s="1"/>
  <c r="G3517" i="4"/>
  <c r="I3517" i="4" s="1"/>
  <c r="L3516" i="4"/>
  <c r="N3516" i="4" s="1"/>
  <c r="G3516" i="4"/>
  <c r="H3516" i="4" s="1"/>
  <c r="L3515" i="4"/>
  <c r="N3515" i="4" s="1"/>
  <c r="G3515" i="4"/>
  <c r="I3515" i="4" s="1"/>
  <c r="L3514" i="4"/>
  <c r="N3514" i="4" s="1"/>
  <c r="G3514" i="4"/>
  <c r="I3514" i="4" s="1"/>
  <c r="L3513" i="4"/>
  <c r="M3513" i="4" s="1"/>
  <c r="G3513" i="4"/>
  <c r="H3513" i="4" s="1"/>
  <c r="L3512" i="4"/>
  <c r="N3512" i="4" s="1"/>
  <c r="G3512" i="4"/>
  <c r="H3512" i="4" s="1"/>
  <c r="L3511" i="4"/>
  <c r="N3511" i="4" s="1"/>
  <c r="G3511" i="4"/>
  <c r="I3511" i="4" s="1"/>
  <c r="L3510" i="4"/>
  <c r="N3510" i="4" s="1"/>
  <c r="G3510" i="4"/>
  <c r="H3510" i="4" s="1"/>
  <c r="L3509" i="4"/>
  <c r="G3509" i="4"/>
  <c r="H3509" i="4" s="1"/>
  <c r="L3508" i="4"/>
  <c r="N3508" i="4" s="1"/>
  <c r="G3508" i="4"/>
  <c r="H3508" i="4" s="1"/>
  <c r="L3507" i="4"/>
  <c r="M3507" i="4" s="1"/>
  <c r="G3507" i="4"/>
  <c r="I3507" i="4" s="1"/>
  <c r="L3506" i="4"/>
  <c r="G3506" i="4"/>
  <c r="I3506" i="4" s="1"/>
  <c r="L3505" i="4"/>
  <c r="N3505" i="4" s="1"/>
  <c r="G3505" i="4"/>
  <c r="I3505" i="4" s="1"/>
  <c r="L3504" i="4"/>
  <c r="N3504" i="4" s="1"/>
  <c r="G3504" i="4"/>
  <c r="H3504" i="4" s="1"/>
  <c r="L3503" i="4"/>
  <c r="N3503" i="4" s="1"/>
  <c r="G3503" i="4"/>
  <c r="I3503" i="4" s="1"/>
  <c r="L3502" i="4"/>
  <c r="N3502" i="4" s="1"/>
  <c r="G3502" i="4"/>
  <c r="I3502" i="4" s="1"/>
  <c r="L3501" i="4"/>
  <c r="M3501" i="4" s="1"/>
  <c r="G3501" i="4"/>
  <c r="L3500" i="4"/>
  <c r="G3500" i="4"/>
  <c r="I3500" i="4" s="1"/>
  <c r="L3499" i="4"/>
  <c r="N3499" i="4" s="1"/>
  <c r="G3499" i="4"/>
  <c r="I3499" i="4" s="1"/>
  <c r="L3498" i="4"/>
  <c r="N3498" i="4" s="1"/>
  <c r="G3498" i="4"/>
  <c r="L3497" i="4"/>
  <c r="N3497" i="4" s="1"/>
  <c r="G3497" i="4"/>
  <c r="L3496" i="4"/>
  <c r="G3496" i="4"/>
  <c r="I3496" i="4" s="1"/>
  <c r="L3495" i="4"/>
  <c r="N3495" i="4" s="1"/>
  <c r="G3495" i="4"/>
  <c r="I3495" i="4" s="1"/>
  <c r="L3494" i="4"/>
  <c r="N3494" i="4" s="1"/>
  <c r="G3494" i="4"/>
  <c r="I3494" i="4" s="1"/>
  <c r="L3493" i="4"/>
  <c r="N3493" i="4" s="1"/>
  <c r="G3493" i="4"/>
  <c r="L3492" i="4"/>
  <c r="N3492" i="4" s="1"/>
  <c r="G3492" i="4"/>
  <c r="I3492" i="4" s="1"/>
  <c r="L3491" i="4"/>
  <c r="N3491" i="4" s="1"/>
  <c r="G3491" i="4"/>
  <c r="I3491" i="4" s="1"/>
  <c r="L3490" i="4"/>
  <c r="N3490" i="4" s="1"/>
  <c r="G3490" i="4"/>
  <c r="I3490" i="4" s="1"/>
  <c r="L3489" i="4"/>
  <c r="M3489" i="4" s="1"/>
  <c r="G3489" i="4"/>
  <c r="L3488" i="4"/>
  <c r="N3488" i="4" s="1"/>
  <c r="G3488" i="4"/>
  <c r="I3488" i="4" s="1"/>
  <c r="L3487" i="4"/>
  <c r="N3487" i="4" s="1"/>
  <c r="G3487" i="4"/>
  <c r="I3487" i="4" s="1"/>
  <c r="L3486" i="4"/>
  <c r="N3486" i="4" s="1"/>
  <c r="G3486" i="4"/>
  <c r="I3486" i="4" s="1"/>
  <c r="L3485" i="4"/>
  <c r="N3485" i="4" s="1"/>
  <c r="G3485" i="4"/>
  <c r="L3484" i="4"/>
  <c r="N3484" i="4" s="1"/>
  <c r="G3484" i="4"/>
  <c r="I3484" i="4" s="1"/>
  <c r="L3483" i="4"/>
  <c r="N3483" i="4" s="1"/>
  <c r="G3483" i="4"/>
  <c r="I3483" i="4" s="1"/>
  <c r="L3482" i="4"/>
  <c r="N3482" i="4" s="1"/>
  <c r="G3482" i="4"/>
  <c r="I3482" i="4" s="1"/>
  <c r="L3478" i="4"/>
  <c r="N3478" i="4" s="1"/>
  <c r="L3477" i="4"/>
  <c r="M3477" i="4" s="1"/>
  <c r="L3476" i="4"/>
  <c r="M3476" i="4" s="1"/>
  <c r="L3475" i="4"/>
  <c r="N3475" i="4" s="1"/>
  <c r="G3475" i="4"/>
  <c r="I3475" i="4" s="1"/>
  <c r="L3474" i="4"/>
  <c r="N3474" i="4" s="1"/>
  <c r="G3474" i="4"/>
  <c r="I3474" i="4" s="1"/>
  <c r="G3473" i="4"/>
  <c r="L3472" i="4"/>
  <c r="N3472" i="4" s="1"/>
  <c r="G3472" i="4"/>
  <c r="I3472" i="4" s="1"/>
  <c r="L3471" i="4"/>
  <c r="N3471" i="4" s="1"/>
  <c r="G3471" i="4"/>
  <c r="I3471" i="4" s="1"/>
  <c r="L3470" i="4"/>
  <c r="N3470" i="4" s="1"/>
  <c r="G3470" i="4"/>
  <c r="I3470" i="4" s="1"/>
  <c r="L3469" i="4"/>
  <c r="N3469" i="4" s="1"/>
  <c r="G3469" i="4"/>
  <c r="L3468" i="4"/>
  <c r="N3468" i="4" s="1"/>
  <c r="G3468" i="4"/>
  <c r="I3468" i="4" s="1"/>
  <c r="L3467" i="4"/>
  <c r="N3467" i="4" s="1"/>
  <c r="G3467" i="4"/>
  <c r="I3467" i="4" s="1"/>
  <c r="L3466" i="4"/>
  <c r="G3466" i="4"/>
  <c r="I3466" i="4" s="1"/>
  <c r="L3465" i="4"/>
  <c r="M3465" i="4" s="1"/>
  <c r="G3465" i="4"/>
  <c r="L3464" i="4"/>
  <c r="N3464" i="4" s="1"/>
  <c r="G3464" i="4"/>
  <c r="I3464" i="4" s="1"/>
  <c r="L3463" i="4"/>
  <c r="N3463" i="4" s="1"/>
  <c r="G3463" i="4"/>
  <c r="H3463" i="4" s="1"/>
  <c r="L3462" i="4"/>
  <c r="N3462" i="4" s="1"/>
  <c r="G3462" i="4"/>
  <c r="I3462" i="4" s="1"/>
  <c r="L3461" i="4"/>
  <c r="N3461" i="4" s="1"/>
  <c r="G3461" i="4"/>
  <c r="L3460" i="4"/>
  <c r="G3460" i="4"/>
  <c r="I3460" i="4" s="1"/>
  <c r="L3459" i="4"/>
  <c r="N3459" i="4" s="1"/>
  <c r="G3459" i="4"/>
  <c r="L3458" i="4"/>
  <c r="N3458" i="4" s="1"/>
  <c r="G3458" i="4"/>
  <c r="I3458" i="4" s="1"/>
  <c r="L3457" i="4"/>
  <c r="N3457" i="4" s="1"/>
  <c r="G3457" i="4"/>
  <c r="L3456" i="4"/>
  <c r="N3456" i="4" s="1"/>
  <c r="G3456" i="4"/>
  <c r="I3456" i="4" s="1"/>
  <c r="L3455" i="4"/>
  <c r="N3455" i="4" s="1"/>
  <c r="G3455" i="4"/>
  <c r="H3455" i="4" s="1"/>
  <c r="L3454" i="4"/>
  <c r="N3454" i="4" s="1"/>
  <c r="G3454" i="4"/>
  <c r="I3454" i="4" s="1"/>
  <c r="L3453" i="4"/>
  <c r="N3453" i="4" s="1"/>
  <c r="G3453" i="4"/>
  <c r="L3452" i="4"/>
  <c r="N3452" i="4" s="1"/>
  <c r="G3452" i="4"/>
  <c r="I3452" i="4" s="1"/>
  <c r="L3451" i="4"/>
  <c r="N3451" i="4" s="1"/>
  <c r="L3450" i="4"/>
  <c r="N3450" i="4" s="1"/>
  <c r="L3449" i="4"/>
  <c r="N3449" i="4" s="1"/>
  <c r="G3449" i="4"/>
  <c r="L3448" i="4"/>
  <c r="G3448" i="4"/>
  <c r="I3448" i="4" s="1"/>
  <c r="L3447" i="4"/>
  <c r="N3447" i="4" s="1"/>
  <c r="G3447" i="4"/>
  <c r="H3447" i="4" s="1"/>
  <c r="L3446" i="4"/>
  <c r="N3446" i="4" s="1"/>
  <c r="G3446" i="4"/>
  <c r="L3445" i="4"/>
  <c r="N3445" i="4" s="1"/>
  <c r="G3445" i="4"/>
  <c r="G3444" i="4"/>
  <c r="I3444" i="4" s="1"/>
  <c r="G3443" i="4"/>
  <c r="H3443" i="4" s="1"/>
  <c r="L3442" i="4"/>
  <c r="N3442" i="4" s="1"/>
  <c r="G3442" i="4"/>
  <c r="I3442" i="4" s="1"/>
  <c r="L3441" i="4"/>
  <c r="N3441" i="4" s="1"/>
  <c r="G3441" i="4"/>
  <c r="L3440" i="4"/>
  <c r="N3440" i="4" s="1"/>
  <c r="G3440" i="4"/>
  <c r="I3440" i="4" s="1"/>
  <c r="L3439" i="4"/>
  <c r="N3439" i="4" s="1"/>
  <c r="G3439" i="4"/>
  <c r="H3439" i="4" s="1"/>
  <c r="L3438" i="4"/>
  <c r="N3438" i="4" s="1"/>
  <c r="G3438" i="4"/>
  <c r="I3438" i="4" s="1"/>
  <c r="L3437" i="4"/>
  <c r="N3437" i="4" s="1"/>
  <c r="G3437" i="4"/>
  <c r="L3436" i="4"/>
  <c r="M3436" i="4" s="1"/>
  <c r="G3436" i="4"/>
  <c r="I3436" i="4" s="1"/>
  <c r="G3434" i="4"/>
  <c r="L3433" i="4"/>
  <c r="N3433" i="4" s="1"/>
  <c r="G3433" i="4"/>
  <c r="H3433" i="4" s="1"/>
  <c r="L3432" i="4"/>
  <c r="N3432" i="4" s="1"/>
  <c r="G3432" i="4"/>
  <c r="I3432" i="4" s="1"/>
  <c r="L3431" i="4"/>
  <c r="N3431" i="4" s="1"/>
  <c r="G3431" i="4"/>
  <c r="L3430" i="4"/>
  <c r="G3430" i="4"/>
  <c r="I3430" i="4" s="1"/>
  <c r="L3429" i="4"/>
  <c r="G3429" i="4"/>
  <c r="H3429" i="4" s="1"/>
  <c r="L3428" i="4"/>
  <c r="N3428" i="4" s="1"/>
  <c r="G3428" i="4"/>
  <c r="I3428" i="4" s="1"/>
  <c r="L3427" i="4"/>
  <c r="N3427" i="4" s="1"/>
  <c r="L3426" i="4"/>
  <c r="N3426" i="4" s="1"/>
  <c r="L3425" i="4"/>
  <c r="N3425" i="4" s="1"/>
  <c r="G3425" i="4"/>
  <c r="H3425" i="4" s="1"/>
  <c r="N3424" i="4"/>
  <c r="L3424" i="4"/>
  <c r="M3424" i="4" s="1"/>
  <c r="G3424" i="4"/>
  <c r="I3424" i="4" s="1"/>
  <c r="L3423" i="4"/>
  <c r="G3423" i="4"/>
  <c r="H3423" i="4" s="1"/>
  <c r="L3422" i="4"/>
  <c r="N3422" i="4" s="1"/>
  <c r="G3422" i="4"/>
  <c r="I3422" i="4" s="1"/>
  <c r="L3421" i="4"/>
  <c r="N3421" i="4" s="1"/>
  <c r="G3421" i="4"/>
  <c r="H3421" i="4" s="1"/>
  <c r="G3420" i="4"/>
  <c r="I3420" i="4" s="1"/>
  <c r="G3419" i="4"/>
  <c r="H3419" i="4" s="1"/>
  <c r="L3418" i="4"/>
  <c r="N3418" i="4" s="1"/>
  <c r="L3417" i="4"/>
  <c r="M3417" i="4" s="1"/>
  <c r="G3417" i="4"/>
  <c r="H3417" i="4" s="1"/>
  <c r="L3416" i="4"/>
  <c r="N3416" i="4" s="1"/>
  <c r="G3416" i="4"/>
  <c r="I3416" i="4" s="1"/>
  <c r="L3415" i="4"/>
  <c r="N3415" i="4" s="1"/>
  <c r="G3415" i="4"/>
  <c r="H3415" i="4" s="1"/>
  <c r="L3414" i="4"/>
  <c r="N3414" i="4" s="1"/>
  <c r="G3414" i="4"/>
  <c r="I3414" i="4" s="1"/>
  <c r="L3413" i="4"/>
  <c r="M3413" i="4" s="1"/>
  <c r="G3413" i="4"/>
  <c r="H3413" i="4" s="1"/>
  <c r="G3411" i="4"/>
  <c r="H3411" i="4" s="1"/>
  <c r="L3410" i="4"/>
  <c r="N3410" i="4" s="1"/>
  <c r="G3410" i="4"/>
  <c r="I3410" i="4" s="1"/>
  <c r="L3409" i="4"/>
  <c r="M3409" i="4" s="1"/>
  <c r="G3409" i="4"/>
  <c r="H3409" i="4" s="1"/>
  <c r="L3408" i="4"/>
  <c r="N3408" i="4" s="1"/>
  <c r="L3407" i="4"/>
  <c r="N3407" i="4" s="1"/>
  <c r="L3406" i="4"/>
  <c r="N3406" i="4" s="1"/>
  <c r="G3406" i="4"/>
  <c r="I3406" i="4" s="1"/>
  <c r="L3405" i="4"/>
  <c r="M3405" i="4" s="1"/>
  <c r="G3405" i="4"/>
  <c r="G3404" i="4"/>
  <c r="I3404" i="4" s="1"/>
  <c r="L3403" i="4"/>
  <c r="N3403" i="4" s="1"/>
  <c r="L3402" i="4"/>
  <c r="N3402" i="4" s="1"/>
  <c r="G3402" i="4"/>
  <c r="I3402" i="4" s="1"/>
  <c r="L3401" i="4"/>
  <c r="M3401" i="4" s="1"/>
  <c r="G3401" i="4"/>
  <c r="H3401" i="4" s="1"/>
  <c r="G3399" i="4"/>
  <c r="H3399" i="4" s="1"/>
  <c r="L3398" i="4"/>
  <c r="N3398" i="4" s="1"/>
  <c r="G3398" i="4"/>
  <c r="I3398" i="4" s="1"/>
  <c r="L3397" i="4"/>
  <c r="M3397" i="4" s="1"/>
  <c r="G3397" i="4"/>
  <c r="H3397" i="4" s="1"/>
  <c r="L3396" i="4"/>
  <c r="M3396" i="4" s="1"/>
  <c r="L3395" i="4"/>
  <c r="N3395" i="4" s="1"/>
  <c r="L3394" i="4"/>
  <c r="N3394" i="4" s="1"/>
  <c r="G3394" i="4"/>
  <c r="I3394" i="4" s="1"/>
  <c r="L3393" i="4"/>
  <c r="M3393" i="4" s="1"/>
  <c r="G3393" i="4"/>
  <c r="H3393" i="4" s="1"/>
  <c r="G3392" i="4"/>
  <c r="I3392" i="4" s="1"/>
  <c r="L3391" i="4"/>
  <c r="N3391" i="4" s="1"/>
  <c r="L3390" i="4"/>
  <c r="N3390" i="4" s="1"/>
  <c r="G3390" i="4"/>
  <c r="I3390" i="4" s="1"/>
  <c r="L3389" i="4"/>
  <c r="M3389" i="4" s="1"/>
  <c r="G3389" i="4"/>
  <c r="H3389" i="4" s="1"/>
  <c r="G3387" i="4"/>
  <c r="H3387" i="4" s="1"/>
  <c r="L3386" i="4"/>
  <c r="N3386" i="4" s="1"/>
  <c r="G3386" i="4"/>
  <c r="I3386" i="4" s="1"/>
  <c r="L3385" i="4"/>
  <c r="M3385" i="4" s="1"/>
  <c r="G3385" i="4"/>
  <c r="H3385" i="4" s="1"/>
  <c r="L3384" i="4"/>
  <c r="G3384" i="4"/>
  <c r="I3384" i="4" s="1"/>
  <c r="L3383" i="4"/>
  <c r="N3383" i="4" s="1"/>
  <c r="G3383" i="4"/>
  <c r="H3383" i="4" s="1"/>
  <c r="L3382" i="4"/>
  <c r="N3382" i="4" s="1"/>
  <c r="L3381" i="4"/>
  <c r="M3381" i="4" s="1"/>
  <c r="G3380" i="4"/>
  <c r="I3380" i="4" s="1"/>
  <c r="L3379" i="4"/>
  <c r="N3379" i="4" s="1"/>
  <c r="G3379" i="4"/>
  <c r="I3379" i="4" s="1"/>
  <c r="L3378" i="4"/>
  <c r="N3378" i="4" s="1"/>
  <c r="G3378" i="4"/>
  <c r="I3378" i="4" s="1"/>
  <c r="L3377" i="4"/>
  <c r="M3377" i="4" s="1"/>
  <c r="G3377" i="4"/>
  <c r="I3377" i="4" s="1"/>
  <c r="G3376" i="4"/>
  <c r="I3376" i="4" s="1"/>
  <c r="G3375" i="4"/>
  <c r="H3375" i="4" s="1"/>
  <c r="L3374" i="4"/>
  <c r="N3374" i="4" s="1"/>
  <c r="G3374" i="4"/>
  <c r="I3374" i="4" s="1"/>
  <c r="L3373" i="4"/>
  <c r="M3373" i="4" s="1"/>
  <c r="G3373" i="4"/>
  <c r="I3373" i="4" s="1"/>
  <c r="L3372" i="4"/>
  <c r="M3372" i="4" s="1"/>
  <c r="G3372" i="4"/>
  <c r="I3372" i="4" s="1"/>
  <c r="L3371" i="4"/>
  <c r="N3371" i="4" s="1"/>
  <c r="G3371" i="4"/>
  <c r="I3371" i="4" s="1"/>
  <c r="L3370" i="4"/>
  <c r="N3370" i="4" s="1"/>
  <c r="G3370" i="4"/>
  <c r="L3369" i="4"/>
  <c r="M3369" i="4" s="1"/>
  <c r="G3369" i="4"/>
  <c r="I3369" i="4" s="1"/>
  <c r="G3368" i="4"/>
  <c r="I3368" i="4" s="1"/>
  <c r="L3367" i="4"/>
  <c r="N3367" i="4" s="1"/>
  <c r="G3367" i="4"/>
  <c r="I3367" i="4" s="1"/>
  <c r="L3366" i="4"/>
  <c r="N3366" i="4" s="1"/>
  <c r="G3366" i="4"/>
  <c r="I3366" i="4" s="1"/>
  <c r="L3365" i="4"/>
  <c r="M3365" i="4" s="1"/>
  <c r="G3365" i="4"/>
  <c r="I3365" i="4" s="1"/>
  <c r="G3364" i="4"/>
  <c r="I3364" i="4" s="1"/>
  <c r="G3363" i="4"/>
  <c r="I3363" i="4" s="1"/>
  <c r="L3362" i="4"/>
  <c r="N3362" i="4" s="1"/>
  <c r="G3362" i="4"/>
  <c r="I3362" i="4" s="1"/>
  <c r="L3361" i="4"/>
  <c r="M3361" i="4" s="1"/>
  <c r="G3361" i="4"/>
  <c r="I3361" i="4" s="1"/>
  <c r="L3360" i="4"/>
  <c r="N3360" i="4" s="1"/>
  <c r="G3360" i="4"/>
  <c r="I3360" i="4" s="1"/>
  <c r="L3359" i="4"/>
  <c r="N3359" i="4" s="1"/>
  <c r="G3359" i="4"/>
  <c r="H3359" i="4" s="1"/>
  <c r="L3358" i="4"/>
  <c r="N3358" i="4" s="1"/>
  <c r="G3358" i="4"/>
  <c r="I3358" i="4" s="1"/>
  <c r="L3357" i="4"/>
  <c r="M3357" i="4" s="1"/>
  <c r="G3357" i="4"/>
  <c r="I3357" i="4" s="1"/>
  <c r="G3356" i="4"/>
  <c r="L3355" i="4"/>
  <c r="N3355" i="4" s="1"/>
  <c r="G3355" i="4"/>
  <c r="I3355" i="4" s="1"/>
  <c r="L3354" i="4"/>
  <c r="N3354" i="4" s="1"/>
  <c r="G3354" i="4"/>
  <c r="L3353" i="4"/>
  <c r="M3353" i="4" s="1"/>
  <c r="G3353" i="4"/>
  <c r="I3353" i="4" s="1"/>
  <c r="G3352" i="4"/>
  <c r="I3352" i="4" s="1"/>
  <c r="G3351" i="4"/>
  <c r="I3351" i="4" s="1"/>
  <c r="L3350" i="4"/>
  <c r="N3350" i="4" s="1"/>
  <c r="G3350" i="4"/>
  <c r="L3349" i="4"/>
  <c r="M3349" i="4" s="1"/>
  <c r="G3349" i="4"/>
  <c r="I3349" i="4" s="1"/>
  <c r="L3348" i="4"/>
  <c r="N3348" i="4" s="1"/>
  <c r="G3348" i="4"/>
  <c r="I3348" i="4" s="1"/>
  <c r="L3347" i="4"/>
  <c r="N3347" i="4" s="1"/>
  <c r="G3347" i="4"/>
  <c r="I3347" i="4" s="1"/>
  <c r="L3346" i="4"/>
  <c r="N3346" i="4" s="1"/>
  <c r="G3346" i="4"/>
  <c r="I3346" i="4" s="1"/>
  <c r="L3345" i="4"/>
  <c r="M3345" i="4" s="1"/>
  <c r="G3345" i="4"/>
  <c r="I3345" i="4" s="1"/>
  <c r="L3344" i="4"/>
  <c r="N3344" i="4" s="1"/>
  <c r="G3344" i="4"/>
  <c r="I3344" i="4" s="1"/>
  <c r="L3343" i="4"/>
  <c r="N3343" i="4" s="1"/>
  <c r="G3343" i="4"/>
  <c r="H3343" i="4" s="1"/>
  <c r="L3342" i="4"/>
  <c r="N3342" i="4" s="1"/>
  <c r="G3342" i="4"/>
  <c r="L3341" i="4"/>
  <c r="M3341" i="4" s="1"/>
  <c r="G3340" i="4"/>
  <c r="I3340" i="4" s="1"/>
  <c r="G3339" i="4"/>
  <c r="H3339" i="4" s="1"/>
  <c r="L3338" i="4"/>
  <c r="N3338" i="4" s="1"/>
  <c r="G3338" i="4"/>
  <c r="L3337" i="4"/>
  <c r="M3337" i="4" s="1"/>
  <c r="G3337" i="4"/>
  <c r="I3337" i="4" s="1"/>
  <c r="L3336" i="4"/>
  <c r="M3336" i="4" s="1"/>
  <c r="G3336" i="4"/>
  <c r="I3336" i="4" s="1"/>
  <c r="L3335" i="4"/>
  <c r="N3335" i="4" s="1"/>
  <c r="G3335" i="4"/>
  <c r="H3335" i="4" s="1"/>
  <c r="L3334" i="4"/>
  <c r="N3334" i="4" s="1"/>
  <c r="H3334" i="4"/>
  <c r="G3334" i="4"/>
  <c r="I3334" i="4" s="1"/>
  <c r="L3333" i="4"/>
  <c r="M3333" i="4" s="1"/>
  <c r="G3333" i="4"/>
  <c r="G3332" i="4"/>
  <c r="I3332" i="4" s="1"/>
  <c r="L3331" i="4"/>
  <c r="N3331" i="4" s="1"/>
  <c r="G3331" i="4"/>
  <c r="I3331" i="4" s="1"/>
  <c r="L3330" i="4"/>
  <c r="N3330" i="4" s="1"/>
  <c r="G3330" i="4"/>
  <c r="I3330" i="4" s="1"/>
  <c r="L3329" i="4"/>
  <c r="M3329" i="4" s="1"/>
  <c r="G3329" i="4"/>
  <c r="G3328" i="4"/>
  <c r="I3328" i="4" s="1"/>
  <c r="G3327" i="4"/>
  <c r="I3327" i="4" s="1"/>
  <c r="L3326" i="4"/>
  <c r="N3326" i="4" s="1"/>
  <c r="G3326" i="4"/>
  <c r="I3326" i="4" s="1"/>
  <c r="L3325" i="4"/>
  <c r="M3325" i="4" s="1"/>
  <c r="G3325" i="4"/>
  <c r="H3325" i="4" s="1"/>
  <c r="L3324" i="4"/>
  <c r="G3324" i="4"/>
  <c r="I3324" i="4" s="1"/>
  <c r="L3323" i="4"/>
  <c r="N3323" i="4" s="1"/>
  <c r="L3322" i="4"/>
  <c r="N3322" i="4" s="1"/>
  <c r="G3322" i="4"/>
  <c r="I3322" i="4" s="1"/>
  <c r="L3321" i="4"/>
  <c r="M3321" i="4" s="1"/>
  <c r="G3321" i="4"/>
  <c r="I3321" i="4" s="1"/>
  <c r="H3320" i="4"/>
  <c r="G3320" i="4"/>
  <c r="I3320" i="4" s="1"/>
  <c r="L3319" i="4"/>
  <c r="N3319" i="4" s="1"/>
  <c r="G3319" i="4"/>
  <c r="I3319" i="4" s="1"/>
  <c r="L3318" i="4"/>
  <c r="N3318" i="4" s="1"/>
  <c r="G3318" i="4"/>
  <c r="I3318" i="4" s="1"/>
  <c r="L3317" i="4"/>
  <c r="M3317" i="4" s="1"/>
  <c r="G3317" i="4"/>
  <c r="I3317" i="4" s="1"/>
  <c r="G3316" i="4"/>
  <c r="I3316" i="4" s="1"/>
  <c r="G3315" i="4"/>
  <c r="L3314" i="4"/>
  <c r="M3314" i="4" s="1"/>
  <c r="G3314" i="4"/>
  <c r="I3314" i="4" s="1"/>
  <c r="L3313" i="4"/>
  <c r="G3313" i="4"/>
  <c r="I3313" i="4" s="1"/>
  <c r="L3312" i="4"/>
  <c r="G3312" i="4"/>
  <c r="I3312" i="4" s="1"/>
  <c r="L3311" i="4"/>
  <c r="N3311" i="4" s="1"/>
  <c r="G3311" i="4"/>
  <c r="L3310" i="4"/>
  <c r="N3310" i="4" s="1"/>
  <c r="G3310" i="4"/>
  <c r="I3310" i="4" s="1"/>
  <c r="L3309" i="4"/>
  <c r="M3309" i="4" s="1"/>
  <c r="G3309" i="4"/>
  <c r="G3308" i="4"/>
  <c r="I3308" i="4" s="1"/>
  <c r="L3307" i="4"/>
  <c r="N3307" i="4" s="1"/>
  <c r="G3307" i="4"/>
  <c r="I3307" i="4" s="1"/>
  <c r="L3306" i="4"/>
  <c r="N3306" i="4" s="1"/>
  <c r="G3306" i="4"/>
  <c r="I3306" i="4" s="1"/>
  <c r="L3305" i="4"/>
  <c r="M3305" i="4" s="1"/>
  <c r="G3305" i="4"/>
  <c r="H3305" i="4" s="1"/>
  <c r="G3304" i="4"/>
  <c r="I3304" i="4" s="1"/>
  <c r="G3303" i="4"/>
  <c r="L3302" i="4"/>
  <c r="N3302" i="4" s="1"/>
  <c r="G3302" i="4"/>
  <c r="I3302" i="4" s="1"/>
  <c r="L3301" i="4"/>
  <c r="M3301" i="4" s="1"/>
  <c r="G3301" i="4"/>
  <c r="H3301" i="4" s="1"/>
  <c r="L3300" i="4"/>
  <c r="M3300" i="4" s="1"/>
  <c r="G3300" i="4"/>
  <c r="I3300" i="4" s="1"/>
  <c r="L3299" i="4"/>
  <c r="M3299" i="4" s="1"/>
  <c r="G3299" i="4"/>
  <c r="I3299" i="4" s="1"/>
  <c r="L3298" i="4"/>
  <c r="N3298" i="4" s="1"/>
  <c r="G3298" i="4"/>
  <c r="I3298" i="4" s="1"/>
  <c r="L3297" i="4"/>
  <c r="M3297" i="4" s="1"/>
  <c r="G3297" i="4"/>
  <c r="H3297" i="4" s="1"/>
  <c r="L3294" i="4"/>
  <c r="N3294" i="4" s="1"/>
  <c r="G3294" i="4"/>
  <c r="I3294" i="4" s="1"/>
  <c r="L3293" i="4"/>
  <c r="N3293" i="4" s="1"/>
  <c r="G3293" i="4"/>
  <c r="I3293" i="4" s="1"/>
  <c r="L3292" i="4"/>
  <c r="N3292" i="4" s="1"/>
  <c r="G3292" i="4"/>
  <c r="I3292" i="4" s="1"/>
  <c r="L3290" i="4"/>
  <c r="N3290" i="4" s="1"/>
  <c r="G3290" i="4"/>
  <c r="I3290" i="4" s="1"/>
  <c r="L3289" i="4"/>
  <c r="N3289" i="4" s="1"/>
  <c r="G3289" i="4"/>
  <c r="I3289" i="4" s="1"/>
  <c r="L3288" i="4"/>
  <c r="G3288" i="4"/>
  <c r="I3288" i="4" s="1"/>
  <c r="L3287" i="4"/>
  <c r="N3287" i="4" s="1"/>
  <c r="G3287" i="4"/>
  <c r="I3287" i="4" s="1"/>
  <c r="L3286" i="4"/>
  <c r="N3286" i="4" s="1"/>
  <c r="L3285" i="4"/>
  <c r="G3283" i="4"/>
  <c r="I3283" i="4" s="1"/>
  <c r="L3282" i="4"/>
  <c r="N3282" i="4" s="1"/>
  <c r="G3282" i="4"/>
  <c r="I3282" i="4" s="1"/>
  <c r="L3281" i="4"/>
  <c r="N3281" i="4" s="1"/>
  <c r="G3281" i="4"/>
  <c r="I3281" i="4" s="1"/>
  <c r="L3280" i="4"/>
  <c r="M3280" i="4" s="1"/>
  <c r="G3280" i="4"/>
  <c r="I3280" i="4" s="1"/>
  <c r="G3279" i="4"/>
  <c r="H3279" i="4" s="1"/>
  <c r="L3278" i="4"/>
  <c r="M3278" i="4" s="1"/>
  <c r="G3278" i="4"/>
  <c r="I3278" i="4" s="1"/>
  <c r="L3277" i="4"/>
  <c r="M3277" i="4" s="1"/>
  <c r="G3277" i="4"/>
  <c r="I3277" i="4" s="1"/>
  <c r="L3276" i="4"/>
  <c r="N3276" i="4" s="1"/>
  <c r="G3276" i="4"/>
  <c r="I3276" i="4" s="1"/>
  <c r="L3275" i="4"/>
  <c r="N3275" i="4" s="1"/>
  <c r="G3275" i="4"/>
  <c r="I3275" i="4" s="1"/>
  <c r="L3274" i="4"/>
  <c r="N3274" i="4" s="1"/>
  <c r="G3274" i="4"/>
  <c r="I3274" i="4" s="1"/>
  <c r="L3273" i="4"/>
  <c r="G3273" i="4"/>
  <c r="I3273" i="4" s="1"/>
  <c r="L3272" i="4"/>
  <c r="N3272" i="4" s="1"/>
  <c r="G3272" i="4"/>
  <c r="I3272" i="4" s="1"/>
  <c r="L3271" i="4"/>
  <c r="N3271" i="4" s="1"/>
  <c r="G3271" i="4"/>
  <c r="I3271" i="4" s="1"/>
  <c r="L3270" i="4"/>
  <c r="N3270" i="4" s="1"/>
  <c r="G3270" i="4"/>
  <c r="I3270" i="4" s="1"/>
  <c r="L3269" i="4"/>
  <c r="N3269" i="4" s="1"/>
  <c r="G3269" i="4"/>
  <c r="I3269" i="4" s="1"/>
  <c r="L3268" i="4"/>
  <c r="N3268" i="4" s="1"/>
  <c r="G3268" i="4"/>
  <c r="I3268" i="4" s="1"/>
  <c r="L3267" i="4"/>
  <c r="M3267" i="4" s="1"/>
  <c r="G3267" i="4"/>
  <c r="H3267" i="4" s="1"/>
  <c r="L3266" i="4"/>
  <c r="M3266" i="4" s="1"/>
  <c r="G3266" i="4"/>
  <c r="I3266" i="4" s="1"/>
  <c r="L3265" i="4"/>
  <c r="M3265" i="4" s="1"/>
  <c r="G3265" i="4"/>
  <c r="L3264" i="4"/>
  <c r="L3263" i="4"/>
  <c r="L3262" i="4"/>
  <c r="N3262" i="4" s="1"/>
  <c r="G3262" i="4"/>
  <c r="I3262" i="4" s="1"/>
  <c r="L3261" i="4"/>
  <c r="G3261" i="4"/>
  <c r="G3260" i="4"/>
  <c r="I3260" i="4" s="1"/>
  <c r="L3259" i="4"/>
  <c r="L3258" i="4"/>
  <c r="M3258" i="4" s="1"/>
  <c r="G3258" i="4"/>
  <c r="I3258" i="4" s="1"/>
  <c r="L3257" i="4"/>
  <c r="G3257" i="4"/>
  <c r="I3257" i="4" s="1"/>
  <c r="G3256" i="4"/>
  <c r="I3256" i="4" s="1"/>
  <c r="L3255" i="4"/>
  <c r="G3255" i="4"/>
  <c r="L3253" i="4"/>
  <c r="M3253" i="4" s="1"/>
  <c r="G3253" i="4"/>
  <c r="I3253" i="4" s="1"/>
  <c r="L3252" i="4"/>
  <c r="N3252" i="4" s="1"/>
  <c r="L3251" i="4"/>
  <c r="M3251" i="4" s="1"/>
  <c r="L3250" i="4"/>
  <c r="N3250" i="4" s="1"/>
  <c r="G3250" i="4"/>
  <c r="I3250" i="4" s="1"/>
  <c r="L3249" i="4"/>
  <c r="G3249" i="4"/>
  <c r="I3249" i="4" s="1"/>
  <c r="G3248" i="4"/>
  <c r="I3248" i="4" s="1"/>
  <c r="L3247" i="4"/>
  <c r="M3247" i="4" s="1"/>
  <c r="L3246" i="4"/>
  <c r="M3246" i="4" s="1"/>
  <c r="G3246" i="4"/>
  <c r="I3246" i="4" s="1"/>
  <c r="L3245" i="4"/>
  <c r="G3245" i="4"/>
  <c r="I3245" i="4" s="1"/>
  <c r="G3244" i="4"/>
  <c r="H3244" i="4" s="1"/>
  <c r="L3243" i="4"/>
  <c r="N3243" i="4" s="1"/>
  <c r="G3243" i="4"/>
  <c r="L3241" i="4"/>
  <c r="G3241" i="4"/>
  <c r="I3241" i="4" s="1"/>
  <c r="L3240" i="4"/>
  <c r="L3239" i="4"/>
  <c r="L3238" i="4"/>
  <c r="G3238" i="4"/>
  <c r="I3238" i="4" s="1"/>
  <c r="L3237" i="4"/>
  <c r="P3237" i="4" s="1"/>
  <c r="G3237" i="4"/>
  <c r="G3236" i="4"/>
  <c r="L3235" i="4"/>
  <c r="N3235" i="4" s="1"/>
  <c r="L3234" i="4"/>
  <c r="G3234" i="4"/>
  <c r="I3234" i="4" s="1"/>
  <c r="L3233" i="4"/>
  <c r="G3233" i="4"/>
  <c r="H3233" i="4" s="1"/>
  <c r="G3232" i="4"/>
  <c r="L3231" i="4"/>
  <c r="M3231" i="4" s="1"/>
  <c r="G3231" i="4"/>
  <c r="I3231" i="4" s="1"/>
  <c r="L3229" i="4"/>
  <c r="G3229" i="4"/>
  <c r="I3229" i="4" s="1"/>
  <c r="L3228" i="4"/>
  <c r="L3227" i="4"/>
  <c r="L3226" i="4"/>
  <c r="N3226" i="4" s="1"/>
  <c r="G3226" i="4"/>
  <c r="L3225" i="4"/>
  <c r="N3225" i="4" s="1"/>
  <c r="G3225" i="4"/>
  <c r="G3224" i="4"/>
  <c r="I3224" i="4" s="1"/>
  <c r="L3223" i="4"/>
  <c r="M3223" i="4" s="1"/>
  <c r="L3222" i="4"/>
  <c r="G3222" i="4"/>
  <c r="H3222" i="4" s="1"/>
  <c r="L3221" i="4"/>
  <c r="G3221" i="4"/>
  <c r="H3221" i="4" s="1"/>
  <c r="G3220" i="4"/>
  <c r="H3220" i="4" s="1"/>
  <c r="L3219" i="4"/>
  <c r="G3219" i="4"/>
  <c r="L3217" i="4"/>
  <c r="M3217" i="4" s="1"/>
  <c r="G3217" i="4"/>
  <c r="I3217" i="4" s="1"/>
  <c r="L3216" i="4"/>
  <c r="N3216" i="4" s="1"/>
  <c r="L3215" i="4"/>
  <c r="M3215" i="4" s="1"/>
  <c r="L3214" i="4"/>
  <c r="G3214" i="4"/>
  <c r="I3214" i="4" s="1"/>
  <c r="L3213" i="4"/>
  <c r="G3213" i="4"/>
  <c r="I3213" i="4" s="1"/>
  <c r="G3212" i="4"/>
  <c r="I3212" i="4" s="1"/>
  <c r="L3211" i="4"/>
  <c r="N3211" i="4" s="1"/>
  <c r="L3210" i="4"/>
  <c r="N3210" i="4" s="1"/>
  <c r="G3210" i="4"/>
  <c r="I3210" i="4" s="1"/>
  <c r="L3209" i="4"/>
  <c r="G3209" i="4"/>
  <c r="I3209" i="4" s="1"/>
  <c r="L3208" i="4"/>
  <c r="N3208" i="4" s="1"/>
  <c r="G3208" i="4"/>
  <c r="H3208" i="4" s="1"/>
  <c r="L3207" i="4"/>
  <c r="M3207" i="4" s="1"/>
  <c r="G3207" i="4"/>
  <c r="L3205" i="4"/>
  <c r="M3205" i="4" s="1"/>
  <c r="G3205" i="4"/>
  <c r="I3205" i="4" s="1"/>
  <c r="L3204" i="4"/>
  <c r="N3204" i="4" s="1"/>
  <c r="N3203" i="4"/>
  <c r="M3203" i="4"/>
  <c r="L3203" i="4"/>
  <c r="L3202" i="4"/>
  <c r="M3202" i="4" s="1"/>
  <c r="G3202" i="4"/>
  <c r="I3202" i="4" s="1"/>
  <c r="L3201" i="4"/>
  <c r="M3201" i="4" s="1"/>
  <c r="G3201" i="4"/>
  <c r="H3201" i="4" s="1"/>
  <c r="G3200" i="4"/>
  <c r="I3200" i="4" s="1"/>
  <c r="L3199" i="4"/>
  <c r="M3199" i="4" s="1"/>
  <c r="L3198" i="4"/>
  <c r="M3198" i="4" s="1"/>
  <c r="G3198" i="4"/>
  <c r="I3198" i="4" s="1"/>
  <c r="L3197" i="4"/>
  <c r="G3197" i="4"/>
  <c r="H3197" i="4" s="1"/>
  <c r="G3196" i="4"/>
  <c r="H3196" i="4" s="1"/>
  <c r="L3195" i="4"/>
  <c r="G3195" i="4"/>
  <c r="I3195" i="4" s="1"/>
  <c r="L3193" i="4"/>
  <c r="M3193" i="4" s="1"/>
  <c r="G3193" i="4"/>
  <c r="L3192" i="4"/>
  <c r="N3192" i="4" s="1"/>
  <c r="L3191" i="4"/>
  <c r="L3190" i="4"/>
  <c r="G3190" i="4"/>
  <c r="I3190" i="4" s="1"/>
  <c r="L3189" i="4"/>
  <c r="G3189" i="4"/>
  <c r="I3189" i="4" s="1"/>
  <c r="I3188" i="4"/>
  <c r="H3188" i="4"/>
  <c r="G3188" i="4"/>
  <c r="L3187" i="4"/>
  <c r="N3187" i="4" s="1"/>
  <c r="L3186" i="4"/>
  <c r="N3186" i="4" s="1"/>
  <c r="G3186" i="4"/>
  <c r="L3185" i="4"/>
  <c r="N3185" i="4" s="1"/>
  <c r="G3185" i="4"/>
  <c r="I3185" i="4" s="1"/>
  <c r="G3184" i="4"/>
  <c r="H3184" i="4" s="1"/>
  <c r="L3183" i="4"/>
  <c r="G3183" i="4"/>
  <c r="I3183" i="4" s="1"/>
  <c r="L3181" i="4"/>
  <c r="G3181" i="4"/>
  <c r="H3181" i="4" s="1"/>
  <c r="L3180" i="4"/>
  <c r="N3180" i="4" s="1"/>
  <c r="L3179" i="4"/>
  <c r="N3179" i="4" s="1"/>
  <c r="L3178" i="4"/>
  <c r="N3178" i="4" s="1"/>
  <c r="G3178" i="4"/>
  <c r="I3178" i="4" s="1"/>
  <c r="L3177" i="4"/>
  <c r="G3177" i="4"/>
  <c r="I3177" i="4" s="1"/>
  <c r="I3176" i="4"/>
  <c r="H3176" i="4"/>
  <c r="G3176" i="4"/>
  <c r="L3175" i="4"/>
  <c r="L3174" i="4"/>
  <c r="G3174" i="4"/>
  <c r="H3174" i="4" s="1"/>
  <c r="L3173" i="4"/>
  <c r="N3173" i="4" s="1"/>
  <c r="G3173" i="4"/>
  <c r="G3172" i="4"/>
  <c r="L3171" i="4"/>
  <c r="M3171" i="4" s="1"/>
  <c r="G3171" i="4"/>
  <c r="I3171" i="4" s="1"/>
  <c r="L3169" i="4"/>
  <c r="G3169" i="4"/>
  <c r="I3169" i="4" s="1"/>
  <c r="L3168" i="4"/>
  <c r="L3167" i="4"/>
  <c r="L3166" i="4"/>
  <c r="N3166" i="4" s="1"/>
  <c r="G3166" i="4"/>
  <c r="H3166" i="4" s="1"/>
  <c r="L3165" i="4"/>
  <c r="N3165" i="4" s="1"/>
  <c r="G3165" i="4"/>
  <c r="I3165" i="4" s="1"/>
  <c r="G3164" i="4"/>
  <c r="I3164" i="4" s="1"/>
  <c r="L3163" i="4"/>
  <c r="M3163" i="4" s="1"/>
  <c r="L3162" i="4"/>
  <c r="M3162" i="4" s="1"/>
  <c r="I3162" i="4"/>
  <c r="G3162" i="4"/>
  <c r="H3162" i="4" s="1"/>
  <c r="L3161" i="4"/>
  <c r="N3161" i="4" s="1"/>
  <c r="G3161" i="4"/>
  <c r="I3161" i="4" s="1"/>
  <c r="G3160" i="4"/>
  <c r="I3160" i="4" s="1"/>
  <c r="L3159" i="4"/>
  <c r="G3159" i="4"/>
  <c r="I3159" i="4" s="1"/>
  <c r="L3157" i="4"/>
  <c r="M3157" i="4" s="1"/>
  <c r="G3157" i="4"/>
  <c r="I3157" i="4" s="1"/>
  <c r="L3156" i="4"/>
  <c r="M3156" i="4" s="1"/>
  <c r="L3155" i="4"/>
  <c r="M3155" i="4" s="1"/>
  <c r="L3154" i="4"/>
  <c r="G3154" i="4"/>
  <c r="I3154" i="4" s="1"/>
  <c r="L3153" i="4"/>
  <c r="G3153" i="4"/>
  <c r="I3153" i="4" s="1"/>
  <c r="G3152" i="4"/>
  <c r="H3152" i="4" s="1"/>
  <c r="L3151" i="4"/>
  <c r="M3151" i="4" s="1"/>
  <c r="L3150" i="4"/>
  <c r="P3150" i="4" s="1"/>
  <c r="G3150" i="4"/>
  <c r="I3150" i="4" s="1"/>
  <c r="L3149" i="4"/>
  <c r="M3149" i="4" s="1"/>
  <c r="G3149" i="4"/>
  <c r="I3149" i="4" s="1"/>
  <c r="G3148" i="4"/>
  <c r="L3147" i="4"/>
  <c r="M3147" i="4" s="1"/>
  <c r="G3147" i="4"/>
  <c r="L3145" i="4"/>
  <c r="M3145" i="4" s="1"/>
  <c r="G3145" i="4"/>
  <c r="I3145" i="4" s="1"/>
  <c r="L3144" i="4"/>
  <c r="M3144" i="4" s="1"/>
  <c r="G3144" i="4"/>
  <c r="H3144" i="4" s="1"/>
  <c r="L3143" i="4"/>
  <c r="N3143" i="4" s="1"/>
  <c r="L3142" i="4"/>
  <c r="G3142" i="4"/>
  <c r="L3141" i="4"/>
  <c r="N3141" i="4" s="1"/>
  <c r="G3141" i="4"/>
  <c r="G3140" i="4"/>
  <c r="I3140" i="4" s="1"/>
  <c r="L3139" i="4"/>
  <c r="N3139" i="4" s="1"/>
  <c r="L3138" i="4"/>
  <c r="G3138" i="4"/>
  <c r="I3138" i="4" s="1"/>
  <c r="L3137" i="4"/>
  <c r="G3137" i="4"/>
  <c r="I3137" i="4" s="1"/>
  <c r="I3136" i="4"/>
  <c r="G3136" i="4"/>
  <c r="H3136" i="4" s="1"/>
  <c r="L3135" i="4"/>
  <c r="M3135" i="4" s="1"/>
  <c r="G3135" i="4"/>
  <c r="H3135" i="4" s="1"/>
  <c r="L3133" i="4"/>
  <c r="N3133" i="4" s="1"/>
  <c r="G3133" i="4"/>
  <c r="I3133" i="4" s="1"/>
  <c r="L3132" i="4"/>
  <c r="N3132" i="4" s="1"/>
  <c r="G3132" i="4"/>
  <c r="I3132" i="4" s="1"/>
  <c r="L3131" i="4"/>
  <c r="L3130" i="4"/>
  <c r="G3130" i="4"/>
  <c r="I3130" i="4" s="1"/>
  <c r="L3129" i="4"/>
  <c r="G3129" i="4"/>
  <c r="I3129" i="4" s="1"/>
  <c r="G3128" i="4"/>
  <c r="L3127" i="4"/>
  <c r="L3126" i="4"/>
  <c r="N3126" i="4" s="1"/>
  <c r="G3126" i="4"/>
  <c r="I3126" i="4" s="1"/>
  <c r="L3125" i="4"/>
  <c r="N3125" i="4" s="1"/>
  <c r="G3125" i="4"/>
  <c r="I3125" i="4" s="1"/>
  <c r="G3124" i="4"/>
  <c r="L3123" i="4"/>
  <c r="G3123" i="4"/>
  <c r="I3123" i="4" s="1"/>
  <c r="L3121" i="4"/>
  <c r="G3121" i="4"/>
  <c r="H3121" i="4" s="1"/>
  <c r="L3120" i="4"/>
  <c r="G3120" i="4"/>
  <c r="H3120" i="4" s="1"/>
  <c r="L3119" i="4"/>
  <c r="L3118" i="4"/>
  <c r="M3118" i="4" s="1"/>
  <c r="G3118" i="4"/>
  <c r="I3118" i="4" s="1"/>
  <c r="L3117" i="4"/>
  <c r="G3117" i="4"/>
  <c r="I3117" i="4" s="1"/>
  <c r="G3116" i="4"/>
  <c r="L3115" i="4"/>
  <c r="N3115" i="4" s="1"/>
  <c r="L3114" i="4"/>
  <c r="G3114" i="4"/>
  <c r="I3114" i="4" s="1"/>
  <c r="L3113" i="4"/>
  <c r="G3113" i="4"/>
  <c r="I3113" i="4" s="1"/>
  <c r="L3112" i="4"/>
  <c r="N3112" i="4" s="1"/>
  <c r="G3112" i="4"/>
  <c r="H3112" i="4" s="1"/>
  <c r="L3111" i="4"/>
  <c r="P3111" i="4" s="1"/>
  <c r="G3111" i="4"/>
  <c r="I3111" i="4" s="1"/>
  <c r="L3109" i="4"/>
  <c r="M3109" i="4" s="1"/>
  <c r="G3109" i="4"/>
  <c r="L3108" i="4"/>
  <c r="N3108" i="4" s="1"/>
  <c r="G3108" i="4"/>
  <c r="L3107" i="4"/>
  <c r="L3106" i="4"/>
  <c r="G3106" i="4"/>
  <c r="H3106" i="4" s="1"/>
  <c r="L3105" i="4"/>
  <c r="N3105" i="4" s="1"/>
  <c r="G3105" i="4"/>
  <c r="I3105" i="4" s="1"/>
  <c r="G3104" i="4"/>
  <c r="I3104" i="4" s="1"/>
  <c r="L3103" i="4"/>
  <c r="M3103" i="4" s="1"/>
  <c r="L3102" i="4"/>
  <c r="M3102" i="4" s="1"/>
  <c r="G3102" i="4"/>
  <c r="L3101" i="4"/>
  <c r="N3101" i="4" s="1"/>
  <c r="G3101" i="4"/>
  <c r="I3101" i="4" s="1"/>
  <c r="G3100" i="4"/>
  <c r="H3100" i="4" s="1"/>
  <c r="L3099" i="4"/>
  <c r="N3099" i="4" s="1"/>
  <c r="G3099" i="4"/>
  <c r="I3099" i="4" s="1"/>
  <c r="L3097" i="4"/>
  <c r="G3097" i="4"/>
  <c r="I3097" i="4" s="1"/>
  <c r="L3096" i="4"/>
  <c r="N3096" i="4" s="1"/>
  <c r="G3096" i="4"/>
  <c r="H3096" i="4" s="1"/>
  <c r="L3095" i="4"/>
  <c r="N3095" i="4" s="1"/>
  <c r="L3091" i="4"/>
  <c r="M3091" i="4" s="1"/>
  <c r="G3091" i="4"/>
  <c r="I3091" i="4" s="1"/>
  <c r="G3090" i="4"/>
  <c r="I3090" i="4" s="1"/>
  <c r="L3089" i="4"/>
  <c r="L3088" i="4"/>
  <c r="G3088" i="4"/>
  <c r="L3087" i="4"/>
  <c r="P3087" i="4" s="1"/>
  <c r="G3087" i="4"/>
  <c r="H3087" i="4" s="1"/>
  <c r="L3085" i="4"/>
  <c r="G3085" i="4"/>
  <c r="I3085" i="4" s="1"/>
  <c r="L3084" i="4"/>
  <c r="G3084" i="4"/>
  <c r="I3084" i="4" s="1"/>
  <c r="L3083" i="4"/>
  <c r="G3083" i="4"/>
  <c r="I3083" i="4" s="1"/>
  <c r="L3082" i="4"/>
  <c r="M3082" i="4" s="1"/>
  <c r="G3082" i="4"/>
  <c r="I3082" i="4" s="1"/>
  <c r="L3081" i="4"/>
  <c r="N3081" i="4" s="1"/>
  <c r="G3081" i="4"/>
  <c r="I3081" i="4" s="1"/>
  <c r="L3080" i="4"/>
  <c r="N3080" i="4" s="1"/>
  <c r="G3080" i="4"/>
  <c r="L3079" i="4"/>
  <c r="G3079" i="4"/>
  <c r="H3079" i="4" s="1"/>
  <c r="L3078" i="4"/>
  <c r="P3078" i="4" s="1"/>
  <c r="G3078" i="4"/>
  <c r="H3078" i="4" s="1"/>
  <c r="L3077" i="4"/>
  <c r="M3077" i="4" s="1"/>
  <c r="G3077" i="4"/>
  <c r="L3076" i="4"/>
  <c r="M3076" i="4" s="1"/>
  <c r="G3076" i="4"/>
  <c r="I3076" i="4" s="1"/>
  <c r="L3075" i="4"/>
  <c r="P3075" i="4" s="1"/>
  <c r="G3075" i="4"/>
  <c r="I3075" i="4" s="1"/>
  <c r="L3074" i="4"/>
  <c r="M3074" i="4" s="1"/>
  <c r="G3074" i="4"/>
  <c r="I3074" i="4" s="1"/>
  <c r="L3073" i="4"/>
  <c r="M3073" i="4" s="1"/>
  <c r="G3073" i="4"/>
  <c r="L3072" i="4"/>
  <c r="G3072" i="4"/>
  <c r="I3072" i="4" s="1"/>
  <c r="L3071" i="4"/>
  <c r="O3071" i="4" s="1"/>
  <c r="G3071" i="4"/>
  <c r="H3071" i="4" s="1"/>
  <c r="L3070" i="4"/>
  <c r="N3070" i="4" s="1"/>
  <c r="G3070" i="4"/>
  <c r="H3070" i="4" s="1"/>
  <c r="L3069" i="4"/>
  <c r="M3069" i="4" s="1"/>
  <c r="G3069" i="4"/>
  <c r="L3068" i="4"/>
  <c r="G3068" i="4"/>
  <c r="I3068" i="4" s="1"/>
  <c r="L3067" i="4"/>
  <c r="N3067" i="4" s="1"/>
  <c r="G3067" i="4"/>
  <c r="I3067" i="4" s="1"/>
  <c r="L3066" i="4"/>
  <c r="N3066" i="4" s="1"/>
  <c r="G3066" i="4"/>
  <c r="H3066" i="4" s="1"/>
  <c r="L3065" i="4"/>
  <c r="G3065" i="4"/>
  <c r="H3065" i="4" s="1"/>
  <c r="L3064" i="4"/>
  <c r="G3064" i="4"/>
  <c r="I3064" i="4" s="1"/>
  <c r="L3063" i="4"/>
  <c r="G3063" i="4"/>
  <c r="I3063" i="4" s="1"/>
  <c r="L3062" i="4"/>
  <c r="N3062" i="4" s="1"/>
  <c r="G3062" i="4"/>
  <c r="I3062" i="4" s="1"/>
  <c r="L3061" i="4"/>
  <c r="G3061" i="4"/>
  <c r="H3061" i="4" s="1"/>
  <c r="L3060" i="4"/>
  <c r="G3060" i="4"/>
  <c r="I3060" i="4" s="1"/>
  <c r="L3059" i="4"/>
  <c r="G3059" i="4"/>
  <c r="I3059" i="4" s="1"/>
  <c r="L3058" i="4"/>
  <c r="G3058" i="4"/>
  <c r="H3058" i="4" s="1"/>
  <c r="L3057" i="4"/>
  <c r="N3057" i="4" s="1"/>
  <c r="G3057" i="4"/>
  <c r="H3057" i="4" s="1"/>
  <c r="L3056" i="4"/>
  <c r="O3056" i="4" s="1"/>
  <c r="G3056" i="4"/>
  <c r="I3056" i="4" s="1"/>
  <c r="L3055" i="4"/>
  <c r="G3055" i="4"/>
  <c r="L3054" i="4"/>
  <c r="G3054" i="4"/>
  <c r="I3054" i="4" s="1"/>
  <c r="L3053" i="4"/>
  <c r="G3053" i="4"/>
  <c r="I3053" i="4" s="1"/>
  <c r="L3052" i="4"/>
  <c r="G3052" i="4"/>
  <c r="L3051" i="4"/>
  <c r="O3051" i="4" s="1"/>
  <c r="G3051" i="4"/>
  <c r="I3051" i="4" s="1"/>
  <c r="L3050" i="4"/>
  <c r="M3050" i="4" s="1"/>
  <c r="G3050" i="4"/>
  <c r="I3050" i="4" s="1"/>
  <c r="L3049" i="4"/>
  <c r="N3049" i="4" s="1"/>
  <c r="G3049" i="4"/>
  <c r="I3049" i="4" s="1"/>
  <c r="L3048" i="4"/>
  <c r="M3048" i="4" s="1"/>
  <c r="G3048" i="4"/>
  <c r="I3048" i="4" s="1"/>
  <c r="L3047" i="4"/>
  <c r="G3047" i="4"/>
  <c r="H3047" i="4" s="1"/>
  <c r="L3046" i="4"/>
  <c r="G3046" i="4"/>
  <c r="H3046" i="4" s="1"/>
  <c r="L3045" i="4"/>
  <c r="M3045" i="4" s="1"/>
  <c r="G3045" i="4"/>
  <c r="I3045" i="4" s="1"/>
  <c r="L3044" i="4"/>
  <c r="N3044" i="4" s="1"/>
  <c r="G3044" i="4"/>
  <c r="L3043" i="4"/>
  <c r="N3043" i="4" s="1"/>
  <c r="G3043" i="4"/>
  <c r="I3043" i="4" s="1"/>
  <c r="L3042" i="4"/>
  <c r="G3042" i="4"/>
  <c r="H3042" i="4" s="1"/>
  <c r="L3041" i="4"/>
  <c r="M3041" i="4" s="1"/>
  <c r="G3041" i="4"/>
  <c r="I3041" i="4" s="1"/>
  <c r="L3040" i="4"/>
  <c r="N3040" i="4" s="1"/>
  <c r="G3040" i="4"/>
  <c r="I3040" i="4" s="1"/>
  <c r="L3039" i="4"/>
  <c r="M3039" i="4" s="1"/>
  <c r="G3039" i="4"/>
  <c r="I3039" i="4" s="1"/>
  <c r="L3038" i="4"/>
  <c r="N3038" i="4" s="1"/>
  <c r="G3038" i="4"/>
  <c r="L3037" i="4"/>
  <c r="N3037" i="4" s="1"/>
  <c r="G3037" i="4"/>
  <c r="L3036" i="4"/>
  <c r="N3036" i="4" s="1"/>
  <c r="G3036" i="4"/>
  <c r="I3036" i="4" s="1"/>
  <c r="L3035" i="4"/>
  <c r="N3035" i="4" s="1"/>
  <c r="G3035" i="4"/>
  <c r="I3035" i="4" s="1"/>
  <c r="L3034" i="4"/>
  <c r="G3034" i="4"/>
  <c r="I3034" i="4" s="1"/>
  <c r="L3033" i="4"/>
  <c r="N3033" i="4" s="1"/>
  <c r="G3033" i="4"/>
  <c r="I3033" i="4" s="1"/>
  <c r="L3032" i="4"/>
  <c r="G3032" i="4"/>
  <c r="I3032" i="4" s="1"/>
  <c r="L3031" i="4"/>
  <c r="G3031" i="4"/>
  <c r="I3031" i="4" s="1"/>
  <c r="L3030" i="4"/>
  <c r="O3030" i="4" s="1"/>
  <c r="G3030" i="4"/>
  <c r="I3030" i="4" s="1"/>
  <c r="L3029" i="4"/>
  <c r="G3029" i="4"/>
  <c r="I3029" i="4" s="1"/>
  <c r="L3028" i="4"/>
  <c r="N3028" i="4" s="1"/>
  <c r="G3028" i="4"/>
  <c r="L3027" i="4"/>
  <c r="G3027" i="4"/>
  <c r="H3027" i="4" s="1"/>
  <c r="L3026" i="4"/>
  <c r="G3026" i="4"/>
  <c r="I3026" i="4" s="1"/>
  <c r="L3025" i="4"/>
  <c r="M3025" i="4" s="1"/>
  <c r="G3025" i="4"/>
  <c r="I3025" i="4" s="1"/>
  <c r="L3024" i="4"/>
  <c r="G3024" i="4"/>
  <c r="H3024" i="4" s="1"/>
  <c r="L3023" i="4"/>
  <c r="M3023" i="4" s="1"/>
  <c r="G3023" i="4"/>
  <c r="I3023" i="4" s="1"/>
  <c r="L3022" i="4"/>
  <c r="G3022" i="4"/>
  <c r="I3022" i="4" s="1"/>
  <c r="L3021" i="4"/>
  <c r="M3021" i="4" s="1"/>
  <c r="G3021" i="4"/>
  <c r="I3021" i="4" s="1"/>
  <c r="L3020" i="4"/>
  <c r="N3020" i="4" s="1"/>
  <c r="G3020" i="4"/>
  <c r="I3020" i="4" s="1"/>
  <c r="L3019" i="4"/>
  <c r="G3019" i="4"/>
  <c r="I3019" i="4" s="1"/>
  <c r="L3018" i="4"/>
  <c r="N3018" i="4" s="1"/>
  <c r="G3018" i="4"/>
  <c r="H3018" i="4" s="1"/>
  <c r="L3017" i="4"/>
  <c r="M3017" i="4" s="1"/>
  <c r="G3017" i="4"/>
  <c r="I3017" i="4" s="1"/>
  <c r="L3016" i="4"/>
  <c r="N3016" i="4" s="1"/>
  <c r="G3016" i="4"/>
  <c r="I3016" i="4" s="1"/>
  <c r="L3015" i="4"/>
  <c r="G3015" i="4"/>
  <c r="I3015" i="4" s="1"/>
  <c r="L3014" i="4"/>
  <c r="G3014" i="4"/>
  <c r="L3013" i="4"/>
  <c r="G3013" i="4"/>
  <c r="H3013" i="4" s="1"/>
  <c r="L3012" i="4"/>
  <c r="G3012" i="4"/>
  <c r="I3012" i="4" s="1"/>
  <c r="L3011" i="4"/>
  <c r="G3011" i="4"/>
  <c r="L3010" i="4"/>
  <c r="G3010" i="4"/>
  <c r="H3010" i="4" s="1"/>
  <c r="L3009" i="4"/>
  <c r="G3009" i="4"/>
  <c r="I3009" i="4" s="1"/>
  <c r="L3008" i="4"/>
  <c r="N3008" i="4" s="1"/>
  <c r="G3008" i="4"/>
  <c r="H3008" i="4" s="1"/>
  <c r="L3007" i="4"/>
  <c r="M3007" i="4" s="1"/>
  <c r="G3007" i="4"/>
  <c r="I3007" i="4" s="1"/>
  <c r="L3006" i="4"/>
  <c r="M3006" i="4" s="1"/>
  <c r="G3006" i="4"/>
  <c r="I3006" i="4" s="1"/>
  <c r="L3005" i="4"/>
  <c r="N3005" i="4" s="1"/>
  <c r="G3005" i="4"/>
  <c r="I3005" i="4" s="1"/>
  <c r="L3004" i="4"/>
  <c r="N3004" i="4" s="1"/>
  <c r="G3004" i="4"/>
  <c r="L3003" i="4"/>
  <c r="G3003" i="4"/>
  <c r="H3003" i="4" s="1"/>
  <c r="L3002" i="4"/>
  <c r="O3002" i="4" s="1"/>
  <c r="G3002" i="4"/>
  <c r="I3002" i="4" s="1"/>
  <c r="N3001" i="4"/>
  <c r="L3001" i="4"/>
  <c r="G3001" i="4"/>
  <c r="I3001" i="4" s="1"/>
  <c r="L3000" i="4"/>
  <c r="N3000" i="4" s="1"/>
  <c r="G3000" i="4"/>
  <c r="L2999" i="4"/>
  <c r="N2999" i="4" s="1"/>
  <c r="G2999" i="4"/>
  <c r="L2998" i="4"/>
  <c r="G2998" i="4"/>
  <c r="H2998" i="4" s="1"/>
  <c r="L2997" i="4"/>
  <c r="M2997" i="4" s="1"/>
  <c r="G2997" i="4"/>
  <c r="H2997" i="4" s="1"/>
  <c r="L2996" i="4"/>
  <c r="G2996" i="4"/>
  <c r="H2996" i="4" s="1"/>
  <c r="L2995" i="4"/>
  <c r="O2995" i="4" s="1"/>
  <c r="G2995" i="4"/>
  <c r="I2995" i="4" s="1"/>
  <c r="L2994" i="4"/>
  <c r="G2994" i="4"/>
  <c r="H2994" i="4" s="1"/>
  <c r="L2993" i="4"/>
  <c r="M2993" i="4" s="1"/>
  <c r="G2993" i="4"/>
  <c r="I2993" i="4" s="1"/>
  <c r="L2992" i="4"/>
  <c r="M2992" i="4" s="1"/>
  <c r="G2992" i="4"/>
  <c r="I2992" i="4" s="1"/>
  <c r="L2991" i="4"/>
  <c r="N2991" i="4" s="1"/>
  <c r="G2991" i="4"/>
  <c r="I2991" i="4" s="1"/>
  <c r="L2990" i="4"/>
  <c r="N2990" i="4" s="1"/>
  <c r="G2990" i="4"/>
  <c r="I2990" i="4" s="1"/>
  <c r="L2989" i="4"/>
  <c r="G2989" i="4"/>
  <c r="H2989" i="4" s="1"/>
  <c r="L2988" i="4"/>
  <c r="G2988" i="4"/>
  <c r="H2988" i="4" s="1"/>
  <c r="L2987" i="4"/>
  <c r="M2987" i="4" s="1"/>
  <c r="G2987" i="4"/>
  <c r="I2987" i="4" s="1"/>
  <c r="L2986" i="4"/>
  <c r="G2986" i="4"/>
  <c r="I2986" i="4" s="1"/>
  <c r="L2985" i="4"/>
  <c r="M2985" i="4" s="1"/>
  <c r="G2985" i="4"/>
  <c r="I2985" i="4" s="1"/>
  <c r="L2984" i="4"/>
  <c r="M2984" i="4" s="1"/>
  <c r="G2984" i="4"/>
  <c r="I2984" i="4" s="1"/>
  <c r="L2983" i="4"/>
  <c r="O2983" i="4" s="1"/>
  <c r="G2983" i="4"/>
  <c r="H2983" i="4" s="1"/>
  <c r="L2982" i="4"/>
  <c r="G2982" i="4"/>
  <c r="I2982" i="4" s="1"/>
  <c r="L2981" i="4"/>
  <c r="O2981" i="4" s="1"/>
  <c r="G2981" i="4"/>
  <c r="I2981" i="4" s="1"/>
  <c r="L2980" i="4"/>
  <c r="N2980" i="4" s="1"/>
  <c r="G2980" i="4"/>
  <c r="L2979" i="4"/>
  <c r="I2979" i="4"/>
  <c r="H2979" i="4"/>
  <c r="G2979" i="4"/>
  <c r="L2978" i="4"/>
  <c r="N2978" i="4" s="1"/>
  <c r="G2978" i="4"/>
  <c r="I2978" i="4" s="1"/>
  <c r="L2977" i="4"/>
  <c r="M2977" i="4" s="1"/>
  <c r="H2977" i="4"/>
  <c r="G2977" i="4"/>
  <c r="I2977" i="4" s="1"/>
  <c r="L2976" i="4"/>
  <c r="G2976" i="4"/>
  <c r="I2976" i="4" s="1"/>
  <c r="L2975" i="4"/>
  <c r="N2975" i="4" s="1"/>
  <c r="G2975" i="4"/>
  <c r="H2975" i="4" s="1"/>
  <c r="L2974" i="4"/>
  <c r="G2974" i="4"/>
  <c r="H2974" i="4" s="1"/>
  <c r="L2973" i="4"/>
  <c r="M2973" i="4" s="1"/>
  <c r="G2973" i="4"/>
  <c r="I2973" i="4" s="1"/>
  <c r="L2972" i="4"/>
  <c r="G2972" i="4"/>
  <c r="I2972" i="4" s="1"/>
  <c r="L2971" i="4"/>
  <c r="M2971" i="4" s="1"/>
  <c r="G2971" i="4"/>
  <c r="I2971" i="4" s="1"/>
  <c r="L2970" i="4"/>
  <c r="M2970" i="4" s="1"/>
  <c r="G2970" i="4"/>
  <c r="H2970" i="4" s="1"/>
  <c r="L2969" i="4"/>
  <c r="G2969" i="4"/>
  <c r="H2969" i="4" s="1"/>
  <c r="L2968" i="4"/>
  <c r="N2968" i="4" s="1"/>
  <c r="G2968" i="4"/>
  <c r="I2968" i="4" s="1"/>
  <c r="L2967" i="4"/>
  <c r="M2967" i="4" s="1"/>
  <c r="G2967" i="4"/>
  <c r="I2967" i="4" s="1"/>
  <c r="L2966" i="4"/>
  <c r="N2966" i="4" s="1"/>
  <c r="G2966" i="4"/>
  <c r="H2966" i="4" s="1"/>
  <c r="L2965" i="4"/>
  <c r="M2965" i="4" s="1"/>
  <c r="G2965" i="4"/>
  <c r="H2965" i="4" s="1"/>
  <c r="L2964" i="4"/>
  <c r="M2964" i="4" s="1"/>
  <c r="G2964" i="4"/>
  <c r="I2964" i="4" s="1"/>
  <c r="L2963" i="4"/>
  <c r="O2963" i="4" s="1"/>
  <c r="G2963" i="4"/>
  <c r="I2963" i="4" s="1"/>
  <c r="L2962" i="4"/>
  <c r="H2962" i="4"/>
  <c r="G2962" i="4"/>
  <c r="I2962" i="4" s="1"/>
  <c r="L2961" i="4"/>
  <c r="G2961" i="4"/>
  <c r="I2961" i="4" s="1"/>
  <c r="L2960" i="4"/>
  <c r="N2960" i="4" s="1"/>
  <c r="G2960" i="4"/>
  <c r="O2960" i="4" s="1"/>
  <c r="L2959" i="4"/>
  <c r="H2959" i="4"/>
  <c r="G2959" i="4"/>
  <c r="I2959" i="4" s="1"/>
  <c r="L2958" i="4"/>
  <c r="M2958" i="4" s="1"/>
  <c r="G2958" i="4"/>
  <c r="I2958" i="4" s="1"/>
  <c r="L2957" i="4"/>
  <c r="G2957" i="4"/>
  <c r="H2957" i="4" s="1"/>
  <c r="L2956" i="4"/>
  <c r="N2956" i="4" s="1"/>
  <c r="G2956" i="4"/>
  <c r="I2956" i="4" s="1"/>
  <c r="L2955" i="4"/>
  <c r="N2955" i="4" s="1"/>
  <c r="G2955" i="4"/>
  <c r="I2955" i="4" s="1"/>
  <c r="L2954" i="4"/>
  <c r="N2954" i="4" s="1"/>
  <c r="G2954" i="4"/>
  <c r="I2954" i="4" s="1"/>
  <c r="L2953" i="4"/>
  <c r="N2953" i="4" s="1"/>
  <c r="G2953" i="4"/>
  <c r="H2953" i="4" s="1"/>
  <c r="L2952" i="4"/>
  <c r="G2952" i="4"/>
  <c r="H2952" i="4" s="1"/>
  <c r="L2951" i="4"/>
  <c r="M2951" i="4" s="1"/>
  <c r="G2951" i="4"/>
  <c r="L2950" i="4"/>
  <c r="G2950" i="4"/>
  <c r="I2950" i="4" s="1"/>
  <c r="L2949" i="4"/>
  <c r="M2949" i="4" s="1"/>
  <c r="G2949" i="4"/>
  <c r="I2949" i="4" s="1"/>
  <c r="L2948" i="4"/>
  <c r="N2948" i="4" s="1"/>
  <c r="G2948" i="4"/>
  <c r="I2948" i="4" s="1"/>
  <c r="L2947" i="4"/>
  <c r="O2947" i="4" s="1"/>
  <c r="G2947" i="4"/>
  <c r="I2947" i="4" s="1"/>
  <c r="L2946" i="4"/>
  <c r="N2946" i="4" s="1"/>
  <c r="G2946" i="4"/>
  <c r="H2946" i="4" s="1"/>
  <c r="L2945" i="4"/>
  <c r="G2945" i="4"/>
  <c r="I2945" i="4" s="1"/>
  <c r="L2944" i="4"/>
  <c r="M2944" i="4" s="1"/>
  <c r="G2944" i="4"/>
  <c r="I2944" i="4" s="1"/>
  <c r="L2943" i="4"/>
  <c r="G2943" i="4"/>
  <c r="H2943" i="4" s="1"/>
  <c r="L2942" i="4"/>
  <c r="N2942" i="4" s="1"/>
  <c r="G2942" i="4"/>
  <c r="H2942" i="4" s="1"/>
  <c r="L2941" i="4"/>
  <c r="M2941" i="4" s="1"/>
  <c r="G2941" i="4"/>
  <c r="I2941" i="4" s="1"/>
  <c r="L2940" i="4"/>
  <c r="G2940" i="4"/>
  <c r="I2940" i="4" s="1"/>
  <c r="L2939" i="4"/>
  <c r="M2939" i="4" s="1"/>
  <c r="G2939" i="4"/>
  <c r="I2939" i="4" s="1"/>
  <c r="L2938" i="4"/>
  <c r="M2938" i="4" s="1"/>
  <c r="G2938" i="4"/>
  <c r="I2938" i="4" s="1"/>
  <c r="L2937" i="4"/>
  <c r="G2937" i="4"/>
  <c r="I2937" i="4" s="1"/>
  <c r="L2936" i="4"/>
  <c r="N2936" i="4" s="1"/>
  <c r="G2936" i="4"/>
  <c r="L2935" i="4"/>
  <c r="G2935" i="4"/>
  <c r="I2935" i="4" s="1"/>
  <c r="L2934" i="4"/>
  <c r="O2934" i="4" s="1"/>
  <c r="G2934" i="4"/>
  <c r="I2934" i="4" s="1"/>
  <c r="L2933" i="4"/>
  <c r="O2933" i="4" s="1"/>
  <c r="G2933" i="4"/>
  <c r="I2933" i="4" s="1"/>
  <c r="L2932" i="4"/>
  <c r="M2932" i="4" s="1"/>
  <c r="G2932" i="4"/>
  <c r="L2931" i="4"/>
  <c r="M2931" i="4" s="1"/>
  <c r="G2931" i="4"/>
  <c r="I2931" i="4" s="1"/>
  <c r="L2930" i="4"/>
  <c r="O2930" i="4" s="1"/>
  <c r="G2930" i="4"/>
  <c r="I2930" i="4" s="1"/>
  <c r="L2929" i="4"/>
  <c r="N2929" i="4" s="1"/>
  <c r="G2929" i="4"/>
  <c r="I2929" i="4" s="1"/>
  <c r="L2928" i="4"/>
  <c r="G2928" i="4"/>
  <c r="H2928" i="4" s="1"/>
  <c r="L2927" i="4"/>
  <c r="G2927" i="4"/>
  <c r="I2927" i="4" s="1"/>
  <c r="L2926" i="4"/>
  <c r="G2926" i="4"/>
  <c r="I2926" i="4" s="1"/>
  <c r="L2925" i="4"/>
  <c r="M2925" i="4" s="1"/>
  <c r="G2925" i="4"/>
  <c r="I2925" i="4" s="1"/>
  <c r="L2924" i="4"/>
  <c r="M2924" i="4" s="1"/>
  <c r="G2924" i="4"/>
  <c r="I2924" i="4" s="1"/>
  <c r="L2923" i="4"/>
  <c r="M2923" i="4" s="1"/>
  <c r="G2923" i="4"/>
  <c r="I2923" i="4" s="1"/>
  <c r="L2922" i="4"/>
  <c r="N2922" i="4" s="1"/>
  <c r="G2922" i="4"/>
  <c r="H2922" i="4" s="1"/>
  <c r="L2921" i="4"/>
  <c r="G2921" i="4"/>
  <c r="I2921" i="4" s="1"/>
  <c r="L2920" i="4"/>
  <c r="O2920" i="4" s="1"/>
  <c r="G2920" i="4"/>
  <c r="I2920" i="4" s="1"/>
  <c r="L2919" i="4"/>
  <c r="G2919" i="4"/>
  <c r="I2919" i="4" s="1"/>
  <c r="L2918" i="4"/>
  <c r="N2918" i="4" s="1"/>
  <c r="G2918" i="4"/>
  <c r="I2918" i="4" s="1"/>
  <c r="L2917" i="4"/>
  <c r="N2917" i="4" s="1"/>
  <c r="G2917" i="4"/>
  <c r="I2917" i="4" s="1"/>
  <c r="L2916" i="4"/>
  <c r="G2916" i="4"/>
  <c r="H2916" i="4" s="1"/>
  <c r="L2915" i="4"/>
  <c r="M2915" i="4" s="1"/>
  <c r="G2915" i="4"/>
  <c r="I2915" i="4" s="1"/>
  <c r="L2914" i="4"/>
  <c r="N2914" i="4" s="1"/>
  <c r="G2914" i="4"/>
  <c r="L2913" i="4"/>
  <c r="G2913" i="4"/>
  <c r="H2913" i="4" s="1"/>
  <c r="L2912" i="4"/>
  <c r="M2912" i="4" s="1"/>
  <c r="G2912" i="4"/>
  <c r="I2912" i="4" s="1"/>
  <c r="L2911" i="4"/>
  <c r="G2911" i="4"/>
  <c r="H2911" i="4" s="1"/>
  <c r="L2910" i="4"/>
  <c r="G2910" i="4"/>
  <c r="I2910" i="4" s="1"/>
  <c r="L2909" i="4"/>
  <c r="N2909" i="4" s="1"/>
  <c r="G2909" i="4"/>
  <c r="I2909" i="4" s="1"/>
  <c r="L2908" i="4"/>
  <c r="M2908" i="4" s="1"/>
  <c r="G2908" i="4"/>
  <c r="L2907" i="4"/>
  <c r="N2907" i="4" s="1"/>
  <c r="G2907" i="4"/>
  <c r="L2906" i="4"/>
  <c r="O2906" i="4" s="1"/>
  <c r="G2906" i="4"/>
  <c r="H2906" i="4" s="1"/>
  <c r="L2905" i="4"/>
  <c r="M2905" i="4" s="1"/>
  <c r="L2904" i="4"/>
  <c r="M2904" i="4" s="1"/>
  <c r="L2903" i="4"/>
  <c r="L2899" i="4"/>
  <c r="G2899" i="4"/>
  <c r="H2899" i="4" s="1"/>
  <c r="L2898" i="4"/>
  <c r="M2898" i="4" s="1"/>
  <c r="G2898" i="4"/>
  <c r="H2898" i="4" s="1"/>
  <c r="L2897" i="4"/>
  <c r="G2897" i="4"/>
  <c r="H2897" i="4" s="1"/>
  <c r="L2896" i="4"/>
  <c r="G2896" i="4"/>
  <c r="I2896" i="4" s="1"/>
  <c r="L2895" i="4"/>
  <c r="N2895" i="4" s="1"/>
  <c r="G2895" i="4"/>
  <c r="I2895" i="4" s="1"/>
  <c r="L2894" i="4"/>
  <c r="N2894" i="4" s="1"/>
  <c r="G2894" i="4"/>
  <c r="I2894" i="4" s="1"/>
  <c r="L2893" i="4"/>
  <c r="M2893" i="4" s="1"/>
  <c r="G2893" i="4"/>
  <c r="I2893" i="4" s="1"/>
  <c r="L2892" i="4"/>
  <c r="N2892" i="4" s="1"/>
  <c r="G2892" i="4"/>
  <c r="L2891" i="4"/>
  <c r="G2891" i="4"/>
  <c r="I2891" i="4" s="1"/>
  <c r="L2890" i="4"/>
  <c r="I2890" i="4"/>
  <c r="G2890" i="4"/>
  <c r="H2890" i="4" s="1"/>
  <c r="L2889" i="4"/>
  <c r="G2889" i="4"/>
  <c r="I2889" i="4" s="1"/>
  <c r="L2888" i="4"/>
  <c r="N2888" i="4" s="1"/>
  <c r="G2888" i="4"/>
  <c r="I2888" i="4" s="1"/>
  <c r="L2887" i="4"/>
  <c r="G2887" i="4"/>
  <c r="I2887" i="4" s="1"/>
  <c r="L2886" i="4"/>
  <c r="N2886" i="4" s="1"/>
  <c r="G2886" i="4"/>
  <c r="L2885" i="4"/>
  <c r="G2885" i="4"/>
  <c r="H2885" i="4" s="1"/>
  <c r="L2884" i="4"/>
  <c r="M2884" i="4" s="1"/>
  <c r="G2884" i="4"/>
  <c r="I2884" i="4" s="1"/>
  <c r="L2883" i="4"/>
  <c r="G2883" i="4"/>
  <c r="I2883" i="4" s="1"/>
  <c r="L2882" i="4"/>
  <c r="M2882" i="4" s="1"/>
  <c r="G2882" i="4"/>
  <c r="I2882" i="4" s="1"/>
  <c r="K2881" i="4"/>
  <c r="J2881" i="4"/>
  <c r="L2881" i="4" s="1"/>
  <c r="M2881" i="4" s="1"/>
  <c r="F2881" i="4"/>
  <c r="E2881" i="4"/>
  <c r="K2880" i="4"/>
  <c r="F2880" i="4"/>
  <c r="E2880" i="4"/>
  <c r="K2879" i="4"/>
  <c r="J2879" i="4"/>
  <c r="F2879" i="4"/>
  <c r="E2879" i="4"/>
  <c r="J2878" i="4"/>
  <c r="J2877" i="4"/>
  <c r="E2877" i="4"/>
  <c r="K2876" i="4"/>
  <c r="J2876" i="4"/>
  <c r="F2876" i="4"/>
  <c r="E2876" i="4"/>
  <c r="K2875" i="4"/>
  <c r="J2875" i="4"/>
  <c r="E2875" i="4"/>
  <c r="K2874" i="4"/>
  <c r="J2874" i="4"/>
  <c r="F2874" i="4"/>
  <c r="K2873" i="4"/>
  <c r="J2873" i="4"/>
  <c r="F2873" i="4"/>
  <c r="E2873" i="4"/>
  <c r="K2872" i="4"/>
  <c r="J2872" i="4"/>
  <c r="F2872" i="4"/>
  <c r="E2872" i="4"/>
  <c r="K2871" i="4"/>
  <c r="E2871" i="4"/>
  <c r="J2870" i="4"/>
  <c r="J2869" i="4"/>
  <c r="F2869" i="4"/>
  <c r="E2869" i="4"/>
  <c r="K2868" i="4"/>
  <c r="F2868" i="4"/>
  <c r="E2868" i="4"/>
  <c r="J2867" i="4"/>
  <c r="F2867" i="4"/>
  <c r="E2867" i="4"/>
  <c r="K2866" i="4"/>
  <c r="J2866" i="4"/>
  <c r="F2866" i="4"/>
  <c r="K2865" i="4"/>
  <c r="J2865" i="4"/>
  <c r="E2865" i="4"/>
  <c r="K2864" i="4"/>
  <c r="J2864" i="4"/>
  <c r="F2864" i="4"/>
  <c r="E2864" i="4"/>
  <c r="J2863" i="4"/>
  <c r="F2863" i="4"/>
  <c r="E2863" i="4"/>
  <c r="K2862" i="4"/>
  <c r="J2862" i="4"/>
  <c r="F2862" i="4"/>
  <c r="K2861" i="4"/>
  <c r="J2861" i="4"/>
  <c r="F2861" i="4"/>
  <c r="E2861" i="4"/>
  <c r="J2860" i="4"/>
  <c r="E2860" i="4"/>
  <c r="E2859" i="4"/>
  <c r="J2858" i="4"/>
  <c r="K2857" i="4"/>
  <c r="J2857" i="4"/>
  <c r="F2857" i="4"/>
  <c r="E2857" i="4"/>
  <c r="K2856" i="4"/>
  <c r="F2856" i="4"/>
  <c r="E2856" i="4"/>
  <c r="J2855" i="4"/>
  <c r="F2855" i="4"/>
  <c r="E2855" i="4"/>
  <c r="J2854" i="4"/>
  <c r="J2853" i="4"/>
  <c r="E2853" i="4"/>
  <c r="K2852" i="4"/>
  <c r="J2852" i="4"/>
  <c r="F2852" i="4"/>
  <c r="E2852" i="4"/>
  <c r="K2851" i="4"/>
  <c r="J2851" i="4"/>
  <c r="E2851" i="4"/>
  <c r="K2850" i="4"/>
  <c r="J2850" i="4"/>
  <c r="F2850" i="4"/>
  <c r="K2849" i="4"/>
  <c r="J2849" i="4"/>
  <c r="F2849" i="4"/>
  <c r="E2849" i="4"/>
  <c r="K2848" i="4"/>
  <c r="J2848" i="4"/>
  <c r="F2848" i="4"/>
  <c r="E2848" i="4"/>
  <c r="K2847" i="4"/>
  <c r="E2847" i="4"/>
  <c r="J2846" i="4"/>
  <c r="J2845" i="4"/>
  <c r="F2845" i="4"/>
  <c r="E2845" i="4"/>
  <c r="K2844" i="4"/>
  <c r="F2844" i="4"/>
  <c r="E2844" i="4"/>
  <c r="J2843" i="4"/>
  <c r="F2843" i="4"/>
  <c r="E2843" i="4"/>
  <c r="K2842" i="4"/>
  <c r="J2842" i="4"/>
  <c r="K2841" i="4"/>
  <c r="J2841" i="4"/>
  <c r="E2841" i="4"/>
  <c r="K2840" i="4"/>
  <c r="J2840" i="4"/>
  <c r="F2840" i="4"/>
  <c r="E2840" i="4"/>
  <c r="J2839" i="4"/>
  <c r="F2839" i="4"/>
  <c r="E2839" i="4"/>
  <c r="K2838" i="4"/>
  <c r="J2838" i="4"/>
  <c r="F2838" i="4"/>
  <c r="K2837" i="4"/>
  <c r="J2837" i="4"/>
  <c r="F2837" i="4"/>
  <c r="E2837" i="4"/>
  <c r="J2836" i="4"/>
  <c r="E2836" i="4"/>
  <c r="K2835" i="4"/>
  <c r="J2834" i="4"/>
  <c r="K2833" i="4"/>
  <c r="J2833" i="4"/>
  <c r="F2833" i="4"/>
  <c r="E2833" i="4"/>
  <c r="K2832" i="4"/>
  <c r="F2832" i="4"/>
  <c r="E2832" i="4"/>
  <c r="J2831" i="4"/>
  <c r="F2831" i="4"/>
  <c r="E2831" i="4"/>
  <c r="K2830" i="4"/>
  <c r="J2830" i="4"/>
  <c r="J2829" i="4"/>
  <c r="E2829" i="4"/>
  <c r="K2828" i="4"/>
  <c r="J2828" i="4"/>
  <c r="F2828" i="4"/>
  <c r="E2828" i="4"/>
  <c r="K2827" i="4"/>
  <c r="J2827" i="4"/>
  <c r="F2827" i="4"/>
  <c r="E2827" i="4"/>
  <c r="K2826" i="4"/>
  <c r="J2826" i="4"/>
  <c r="F2826" i="4"/>
  <c r="K2825" i="4"/>
  <c r="J2825" i="4"/>
  <c r="F2825" i="4"/>
  <c r="E2825" i="4"/>
  <c r="K2824" i="4"/>
  <c r="J2824" i="4"/>
  <c r="F2824" i="4"/>
  <c r="E2824" i="4"/>
  <c r="K2823" i="4"/>
  <c r="E2823" i="4"/>
  <c r="J2822" i="4"/>
  <c r="J2821" i="4"/>
  <c r="F2821" i="4"/>
  <c r="E2821" i="4"/>
  <c r="K2820" i="4"/>
  <c r="F2820" i="4"/>
  <c r="E2820" i="4"/>
  <c r="J2819" i="4"/>
  <c r="F2819" i="4"/>
  <c r="E2819" i="4"/>
  <c r="K2818" i="4"/>
  <c r="J2818" i="4"/>
  <c r="K2817" i="4"/>
  <c r="J2817" i="4"/>
  <c r="E2817" i="4"/>
  <c r="K2816" i="4"/>
  <c r="J2816" i="4"/>
  <c r="F2816" i="4"/>
  <c r="E2816" i="4"/>
  <c r="J2815" i="4"/>
  <c r="F2815" i="4"/>
  <c r="E2815" i="4"/>
  <c r="K2814" i="4"/>
  <c r="J2814" i="4"/>
  <c r="K2813" i="4"/>
  <c r="J2813" i="4"/>
  <c r="E2813" i="4"/>
  <c r="J2812" i="4"/>
  <c r="E2812" i="4"/>
  <c r="E2811" i="4"/>
  <c r="J2810" i="4"/>
  <c r="K2809" i="4"/>
  <c r="J2809" i="4"/>
  <c r="L2809" i="4" s="1"/>
  <c r="M2809" i="4" s="1"/>
  <c r="F2809" i="4"/>
  <c r="E2809" i="4"/>
  <c r="K2808" i="4"/>
  <c r="F2808" i="4"/>
  <c r="E2808" i="4"/>
  <c r="J2807" i="4"/>
  <c r="F2807" i="4"/>
  <c r="E2807" i="4"/>
  <c r="J2806" i="4"/>
  <c r="J2805" i="4"/>
  <c r="E2805" i="4"/>
  <c r="K2804" i="4"/>
  <c r="J2804" i="4"/>
  <c r="F2804" i="4"/>
  <c r="E2804" i="4"/>
  <c r="G2804" i="4" s="1"/>
  <c r="I2804" i="4" s="1"/>
  <c r="J2803" i="4"/>
  <c r="F2803" i="4"/>
  <c r="E2803" i="4"/>
  <c r="K2802" i="4"/>
  <c r="J2802" i="4"/>
  <c r="F2802" i="4"/>
  <c r="K2801" i="4"/>
  <c r="J2801" i="4"/>
  <c r="F2801" i="4"/>
  <c r="E2801" i="4"/>
  <c r="K2800" i="4"/>
  <c r="J2800" i="4"/>
  <c r="F2800" i="4"/>
  <c r="E2800" i="4"/>
  <c r="K2799" i="4"/>
  <c r="E2799" i="4"/>
  <c r="J2798" i="4"/>
  <c r="F2798" i="4"/>
  <c r="E2798" i="4"/>
  <c r="G2798" i="4" s="1"/>
  <c r="H2798" i="4" s="1"/>
  <c r="J2797" i="4"/>
  <c r="F2797" i="4"/>
  <c r="E2797" i="4"/>
  <c r="K2796" i="4"/>
  <c r="F2796" i="4"/>
  <c r="E2796" i="4"/>
  <c r="K2795" i="4"/>
  <c r="J2795" i="4"/>
  <c r="F2795" i="4"/>
  <c r="E2795" i="4"/>
  <c r="K2794" i="4"/>
  <c r="J2794" i="4"/>
  <c r="K2793" i="4"/>
  <c r="J2793" i="4"/>
  <c r="E2793" i="4"/>
  <c r="K2792" i="4"/>
  <c r="J2792" i="4"/>
  <c r="F2792" i="4"/>
  <c r="E2792" i="4"/>
  <c r="J2791" i="4"/>
  <c r="F2791" i="4"/>
  <c r="E2791" i="4"/>
  <c r="K2790" i="4"/>
  <c r="J2790" i="4"/>
  <c r="K2789" i="4"/>
  <c r="J2789" i="4"/>
  <c r="E2789" i="4"/>
  <c r="J2788" i="4"/>
  <c r="E2788" i="4"/>
  <c r="E2787" i="4"/>
  <c r="J2786" i="4"/>
  <c r="K2785" i="4"/>
  <c r="J2785" i="4"/>
  <c r="F2785" i="4"/>
  <c r="E2785" i="4"/>
  <c r="K2784" i="4"/>
  <c r="F2784" i="4"/>
  <c r="E2784" i="4"/>
  <c r="J2783" i="4"/>
  <c r="F2783" i="4"/>
  <c r="E2783" i="4"/>
  <c r="J2782" i="4"/>
  <c r="J2781" i="4"/>
  <c r="E2781" i="4"/>
  <c r="K2780" i="4"/>
  <c r="J2780" i="4"/>
  <c r="F2780" i="4"/>
  <c r="E2780" i="4"/>
  <c r="J2779" i="4"/>
  <c r="F2779" i="4"/>
  <c r="E2779" i="4"/>
  <c r="K2778" i="4"/>
  <c r="J2778" i="4"/>
  <c r="F2778" i="4"/>
  <c r="K2777" i="4"/>
  <c r="J2777" i="4"/>
  <c r="F2777" i="4"/>
  <c r="E2777" i="4"/>
  <c r="K2776" i="4"/>
  <c r="J2776" i="4"/>
  <c r="F2776" i="4"/>
  <c r="E2776" i="4"/>
  <c r="K2775" i="4"/>
  <c r="E2775" i="4"/>
  <c r="K2773" i="4"/>
  <c r="J2773" i="4"/>
  <c r="F2773" i="4"/>
  <c r="E2773" i="4"/>
  <c r="K2772" i="4"/>
  <c r="F2772" i="4"/>
  <c r="E2772" i="4"/>
  <c r="J2771" i="4"/>
  <c r="F2771" i="4"/>
  <c r="E2771" i="4"/>
  <c r="K2770" i="4"/>
  <c r="J2770" i="4"/>
  <c r="K2769" i="4"/>
  <c r="J2769" i="4"/>
  <c r="E2769" i="4"/>
  <c r="K2768" i="4"/>
  <c r="J2768" i="4"/>
  <c r="F2768" i="4"/>
  <c r="E2768" i="4"/>
  <c r="J2767" i="4"/>
  <c r="F2767" i="4"/>
  <c r="E2767" i="4"/>
  <c r="J2766" i="4"/>
  <c r="F2766" i="4"/>
  <c r="K2765" i="4"/>
  <c r="J2765" i="4"/>
  <c r="F2765" i="4"/>
  <c r="E2765" i="4"/>
  <c r="K2764" i="4"/>
  <c r="J2764" i="4"/>
  <c r="F2764" i="4"/>
  <c r="E2764" i="4"/>
  <c r="K2763" i="4"/>
  <c r="E2763" i="4"/>
  <c r="J2762" i="4"/>
  <c r="K2761" i="4"/>
  <c r="J2761" i="4"/>
  <c r="F2761" i="4"/>
  <c r="E2761" i="4"/>
  <c r="K2760" i="4"/>
  <c r="F2760" i="4"/>
  <c r="E2760" i="4"/>
  <c r="K2759" i="4"/>
  <c r="J2759" i="4"/>
  <c r="J2758" i="4"/>
  <c r="K2757" i="4"/>
  <c r="J2757" i="4"/>
  <c r="E2757" i="4"/>
  <c r="K2756" i="4"/>
  <c r="J2756" i="4"/>
  <c r="F2756" i="4"/>
  <c r="E2756" i="4"/>
  <c r="J2755" i="4"/>
  <c r="F2755" i="4"/>
  <c r="E2755" i="4"/>
  <c r="K2754" i="4"/>
  <c r="F2754" i="4"/>
  <c r="J2753" i="4"/>
  <c r="F2753" i="4"/>
  <c r="E2753" i="4"/>
  <c r="K2752" i="4"/>
  <c r="J2752" i="4"/>
  <c r="E2752" i="4"/>
  <c r="K2751" i="4"/>
  <c r="E2751" i="4"/>
  <c r="J2750" i="4"/>
  <c r="K2749" i="4"/>
  <c r="J2749" i="4"/>
  <c r="L2749" i="4" s="1"/>
  <c r="M2749" i="4" s="1"/>
  <c r="F2749" i="4"/>
  <c r="E2749" i="4"/>
  <c r="K2748" i="4"/>
  <c r="F2748" i="4"/>
  <c r="E2748" i="4"/>
  <c r="J2747" i="4"/>
  <c r="F2747" i="4"/>
  <c r="E2747" i="4"/>
  <c r="K2746" i="4"/>
  <c r="K2745" i="4"/>
  <c r="J2745" i="4"/>
  <c r="E2745" i="4"/>
  <c r="K2744" i="4"/>
  <c r="J2744" i="4"/>
  <c r="F2744" i="4"/>
  <c r="E2744" i="4"/>
  <c r="J2743" i="4"/>
  <c r="F2743" i="4"/>
  <c r="E2743" i="4"/>
  <c r="K2742" i="4"/>
  <c r="J2742" i="4"/>
  <c r="F2742" i="4"/>
  <c r="F2741" i="4"/>
  <c r="E2741" i="4"/>
  <c r="K2740" i="4"/>
  <c r="J2740" i="4"/>
  <c r="E2740" i="4"/>
  <c r="K2739" i="4"/>
  <c r="E2739" i="4"/>
  <c r="K2737" i="4"/>
  <c r="J2737" i="4"/>
  <c r="F2737" i="4"/>
  <c r="E2737" i="4"/>
  <c r="K2736" i="4"/>
  <c r="F2736" i="4"/>
  <c r="E2736" i="4"/>
  <c r="J2735" i="4"/>
  <c r="F2735" i="4"/>
  <c r="E2735" i="4"/>
  <c r="K2734" i="4"/>
  <c r="K2733" i="4"/>
  <c r="J2733" i="4"/>
  <c r="E2733" i="4"/>
  <c r="K2732" i="4"/>
  <c r="J2732" i="4"/>
  <c r="E2732" i="4"/>
  <c r="J2731" i="4"/>
  <c r="F2731" i="4"/>
  <c r="E2731" i="4"/>
  <c r="K2730" i="4"/>
  <c r="J2730" i="4"/>
  <c r="F2730" i="4"/>
  <c r="F2729" i="4"/>
  <c r="K2728" i="4"/>
  <c r="J2728" i="4"/>
  <c r="F2728" i="4"/>
  <c r="E2728" i="4"/>
  <c r="K2727" i="4"/>
  <c r="E2727" i="4"/>
  <c r="K2725" i="4"/>
  <c r="J2725" i="4"/>
  <c r="F2725" i="4"/>
  <c r="E2725" i="4"/>
  <c r="K2724" i="4"/>
  <c r="F2724" i="4"/>
  <c r="E2724" i="4"/>
  <c r="J2723" i="4"/>
  <c r="F2723" i="4"/>
  <c r="E2723" i="4"/>
  <c r="K2722" i="4"/>
  <c r="K2721" i="4"/>
  <c r="J2721" i="4"/>
  <c r="E2721" i="4"/>
  <c r="K2720" i="4"/>
  <c r="J2720" i="4"/>
  <c r="F2720" i="4"/>
  <c r="E2720" i="4"/>
  <c r="J2719" i="4"/>
  <c r="F2719" i="4"/>
  <c r="E2719" i="4"/>
  <c r="K2718" i="4"/>
  <c r="J2718" i="4"/>
  <c r="F2718" i="4"/>
  <c r="K2717" i="4"/>
  <c r="F2717" i="4"/>
  <c r="E2717" i="4"/>
  <c r="K2716" i="4"/>
  <c r="J2716" i="4"/>
  <c r="F2716" i="4"/>
  <c r="K2715" i="4"/>
  <c r="F2714" i="4"/>
  <c r="J2713" i="4"/>
  <c r="E2713" i="4"/>
  <c r="J2712" i="4"/>
  <c r="E2712" i="4"/>
  <c r="J2711" i="4"/>
  <c r="E2711" i="4"/>
  <c r="E2710" i="4"/>
  <c r="E2709" i="4"/>
  <c r="J2708" i="4"/>
  <c r="E2708" i="4"/>
  <c r="K2707" i="4"/>
  <c r="K2706" i="4"/>
  <c r="J2706" i="4"/>
  <c r="J2704" i="4"/>
  <c r="F2704" i="4"/>
  <c r="E2704" i="4"/>
  <c r="K2703" i="4"/>
  <c r="J2702" i="4"/>
  <c r="K2701" i="4"/>
  <c r="J2701" i="4"/>
  <c r="F2701" i="4"/>
  <c r="E2701" i="4"/>
  <c r="K2700" i="4"/>
  <c r="J2700" i="4"/>
  <c r="F2700" i="4"/>
  <c r="E2700" i="4"/>
  <c r="K2699" i="4"/>
  <c r="J2699" i="4"/>
  <c r="F2699" i="4"/>
  <c r="E2699" i="4"/>
  <c r="K2698" i="4"/>
  <c r="J2698" i="4"/>
  <c r="F2698" i="4"/>
  <c r="E2698" i="4"/>
  <c r="K2697" i="4"/>
  <c r="J2697" i="4"/>
  <c r="F2697" i="4"/>
  <c r="E2697" i="4"/>
  <c r="K2696" i="4"/>
  <c r="J2696" i="4"/>
  <c r="L2696" i="4" s="1"/>
  <c r="M2696" i="4" s="1"/>
  <c r="F2696" i="4"/>
  <c r="E2696" i="4"/>
  <c r="K2695" i="4"/>
  <c r="J2695" i="4"/>
  <c r="F2695" i="4"/>
  <c r="E2695" i="4"/>
  <c r="K2694" i="4"/>
  <c r="J2694" i="4"/>
  <c r="F2694" i="4"/>
  <c r="E2694" i="4"/>
  <c r="K2693" i="4"/>
  <c r="J2693" i="4"/>
  <c r="F2693" i="4"/>
  <c r="E2693" i="4"/>
  <c r="K2692" i="4"/>
  <c r="J2692" i="4"/>
  <c r="F2692" i="4"/>
  <c r="E2692" i="4"/>
  <c r="K2691" i="4"/>
  <c r="J2691" i="4"/>
  <c r="F2691" i="4"/>
  <c r="E2691" i="4"/>
  <c r="G2691" i="4" s="1"/>
  <c r="K2690" i="4"/>
  <c r="J2690" i="4"/>
  <c r="F2690" i="4"/>
  <c r="E2690" i="4"/>
  <c r="L2689" i="4"/>
  <c r="N2689" i="4" s="1"/>
  <c r="G2689" i="4"/>
  <c r="I2689" i="4" s="1"/>
  <c r="L2688" i="4"/>
  <c r="N2688" i="4" s="1"/>
  <c r="G2688" i="4"/>
  <c r="I2688" i="4" s="1"/>
  <c r="L2687" i="4"/>
  <c r="N2687" i="4" s="1"/>
  <c r="G2687" i="4"/>
  <c r="I2687" i="4" s="1"/>
  <c r="L2686" i="4"/>
  <c r="N2686" i="4" s="1"/>
  <c r="G2686" i="4"/>
  <c r="I2686" i="4" s="1"/>
  <c r="L2685" i="4"/>
  <c r="N2685" i="4" s="1"/>
  <c r="G2685" i="4"/>
  <c r="I2685" i="4" s="1"/>
  <c r="L2684" i="4"/>
  <c r="M2684" i="4" s="1"/>
  <c r="G2684" i="4"/>
  <c r="I2684" i="4" s="1"/>
  <c r="L2683" i="4"/>
  <c r="N2683" i="4" s="1"/>
  <c r="G2683" i="4"/>
  <c r="I2683" i="4" s="1"/>
  <c r="L2682" i="4"/>
  <c r="N2682" i="4" s="1"/>
  <c r="G2682" i="4"/>
  <c r="I2682" i="4" s="1"/>
  <c r="L2681" i="4"/>
  <c r="N2681" i="4" s="1"/>
  <c r="G2681" i="4"/>
  <c r="I2681" i="4" s="1"/>
  <c r="L2680" i="4"/>
  <c r="N2680" i="4" s="1"/>
  <c r="G2680" i="4"/>
  <c r="I2680" i="4" s="1"/>
  <c r="L2679" i="4"/>
  <c r="N2679" i="4" s="1"/>
  <c r="G2679" i="4"/>
  <c r="I2679" i="4" s="1"/>
  <c r="L2678" i="4"/>
  <c r="N2678" i="4" s="1"/>
  <c r="G2678" i="4"/>
  <c r="I2678" i="4" s="1"/>
  <c r="L2677" i="4"/>
  <c r="N2677" i="4" s="1"/>
  <c r="G2677" i="4"/>
  <c r="I2677" i="4" s="1"/>
  <c r="L2676" i="4"/>
  <c r="N2676" i="4" s="1"/>
  <c r="G2676" i="4"/>
  <c r="H2676" i="4" s="1"/>
  <c r="L2675" i="4"/>
  <c r="N2675" i="4" s="1"/>
  <c r="G2675" i="4"/>
  <c r="I2675" i="4" s="1"/>
  <c r="L2674" i="4"/>
  <c r="N2674" i="4" s="1"/>
  <c r="G2674" i="4"/>
  <c r="I2674" i="4" s="1"/>
  <c r="L2673" i="4"/>
  <c r="N2673" i="4" s="1"/>
  <c r="G2673" i="4"/>
  <c r="I2673" i="4" s="1"/>
  <c r="L2672" i="4"/>
  <c r="M2672" i="4" s="1"/>
  <c r="G2672" i="4"/>
  <c r="I2672" i="4" s="1"/>
  <c r="L2671" i="4"/>
  <c r="N2671" i="4" s="1"/>
  <c r="G2671" i="4"/>
  <c r="H2671" i="4" s="1"/>
  <c r="L2670" i="4"/>
  <c r="N2670" i="4" s="1"/>
  <c r="G2670" i="4"/>
  <c r="L2669" i="4"/>
  <c r="N2669" i="4" s="1"/>
  <c r="G2669" i="4"/>
  <c r="I2669" i="4" s="1"/>
  <c r="L2668" i="4"/>
  <c r="G2668" i="4"/>
  <c r="I2668" i="4" s="1"/>
  <c r="L2667" i="4"/>
  <c r="N2667" i="4" s="1"/>
  <c r="G2667" i="4"/>
  <c r="I2667" i="4" s="1"/>
  <c r="L2666" i="4"/>
  <c r="N2666" i="4" s="1"/>
  <c r="G2666" i="4"/>
  <c r="H2666" i="4" s="1"/>
  <c r="L2665" i="4"/>
  <c r="N2665" i="4" s="1"/>
  <c r="G2665" i="4"/>
  <c r="I2665" i="4" s="1"/>
  <c r="L2664" i="4"/>
  <c r="M2664" i="4" s="1"/>
  <c r="G2664" i="4"/>
  <c r="H2664" i="4" s="1"/>
  <c r="L2663" i="4"/>
  <c r="N2663" i="4" s="1"/>
  <c r="G2663" i="4"/>
  <c r="H2663" i="4" s="1"/>
  <c r="L2662" i="4"/>
  <c r="N2662" i="4" s="1"/>
  <c r="G2662" i="4"/>
  <c r="H2662" i="4" s="1"/>
  <c r="L2661" i="4"/>
  <c r="N2661" i="4" s="1"/>
  <c r="G2661" i="4"/>
  <c r="I2661" i="4" s="1"/>
  <c r="L2660" i="4"/>
  <c r="N2660" i="4" s="1"/>
  <c r="G2660" i="4"/>
  <c r="I2660" i="4" s="1"/>
  <c r="L2659" i="4"/>
  <c r="N2659" i="4" s="1"/>
  <c r="G2659" i="4"/>
  <c r="I2659" i="4" s="1"/>
  <c r="L2658" i="4"/>
  <c r="M2658" i="4" s="1"/>
  <c r="G2658" i="4"/>
  <c r="I2658" i="4" s="1"/>
  <c r="L2657" i="4"/>
  <c r="N2657" i="4" s="1"/>
  <c r="G2657" i="4"/>
  <c r="H2657" i="4" s="1"/>
  <c r="L2656" i="4"/>
  <c r="N2656" i="4" s="1"/>
  <c r="G2656" i="4"/>
  <c r="I2656" i="4" s="1"/>
  <c r="L2655" i="4"/>
  <c r="N2655" i="4" s="1"/>
  <c r="G2655" i="4"/>
  <c r="I2655" i="4" s="1"/>
  <c r="L2654" i="4"/>
  <c r="N2654" i="4" s="1"/>
  <c r="G2654" i="4"/>
  <c r="I2654" i="4" s="1"/>
  <c r="L2653" i="4"/>
  <c r="N2653" i="4" s="1"/>
  <c r="G2653" i="4"/>
  <c r="I2653" i="4" s="1"/>
  <c r="L2652" i="4"/>
  <c r="M2652" i="4" s="1"/>
  <c r="G2652" i="4"/>
  <c r="I2652" i="4" s="1"/>
  <c r="L2651" i="4"/>
  <c r="N2651" i="4" s="1"/>
  <c r="G2651" i="4"/>
  <c r="I2651" i="4" s="1"/>
  <c r="L2650" i="4"/>
  <c r="N2650" i="4" s="1"/>
  <c r="G2650" i="4"/>
  <c r="I2650" i="4" s="1"/>
  <c r="L2649" i="4"/>
  <c r="N2649" i="4" s="1"/>
  <c r="G2649" i="4"/>
  <c r="I2649" i="4" s="1"/>
  <c r="L2648" i="4"/>
  <c r="N2648" i="4" s="1"/>
  <c r="G2648" i="4"/>
  <c r="H2648" i="4" s="1"/>
  <c r="L2647" i="4"/>
  <c r="N2647" i="4" s="1"/>
  <c r="G2647" i="4"/>
  <c r="H2647" i="4" s="1"/>
  <c r="L2646" i="4"/>
  <c r="N2646" i="4" s="1"/>
  <c r="G2646" i="4"/>
  <c r="I2646" i="4" s="1"/>
  <c r="L2645" i="4"/>
  <c r="N2645" i="4" s="1"/>
  <c r="G2645" i="4"/>
  <c r="I2645" i="4" s="1"/>
  <c r="L2644" i="4"/>
  <c r="N2644" i="4" s="1"/>
  <c r="G2644" i="4"/>
  <c r="I2644" i="4" s="1"/>
  <c r="L2643" i="4"/>
  <c r="N2643" i="4" s="1"/>
  <c r="G2643" i="4"/>
  <c r="I2643" i="4" s="1"/>
  <c r="L2642" i="4"/>
  <c r="G2642" i="4"/>
  <c r="I2642" i="4" s="1"/>
  <c r="L2641" i="4"/>
  <c r="N2641" i="4" s="1"/>
  <c r="G2641" i="4"/>
  <c r="I2641" i="4" s="1"/>
  <c r="L2640" i="4"/>
  <c r="N2640" i="4" s="1"/>
  <c r="G2640" i="4"/>
  <c r="I2640" i="4" s="1"/>
  <c r="L2639" i="4"/>
  <c r="N2639" i="4" s="1"/>
  <c r="G2639" i="4"/>
  <c r="I2639" i="4" s="1"/>
  <c r="L2638" i="4"/>
  <c r="N2638" i="4" s="1"/>
  <c r="G2638" i="4"/>
  <c r="H2638" i="4" s="1"/>
  <c r="L2637" i="4"/>
  <c r="N2637" i="4" s="1"/>
  <c r="G2637" i="4"/>
  <c r="H2637" i="4" s="1"/>
  <c r="L2636" i="4"/>
  <c r="N2636" i="4" s="1"/>
  <c r="G2636" i="4"/>
  <c r="I2636" i="4" s="1"/>
  <c r="L2635" i="4"/>
  <c r="N2635" i="4" s="1"/>
  <c r="G2635" i="4"/>
  <c r="I2635" i="4" s="1"/>
  <c r="L2634" i="4"/>
  <c r="N2634" i="4" s="1"/>
  <c r="G2634" i="4"/>
  <c r="I2634" i="4" s="1"/>
  <c r="L2633" i="4"/>
  <c r="N2633" i="4" s="1"/>
  <c r="G2633" i="4"/>
  <c r="H2633" i="4" s="1"/>
  <c r="L2632" i="4"/>
  <c r="M2632" i="4" s="1"/>
  <c r="G2632" i="4"/>
  <c r="I2632" i="4" s="1"/>
  <c r="L2631" i="4"/>
  <c r="N2631" i="4" s="1"/>
  <c r="G2631" i="4"/>
  <c r="H2631" i="4" s="1"/>
  <c r="L2630" i="4"/>
  <c r="N2630" i="4" s="1"/>
  <c r="G2630" i="4"/>
  <c r="I2630" i="4" s="1"/>
  <c r="L2629" i="4"/>
  <c r="N2629" i="4" s="1"/>
  <c r="G2629" i="4"/>
  <c r="I2629" i="4" s="1"/>
  <c r="L2628" i="4"/>
  <c r="M2628" i="4" s="1"/>
  <c r="G2628" i="4"/>
  <c r="H2628" i="4" s="1"/>
  <c r="L2627" i="4"/>
  <c r="N2627" i="4" s="1"/>
  <c r="G2627" i="4"/>
  <c r="I2627" i="4" s="1"/>
  <c r="L2626" i="4"/>
  <c r="M2626" i="4" s="1"/>
  <c r="G2626" i="4"/>
  <c r="I2626" i="4" s="1"/>
  <c r="L2625" i="4"/>
  <c r="N2625" i="4" s="1"/>
  <c r="G2625" i="4"/>
  <c r="H2625" i="4" s="1"/>
  <c r="L2624" i="4"/>
  <c r="N2624" i="4" s="1"/>
  <c r="G2624" i="4"/>
  <c r="H2624" i="4" s="1"/>
  <c r="L2623" i="4"/>
  <c r="N2623" i="4" s="1"/>
  <c r="G2623" i="4"/>
  <c r="I2623" i="4" s="1"/>
  <c r="L2622" i="4"/>
  <c r="N2622" i="4" s="1"/>
  <c r="G2622" i="4"/>
  <c r="H2622" i="4" s="1"/>
  <c r="L2621" i="4"/>
  <c r="N2621" i="4" s="1"/>
  <c r="G2621" i="4"/>
  <c r="H2621" i="4" s="1"/>
  <c r="L2620" i="4"/>
  <c r="M2620" i="4" s="1"/>
  <c r="G2620" i="4"/>
  <c r="I2620" i="4" s="1"/>
  <c r="L2619" i="4"/>
  <c r="N2619" i="4" s="1"/>
  <c r="G2619" i="4"/>
  <c r="I2619" i="4" s="1"/>
  <c r="L2618" i="4"/>
  <c r="G2618" i="4"/>
  <c r="I2618" i="4" s="1"/>
  <c r="L2617" i="4"/>
  <c r="N2617" i="4" s="1"/>
  <c r="G2617" i="4"/>
  <c r="I2617" i="4" s="1"/>
  <c r="L2616" i="4"/>
  <c r="M2616" i="4" s="1"/>
  <c r="G2616" i="4"/>
  <c r="H2616" i="4" s="1"/>
  <c r="L2615" i="4"/>
  <c r="N2615" i="4" s="1"/>
  <c r="G2615" i="4"/>
  <c r="H2615" i="4" s="1"/>
  <c r="L2614" i="4"/>
  <c r="N2614" i="4" s="1"/>
  <c r="G2614" i="4"/>
  <c r="I2614" i="4" s="1"/>
  <c r="L2613" i="4"/>
  <c r="N2613" i="4" s="1"/>
  <c r="G2613" i="4"/>
  <c r="H2613" i="4" s="1"/>
  <c r="L2612" i="4"/>
  <c r="N2612" i="4" s="1"/>
  <c r="G2612" i="4"/>
  <c r="H2612" i="4" s="1"/>
  <c r="L2611" i="4"/>
  <c r="N2611" i="4" s="1"/>
  <c r="G2611" i="4"/>
  <c r="I2611" i="4" s="1"/>
  <c r="L2610" i="4"/>
  <c r="M2610" i="4" s="1"/>
  <c r="G2610" i="4"/>
  <c r="I2610" i="4" s="1"/>
  <c r="L2609" i="4"/>
  <c r="N2609" i="4" s="1"/>
  <c r="G2609" i="4"/>
  <c r="I2609" i="4" s="1"/>
  <c r="L2608" i="4"/>
  <c r="N2608" i="4" s="1"/>
  <c r="G2608" i="4"/>
  <c r="I2608" i="4" s="1"/>
  <c r="L2607" i="4"/>
  <c r="N2607" i="4" s="1"/>
  <c r="G2607" i="4"/>
  <c r="I2607" i="4" s="1"/>
  <c r="L2606" i="4"/>
  <c r="N2606" i="4" s="1"/>
  <c r="G2606" i="4"/>
  <c r="L2605" i="4"/>
  <c r="N2605" i="4" s="1"/>
  <c r="G2605" i="4"/>
  <c r="H2605" i="4" s="1"/>
  <c r="L2604" i="4"/>
  <c r="N2604" i="4" s="1"/>
  <c r="G2604" i="4"/>
  <c r="H2604" i="4" s="1"/>
  <c r="L2603" i="4"/>
  <c r="N2603" i="4" s="1"/>
  <c r="G2603" i="4"/>
  <c r="L2602" i="4"/>
  <c r="N2602" i="4" s="1"/>
  <c r="G2602" i="4"/>
  <c r="H2602" i="4" s="1"/>
  <c r="L2601" i="4"/>
  <c r="N2601" i="4" s="1"/>
  <c r="G2601" i="4"/>
  <c r="I2601" i="4" s="1"/>
  <c r="L2600" i="4"/>
  <c r="M2600" i="4" s="1"/>
  <c r="G2600" i="4"/>
  <c r="I2600" i="4" s="1"/>
  <c r="L2599" i="4"/>
  <c r="N2599" i="4" s="1"/>
  <c r="G2599" i="4"/>
  <c r="H2599" i="4" s="1"/>
  <c r="L2598" i="4"/>
  <c r="N2598" i="4" s="1"/>
  <c r="G2598" i="4"/>
  <c r="I2598" i="4" s="1"/>
  <c r="L2597" i="4"/>
  <c r="N2597" i="4" s="1"/>
  <c r="G2597" i="4"/>
  <c r="L2596" i="4"/>
  <c r="M2596" i="4" s="1"/>
  <c r="G2596" i="4"/>
  <c r="I2596" i="4" s="1"/>
  <c r="L2595" i="4"/>
  <c r="N2595" i="4" s="1"/>
  <c r="G2595" i="4"/>
  <c r="I2595" i="4" s="1"/>
  <c r="L2594" i="4"/>
  <c r="M2594" i="4" s="1"/>
  <c r="G2594" i="4"/>
  <c r="I2594" i="4" s="1"/>
  <c r="L2593" i="4"/>
  <c r="N2593" i="4" s="1"/>
  <c r="G2593" i="4"/>
  <c r="H2593" i="4" s="1"/>
  <c r="L2592" i="4"/>
  <c r="G2592" i="4"/>
  <c r="I2592" i="4" s="1"/>
  <c r="L2591" i="4"/>
  <c r="N2591" i="4" s="1"/>
  <c r="G2591" i="4"/>
  <c r="I2591" i="4" s="1"/>
  <c r="L2590" i="4"/>
  <c r="N2590" i="4" s="1"/>
  <c r="G2590" i="4"/>
  <c r="H2590" i="4" s="1"/>
  <c r="L2589" i="4"/>
  <c r="N2589" i="4" s="1"/>
  <c r="G2589" i="4"/>
  <c r="H2589" i="4" s="1"/>
  <c r="L2588" i="4"/>
  <c r="M2588" i="4" s="1"/>
  <c r="G2588" i="4"/>
  <c r="L2587" i="4"/>
  <c r="N2587" i="4" s="1"/>
  <c r="G2587" i="4"/>
  <c r="I2587" i="4" s="1"/>
  <c r="L2586" i="4"/>
  <c r="M2586" i="4" s="1"/>
  <c r="G2586" i="4"/>
  <c r="I2586" i="4" s="1"/>
  <c r="L2585" i="4"/>
  <c r="N2585" i="4" s="1"/>
  <c r="G2585" i="4"/>
  <c r="I2585" i="4" s="1"/>
  <c r="L2584" i="4"/>
  <c r="M2584" i="4" s="1"/>
  <c r="G2584" i="4"/>
  <c r="H2584" i="4" s="1"/>
  <c r="L2583" i="4"/>
  <c r="N2583" i="4" s="1"/>
  <c r="G2583" i="4"/>
  <c r="H2583" i="4" s="1"/>
  <c r="L2582" i="4"/>
  <c r="N2582" i="4" s="1"/>
  <c r="G2582" i="4"/>
  <c r="I2582" i="4" s="1"/>
  <c r="L2581" i="4"/>
  <c r="N2581" i="4" s="1"/>
  <c r="G2581" i="4"/>
  <c r="H2581" i="4" s="1"/>
  <c r="L2580" i="4"/>
  <c r="N2580" i="4" s="1"/>
  <c r="G2580" i="4"/>
  <c r="H2580" i="4" s="1"/>
  <c r="L2579" i="4"/>
  <c r="N2579" i="4" s="1"/>
  <c r="I2579" i="4"/>
  <c r="G2579" i="4"/>
  <c r="H2579" i="4" s="1"/>
  <c r="L2578" i="4"/>
  <c r="M2578" i="4" s="1"/>
  <c r="G2578" i="4"/>
  <c r="I2578" i="4" s="1"/>
  <c r="L2577" i="4"/>
  <c r="N2577" i="4" s="1"/>
  <c r="G2577" i="4"/>
  <c r="H2577" i="4" s="1"/>
  <c r="L2576" i="4"/>
  <c r="N2576" i="4" s="1"/>
  <c r="G2576" i="4"/>
  <c r="I2576" i="4" s="1"/>
  <c r="L2575" i="4"/>
  <c r="M2575" i="4" s="1"/>
  <c r="G2575" i="4"/>
  <c r="H2575" i="4" s="1"/>
  <c r="L2574" i="4"/>
  <c r="G2574" i="4"/>
  <c r="I2574" i="4" s="1"/>
  <c r="L2573" i="4"/>
  <c r="N2573" i="4" s="1"/>
  <c r="G2573" i="4"/>
  <c r="I2573" i="4" s="1"/>
  <c r="L2572" i="4"/>
  <c r="N2572" i="4" s="1"/>
  <c r="G2572" i="4"/>
  <c r="H2572" i="4" s="1"/>
  <c r="L2571" i="4"/>
  <c r="G2571" i="4"/>
  <c r="I2571" i="4" s="1"/>
  <c r="L2570" i="4"/>
  <c r="N2570" i="4" s="1"/>
  <c r="G2570" i="4"/>
  <c r="I2570" i="4" s="1"/>
  <c r="L2569" i="4"/>
  <c r="N2569" i="4" s="1"/>
  <c r="G2569" i="4"/>
  <c r="I2569" i="4" s="1"/>
  <c r="L2568" i="4"/>
  <c r="M2568" i="4" s="1"/>
  <c r="G2568" i="4"/>
  <c r="I2568" i="4" s="1"/>
  <c r="L2567" i="4"/>
  <c r="M2567" i="4" s="1"/>
  <c r="G2567" i="4"/>
  <c r="I2567" i="4" s="1"/>
  <c r="L2566" i="4"/>
  <c r="M2566" i="4" s="1"/>
  <c r="G2566" i="4"/>
  <c r="I2566" i="4" s="1"/>
  <c r="L2565" i="4"/>
  <c r="N2565" i="4" s="1"/>
  <c r="G2565" i="4"/>
  <c r="H2565" i="4" s="1"/>
  <c r="L2564" i="4"/>
  <c r="N2564" i="4" s="1"/>
  <c r="G2564" i="4"/>
  <c r="H2564" i="4" s="1"/>
  <c r="L2563" i="4"/>
  <c r="N2563" i="4" s="1"/>
  <c r="G2563" i="4"/>
  <c r="I2563" i="4" s="1"/>
  <c r="L2562" i="4"/>
  <c r="N2562" i="4" s="1"/>
  <c r="G2562" i="4"/>
  <c r="H2562" i="4" s="1"/>
  <c r="L2561" i="4"/>
  <c r="N2561" i="4" s="1"/>
  <c r="G2561" i="4"/>
  <c r="I2561" i="4" s="1"/>
  <c r="N2560" i="4"/>
  <c r="L2560" i="4"/>
  <c r="M2560" i="4" s="1"/>
  <c r="G2560" i="4"/>
  <c r="I2560" i="4" s="1"/>
  <c r="L2559" i="4"/>
  <c r="N2559" i="4" s="1"/>
  <c r="G2559" i="4"/>
  <c r="I2559" i="4" s="1"/>
  <c r="L2558" i="4"/>
  <c r="G2558" i="4"/>
  <c r="I2558" i="4" s="1"/>
  <c r="L2557" i="4"/>
  <c r="N2557" i="4" s="1"/>
  <c r="G2557" i="4"/>
  <c r="I2557" i="4" s="1"/>
  <c r="L2556" i="4"/>
  <c r="M2556" i="4" s="1"/>
  <c r="G2556" i="4"/>
  <c r="I2556" i="4" s="1"/>
  <c r="L2555" i="4"/>
  <c r="N2555" i="4" s="1"/>
  <c r="G2555" i="4"/>
  <c r="H2555" i="4" s="1"/>
  <c r="L2554" i="4"/>
  <c r="M2554" i="4" s="1"/>
  <c r="G2554" i="4"/>
  <c r="I2554" i="4" s="1"/>
  <c r="L2553" i="4"/>
  <c r="N2553" i="4" s="1"/>
  <c r="G2553" i="4"/>
  <c r="H2553" i="4" s="1"/>
  <c r="L2552" i="4"/>
  <c r="M2552" i="4" s="1"/>
  <c r="G2552" i="4"/>
  <c r="I2552" i="4" s="1"/>
  <c r="L2551" i="4"/>
  <c r="N2551" i="4" s="1"/>
  <c r="G2551" i="4"/>
  <c r="H2551" i="4" s="1"/>
  <c r="L2550" i="4"/>
  <c r="G2550" i="4"/>
  <c r="I2550" i="4" s="1"/>
  <c r="L2549" i="4"/>
  <c r="N2549" i="4" s="1"/>
  <c r="G2549" i="4"/>
  <c r="I2549" i="4" s="1"/>
  <c r="L2548" i="4"/>
  <c r="G2548" i="4"/>
  <c r="H2548" i="4" s="1"/>
  <c r="L2547" i="4"/>
  <c r="M2547" i="4" s="1"/>
  <c r="G2547" i="4"/>
  <c r="I2547" i="4" s="1"/>
  <c r="L2546" i="4"/>
  <c r="N2546" i="4" s="1"/>
  <c r="G2546" i="4"/>
  <c r="I2546" i="4" s="1"/>
  <c r="L2545" i="4"/>
  <c r="N2545" i="4" s="1"/>
  <c r="G2545" i="4"/>
  <c r="I2545" i="4" s="1"/>
  <c r="L2544" i="4"/>
  <c r="N2544" i="4" s="1"/>
  <c r="G2544" i="4"/>
  <c r="H2544" i="4" s="1"/>
  <c r="L2543" i="4"/>
  <c r="M2543" i="4" s="1"/>
  <c r="G2543" i="4"/>
  <c r="I2543" i="4" s="1"/>
  <c r="L2542" i="4"/>
  <c r="M2542" i="4" s="1"/>
  <c r="G2542" i="4"/>
  <c r="I2542" i="4" s="1"/>
  <c r="L2541" i="4"/>
  <c r="N2541" i="4" s="1"/>
  <c r="G2541" i="4"/>
  <c r="L2540" i="4"/>
  <c r="N2540" i="4" s="1"/>
  <c r="G2540" i="4"/>
  <c r="I2540" i="4" s="1"/>
  <c r="L2539" i="4"/>
  <c r="N2539" i="4" s="1"/>
  <c r="G2539" i="4"/>
  <c r="H2539" i="4" s="1"/>
  <c r="L2538" i="4"/>
  <c r="N2538" i="4" s="1"/>
  <c r="G2538" i="4"/>
  <c r="I2538" i="4" s="1"/>
  <c r="L2537" i="4"/>
  <c r="M2537" i="4" s="1"/>
  <c r="G2537" i="4"/>
  <c r="L2536" i="4"/>
  <c r="N2536" i="4" s="1"/>
  <c r="G2536" i="4"/>
  <c r="I2536" i="4" s="1"/>
  <c r="L2535" i="4"/>
  <c r="N2535" i="4" s="1"/>
  <c r="G2535" i="4"/>
  <c r="H2535" i="4" s="1"/>
  <c r="L2534" i="4"/>
  <c r="N2534" i="4" s="1"/>
  <c r="H2534" i="4"/>
  <c r="G2534" i="4"/>
  <c r="I2534" i="4" s="1"/>
  <c r="L2533" i="4"/>
  <c r="N2533" i="4" s="1"/>
  <c r="G2533" i="4"/>
  <c r="L2532" i="4"/>
  <c r="N2532" i="4" s="1"/>
  <c r="G2532" i="4"/>
  <c r="I2532" i="4" s="1"/>
  <c r="L2531" i="4"/>
  <c r="N2531" i="4" s="1"/>
  <c r="G2531" i="4"/>
  <c r="H2531" i="4" s="1"/>
  <c r="L2530" i="4"/>
  <c r="N2530" i="4" s="1"/>
  <c r="G2530" i="4"/>
  <c r="I2530" i="4" s="1"/>
  <c r="L2529" i="4"/>
  <c r="N2529" i="4" s="1"/>
  <c r="G2529" i="4"/>
  <c r="L2528" i="4"/>
  <c r="N2528" i="4" s="1"/>
  <c r="G2528" i="4"/>
  <c r="I2528" i="4" s="1"/>
  <c r="L2527" i="4"/>
  <c r="G2527" i="4"/>
  <c r="H2527" i="4" s="1"/>
  <c r="L2526" i="4"/>
  <c r="N2526" i="4" s="1"/>
  <c r="G2526" i="4"/>
  <c r="I2526" i="4" s="1"/>
  <c r="L2525" i="4"/>
  <c r="M2525" i="4" s="1"/>
  <c r="G2525" i="4"/>
  <c r="L2524" i="4"/>
  <c r="N2524" i="4" s="1"/>
  <c r="G2524" i="4"/>
  <c r="I2524" i="4" s="1"/>
  <c r="L2523" i="4"/>
  <c r="N2523" i="4" s="1"/>
  <c r="G2523" i="4"/>
  <c r="H2523" i="4" s="1"/>
  <c r="L2522" i="4"/>
  <c r="N2522" i="4" s="1"/>
  <c r="G2522" i="4"/>
  <c r="I2522" i="4" s="1"/>
  <c r="L2515" i="4"/>
  <c r="L2514" i="4"/>
  <c r="M2514" i="4" s="1"/>
  <c r="L2513" i="4"/>
  <c r="N2513" i="4" s="1"/>
  <c r="L2512" i="4"/>
  <c r="N2512" i="4" s="1"/>
  <c r="G2512" i="4"/>
  <c r="I2512" i="4" s="1"/>
  <c r="L2511" i="4"/>
  <c r="M2511" i="4" s="1"/>
  <c r="G2511" i="4"/>
  <c r="H2511" i="4" s="1"/>
  <c r="L2510" i="4"/>
  <c r="G2510" i="4"/>
  <c r="H2510" i="4" s="1"/>
  <c r="L2509" i="4"/>
  <c r="N2509" i="4" s="1"/>
  <c r="G2509" i="4"/>
  <c r="L2508" i="4"/>
  <c r="N2508" i="4" s="1"/>
  <c r="G2508" i="4"/>
  <c r="I2508" i="4" s="1"/>
  <c r="L2507" i="4"/>
  <c r="N2507" i="4" s="1"/>
  <c r="G2507" i="4"/>
  <c r="L2506" i="4"/>
  <c r="N2506" i="4" s="1"/>
  <c r="G2506" i="4"/>
  <c r="H2506" i="4" s="1"/>
  <c r="L2505" i="4"/>
  <c r="N2505" i="4" s="1"/>
  <c r="G2505" i="4"/>
  <c r="L2504" i="4"/>
  <c r="N2504" i="4" s="1"/>
  <c r="G2504" i="4"/>
  <c r="I2504" i="4" s="1"/>
  <c r="L2503" i="4"/>
  <c r="M2503" i="4" s="1"/>
  <c r="G2503" i="4"/>
  <c r="H2503" i="4" s="1"/>
  <c r="L2502" i="4"/>
  <c r="N2502" i="4" s="1"/>
  <c r="G2502" i="4"/>
  <c r="I2502" i="4" s="1"/>
  <c r="L2501" i="4"/>
  <c r="M2501" i="4" s="1"/>
  <c r="G2501" i="4"/>
  <c r="L2500" i="4"/>
  <c r="N2500" i="4" s="1"/>
  <c r="G2500" i="4"/>
  <c r="I2500" i="4" s="1"/>
  <c r="L2499" i="4"/>
  <c r="N2499" i="4" s="1"/>
  <c r="G2499" i="4"/>
  <c r="H2499" i="4" s="1"/>
  <c r="L2498" i="4"/>
  <c r="N2498" i="4" s="1"/>
  <c r="G2498" i="4"/>
  <c r="I2498" i="4" s="1"/>
  <c r="L2497" i="4"/>
  <c r="N2497" i="4" s="1"/>
  <c r="G2497" i="4"/>
  <c r="L2496" i="4"/>
  <c r="N2496" i="4" s="1"/>
  <c r="G2496" i="4"/>
  <c r="I2496" i="4" s="1"/>
  <c r="L2495" i="4"/>
  <c r="N2495" i="4" s="1"/>
  <c r="G2495" i="4"/>
  <c r="H2495" i="4" s="1"/>
  <c r="G2494" i="4"/>
  <c r="I2494" i="4" s="1"/>
  <c r="G2493" i="4"/>
  <c r="L2492" i="4"/>
  <c r="N2492" i="4" s="1"/>
  <c r="G2492" i="4"/>
  <c r="I2492" i="4" s="1"/>
  <c r="L2491" i="4"/>
  <c r="N2491" i="4" s="1"/>
  <c r="L2490" i="4"/>
  <c r="N2490" i="4" s="1"/>
  <c r="G2490" i="4"/>
  <c r="I2490" i="4" s="1"/>
  <c r="N2489" i="4"/>
  <c r="M2489" i="4"/>
  <c r="L2489" i="4"/>
  <c r="G2489" i="4"/>
  <c r="L2488" i="4"/>
  <c r="M2488" i="4" s="1"/>
  <c r="G2488" i="4"/>
  <c r="I2488" i="4" s="1"/>
  <c r="L2487" i="4"/>
  <c r="N2487" i="4" s="1"/>
  <c r="G2487" i="4"/>
  <c r="H2487" i="4" s="1"/>
  <c r="L2486" i="4"/>
  <c r="M2486" i="4" s="1"/>
  <c r="G2486" i="4"/>
  <c r="I2486" i="4" s="1"/>
  <c r="G2485" i="4"/>
  <c r="L2484" i="4"/>
  <c r="N2484" i="4" s="1"/>
  <c r="G2484" i="4"/>
  <c r="H2484" i="4" s="1"/>
  <c r="L2483" i="4"/>
  <c r="N2483" i="4" s="1"/>
  <c r="G2483" i="4"/>
  <c r="H2483" i="4" s="1"/>
  <c r="L2482" i="4"/>
  <c r="N2482" i="4" s="1"/>
  <c r="G2482" i="4"/>
  <c r="L2481" i="4"/>
  <c r="N2481" i="4" s="1"/>
  <c r="G2481" i="4"/>
  <c r="L2480" i="4"/>
  <c r="M2480" i="4" s="1"/>
  <c r="G2480" i="4"/>
  <c r="I2480" i="4" s="1"/>
  <c r="L2479" i="4"/>
  <c r="M2479" i="4" s="1"/>
  <c r="G2479" i="4"/>
  <c r="H2479" i="4" s="1"/>
  <c r="L2478" i="4"/>
  <c r="N2478" i="4" s="1"/>
  <c r="G2478" i="4"/>
  <c r="I2478" i="4" s="1"/>
  <c r="L2477" i="4"/>
  <c r="N2477" i="4" s="1"/>
  <c r="G2477" i="4"/>
  <c r="G2476" i="4"/>
  <c r="H2476" i="4" s="1"/>
  <c r="L2474" i="4"/>
  <c r="N2474" i="4" s="1"/>
  <c r="L2473" i="4"/>
  <c r="N2473" i="4" s="1"/>
  <c r="G2473" i="4"/>
  <c r="L2472" i="4"/>
  <c r="N2472" i="4" s="1"/>
  <c r="G2472" i="4"/>
  <c r="I2472" i="4" s="1"/>
  <c r="L2471" i="4"/>
  <c r="M2471" i="4" s="1"/>
  <c r="G2471" i="4"/>
  <c r="H2471" i="4" s="1"/>
  <c r="G2470" i="4"/>
  <c r="I2470" i="4" s="1"/>
  <c r="G2469" i="4"/>
  <c r="L2468" i="4"/>
  <c r="N2468" i="4" s="1"/>
  <c r="G2468" i="4"/>
  <c r="I2468" i="4" s="1"/>
  <c r="L2467" i="4"/>
  <c r="N2467" i="4" s="1"/>
  <c r="L2466" i="4"/>
  <c r="N2466" i="4" s="1"/>
  <c r="G2466" i="4"/>
  <c r="L2465" i="4"/>
  <c r="N2465" i="4" s="1"/>
  <c r="G2465" i="4"/>
  <c r="L2464" i="4"/>
  <c r="N2464" i="4" s="1"/>
  <c r="G2464" i="4"/>
  <c r="I2464" i="4" s="1"/>
  <c r="L2463" i="4"/>
  <c r="N2463" i="4" s="1"/>
  <c r="G2463" i="4"/>
  <c r="H2463" i="4" s="1"/>
  <c r="L2462" i="4"/>
  <c r="N2462" i="4" s="1"/>
  <c r="G2462" i="4"/>
  <c r="G2461" i="4"/>
  <c r="L2460" i="4"/>
  <c r="N2460" i="4" s="1"/>
  <c r="G2460" i="4"/>
  <c r="I2460" i="4" s="1"/>
  <c r="L2459" i="4"/>
  <c r="M2459" i="4" s="1"/>
  <c r="G2459" i="4"/>
  <c r="H2459" i="4" s="1"/>
  <c r="L2458" i="4"/>
  <c r="N2458" i="4" s="1"/>
  <c r="G2458" i="4"/>
  <c r="I2458" i="4" s="1"/>
  <c r="L2457" i="4"/>
  <c r="N2457" i="4" s="1"/>
  <c r="G2457" i="4"/>
  <c r="L2456" i="4"/>
  <c r="M2456" i="4" s="1"/>
  <c r="G2456" i="4"/>
  <c r="I2456" i="4" s="1"/>
  <c r="L2455" i="4"/>
  <c r="G2455" i="4"/>
  <c r="H2455" i="4" s="1"/>
  <c r="L2454" i="4"/>
  <c r="M2454" i="4" s="1"/>
  <c r="G2454" i="4"/>
  <c r="I2454" i="4" s="1"/>
  <c r="L2453" i="4"/>
  <c r="N2453" i="4" s="1"/>
  <c r="G2453" i="4"/>
  <c r="G2452" i="4"/>
  <c r="H2452" i="4" s="1"/>
  <c r="L2451" i="4"/>
  <c r="N2451" i="4" s="1"/>
  <c r="L2450" i="4"/>
  <c r="N2450" i="4" s="1"/>
  <c r="G2450" i="4"/>
  <c r="H2450" i="4" s="1"/>
  <c r="L2449" i="4"/>
  <c r="M2449" i="4" s="1"/>
  <c r="G2449" i="4"/>
  <c r="L2448" i="4"/>
  <c r="M2448" i="4" s="1"/>
  <c r="G2448" i="4"/>
  <c r="I2448" i="4" s="1"/>
  <c r="L2447" i="4"/>
  <c r="M2447" i="4" s="1"/>
  <c r="G2447" i="4"/>
  <c r="H2447" i="4" s="1"/>
  <c r="L2446" i="4"/>
  <c r="N2446" i="4" s="1"/>
  <c r="G2446" i="4"/>
  <c r="I2446" i="4" s="1"/>
  <c r="L2445" i="4"/>
  <c r="N2445" i="4" s="1"/>
  <c r="L2444" i="4"/>
  <c r="M2444" i="4" s="1"/>
  <c r="G2444" i="4"/>
  <c r="H2444" i="4" s="1"/>
  <c r="L2443" i="4"/>
  <c r="N2443" i="4" s="1"/>
  <c r="I2443" i="4"/>
  <c r="G2443" i="4"/>
  <c r="H2443" i="4" s="1"/>
  <c r="L2442" i="4"/>
  <c r="N2442" i="4" s="1"/>
  <c r="G2442" i="4"/>
  <c r="I2442" i="4" s="1"/>
  <c r="L2441" i="4"/>
  <c r="G2441" i="4"/>
  <c r="L2440" i="4"/>
  <c r="N2440" i="4" s="1"/>
  <c r="G2440" i="4"/>
  <c r="H2440" i="4" s="1"/>
  <c r="L2439" i="4"/>
  <c r="M2439" i="4" s="1"/>
  <c r="G2439" i="4"/>
  <c r="H2439" i="4" s="1"/>
  <c r="L2438" i="4"/>
  <c r="N2438" i="4" s="1"/>
  <c r="G2438" i="4"/>
  <c r="I2438" i="4" s="1"/>
  <c r="G2437" i="4"/>
  <c r="L2436" i="4"/>
  <c r="M2436" i="4" s="1"/>
  <c r="G2436" i="4"/>
  <c r="I2436" i="4" s="1"/>
  <c r="L2435" i="4"/>
  <c r="M2435" i="4" s="1"/>
  <c r="G2435" i="4"/>
  <c r="H2435" i="4" s="1"/>
  <c r="L2434" i="4"/>
  <c r="N2434" i="4" s="1"/>
  <c r="G2434" i="4"/>
  <c r="I2434" i="4" s="1"/>
  <c r="L2433" i="4"/>
  <c r="N2433" i="4" s="1"/>
  <c r="G2433" i="4"/>
  <c r="L2432" i="4"/>
  <c r="N2432" i="4" s="1"/>
  <c r="G2432" i="4"/>
  <c r="I2432" i="4" s="1"/>
  <c r="L2431" i="4"/>
  <c r="N2431" i="4" s="1"/>
  <c r="G2431" i="4"/>
  <c r="H2431" i="4" s="1"/>
  <c r="L2430" i="4"/>
  <c r="N2430" i="4" s="1"/>
  <c r="L2429" i="4"/>
  <c r="N2429" i="4" s="1"/>
  <c r="G2427" i="4"/>
  <c r="I2427" i="4" s="1"/>
  <c r="L2426" i="4"/>
  <c r="M2426" i="4" s="1"/>
  <c r="G2426" i="4"/>
  <c r="I2426" i="4" s="1"/>
  <c r="L2425" i="4"/>
  <c r="M2425" i="4" s="1"/>
  <c r="G2425" i="4"/>
  <c r="L2424" i="4"/>
  <c r="N2424" i="4" s="1"/>
  <c r="G2424" i="4"/>
  <c r="I2424" i="4" s="1"/>
  <c r="L2423" i="4"/>
  <c r="G2423" i="4"/>
  <c r="I2423" i="4" s="1"/>
  <c r="L2422" i="4"/>
  <c r="N2422" i="4" s="1"/>
  <c r="G2422" i="4"/>
  <c r="I2422" i="4" s="1"/>
  <c r="L2420" i="4"/>
  <c r="N2420" i="4" s="1"/>
  <c r="G2420" i="4"/>
  <c r="I2420" i="4" s="1"/>
  <c r="L2419" i="4"/>
  <c r="N2419" i="4" s="1"/>
  <c r="G2419" i="4"/>
  <c r="I2419" i="4" s="1"/>
  <c r="L2418" i="4"/>
  <c r="M2418" i="4" s="1"/>
  <c r="G2418" i="4"/>
  <c r="I2418" i="4" s="1"/>
  <c r="L2417" i="4"/>
  <c r="N2417" i="4" s="1"/>
  <c r="G2417" i="4"/>
  <c r="L2416" i="4"/>
  <c r="N2416" i="4" s="1"/>
  <c r="G2416" i="4"/>
  <c r="H2416" i="4" s="1"/>
  <c r="L2415" i="4"/>
  <c r="N2415" i="4" s="1"/>
  <c r="G2415" i="4"/>
  <c r="H2415" i="4" s="1"/>
  <c r="L2414" i="4"/>
  <c r="N2414" i="4" s="1"/>
  <c r="G2414" i="4"/>
  <c r="I2414" i="4" s="1"/>
  <c r="G2413" i="4"/>
  <c r="L2412" i="4"/>
  <c r="N2412" i="4" s="1"/>
  <c r="G2412" i="4"/>
  <c r="I2412" i="4" s="1"/>
  <c r="L2411" i="4"/>
  <c r="N2411" i="4" s="1"/>
  <c r="G2411" i="4"/>
  <c r="I2411" i="4" s="1"/>
  <c r="L2410" i="4"/>
  <c r="G2410" i="4"/>
  <c r="L2409" i="4"/>
  <c r="M2409" i="4" s="1"/>
  <c r="G2409" i="4"/>
  <c r="L2408" i="4"/>
  <c r="N2408" i="4" s="1"/>
  <c r="G2408" i="4"/>
  <c r="I2408" i="4" s="1"/>
  <c r="L2407" i="4"/>
  <c r="N2407" i="4" s="1"/>
  <c r="G2407" i="4"/>
  <c r="I2407" i="4" s="1"/>
  <c r="L2406" i="4"/>
  <c r="N2406" i="4" s="1"/>
  <c r="L2405" i="4"/>
  <c r="N2405" i="4" s="1"/>
  <c r="G2403" i="4"/>
  <c r="H2403" i="4" s="1"/>
  <c r="L2402" i="4"/>
  <c r="M2402" i="4" s="1"/>
  <c r="G2402" i="4"/>
  <c r="H2402" i="4" s="1"/>
  <c r="L2401" i="4"/>
  <c r="N2401" i="4" s="1"/>
  <c r="G2401" i="4"/>
  <c r="L2400" i="4"/>
  <c r="N2400" i="4" s="1"/>
  <c r="G2400" i="4"/>
  <c r="I2400" i="4" s="1"/>
  <c r="L2399" i="4"/>
  <c r="N2399" i="4" s="1"/>
  <c r="G2399" i="4"/>
  <c r="I2399" i="4" s="1"/>
  <c r="G2398" i="4"/>
  <c r="I2398" i="4" s="1"/>
  <c r="N2396" i="4"/>
  <c r="L2396" i="4"/>
  <c r="M2396" i="4" s="1"/>
  <c r="G2396" i="4"/>
  <c r="I2396" i="4" s="1"/>
  <c r="L2395" i="4"/>
  <c r="N2395" i="4" s="1"/>
  <c r="G2395" i="4"/>
  <c r="I2395" i="4" s="1"/>
  <c r="L2394" i="4"/>
  <c r="N2394" i="4" s="1"/>
  <c r="G2394" i="4"/>
  <c r="I2394" i="4" s="1"/>
  <c r="L2393" i="4"/>
  <c r="M2393" i="4" s="1"/>
  <c r="G2393" i="4"/>
  <c r="L2392" i="4"/>
  <c r="M2392" i="4" s="1"/>
  <c r="G2392" i="4"/>
  <c r="I2392" i="4" s="1"/>
  <c r="L2391" i="4"/>
  <c r="M2391" i="4" s="1"/>
  <c r="G2391" i="4"/>
  <c r="H2391" i="4" s="1"/>
  <c r="G2390" i="4"/>
  <c r="H2390" i="4" s="1"/>
  <c r="N2389" i="4"/>
  <c r="L2389" i="4"/>
  <c r="M2389" i="4" s="1"/>
  <c r="G2389" i="4"/>
  <c r="L2388" i="4"/>
  <c r="G2388" i="4"/>
  <c r="I2388" i="4" s="1"/>
  <c r="L2387" i="4"/>
  <c r="N2387" i="4" s="1"/>
  <c r="G2387" i="4"/>
  <c r="I2387" i="4" s="1"/>
  <c r="L2386" i="4"/>
  <c r="N2386" i="4" s="1"/>
  <c r="G2386" i="4"/>
  <c r="H2386" i="4" s="1"/>
  <c r="L2385" i="4"/>
  <c r="N2385" i="4" s="1"/>
  <c r="G2385" i="4"/>
  <c r="L2384" i="4"/>
  <c r="N2384" i="4" s="1"/>
  <c r="G2384" i="4"/>
  <c r="I2384" i="4" s="1"/>
  <c r="G2383" i="4"/>
  <c r="I2383" i="4" s="1"/>
  <c r="G2382" i="4"/>
  <c r="I2382" i="4" s="1"/>
  <c r="L2381" i="4"/>
  <c r="N2381" i="4" s="1"/>
  <c r="G2381" i="4"/>
  <c r="L2380" i="4"/>
  <c r="N2380" i="4" s="1"/>
  <c r="G2380" i="4"/>
  <c r="H2380" i="4" s="1"/>
  <c r="L2379" i="4"/>
  <c r="N2379" i="4" s="1"/>
  <c r="G2379" i="4"/>
  <c r="I2379" i="4" s="1"/>
  <c r="L2378" i="4"/>
  <c r="M2378" i="4" s="1"/>
  <c r="G2378" i="4"/>
  <c r="H2378" i="4" s="1"/>
  <c r="L2377" i="4"/>
  <c r="N2377" i="4" s="1"/>
  <c r="G2377" i="4"/>
  <c r="L2376" i="4"/>
  <c r="N2376" i="4" s="1"/>
  <c r="G2376" i="4"/>
  <c r="I2376" i="4" s="1"/>
  <c r="L2375" i="4"/>
  <c r="G2374" i="4"/>
  <c r="I2374" i="4" s="1"/>
  <c r="L2373" i="4"/>
  <c r="M2373" i="4" s="1"/>
  <c r="G2373" i="4"/>
  <c r="L2372" i="4"/>
  <c r="N2372" i="4" s="1"/>
  <c r="G2372" i="4"/>
  <c r="I2372" i="4" s="1"/>
  <c r="L2371" i="4"/>
  <c r="N2371" i="4" s="1"/>
  <c r="G2371" i="4"/>
  <c r="I2371" i="4" s="1"/>
  <c r="G2370" i="4"/>
  <c r="I2370" i="4" s="1"/>
  <c r="G2369" i="4"/>
  <c r="L2368" i="4"/>
  <c r="N2368" i="4" s="1"/>
  <c r="G2367" i="4"/>
  <c r="I2367" i="4" s="1"/>
  <c r="G2366" i="4"/>
  <c r="I2366" i="4" s="1"/>
  <c r="L2365" i="4"/>
  <c r="G2365" i="4"/>
  <c r="L2364" i="4"/>
  <c r="N2364" i="4" s="1"/>
  <c r="G2364" i="4"/>
  <c r="I2364" i="4" s="1"/>
  <c r="L2363" i="4"/>
  <c r="N2363" i="4" s="1"/>
  <c r="G2363" i="4"/>
  <c r="I2363" i="4" s="1"/>
  <c r="G2362" i="4"/>
  <c r="H2362" i="4" s="1"/>
  <c r="L2361" i="4"/>
  <c r="N2361" i="4" s="1"/>
  <c r="G2361" i="4"/>
  <c r="L2360" i="4"/>
  <c r="N2360" i="4" s="1"/>
  <c r="G2360" i="4"/>
  <c r="I2360" i="4" s="1"/>
  <c r="L2359" i="4"/>
  <c r="N2359" i="4" s="1"/>
  <c r="G2359" i="4"/>
  <c r="I2359" i="4" s="1"/>
  <c r="L2358" i="4"/>
  <c r="N2358" i="4" s="1"/>
  <c r="G2358" i="4"/>
  <c r="I2358" i="4" s="1"/>
  <c r="G2357" i="4"/>
  <c r="L2356" i="4"/>
  <c r="M2356" i="4" s="1"/>
  <c r="L2355" i="4"/>
  <c r="N2355" i="4" s="1"/>
  <c r="L2354" i="4"/>
  <c r="N2354" i="4" s="1"/>
  <c r="L2353" i="4"/>
  <c r="N2353" i="4" s="1"/>
  <c r="G2353" i="4"/>
  <c r="I2353" i="4" s="1"/>
  <c r="L2352" i="4"/>
  <c r="N2352" i="4" s="1"/>
  <c r="G2352" i="4"/>
  <c r="I2352" i="4" s="1"/>
  <c r="L2351" i="4"/>
  <c r="N2351" i="4" s="1"/>
  <c r="G2351" i="4"/>
  <c r="H2351" i="4" s="1"/>
  <c r="G2350" i="4"/>
  <c r="I2350" i="4" s="1"/>
  <c r="L2349" i="4"/>
  <c r="N2349" i="4" s="1"/>
  <c r="G2349" i="4"/>
  <c r="I2349" i="4" s="1"/>
  <c r="L2348" i="4"/>
  <c r="N2348" i="4" s="1"/>
  <c r="G2348" i="4"/>
  <c r="I2348" i="4" s="1"/>
  <c r="L2347" i="4"/>
  <c r="N2347" i="4" s="1"/>
  <c r="G2347" i="4"/>
  <c r="H2347" i="4" s="1"/>
  <c r="L2346" i="4"/>
  <c r="N2346" i="4" s="1"/>
  <c r="G2346" i="4"/>
  <c r="I2346" i="4" s="1"/>
  <c r="L2344" i="4"/>
  <c r="N2344" i="4" s="1"/>
  <c r="G2344" i="4"/>
  <c r="H2344" i="4" s="1"/>
  <c r="L2343" i="4"/>
  <c r="N2343" i="4" s="1"/>
  <c r="G2343" i="4"/>
  <c r="I2343" i="4" s="1"/>
  <c r="L2342" i="4"/>
  <c r="M2342" i="4" s="1"/>
  <c r="G2342" i="4"/>
  <c r="I2342" i="4" s="1"/>
  <c r="L2341" i="4"/>
  <c r="N2341" i="4" s="1"/>
  <c r="G2341" i="4"/>
  <c r="I2341" i="4" s="1"/>
  <c r="L2340" i="4"/>
  <c r="M2340" i="4" s="1"/>
  <c r="G2340" i="4"/>
  <c r="I2340" i="4" s="1"/>
  <c r="L2339" i="4"/>
  <c r="N2339" i="4" s="1"/>
  <c r="G2339" i="4"/>
  <c r="I2339" i="4" s="1"/>
  <c r="G2338" i="4"/>
  <c r="I2338" i="4" s="1"/>
  <c r="L2337" i="4"/>
  <c r="N2337" i="4" s="1"/>
  <c r="G2337" i="4"/>
  <c r="L2336" i="4"/>
  <c r="N2336" i="4" s="1"/>
  <c r="G2336" i="4"/>
  <c r="I2336" i="4" s="1"/>
  <c r="L2335" i="4"/>
  <c r="N2335" i="4" s="1"/>
  <c r="G2335" i="4"/>
  <c r="I2335" i="4" s="1"/>
  <c r="L2334" i="4"/>
  <c r="N2334" i="4" s="1"/>
  <c r="G2334" i="4"/>
  <c r="I2334" i="4" s="1"/>
  <c r="G2333" i="4"/>
  <c r="I2333" i="4" s="1"/>
  <c r="L2332" i="4"/>
  <c r="G2332" i="4"/>
  <c r="I2332" i="4" s="1"/>
  <c r="L2331" i="4"/>
  <c r="M2331" i="4" s="1"/>
  <c r="G2330" i="4"/>
  <c r="H2330" i="4" s="1"/>
  <c r="G2323" i="4"/>
  <c r="I2323" i="4" s="1"/>
  <c r="L2322" i="4"/>
  <c r="N2322" i="4" s="1"/>
  <c r="G2322" i="4"/>
  <c r="I2322" i="4" s="1"/>
  <c r="L2321" i="4"/>
  <c r="G2321" i="4"/>
  <c r="I2321" i="4" s="1"/>
  <c r="L2320" i="4"/>
  <c r="N2320" i="4" s="1"/>
  <c r="G2320" i="4"/>
  <c r="I2320" i="4" s="1"/>
  <c r="L2319" i="4"/>
  <c r="N2319" i="4" s="1"/>
  <c r="G2319" i="4"/>
  <c r="H2319" i="4" s="1"/>
  <c r="L2318" i="4"/>
  <c r="N2318" i="4" s="1"/>
  <c r="G2318" i="4"/>
  <c r="I2318" i="4" s="1"/>
  <c r="L2317" i="4"/>
  <c r="N2317" i="4" s="1"/>
  <c r="I2317" i="4"/>
  <c r="G2317" i="4"/>
  <c r="H2317" i="4" s="1"/>
  <c r="L2316" i="4"/>
  <c r="N2316" i="4" s="1"/>
  <c r="G2316" i="4"/>
  <c r="I2316" i="4" s="1"/>
  <c r="L2315" i="4"/>
  <c r="N2315" i="4" s="1"/>
  <c r="G2315" i="4"/>
  <c r="L2314" i="4"/>
  <c r="N2314" i="4" s="1"/>
  <c r="G2314" i="4"/>
  <c r="I2314" i="4" s="1"/>
  <c r="L2313" i="4"/>
  <c r="M2313" i="4" s="1"/>
  <c r="G2313" i="4"/>
  <c r="I2313" i="4" s="1"/>
  <c r="L2312" i="4"/>
  <c r="N2312" i="4" s="1"/>
  <c r="G2312" i="4"/>
  <c r="I2312" i="4" s="1"/>
  <c r="L2311" i="4"/>
  <c r="N2311" i="4" s="1"/>
  <c r="G2311" i="4"/>
  <c r="H2311" i="4" s="1"/>
  <c r="L2310" i="4"/>
  <c r="N2310" i="4" s="1"/>
  <c r="G2310" i="4"/>
  <c r="I2310" i="4" s="1"/>
  <c r="L2309" i="4"/>
  <c r="M2309" i="4" s="1"/>
  <c r="G2309" i="4"/>
  <c r="I2309" i="4" s="1"/>
  <c r="L2308" i="4"/>
  <c r="G2308" i="4"/>
  <c r="I2308" i="4" s="1"/>
  <c r="L2307" i="4"/>
  <c r="N2307" i="4" s="1"/>
  <c r="G2307" i="4"/>
  <c r="H2307" i="4" s="1"/>
  <c r="M2306" i="4"/>
  <c r="L2306" i="4"/>
  <c r="N2306" i="4" s="1"/>
  <c r="G2306" i="4"/>
  <c r="L2305" i="4"/>
  <c r="G2305" i="4"/>
  <c r="G2304" i="4"/>
  <c r="H2304" i="4" s="1"/>
  <c r="L2303" i="4"/>
  <c r="N2303" i="4" s="1"/>
  <c r="G2303" i="4"/>
  <c r="I2303" i="4" s="1"/>
  <c r="L2302" i="4"/>
  <c r="N2302" i="4" s="1"/>
  <c r="L2301" i="4"/>
  <c r="L2300" i="4"/>
  <c r="N2300" i="4" s="1"/>
  <c r="G2300" i="4"/>
  <c r="H2300" i="4" s="1"/>
  <c r="G2299" i="4"/>
  <c r="I2299" i="4" s="1"/>
  <c r="L2298" i="4"/>
  <c r="L2297" i="4"/>
  <c r="G2297" i="4"/>
  <c r="I2297" i="4" s="1"/>
  <c r="L2296" i="4"/>
  <c r="G2296" i="4"/>
  <c r="I2296" i="4" s="1"/>
  <c r="L2293" i="4"/>
  <c r="G2293" i="4"/>
  <c r="L2292" i="4"/>
  <c r="M2292" i="4" s="1"/>
  <c r="G2292" i="4"/>
  <c r="I2292" i="4" s="1"/>
  <c r="G2291" i="4"/>
  <c r="H2291" i="4" s="1"/>
  <c r="L2290" i="4"/>
  <c r="N2290" i="4" s="1"/>
  <c r="G2290" i="4"/>
  <c r="I2290" i="4" s="1"/>
  <c r="L2289" i="4"/>
  <c r="M2289" i="4" s="1"/>
  <c r="L2288" i="4"/>
  <c r="M2288" i="4" s="1"/>
  <c r="G2288" i="4"/>
  <c r="G2287" i="4"/>
  <c r="I2287" i="4" s="1"/>
  <c r="L2286" i="4"/>
  <c r="M2286" i="4" s="1"/>
  <c r="L2285" i="4"/>
  <c r="G2285" i="4"/>
  <c r="H2285" i="4" s="1"/>
  <c r="L2284" i="4"/>
  <c r="M2284" i="4" s="1"/>
  <c r="G2284" i="4"/>
  <c r="L2281" i="4"/>
  <c r="G2281" i="4"/>
  <c r="H2281" i="4" s="1"/>
  <c r="L2280" i="4"/>
  <c r="G2280" i="4"/>
  <c r="I2280" i="4" s="1"/>
  <c r="G2279" i="4"/>
  <c r="H2279" i="4" s="1"/>
  <c r="L2278" i="4"/>
  <c r="N2278" i="4" s="1"/>
  <c r="G2278" i="4"/>
  <c r="L2277" i="4"/>
  <c r="N2277" i="4" s="1"/>
  <c r="L2276" i="4"/>
  <c r="N2276" i="4" s="1"/>
  <c r="G2276" i="4"/>
  <c r="H2276" i="4" s="1"/>
  <c r="G2275" i="4"/>
  <c r="I2275" i="4" s="1"/>
  <c r="L2274" i="4"/>
  <c r="M2274" i="4" s="1"/>
  <c r="L2273" i="4"/>
  <c r="M2273" i="4" s="1"/>
  <c r="G2273" i="4"/>
  <c r="I2273" i="4" s="1"/>
  <c r="L2272" i="4"/>
  <c r="G2272" i="4"/>
  <c r="I2272" i="4" s="1"/>
  <c r="L2269" i="4"/>
  <c r="G2269" i="4"/>
  <c r="G2268" i="4"/>
  <c r="I2268" i="4" s="1"/>
  <c r="G2267" i="4"/>
  <c r="H2267" i="4" s="1"/>
  <c r="L2266" i="4"/>
  <c r="N2266" i="4" s="1"/>
  <c r="G2266" i="4"/>
  <c r="I2266" i="4" s="1"/>
  <c r="L2265" i="4"/>
  <c r="M2265" i="4" s="1"/>
  <c r="L2264" i="4"/>
  <c r="M2264" i="4" s="1"/>
  <c r="G2264" i="4"/>
  <c r="I2264" i="4" s="1"/>
  <c r="G2263" i="4"/>
  <c r="I2263" i="4" s="1"/>
  <c r="L2262" i="4"/>
  <c r="L2261" i="4"/>
  <c r="N2261" i="4" s="1"/>
  <c r="G2261" i="4"/>
  <c r="H2261" i="4" s="1"/>
  <c r="L2260" i="4"/>
  <c r="M2260" i="4" s="1"/>
  <c r="G2260" i="4"/>
  <c r="I2260" i="4" s="1"/>
  <c r="L2257" i="4"/>
  <c r="G2257" i="4"/>
  <c r="I2257" i="4" s="1"/>
  <c r="G2256" i="4"/>
  <c r="H2256" i="4" s="1"/>
  <c r="L2255" i="4"/>
  <c r="N2255" i="4" s="1"/>
  <c r="G2255" i="4"/>
  <c r="H2255" i="4" s="1"/>
  <c r="L2254" i="4"/>
  <c r="N2254" i="4" s="1"/>
  <c r="L2253" i="4"/>
  <c r="L2252" i="4"/>
  <c r="N2252" i="4" s="1"/>
  <c r="G2252" i="4"/>
  <c r="H2252" i="4" s="1"/>
  <c r="G2251" i="4"/>
  <c r="I2251" i="4" s="1"/>
  <c r="L2250" i="4"/>
  <c r="L2249" i="4"/>
  <c r="N2249" i="4" s="1"/>
  <c r="G2249" i="4"/>
  <c r="I2249" i="4" s="1"/>
  <c r="L2248" i="4"/>
  <c r="G2248" i="4"/>
  <c r="L2245" i="4"/>
  <c r="G2245" i="4"/>
  <c r="G2244" i="4"/>
  <c r="H2244" i="4" s="1"/>
  <c r="L2243" i="4"/>
  <c r="N2243" i="4" s="1"/>
  <c r="G2243" i="4"/>
  <c r="H2243" i="4" s="1"/>
  <c r="L2242" i="4"/>
  <c r="N2242" i="4" s="1"/>
  <c r="L2241" i="4"/>
  <c r="L2240" i="4"/>
  <c r="M2240" i="4" s="1"/>
  <c r="G2240" i="4"/>
  <c r="I2240" i="4" s="1"/>
  <c r="G2239" i="4"/>
  <c r="I2239" i="4" s="1"/>
  <c r="L2238" i="4"/>
  <c r="M2238" i="4" s="1"/>
  <c r="L2237" i="4"/>
  <c r="G2237" i="4"/>
  <c r="H2237" i="4" s="1"/>
  <c r="L2236" i="4"/>
  <c r="M2236" i="4" s="1"/>
  <c r="G2236" i="4"/>
  <c r="H2236" i="4" s="1"/>
  <c r="L2233" i="4"/>
  <c r="G2233" i="4"/>
  <c r="P2233" i="4" s="1"/>
  <c r="L2232" i="4"/>
  <c r="G2232" i="4"/>
  <c r="H2232" i="4" s="1"/>
  <c r="L2231" i="4"/>
  <c r="N2231" i="4" s="1"/>
  <c r="G2231" i="4"/>
  <c r="I2231" i="4" s="1"/>
  <c r="L2230" i="4"/>
  <c r="L2229" i="4"/>
  <c r="N2229" i="4" s="1"/>
  <c r="L2228" i="4"/>
  <c r="N2228" i="4" s="1"/>
  <c r="G2228" i="4"/>
  <c r="H2228" i="4" s="1"/>
  <c r="G2227" i="4"/>
  <c r="I2227" i="4" s="1"/>
  <c r="L2226" i="4"/>
  <c r="M2226" i="4" s="1"/>
  <c r="L2225" i="4"/>
  <c r="G2225" i="4"/>
  <c r="I2225" i="4" s="1"/>
  <c r="L2224" i="4"/>
  <c r="G2224" i="4"/>
  <c r="H2224" i="4" s="1"/>
  <c r="L2221" i="4"/>
  <c r="G2221" i="4"/>
  <c r="L2220" i="4"/>
  <c r="G2220" i="4"/>
  <c r="I2220" i="4" s="1"/>
  <c r="G2219" i="4"/>
  <c r="I2219" i="4" s="1"/>
  <c r="L2218" i="4"/>
  <c r="N2218" i="4" s="1"/>
  <c r="G2218" i="4"/>
  <c r="P2218" i="4" s="1"/>
  <c r="L2217" i="4"/>
  <c r="L2216" i="4"/>
  <c r="M2216" i="4" s="1"/>
  <c r="G2216" i="4"/>
  <c r="G2215" i="4"/>
  <c r="I2215" i="4" s="1"/>
  <c r="L2214" i="4"/>
  <c r="L2213" i="4"/>
  <c r="G2213" i="4"/>
  <c r="I2213" i="4" s="1"/>
  <c r="L2212" i="4"/>
  <c r="M2212" i="4" s="1"/>
  <c r="G2212" i="4"/>
  <c r="I2212" i="4" s="1"/>
  <c r="G2211" i="4"/>
  <c r="I2211" i="4" s="1"/>
  <c r="L2209" i="4"/>
  <c r="G2209" i="4"/>
  <c r="H2209" i="4" s="1"/>
  <c r="G2208" i="4"/>
  <c r="H2208" i="4" s="1"/>
  <c r="L2207" i="4"/>
  <c r="N2207" i="4" s="1"/>
  <c r="G2207" i="4"/>
  <c r="I2207" i="4" s="1"/>
  <c r="L2206" i="4"/>
  <c r="N2206" i="4" s="1"/>
  <c r="L2205" i="4"/>
  <c r="M2205" i="4" s="1"/>
  <c r="L2204" i="4"/>
  <c r="N2204" i="4" s="1"/>
  <c r="G2204" i="4"/>
  <c r="H2204" i="4" s="1"/>
  <c r="G2203" i="4"/>
  <c r="I2203" i="4" s="1"/>
  <c r="L2202" i="4"/>
  <c r="M2202" i="4" s="1"/>
  <c r="L2201" i="4"/>
  <c r="N2201" i="4" s="1"/>
  <c r="G2201" i="4"/>
  <c r="I2201" i="4" s="1"/>
  <c r="L2200" i="4"/>
  <c r="G2200" i="4"/>
  <c r="I2200" i="4" s="1"/>
  <c r="L2199" i="4"/>
  <c r="N2199" i="4" s="1"/>
  <c r="L2198" i="4"/>
  <c r="L2197" i="4"/>
  <c r="G2197" i="4"/>
  <c r="L2196" i="4"/>
  <c r="M2196" i="4" s="1"/>
  <c r="G2196" i="4"/>
  <c r="H2196" i="4" s="1"/>
  <c r="G2195" i="4"/>
  <c r="I2195" i="4" s="1"/>
  <c r="L2194" i="4"/>
  <c r="N2194" i="4" s="1"/>
  <c r="G2194" i="4"/>
  <c r="L2193" i="4"/>
  <c r="M2193" i="4" s="1"/>
  <c r="L2192" i="4"/>
  <c r="N2192" i="4" s="1"/>
  <c r="G2192" i="4"/>
  <c r="I2192" i="4" s="1"/>
  <c r="G2191" i="4"/>
  <c r="L2190" i="4"/>
  <c r="M2190" i="4" s="1"/>
  <c r="L2189" i="4"/>
  <c r="G2189" i="4"/>
  <c r="I2189" i="4" s="1"/>
  <c r="L2188" i="4"/>
  <c r="G2188" i="4"/>
  <c r="I2188" i="4" s="1"/>
  <c r="L2185" i="4"/>
  <c r="M2185" i="4" s="1"/>
  <c r="G2185" i="4"/>
  <c r="I2185" i="4" s="1"/>
  <c r="G2184" i="4"/>
  <c r="H2184" i="4" s="1"/>
  <c r="L2183" i="4"/>
  <c r="N2183" i="4" s="1"/>
  <c r="G2183" i="4"/>
  <c r="H2183" i="4" s="1"/>
  <c r="L2182" i="4"/>
  <c r="L2181" i="4"/>
  <c r="N2181" i="4" s="1"/>
  <c r="L2180" i="4"/>
  <c r="N2180" i="4" s="1"/>
  <c r="G2180" i="4"/>
  <c r="H2180" i="4" s="1"/>
  <c r="G2179" i="4"/>
  <c r="I2179" i="4" s="1"/>
  <c r="L2178" i="4"/>
  <c r="N2178" i="4" s="1"/>
  <c r="L2177" i="4"/>
  <c r="N2177" i="4" s="1"/>
  <c r="G2177" i="4"/>
  <c r="I2177" i="4" s="1"/>
  <c r="L2176" i="4"/>
  <c r="M2176" i="4" s="1"/>
  <c r="G2176" i="4"/>
  <c r="I2176" i="4" s="1"/>
  <c r="L2173" i="4"/>
  <c r="G2173" i="4"/>
  <c r="H2173" i="4" s="1"/>
  <c r="L2172" i="4"/>
  <c r="N2172" i="4" s="1"/>
  <c r="G2172" i="4"/>
  <c r="H2172" i="4" s="1"/>
  <c r="G2171" i="4"/>
  <c r="I2171" i="4" s="1"/>
  <c r="L2170" i="4"/>
  <c r="N2170" i="4" s="1"/>
  <c r="G2170" i="4"/>
  <c r="L2169" i="4"/>
  <c r="L2168" i="4"/>
  <c r="M2168" i="4" s="1"/>
  <c r="G2168" i="4"/>
  <c r="I2168" i="4" s="1"/>
  <c r="G2167" i="4"/>
  <c r="I2167" i="4" s="1"/>
  <c r="L2166" i="4"/>
  <c r="L2165" i="4"/>
  <c r="N2165" i="4" s="1"/>
  <c r="G2165" i="4"/>
  <c r="I2165" i="4" s="1"/>
  <c r="L2164" i="4"/>
  <c r="G2164" i="4"/>
  <c r="I2164" i="4" s="1"/>
  <c r="L2161" i="4"/>
  <c r="N2161" i="4" s="1"/>
  <c r="G2161" i="4"/>
  <c r="H2161" i="4" s="1"/>
  <c r="L2160" i="4"/>
  <c r="G2160" i="4"/>
  <c r="H2160" i="4" s="1"/>
  <c r="G2159" i="4"/>
  <c r="I2159" i="4" s="1"/>
  <c r="L2158" i="4"/>
  <c r="G2158" i="4"/>
  <c r="I2158" i="4" s="1"/>
  <c r="L2157" i="4"/>
  <c r="M2157" i="4" s="1"/>
  <c r="L2156" i="4"/>
  <c r="N2156" i="4" s="1"/>
  <c r="G2156" i="4"/>
  <c r="P2156" i="4" s="1"/>
  <c r="G2155" i="4"/>
  <c r="I2155" i="4" s="1"/>
  <c r="L2154" i="4"/>
  <c r="N2154" i="4" s="1"/>
  <c r="L2153" i="4"/>
  <c r="G2153" i="4"/>
  <c r="I2153" i="4" s="1"/>
  <c r="L2152" i="4"/>
  <c r="N2152" i="4" s="1"/>
  <c r="G2152" i="4"/>
  <c r="I2152" i="4" s="1"/>
  <c r="L2149" i="4"/>
  <c r="G2149" i="4"/>
  <c r="H2149" i="4" s="1"/>
  <c r="G2148" i="4"/>
  <c r="I2148" i="4" s="1"/>
  <c r="G2147" i="4"/>
  <c r="L2146" i="4"/>
  <c r="N2146" i="4" s="1"/>
  <c r="G2146" i="4"/>
  <c r="L2145" i="4"/>
  <c r="M2145" i="4" s="1"/>
  <c r="L2144" i="4"/>
  <c r="M2144" i="4" s="1"/>
  <c r="G2144" i="4"/>
  <c r="G2143" i="4"/>
  <c r="I2143" i="4" s="1"/>
  <c r="L2142" i="4"/>
  <c r="L2141" i="4"/>
  <c r="G2141" i="4"/>
  <c r="I2141" i="4" s="1"/>
  <c r="L2140" i="4"/>
  <c r="G2140" i="4"/>
  <c r="I2140" i="4" s="1"/>
  <c r="G2138" i="4"/>
  <c r="H2138" i="4" s="1"/>
  <c r="L2131" i="4"/>
  <c r="L2130" i="4"/>
  <c r="G2130" i="4"/>
  <c r="I2130" i="4" s="1"/>
  <c r="L2129" i="4"/>
  <c r="N2129" i="4" s="1"/>
  <c r="G2129" i="4"/>
  <c r="I2129" i="4" s="1"/>
  <c r="G2128" i="4"/>
  <c r="H2128" i="4" s="1"/>
  <c r="L2125" i="4"/>
  <c r="G2125" i="4"/>
  <c r="I2125" i="4" s="1"/>
  <c r="L2124" i="4"/>
  <c r="M2124" i="4" s="1"/>
  <c r="G2124" i="4"/>
  <c r="I2124" i="4" s="1"/>
  <c r="L2123" i="4"/>
  <c r="G2123" i="4"/>
  <c r="I2123" i="4" s="1"/>
  <c r="L2122" i="4"/>
  <c r="G2122" i="4"/>
  <c r="L2121" i="4"/>
  <c r="G2121" i="4"/>
  <c r="I2121" i="4" s="1"/>
  <c r="L2120" i="4"/>
  <c r="M2120" i="4" s="1"/>
  <c r="G2120" i="4"/>
  <c r="I2120" i="4" s="1"/>
  <c r="L2119" i="4"/>
  <c r="N2119" i="4" s="1"/>
  <c r="G2119" i="4"/>
  <c r="I2119" i="4" s="1"/>
  <c r="L2118" i="4"/>
  <c r="M2118" i="4" s="1"/>
  <c r="G2118" i="4"/>
  <c r="I2118" i="4" s="1"/>
  <c r="L2117" i="4"/>
  <c r="N2117" i="4" s="1"/>
  <c r="G2117" i="4"/>
  <c r="I2117" i="4" s="1"/>
  <c r="L2116" i="4"/>
  <c r="G2116" i="4"/>
  <c r="I2116" i="4" s="1"/>
  <c r="L2115" i="4"/>
  <c r="N2115" i="4" s="1"/>
  <c r="G2115" i="4"/>
  <c r="I2115" i="4" s="1"/>
  <c r="L2114" i="4"/>
  <c r="G2114" i="4"/>
  <c r="I2114" i="4" s="1"/>
  <c r="L2113" i="4"/>
  <c r="G2113" i="4"/>
  <c r="I2113" i="4" s="1"/>
  <c r="L2112" i="4"/>
  <c r="G2112" i="4"/>
  <c r="H2112" i="4" s="1"/>
  <c r="L2111" i="4"/>
  <c r="G2111" i="4"/>
  <c r="I2111" i="4" s="1"/>
  <c r="L2110" i="4"/>
  <c r="N2110" i="4" s="1"/>
  <c r="G2110" i="4"/>
  <c r="H2110" i="4" s="1"/>
  <c r="L2109" i="4"/>
  <c r="N2109" i="4" s="1"/>
  <c r="G2109" i="4"/>
  <c r="I2109" i="4" s="1"/>
  <c r="L2108" i="4"/>
  <c r="N2108" i="4" s="1"/>
  <c r="G2108" i="4"/>
  <c r="I2108" i="4" s="1"/>
  <c r="L2107" i="4"/>
  <c r="G2107" i="4"/>
  <c r="I2107" i="4" s="1"/>
  <c r="L2106" i="4"/>
  <c r="O2106" i="4" s="1"/>
  <c r="G2106" i="4"/>
  <c r="I2106" i="4" s="1"/>
  <c r="L2105" i="4"/>
  <c r="G2105" i="4"/>
  <c r="I2105" i="4" s="1"/>
  <c r="L2104" i="4"/>
  <c r="G2104" i="4"/>
  <c r="I2104" i="4" s="1"/>
  <c r="L2103" i="4"/>
  <c r="G2103" i="4"/>
  <c r="I2103" i="4" s="1"/>
  <c r="L2102" i="4"/>
  <c r="N2102" i="4" s="1"/>
  <c r="G2102" i="4"/>
  <c r="I2102" i="4" s="1"/>
  <c r="L2101" i="4"/>
  <c r="G2101" i="4"/>
  <c r="I2101" i="4" s="1"/>
  <c r="L2100" i="4"/>
  <c r="G2100" i="4"/>
  <c r="I2100" i="4" s="1"/>
  <c r="L2099" i="4"/>
  <c r="G2099" i="4"/>
  <c r="H2099" i="4" s="1"/>
  <c r="L2098" i="4"/>
  <c r="N2098" i="4" s="1"/>
  <c r="G2098" i="4"/>
  <c r="L2097" i="4"/>
  <c r="N2097" i="4" s="1"/>
  <c r="G2097" i="4"/>
  <c r="H2097" i="4" s="1"/>
  <c r="L2096" i="4"/>
  <c r="G2096" i="4"/>
  <c r="I2096" i="4" s="1"/>
  <c r="L2095" i="4"/>
  <c r="N2095" i="4" s="1"/>
  <c r="G2095" i="4"/>
  <c r="H2095" i="4" s="1"/>
  <c r="L2094" i="4"/>
  <c r="M2094" i="4" s="1"/>
  <c r="G2094" i="4"/>
  <c r="I2094" i="4" s="1"/>
  <c r="L2093" i="4"/>
  <c r="O2093" i="4" s="1"/>
  <c r="G2093" i="4"/>
  <c r="I2093" i="4" s="1"/>
  <c r="L2092" i="4"/>
  <c r="G2092" i="4"/>
  <c r="H2092" i="4" s="1"/>
  <c r="N2091" i="4"/>
  <c r="M2091" i="4"/>
  <c r="L2091" i="4"/>
  <c r="G2091" i="4"/>
  <c r="I2091" i="4" s="1"/>
  <c r="L2090" i="4"/>
  <c r="G2090" i="4"/>
  <c r="I2090" i="4" s="1"/>
  <c r="L2089" i="4"/>
  <c r="M2089" i="4" s="1"/>
  <c r="G2089" i="4"/>
  <c r="I2089" i="4" s="1"/>
  <c r="L2088" i="4"/>
  <c r="G2088" i="4"/>
  <c r="I2088" i="4" s="1"/>
  <c r="L2087" i="4"/>
  <c r="G2087" i="4"/>
  <c r="I2087" i="4" s="1"/>
  <c r="L2086" i="4"/>
  <c r="G2086" i="4"/>
  <c r="I2086" i="4" s="1"/>
  <c r="L2085" i="4"/>
  <c r="M2085" i="4" s="1"/>
  <c r="G2085" i="4"/>
  <c r="L2084" i="4"/>
  <c r="N2084" i="4" s="1"/>
  <c r="G2084" i="4"/>
  <c r="L2083" i="4"/>
  <c r="G2083" i="4"/>
  <c r="I2083" i="4" s="1"/>
  <c r="L2082" i="4"/>
  <c r="N2082" i="4" s="1"/>
  <c r="G2082" i="4"/>
  <c r="H2082" i="4" s="1"/>
  <c r="L2081" i="4"/>
  <c r="N2081" i="4" s="1"/>
  <c r="G2081" i="4"/>
  <c r="I2081" i="4" s="1"/>
  <c r="L2080" i="4"/>
  <c r="G2080" i="4"/>
  <c r="H2080" i="4" s="1"/>
  <c r="L2079" i="4"/>
  <c r="G2079" i="4"/>
  <c r="I2079" i="4" s="1"/>
  <c r="L2078" i="4"/>
  <c r="M2078" i="4" s="1"/>
  <c r="G2078" i="4"/>
  <c r="I2078" i="4" s="1"/>
  <c r="L2077" i="4"/>
  <c r="G2077" i="4"/>
  <c r="I2077" i="4" s="1"/>
  <c r="L2076" i="4"/>
  <c r="G2076" i="4"/>
  <c r="H2076" i="4" s="1"/>
  <c r="L2075" i="4"/>
  <c r="G2075" i="4"/>
  <c r="I2075" i="4" s="1"/>
  <c r="L2074" i="4"/>
  <c r="N2074" i="4" s="1"/>
  <c r="G2074" i="4"/>
  <c r="L2073" i="4"/>
  <c r="G2073" i="4"/>
  <c r="I2073" i="4" s="1"/>
  <c r="L2072" i="4"/>
  <c r="N2072" i="4" s="1"/>
  <c r="G2072" i="4"/>
  <c r="I2072" i="4" s="1"/>
  <c r="L2071" i="4"/>
  <c r="G2071" i="4"/>
  <c r="H2071" i="4" s="1"/>
  <c r="L2070" i="4"/>
  <c r="G2070" i="4"/>
  <c r="I2070" i="4" s="1"/>
  <c r="L2069" i="4"/>
  <c r="O2069" i="4" s="1"/>
  <c r="G2069" i="4"/>
  <c r="I2069" i="4" s="1"/>
  <c r="L2068" i="4"/>
  <c r="M2068" i="4" s="1"/>
  <c r="G2068" i="4"/>
  <c r="I2068" i="4" s="1"/>
  <c r="L2067" i="4"/>
  <c r="M2067" i="4" s="1"/>
  <c r="G2067" i="4"/>
  <c r="I2067" i="4" s="1"/>
  <c r="L2066" i="4"/>
  <c r="G2066" i="4"/>
  <c r="H2066" i="4" s="1"/>
  <c r="L2065" i="4"/>
  <c r="G2065" i="4"/>
  <c r="I2065" i="4" s="1"/>
  <c r="L2064" i="4"/>
  <c r="G2064" i="4"/>
  <c r="I2064" i="4" s="1"/>
  <c r="L2063" i="4"/>
  <c r="G2063" i="4"/>
  <c r="H2063" i="4" s="1"/>
  <c r="L2062" i="4"/>
  <c r="N2062" i="4" s="1"/>
  <c r="G2062" i="4"/>
  <c r="H2062" i="4" s="1"/>
  <c r="L2061" i="4"/>
  <c r="M2061" i="4" s="1"/>
  <c r="G2061" i="4"/>
  <c r="I2061" i="4" s="1"/>
  <c r="L2060" i="4"/>
  <c r="N2060" i="4" s="1"/>
  <c r="G2060" i="4"/>
  <c r="L2059" i="4"/>
  <c r="O2059" i="4" s="1"/>
  <c r="G2059" i="4"/>
  <c r="I2059" i="4" s="1"/>
  <c r="L2058" i="4"/>
  <c r="N2058" i="4" s="1"/>
  <c r="G2058" i="4"/>
  <c r="H2058" i="4" s="1"/>
  <c r="L2057" i="4"/>
  <c r="N2057" i="4" s="1"/>
  <c r="G2057" i="4"/>
  <c r="I2057" i="4" s="1"/>
  <c r="L2056" i="4"/>
  <c r="G2056" i="4"/>
  <c r="I2056" i="4" s="1"/>
  <c r="L2055" i="4"/>
  <c r="N2055" i="4" s="1"/>
  <c r="G2055" i="4"/>
  <c r="H2055" i="4" s="1"/>
  <c r="L2054" i="4"/>
  <c r="G2054" i="4"/>
  <c r="L2053" i="4"/>
  <c r="G2053" i="4"/>
  <c r="I2053" i="4" s="1"/>
  <c r="L2052" i="4"/>
  <c r="G2052" i="4"/>
  <c r="L2051" i="4"/>
  <c r="N2051" i="4" s="1"/>
  <c r="G2051" i="4"/>
  <c r="L2050" i="4"/>
  <c r="N2050" i="4" s="1"/>
  <c r="G2050" i="4"/>
  <c r="L2049" i="4"/>
  <c r="G2049" i="4"/>
  <c r="I2049" i="4" s="1"/>
  <c r="L2048" i="4"/>
  <c r="G2048" i="4"/>
  <c r="I2048" i="4" s="1"/>
  <c r="L2047" i="4"/>
  <c r="M2047" i="4" s="1"/>
  <c r="G2047" i="4"/>
  <c r="I2047" i="4" s="1"/>
  <c r="L2046" i="4"/>
  <c r="G2046" i="4"/>
  <c r="I2046" i="4" s="1"/>
  <c r="L2045" i="4"/>
  <c r="O2045" i="4" s="1"/>
  <c r="G2045" i="4"/>
  <c r="I2045" i="4" s="1"/>
  <c r="M2044" i="4"/>
  <c r="L2044" i="4"/>
  <c r="N2044" i="4" s="1"/>
  <c r="G2044" i="4"/>
  <c r="L2043" i="4"/>
  <c r="M2043" i="4" s="1"/>
  <c r="G2043" i="4"/>
  <c r="H2043" i="4" s="1"/>
  <c r="L2042" i="4"/>
  <c r="N2042" i="4" s="1"/>
  <c r="G2042" i="4"/>
  <c r="H2042" i="4" s="1"/>
  <c r="L2041" i="4"/>
  <c r="N2041" i="4" s="1"/>
  <c r="G2041" i="4"/>
  <c r="L2040" i="4"/>
  <c r="G2040" i="4"/>
  <c r="H2040" i="4" s="1"/>
  <c r="L2039" i="4"/>
  <c r="M2039" i="4" s="1"/>
  <c r="G2039" i="4"/>
  <c r="H2039" i="4" s="1"/>
  <c r="L2038" i="4"/>
  <c r="N2038" i="4" s="1"/>
  <c r="G2038" i="4"/>
  <c r="H2038" i="4" s="1"/>
  <c r="L2037" i="4"/>
  <c r="G2037" i="4"/>
  <c r="I2037" i="4" s="1"/>
  <c r="L2036" i="4"/>
  <c r="G2036" i="4"/>
  <c r="H2036" i="4" s="1"/>
  <c r="L2035" i="4"/>
  <c r="N2035" i="4" s="1"/>
  <c r="G2035" i="4"/>
  <c r="I2035" i="4" s="1"/>
  <c r="L2034" i="4"/>
  <c r="G2034" i="4"/>
  <c r="I2034" i="4" s="1"/>
  <c r="L2033" i="4"/>
  <c r="M2033" i="4" s="1"/>
  <c r="G2033" i="4"/>
  <c r="H2033" i="4" s="1"/>
  <c r="L2032" i="4"/>
  <c r="N2032" i="4" s="1"/>
  <c r="G2032" i="4"/>
  <c r="I2032" i="4" s="1"/>
  <c r="L2031" i="4"/>
  <c r="G2031" i="4"/>
  <c r="I2031" i="4" s="1"/>
  <c r="L2030" i="4"/>
  <c r="O2030" i="4" s="1"/>
  <c r="G2030" i="4"/>
  <c r="H2030" i="4" s="1"/>
  <c r="L2029" i="4"/>
  <c r="N2029" i="4" s="1"/>
  <c r="G2029" i="4"/>
  <c r="I2029" i="4" s="1"/>
  <c r="L2028" i="4"/>
  <c r="N2028" i="4" s="1"/>
  <c r="G2028" i="4"/>
  <c r="I2028" i="4" s="1"/>
  <c r="L2027" i="4"/>
  <c r="G2027" i="4"/>
  <c r="I2027" i="4" s="1"/>
  <c r="L2026" i="4"/>
  <c r="N2026" i="4" s="1"/>
  <c r="G2026" i="4"/>
  <c r="L2025" i="4"/>
  <c r="G2025" i="4"/>
  <c r="H2025" i="4" s="1"/>
  <c r="L2024" i="4"/>
  <c r="G2024" i="4"/>
  <c r="I2024" i="4" s="1"/>
  <c r="L2023" i="4"/>
  <c r="G2023" i="4"/>
  <c r="I2023" i="4" s="1"/>
  <c r="L2022" i="4"/>
  <c r="G2022" i="4"/>
  <c r="H2022" i="4" s="1"/>
  <c r="L2021" i="4"/>
  <c r="O2021" i="4" s="1"/>
  <c r="G2021" i="4"/>
  <c r="I2021" i="4" s="1"/>
  <c r="L2020" i="4"/>
  <c r="M2020" i="4" s="1"/>
  <c r="G2020" i="4"/>
  <c r="I2020" i="4" s="1"/>
  <c r="L2019" i="4"/>
  <c r="O2019" i="4" s="1"/>
  <c r="H2019" i="4"/>
  <c r="G2019" i="4"/>
  <c r="I2019" i="4" s="1"/>
  <c r="L2018" i="4"/>
  <c r="G2018" i="4"/>
  <c r="I2018" i="4" s="1"/>
  <c r="L2017" i="4"/>
  <c r="G2017" i="4"/>
  <c r="I2017" i="4" s="1"/>
  <c r="L2016" i="4"/>
  <c r="G2016" i="4"/>
  <c r="H2016" i="4" s="1"/>
  <c r="L2015" i="4"/>
  <c r="G2015" i="4"/>
  <c r="I2015" i="4" s="1"/>
  <c r="L2014" i="4"/>
  <c r="M2014" i="4" s="1"/>
  <c r="G2014" i="4"/>
  <c r="I2014" i="4" s="1"/>
  <c r="L2013" i="4"/>
  <c r="N2013" i="4" s="1"/>
  <c r="G2013" i="4"/>
  <c r="I2013" i="4" s="1"/>
  <c r="L2012" i="4"/>
  <c r="N2012" i="4" s="1"/>
  <c r="G2012" i="4"/>
  <c r="L2011" i="4"/>
  <c r="M2011" i="4" s="1"/>
  <c r="G2011" i="4"/>
  <c r="H2011" i="4" s="1"/>
  <c r="L2010" i="4"/>
  <c r="N2010" i="4" s="1"/>
  <c r="G2010" i="4"/>
  <c r="H2010" i="4" s="1"/>
  <c r="L2009" i="4"/>
  <c r="G2009" i="4"/>
  <c r="I2009" i="4" s="1"/>
  <c r="L2008" i="4"/>
  <c r="N2008" i="4" s="1"/>
  <c r="G2008" i="4"/>
  <c r="H2008" i="4" s="1"/>
  <c r="L2007" i="4"/>
  <c r="N2007" i="4" s="1"/>
  <c r="G2007" i="4"/>
  <c r="H2007" i="4" s="1"/>
  <c r="L2006" i="4"/>
  <c r="N2006" i="4" s="1"/>
  <c r="G2006" i="4"/>
  <c r="L2005" i="4"/>
  <c r="G2005" i="4"/>
  <c r="I2005" i="4" s="1"/>
  <c r="L2004" i="4"/>
  <c r="G2004" i="4"/>
  <c r="I2004" i="4" s="1"/>
  <c r="L2003" i="4"/>
  <c r="G2003" i="4"/>
  <c r="I2003" i="4" s="1"/>
  <c r="L2002" i="4"/>
  <c r="N2002" i="4" s="1"/>
  <c r="G2002" i="4"/>
  <c r="L2001" i="4"/>
  <c r="O2001" i="4" s="1"/>
  <c r="G2001" i="4"/>
  <c r="I2001" i="4" s="1"/>
  <c r="L2000" i="4"/>
  <c r="G2000" i="4"/>
  <c r="I2000" i="4" s="1"/>
  <c r="L1999" i="4"/>
  <c r="M1999" i="4" s="1"/>
  <c r="G1999" i="4"/>
  <c r="I1999" i="4" s="1"/>
  <c r="L1998" i="4"/>
  <c r="I1998" i="4"/>
  <c r="G1998" i="4"/>
  <c r="H1998" i="4" s="1"/>
  <c r="L1997" i="4"/>
  <c r="N1997" i="4" s="1"/>
  <c r="G1997" i="4"/>
  <c r="I1997" i="4" s="1"/>
  <c r="L1996" i="4"/>
  <c r="G1996" i="4"/>
  <c r="I1996" i="4" s="1"/>
  <c r="L1995" i="4"/>
  <c r="N1995" i="4" s="1"/>
  <c r="G1995" i="4"/>
  <c r="O1995" i="4" s="1"/>
  <c r="L1994" i="4"/>
  <c r="G1994" i="4"/>
  <c r="H1994" i="4" s="1"/>
  <c r="L1993" i="4"/>
  <c r="G1993" i="4"/>
  <c r="I1993" i="4" s="1"/>
  <c r="L1992" i="4"/>
  <c r="G1992" i="4"/>
  <c r="I1992" i="4" s="1"/>
  <c r="L1991" i="4"/>
  <c r="G1991" i="4"/>
  <c r="I1991" i="4" s="1"/>
  <c r="L1990" i="4"/>
  <c r="M1990" i="4" s="1"/>
  <c r="G1990" i="4"/>
  <c r="L1989" i="4"/>
  <c r="N1989" i="4" s="1"/>
  <c r="G1989" i="4"/>
  <c r="I1989" i="4" s="1"/>
  <c r="L1988" i="4"/>
  <c r="N1988" i="4" s="1"/>
  <c r="G1988" i="4"/>
  <c r="L1987" i="4"/>
  <c r="M1987" i="4" s="1"/>
  <c r="G1987" i="4"/>
  <c r="H1987" i="4" s="1"/>
  <c r="L1986" i="4"/>
  <c r="N1986" i="4" s="1"/>
  <c r="G1986" i="4"/>
  <c r="H1986" i="4" s="1"/>
  <c r="L1985" i="4"/>
  <c r="G1985" i="4"/>
  <c r="I1985" i="4" s="1"/>
  <c r="L1984" i="4"/>
  <c r="N1984" i="4" s="1"/>
  <c r="G1984" i="4"/>
  <c r="H1984" i="4" s="1"/>
  <c r="L1983" i="4"/>
  <c r="N1983" i="4" s="1"/>
  <c r="G1983" i="4"/>
  <c r="H1983" i="4" s="1"/>
  <c r="L1982" i="4"/>
  <c r="N1982" i="4" s="1"/>
  <c r="G1982" i="4"/>
  <c r="O1982" i="4" s="1"/>
  <c r="L1981" i="4"/>
  <c r="H1981" i="4"/>
  <c r="G1981" i="4"/>
  <c r="I1981" i="4" s="1"/>
  <c r="L1980" i="4"/>
  <c r="N1980" i="4" s="1"/>
  <c r="G1980" i="4"/>
  <c r="I1980" i="4" s="1"/>
  <c r="L1979" i="4"/>
  <c r="G1979" i="4"/>
  <c r="I1979" i="4" s="1"/>
  <c r="L1978" i="4"/>
  <c r="N1978" i="4" s="1"/>
  <c r="G1978" i="4"/>
  <c r="L1977" i="4"/>
  <c r="N1977" i="4" s="1"/>
  <c r="G1977" i="4"/>
  <c r="I1977" i="4" s="1"/>
  <c r="L1976" i="4"/>
  <c r="G1976" i="4"/>
  <c r="I1976" i="4" s="1"/>
  <c r="M1975" i="4"/>
  <c r="L1975" i="4"/>
  <c r="G1975" i="4"/>
  <c r="I1975" i="4" s="1"/>
  <c r="L1974" i="4"/>
  <c r="O1974" i="4" s="1"/>
  <c r="G1974" i="4"/>
  <c r="H1974" i="4" s="1"/>
  <c r="L1973" i="4"/>
  <c r="M1973" i="4" s="1"/>
  <c r="G1973" i="4"/>
  <c r="I1973" i="4" s="1"/>
  <c r="L1972" i="4"/>
  <c r="M1972" i="4" s="1"/>
  <c r="G1972" i="4"/>
  <c r="I1972" i="4" s="1"/>
  <c r="N1971" i="4"/>
  <c r="L1971" i="4"/>
  <c r="M1971" i="4" s="1"/>
  <c r="G1971" i="4"/>
  <c r="I1971" i="4" s="1"/>
  <c r="L1970" i="4"/>
  <c r="G1970" i="4"/>
  <c r="L1969" i="4"/>
  <c r="G1969" i="4"/>
  <c r="I1969" i="4" s="1"/>
  <c r="L1968" i="4"/>
  <c r="O1968" i="4" s="1"/>
  <c r="G1968" i="4"/>
  <c r="H1968" i="4" s="1"/>
  <c r="L1967" i="4"/>
  <c r="G1967" i="4"/>
  <c r="I1967" i="4" s="1"/>
  <c r="L1966" i="4"/>
  <c r="M1966" i="4" s="1"/>
  <c r="G1966" i="4"/>
  <c r="I1966" i="4" s="1"/>
  <c r="L1965" i="4"/>
  <c r="N1965" i="4" s="1"/>
  <c r="G1965" i="4"/>
  <c r="I1965" i="4" s="1"/>
  <c r="L1964" i="4"/>
  <c r="N1964" i="4" s="1"/>
  <c r="G1964" i="4"/>
  <c r="L1963" i="4"/>
  <c r="O1963" i="4" s="1"/>
  <c r="G1963" i="4"/>
  <c r="I1963" i="4" s="1"/>
  <c r="L1962" i="4"/>
  <c r="G1962" i="4"/>
  <c r="H1962" i="4" s="1"/>
  <c r="L1961" i="4"/>
  <c r="G1961" i="4"/>
  <c r="I1961" i="4" s="1"/>
  <c r="L1960" i="4"/>
  <c r="N1960" i="4" s="1"/>
  <c r="G1960" i="4"/>
  <c r="H1960" i="4" s="1"/>
  <c r="L1959" i="4"/>
  <c r="N1959" i="4" s="1"/>
  <c r="G1959" i="4"/>
  <c r="H1959" i="4" s="1"/>
  <c r="L1958" i="4"/>
  <c r="N1958" i="4" s="1"/>
  <c r="G1958" i="4"/>
  <c r="L1957" i="4"/>
  <c r="G1957" i="4"/>
  <c r="I1957" i="4" s="1"/>
  <c r="L1956" i="4"/>
  <c r="G1956" i="4"/>
  <c r="I1956" i="4" s="1"/>
  <c r="L1955" i="4"/>
  <c r="G1955" i="4"/>
  <c r="I1955" i="4" s="1"/>
  <c r="L1954" i="4"/>
  <c r="G1954" i="4"/>
  <c r="O1954" i="4" s="1"/>
  <c r="L1953" i="4"/>
  <c r="N1953" i="4" s="1"/>
  <c r="G1953" i="4"/>
  <c r="I1953" i="4" s="1"/>
  <c r="L1952" i="4"/>
  <c r="G1952" i="4"/>
  <c r="I1952" i="4" s="1"/>
  <c r="L1951" i="4"/>
  <c r="M1951" i="4" s="1"/>
  <c r="G1951" i="4"/>
  <c r="I1951" i="4" s="1"/>
  <c r="L1950" i="4"/>
  <c r="G1950" i="4"/>
  <c r="H1950" i="4" s="1"/>
  <c r="L1949" i="4"/>
  <c r="N1949" i="4" s="1"/>
  <c r="G1949" i="4"/>
  <c r="I1949" i="4" s="1"/>
  <c r="L1948" i="4"/>
  <c r="M1948" i="4" s="1"/>
  <c r="G1948" i="4"/>
  <c r="I1948" i="4" s="1"/>
  <c r="L1947" i="4"/>
  <c r="O1947" i="4" s="1"/>
  <c r="G1947" i="4"/>
  <c r="H1947" i="4" s="1"/>
  <c r="L1946" i="4"/>
  <c r="G1946" i="4"/>
  <c r="I1946" i="4" s="1"/>
  <c r="G1940" i="4"/>
  <c r="L1939" i="4"/>
  <c r="M1939" i="4" s="1"/>
  <c r="G1939" i="4"/>
  <c r="H1939" i="4" s="1"/>
  <c r="L1938" i="4"/>
  <c r="N1938" i="4" s="1"/>
  <c r="G1938" i="4"/>
  <c r="H1938" i="4" s="1"/>
  <c r="L1937" i="4"/>
  <c r="O1937" i="4" s="1"/>
  <c r="G1937" i="4"/>
  <c r="I1937" i="4" s="1"/>
  <c r="L1936" i="4"/>
  <c r="N1936" i="4" s="1"/>
  <c r="G1936" i="4"/>
  <c r="L1935" i="4"/>
  <c r="N1935" i="4" s="1"/>
  <c r="G1935" i="4"/>
  <c r="L1934" i="4"/>
  <c r="N1934" i="4" s="1"/>
  <c r="G1934" i="4"/>
  <c r="L1933" i="4"/>
  <c r="G1933" i="4"/>
  <c r="I1933" i="4" s="1"/>
  <c r="L1932" i="4"/>
  <c r="N1932" i="4" s="1"/>
  <c r="G1932" i="4"/>
  <c r="I1932" i="4" s="1"/>
  <c r="L1931" i="4"/>
  <c r="G1931" i="4"/>
  <c r="I1931" i="4" s="1"/>
  <c r="L1930" i="4"/>
  <c r="M1930" i="4" s="1"/>
  <c r="G1930" i="4"/>
  <c r="L1929" i="4"/>
  <c r="G1929" i="4"/>
  <c r="I1929" i="4" s="1"/>
  <c r="L1928" i="4"/>
  <c r="G1928" i="4"/>
  <c r="I1928" i="4" s="1"/>
  <c r="L1927" i="4"/>
  <c r="M1927" i="4" s="1"/>
  <c r="G1927" i="4"/>
  <c r="I1927" i="4" s="1"/>
  <c r="L1926" i="4"/>
  <c r="M1926" i="4" s="1"/>
  <c r="G1926" i="4"/>
  <c r="H1926" i="4" s="1"/>
  <c r="L1925" i="4"/>
  <c r="O1925" i="4" s="1"/>
  <c r="G1925" i="4"/>
  <c r="I1925" i="4" s="1"/>
  <c r="L1924" i="4"/>
  <c r="G1924" i="4"/>
  <c r="I1924" i="4" s="1"/>
  <c r="L1923" i="4"/>
  <c r="N1923" i="4" s="1"/>
  <c r="G1923" i="4"/>
  <c r="L1922" i="4"/>
  <c r="G1922" i="4"/>
  <c r="I1922" i="4" s="1"/>
  <c r="K1912" i="4"/>
  <c r="F1912" i="4"/>
  <c r="K1911" i="4"/>
  <c r="F1911" i="4"/>
  <c r="K1909" i="4"/>
  <c r="J1909" i="4"/>
  <c r="F1909" i="4"/>
  <c r="K1908" i="4"/>
  <c r="J1908" i="4"/>
  <c r="F1908" i="4"/>
  <c r="K1907" i="4"/>
  <c r="J1907" i="4"/>
  <c r="F1907" i="4"/>
  <c r="F1858" i="4"/>
  <c r="E1858" i="4"/>
  <c r="G1858" i="4" s="1"/>
  <c r="H1858" i="4" s="1"/>
  <c r="F1857" i="4"/>
  <c r="E1857" i="4"/>
  <c r="F1856" i="4"/>
  <c r="E1856" i="4"/>
  <c r="F1855" i="4"/>
  <c r="E1855" i="4"/>
  <c r="F1853" i="4"/>
  <c r="E1853" i="4"/>
  <c r="F1852" i="4"/>
  <c r="E1852" i="4"/>
  <c r="F1851" i="4"/>
  <c r="E1851" i="4"/>
  <c r="K1768" i="4"/>
  <c r="J1768" i="4"/>
  <c r="E1768" i="4"/>
  <c r="K1767" i="4"/>
  <c r="J1766" i="4"/>
  <c r="K1765" i="4"/>
  <c r="J1765" i="4"/>
  <c r="F1765" i="4"/>
  <c r="E1765" i="4"/>
  <c r="K1764" i="4"/>
  <c r="J1764" i="4"/>
  <c r="F1764" i="4"/>
  <c r="E1764" i="4"/>
  <c r="K1763" i="4"/>
  <c r="L1763" i="4" s="1"/>
  <c r="M1763" i="4" s="1"/>
  <c r="J1763" i="4"/>
  <c r="F1763" i="4"/>
  <c r="E1763" i="4"/>
  <c r="K1762" i="4"/>
  <c r="J1762" i="4"/>
  <c r="F1762" i="4"/>
  <c r="E1762" i="4"/>
  <c r="K1761" i="4"/>
  <c r="J1761" i="4"/>
  <c r="F1761" i="4"/>
  <c r="E1761" i="4"/>
  <c r="K1760" i="4"/>
  <c r="J1760" i="4"/>
  <c r="F1760" i="4"/>
  <c r="E1760" i="4"/>
  <c r="K1759" i="4"/>
  <c r="J1759" i="4"/>
  <c r="F1759" i="4"/>
  <c r="E1759" i="4"/>
  <c r="K1758" i="4"/>
  <c r="J1758" i="4"/>
  <c r="F1758" i="4"/>
  <c r="E1758" i="4"/>
  <c r="K1757" i="4"/>
  <c r="J1757" i="4"/>
  <c r="F1757" i="4"/>
  <c r="E1757" i="4"/>
  <c r="K1756" i="4"/>
  <c r="J1756" i="4"/>
  <c r="F1756" i="4"/>
  <c r="E1756" i="4"/>
  <c r="G1756" i="4" s="1"/>
  <c r="H1756" i="4" s="1"/>
  <c r="K1755" i="4"/>
  <c r="J1755" i="4"/>
  <c r="F1755" i="4"/>
  <c r="E1755" i="4"/>
  <c r="K1754" i="4"/>
  <c r="J1754" i="4"/>
  <c r="F1754" i="4"/>
  <c r="E1754" i="4"/>
  <c r="K1753" i="4"/>
  <c r="J1753" i="4"/>
  <c r="F1753" i="4"/>
  <c r="E1753" i="4"/>
  <c r="K1752" i="4"/>
  <c r="J1752" i="4"/>
  <c r="F1752" i="4"/>
  <c r="E1752" i="4"/>
  <c r="K1751" i="4"/>
  <c r="J1751" i="4"/>
  <c r="F1751" i="4"/>
  <c r="E1751" i="4"/>
  <c r="K1750" i="4"/>
  <c r="J1750" i="4"/>
  <c r="F1750" i="4"/>
  <c r="E1750" i="4"/>
  <c r="K1749" i="4"/>
  <c r="J1749" i="4"/>
  <c r="F1749" i="4"/>
  <c r="E1749" i="4"/>
  <c r="K1748" i="4"/>
  <c r="J1748" i="4"/>
  <c r="F1748" i="4"/>
  <c r="E1748" i="4"/>
  <c r="K1747" i="4"/>
  <c r="J1747" i="4"/>
  <c r="F1747" i="4"/>
  <c r="E1747" i="4"/>
  <c r="K1746" i="4"/>
  <c r="J1746" i="4"/>
  <c r="F1746" i="4"/>
  <c r="E1746" i="4"/>
  <c r="K1745" i="4"/>
  <c r="J1745" i="4"/>
  <c r="F1745" i="4"/>
  <c r="E1745" i="4"/>
  <c r="K1744" i="4"/>
  <c r="J1744" i="4"/>
  <c r="F1744" i="4"/>
  <c r="E1744" i="4"/>
  <c r="K1743" i="4"/>
  <c r="J1743" i="4"/>
  <c r="F1743" i="4"/>
  <c r="E1743" i="4"/>
  <c r="K1742" i="4"/>
  <c r="J1742" i="4"/>
  <c r="F1742" i="4"/>
  <c r="E1742" i="4"/>
  <c r="K1741" i="4"/>
  <c r="J1741" i="4"/>
  <c r="F1741" i="4"/>
  <c r="E1741" i="4"/>
  <c r="K1740" i="4"/>
  <c r="J1740" i="4"/>
  <c r="F1740" i="4"/>
  <c r="E1740" i="4"/>
  <c r="K1739" i="4"/>
  <c r="J1739" i="4"/>
  <c r="F1739" i="4"/>
  <c r="E1739" i="4"/>
  <c r="K1738" i="4"/>
  <c r="J1738" i="4"/>
  <c r="F1738" i="4"/>
  <c r="E1738" i="4"/>
  <c r="G1738" i="4" s="1"/>
  <c r="I1738" i="4" s="1"/>
  <c r="K1737" i="4"/>
  <c r="J1737" i="4"/>
  <c r="F1737" i="4"/>
  <c r="E1737" i="4"/>
  <c r="K1736" i="4"/>
  <c r="J1736" i="4"/>
  <c r="F1736" i="4"/>
  <c r="E1736" i="4"/>
  <c r="K1735" i="4"/>
  <c r="J1735" i="4"/>
  <c r="F1735" i="4"/>
  <c r="E1735" i="4"/>
  <c r="K1734" i="4"/>
  <c r="J1734" i="4"/>
  <c r="F1734" i="4"/>
  <c r="E1734" i="4"/>
  <c r="K1733" i="4"/>
  <c r="J1733" i="4"/>
  <c r="F1733" i="4"/>
  <c r="E1733" i="4"/>
  <c r="K1732" i="4"/>
  <c r="J1732" i="4"/>
  <c r="F1732" i="4"/>
  <c r="E1732" i="4"/>
  <c r="G1732" i="4" s="1"/>
  <c r="H1732" i="4" s="1"/>
  <c r="K1731" i="4"/>
  <c r="J1731" i="4"/>
  <c r="F1731" i="4"/>
  <c r="E1731" i="4"/>
  <c r="K1730" i="4"/>
  <c r="J1730" i="4"/>
  <c r="F1730" i="4"/>
  <c r="E1730" i="4"/>
  <c r="L1728" i="4"/>
  <c r="M1728" i="4" s="1"/>
  <c r="L1727" i="4"/>
  <c r="L1726" i="4"/>
  <c r="L1725" i="4"/>
  <c r="L1724" i="4"/>
  <c r="M1724" i="4" s="1"/>
  <c r="G1724" i="4"/>
  <c r="H1724" i="4" s="1"/>
  <c r="L1723" i="4"/>
  <c r="M1723" i="4" s="1"/>
  <c r="G1723" i="4"/>
  <c r="I1723" i="4" s="1"/>
  <c r="G1722" i="4"/>
  <c r="H1722" i="4" s="1"/>
  <c r="L1721" i="4"/>
  <c r="M1721" i="4" s="1"/>
  <c r="G1721" i="4"/>
  <c r="H1721" i="4" s="1"/>
  <c r="L1720" i="4"/>
  <c r="G1720" i="4"/>
  <c r="L1719" i="4"/>
  <c r="N1719" i="4" s="1"/>
  <c r="G1719" i="4"/>
  <c r="L1718" i="4"/>
  <c r="G1718" i="4"/>
  <c r="I1718" i="4" s="1"/>
  <c r="L1717" i="4"/>
  <c r="N1717" i="4" s="1"/>
  <c r="G1717" i="4"/>
  <c r="I1717" i="4" s="1"/>
  <c r="L1716" i="4"/>
  <c r="N1716" i="4" s="1"/>
  <c r="G1716" i="4"/>
  <c r="L1715" i="4"/>
  <c r="N1715" i="4" s="1"/>
  <c r="G1715" i="4"/>
  <c r="L1714" i="4"/>
  <c r="N1714" i="4" s="1"/>
  <c r="G1714" i="4"/>
  <c r="I1714" i="4" s="1"/>
  <c r="L1713" i="4"/>
  <c r="M1713" i="4" s="1"/>
  <c r="G1713" i="4"/>
  <c r="I1713" i="4" s="1"/>
  <c r="L1712" i="4"/>
  <c r="M1712" i="4" s="1"/>
  <c r="G1712" i="4"/>
  <c r="I1712" i="4" s="1"/>
  <c r="L1711" i="4"/>
  <c r="N1711" i="4" s="1"/>
  <c r="G1711" i="4"/>
  <c r="I1711" i="4" s="1"/>
  <c r="L1710" i="4"/>
  <c r="N1710" i="4" s="1"/>
  <c r="G1710" i="4"/>
  <c r="L1709" i="4"/>
  <c r="N1709" i="4" s="1"/>
  <c r="G1709" i="4"/>
  <c r="H1709" i="4" s="1"/>
  <c r="L1708" i="4"/>
  <c r="M1708" i="4" s="1"/>
  <c r="G1708" i="4"/>
  <c r="I1708" i="4" s="1"/>
  <c r="L1707" i="4"/>
  <c r="N1707" i="4" s="1"/>
  <c r="G1707" i="4"/>
  <c r="I1707" i="4" s="1"/>
  <c r="L1706" i="4"/>
  <c r="N1706" i="4" s="1"/>
  <c r="G1706" i="4"/>
  <c r="I1706" i="4" s="1"/>
  <c r="L1705" i="4"/>
  <c r="N1705" i="4" s="1"/>
  <c r="G1705" i="4"/>
  <c r="I1705" i="4" s="1"/>
  <c r="L1704" i="4"/>
  <c r="M1704" i="4" s="1"/>
  <c r="G1704" i="4"/>
  <c r="I1704" i="4" s="1"/>
  <c r="L1703" i="4"/>
  <c r="N1703" i="4" s="1"/>
  <c r="G1703" i="4"/>
  <c r="I1703" i="4" s="1"/>
  <c r="L1702" i="4"/>
  <c r="M1702" i="4" s="1"/>
  <c r="G1702" i="4"/>
  <c r="H1702" i="4" s="1"/>
  <c r="L1701" i="4"/>
  <c r="N1701" i="4" s="1"/>
  <c r="G1701" i="4"/>
  <c r="I1701" i="4" s="1"/>
  <c r="L1700" i="4"/>
  <c r="M1700" i="4" s="1"/>
  <c r="G1700" i="4"/>
  <c r="I1700" i="4" s="1"/>
  <c r="L1699" i="4"/>
  <c r="N1699" i="4" s="1"/>
  <c r="G1699" i="4"/>
  <c r="I1699" i="4" s="1"/>
  <c r="L1698" i="4"/>
  <c r="M1698" i="4" s="1"/>
  <c r="G1698" i="4"/>
  <c r="I1698" i="4" s="1"/>
  <c r="L1697" i="4"/>
  <c r="N1697" i="4" s="1"/>
  <c r="G1697" i="4"/>
  <c r="I1697" i="4" s="1"/>
  <c r="L1696" i="4"/>
  <c r="N1696" i="4" s="1"/>
  <c r="G1696" i="4"/>
  <c r="I1696" i="4" s="1"/>
  <c r="L1695" i="4"/>
  <c r="N1695" i="4" s="1"/>
  <c r="G1695" i="4"/>
  <c r="I1695" i="4" s="1"/>
  <c r="L1694" i="4"/>
  <c r="N1694" i="4" s="1"/>
  <c r="G1694" i="4"/>
  <c r="H1694" i="4" s="1"/>
  <c r="L1693" i="4"/>
  <c r="M1693" i="4" s="1"/>
  <c r="G1693" i="4"/>
  <c r="I1693" i="4" s="1"/>
  <c r="L1692" i="4"/>
  <c r="N1692" i="4" s="1"/>
  <c r="G1692" i="4"/>
  <c r="I1692" i="4" s="1"/>
  <c r="L1691" i="4"/>
  <c r="G1691" i="4"/>
  <c r="H1691" i="4" s="1"/>
  <c r="L1690" i="4"/>
  <c r="N1690" i="4" s="1"/>
  <c r="G1690" i="4"/>
  <c r="I1690" i="4" s="1"/>
  <c r="L1689" i="4"/>
  <c r="G1689" i="4"/>
  <c r="I1689" i="4" s="1"/>
  <c r="L1688" i="4"/>
  <c r="M1688" i="4" s="1"/>
  <c r="G1688" i="4"/>
  <c r="I1688" i="4" s="1"/>
  <c r="L1687" i="4"/>
  <c r="M1687" i="4" s="1"/>
  <c r="G1687" i="4"/>
  <c r="I1687" i="4" s="1"/>
  <c r="L1686" i="4"/>
  <c r="N1686" i="4" s="1"/>
  <c r="G1686" i="4"/>
  <c r="H1686" i="4" s="1"/>
  <c r="L1685" i="4"/>
  <c r="N1685" i="4" s="1"/>
  <c r="G1685" i="4"/>
  <c r="I1685" i="4" s="1"/>
  <c r="L1684" i="4"/>
  <c r="M1684" i="4" s="1"/>
  <c r="G1684" i="4"/>
  <c r="I1684" i="4" s="1"/>
  <c r="L1683" i="4"/>
  <c r="N1683" i="4" s="1"/>
  <c r="G1683" i="4"/>
  <c r="L1682" i="4"/>
  <c r="M1682" i="4" s="1"/>
  <c r="G1682" i="4"/>
  <c r="I1682" i="4" s="1"/>
  <c r="L1681" i="4"/>
  <c r="N1681" i="4" s="1"/>
  <c r="G1681" i="4"/>
  <c r="I1681" i="4" s="1"/>
  <c r="L1680" i="4"/>
  <c r="M1680" i="4" s="1"/>
  <c r="G1680" i="4"/>
  <c r="I1680" i="4" s="1"/>
  <c r="L1679" i="4"/>
  <c r="N1679" i="4" s="1"/>
  <c r="G1679" i="4"/>
  <c r="I1679" i="4" s="1"/>
  <c r="L1678" i="4"/>
  <c r="N1678" i="4" s="1"/>
  <c r="G1678" i="4"/>
  <c r="I1678" i="4" s="1"/>
  <c r="L1677" i="4"/>
  <c r="N1677" i="4" s="1"/>
  <c r="G1677" i="4"/>
  <c r="I1677" i="4" s="1"/>
  <c r="L1676" i="4"/>
  <c r="M1676" i="4" s="1"/>
  <c r="G1676" i="4"/>
  <c r="I1676" i="4" s="1"/>
  <c r="L1675" i="4"/>
  <c r="N1675" i="4" s="1"/>
  <c r="G1675" i="4"/>
  <c r="I1675" i="4" s="1"/>
  <c r="L1674" i="4"/>
  <c r="G1674" i="4"/>
  <c r="H1674" i="4" s="1"/>
  <c r="L1673" i="4"/>
  <c r="N1673" i="4" s="1"/>
  <c r="G1673" i="4"/>
  <c r="I1673" i="4" s="1"/>
  <c r="L1672" i="4"/>
  <c r="N1672" i="4" s="1"/>
  <c r="G1672" i="4"/>
  <c r="I1672" i="4" s="1"/>
  <c r="L1671" i="4"/>
  <c r="N1671" i="4" s="1"/>
  <c r="G1671" i="4"/>
  <c r="I1671" i="4" s="1"/>
  <c r="L1670" i="4"/>
  <c r="G1670" i="4"/>
  <c r="H1670" i="4" s="1"/>
  <c r="L1669" i="4"/>
  <c r="N1669" i="4" s="1"/>
  <c r="G1669" i="4"/>
  <c r="I1669" i="4" s="1"/>
  <c r="L1668" i="4"/>
  <c r="N1668" i="4" s="1"/>
  <c r="G1668" i="4"/>
  <c r="I1668" i="4" s="1"/>
  <c r="L1667" i="4"/>
  <c r="N1667" i="4" s="1"/>
  <c r="G1667" i="4"/>
  <c r="I1667" i="4" s="1"/>
  <c r="L1666" i="4"/>
  <c r="G1666" i="4"/>
  <c r="H1666" i="4" s="1"/>
  <c r="L1665" i="4"/>
  <c r="N1665" i="4" s="1"/>
  <c r="G1665" i="4"/>
  <c r="I1665" i="4" s="1"/>
  <c r="L1664" i="4"/>
  <c r="N1664" i="4" s="1"/>
  <c r="G1664" i="4"/>
  <c r="I1664" i="4" s="1"/>
  <c r="L1663" i="4"/>
  <c r="N1663" i="4" s="1"/>
  <c r="G1663" i="4"/>
  <c r="I1663" i="4" s="1"/>
  <c r="L1662" i="4"/>
  <c r="G1662" i="4"/>
  <c r="H1662" i="4" s="1"/>
  <c r="L1661" i="4"/>
  <c r="N1661" i="4" s="1"/>
  <c r="G1661" i="4"/>
  <c r="I1661" i="4" s="1"/>
  <c r="L1660" i="4"/>
  <c r="N1660" i="4" s="1"/>
  <c r="G1660" i="4"/>
  <c r="I1660" i="4" s="1"/>
  <c r="L1659" i="4"/>
  <c r="N1659" i="4" s="1"/>
  <c r="G1659" i="4"/>
  <c r="I1659" i="4" s="1"/>
  <c r="L1658" i="4"/>
  <c r="G1658" i="4"/>
  <c r="H1658" i="4" s="1"/>
  <c r="L1657" i="4"/>
  <c r="N1657" i="4" s="1"/>
  <c r="G1657" i="4"/>
  <c r="I1657" i="4" s="1"/>
  <c r="L1656" i="4"/>
  <c r="G1656" i="4"/>
  <c r="I1656" i="4" s="1"/>
  <c r="L1655" i="4"/>
  <c r="N1655" i="4" s="1"/>
  <c r="G1655" i="4"/>
  <c r="I1655" i="4" s="1"/>
  <c r="L1654" i="4"/>
  <c r="G1654" i="4"/>
  <c r="H1654" i="4" s="1"/>
  <c r="L1653" i="4"/>
  <c r="N1653" i="4" s="1"/>
  <c r="G1653" i="4"/>
  <c r="I1653" i="4" s="1"/>
  <c r="L1652" i="4"/>
  <c r="N1652" i="4" s="1"/>
  <c r="G1652" i="4"/>
  <c r="I1652" i="4" s="1"/>
  <c r="L1651" i="4"/>
  <c r="N1651" i="4" s="1"/>
  <c r="G1651" i="4"/>
  <c r="I1651" i="4" s="1"/>
  <c r="L1650" i="4"/>
  <c r="G1650" i="4"/>
  <c r="H1650" i="4" s="1"/>
  <c r="L1649" i="4"/>
  <c r="N1649" i="4" s="1"/>
  <c r="G1649" i="4"/>
  <c r="I1649" i="4" s="1"/>
  <c r="L1648" i="4"/>
  <c r="N1648" i="4" s="1"/>
  <c r="G1648" i="4"/>
  <c r="I1648" i="4" s="1"/>
  <c r="L1647" i="4"/>
  <c r="N1647" i="4" s="1"/>
  <c r="G1647" i="4"/>
  <c r="I1647" i="4" s="1"/>
  <c r="L1646" i="4"/>
  <c r="G1646" i="4"/>
  <c r="H1646" i="4" s="1"/>
  <c r="L1645" i="4"/>
  <c r="N1645" i="4" s="1"/>
  <c r="G1645" i="4"/>
  <c r="I1645" i="4" s="1"/>
  <c r="L1644" i="4"/>
  <c r="M1644" i="4" s="1"/>
  <c r="G1644" i="4"/>
  <c r="I1644" i="4" s="1"/>
  <c r="L1643" i="4"/>
  <c r="N1643" i="4" s="1"/>
  <c r="G1643" i="4"/>
  <c r="I1643" i="4" s="1"/>
  <c r="L1642" i="4"/>
  <c r="G1642" i="4"/>
  <c r="H1642" i="4" s="1"/>
  <c r="L1641" i="4"/>
  <c r="N1641" i="4" s="1"/>
  <c r="G1641" i="4"/>
  <c r="I1641" i="4" s="1"/>
  <c r="L1640" i="4"/>
  <c r="N1640" i="4" s="1"/>
  <c r="G1640" i="4"/>
  <c r="I1640" i="4" s="1"/>
  <c r="L1639" i="4"/>
  <c r="N1639" i="4" s="1"/>
  <c r="G1639" i="4"/>
  <c r="I1639" i="4" s="1"/>
  <c r="L1638" i="4"/>
  <c r="G1638" i="4"/>
  <c r="H1638" i="4" s="1"/>
  <c r="L1637" i="4"/>
  <c r="N1637" i="4" s="1"/>
  <c r="G1637" i="4"/>
  <c r="I1637" i="4" s="1"/>
  <c r="L1636" i="4"/>
  <c r="N1636" i="4" s="1"/>
  <c r="G1636" i="4"/>
  <c r="I1636" i="4" s="1"/>
  <c r="L1635" i="4"/>
  <c r="N1635" i="4" s="1"/>
  <c r="G1635" i="4"/>
  <c r="I1635" i="4" s="1"/>
  <c r="L1634" i="4"/>
  <c r="M1634" i="4" s="1"/>
  <c r="G1634" i="4"/>
  <c r="I1634" i="4" s="1"/>
  <c r="L1633" i="4"/>
  <c r="N1633" i="4" s="1"/>
  <c r="G1633" i="4"/>
  <c r="H1633" i="4" s="1"/>
  <c r="L1632" i="4"/>
  <c r="M1632" i="4" s="1"/>
  <c r="G1632" i="4"/>
  <c r="I1632" i="4" s="1"/>
  <c r="L1631" i="4"/>
  <c r="N1631" i="4" s="1"/>
  <c r="G1631" i="4"/>
  <c r="I1631" i="4" s="1"/>
  <c r="L1630" i="4"/>
  <c r="N1630" i="4" s="1"/>
  <c r="G1630" i="4"/>
  <c r="I1630" i="4" s="1"/>
  <c r="L1629" i="4"/>
  <c r="N1629" i="4" s="1"/>
  <c r="G1629" i="4"/>
  <c r="H1629" i="4" s="1"/>
  <c r="L1628" i="4"/>
  <c r="M1628" i="4" s="1"/>
  <c r="G1628" i="4"/>
  <c r="I1628" i="4" s="1"/>
  <c r="L1627" i="4"/>
  <c r="N1627" i="4" s="1"/>
  <c r="G1627" i="4"/>
  <c r="I1627" i="4" s="1"/>
  <c r="L1626" i="4"/>
  <c r="N1626" i="4" s="1"/>
  <c r="G1626" i="4"/>
  <c r="I1626" i="4" s="1"/>
  <c r="L1625" i="4"/>
  <c r="N1625" i="4" s="1"/>
  <c r="G1625" i="4"/>
  <c r="I1625" i="4" s="1"/>
  <c r="L1624" i="4"/>
  <c r="M1624" i="4" s="1"/>
  <c r="G1624" i="4"/>
  <c r="I1624" i="4" s="1"/>
  <c r="L1623" i="4"/>
  <c r="N1623" i="4" s="1"/>
  <c r="G1623" i="4"/>
  <c r="H1623" i="4" s="1"/>
  <c r="L1622" i="4"/>
  <c r="N1622" i="4" s="1"/>
  <c r="G1622" i="4"/>
  <c r="I1622" i="4" s="1"/>
  <c r="L1621" i="4"/>
  <c r="N1621" i="4" s="1"/>
  <c r="G1621" i="4"/>
  <c r="I1621" i="4" s="1"/>
  <c r="L1620" i="4"/>
  <c r="M1620" i="4" s="1"/>
  <c r="G1620" i="4"/>
  <c r="I1620" i="4" s="1"/>
  <c r="L1619" i="4"/>
  <c r="N1619" i="4" s="1"/>
  <c r="G1619" i="4"/>
  <c r="I1619" i="4" s="1"/>
  <c r="L1618" i="4"/>
  <c r="N1618" i="4" s="1"/>
  <c r="G1618" i="4"/>
  <c r="I1618" i="4" s="1"/>
  <c r="L1617" i="4"/>
  <c r="N1617" i="4" s="1"/>
  <c r="G1617" i="4"/>
  <c r="I1617" i="4" s="1"/>
  <c r="L1616" i="4"/>
  <c r="M1616" i="4" s="1"/>
  <c r="G1616" i="4"/>
  <c r="I1616" i="4" s="1"/>
  <c r="L1615" i="4"/>
  <c r="N1615" i="4" s="1"/>
  <c r="G1615" i="4"/>
  <c r="I1615" i="4" s="1"/>
  <c r="L1614" i="4"/>
  <c r="N1614" i="4" s="1"/>
  <c r="G1614" i="4"/>
  <c r="I1614" i="4" s="1"/>
  <c r="L1613" i="4"/>
  <c r="N1613" i="4" s="1"/>
  <c r="G1613" i="4"/>
  <c r="I1613" i="4" s="1"/>
  <c r="L1612" i="4"/>
  <c r="M1612" i="4" s="1"/>
  <c r="G1612" i="4"/>
  <c r="I1612" i="4" s="1"/>
  <c r="L1611" i="4"/>
  <c r="N1611" i="4" s="1"/>
  <c r="G1611" i="4"/>
  <c r="H1611" i="4" s="1"/>
  <c r="L1610" i="4"/>
  <c r="N1610" i="4" s="1"/>
  <c r="G1610" i="4"/>
  <c r="I1610" i="4" s="1"/>
  <c r="L1609" i="4"/>
  <c r="N1609" i="4" s="1"/>
  <c r="G1609" i="4"/>
  <c r="I1609" i="4" s="1"/>
  <c r="L1608" i="4"/>
  <c r="M1608" i="4" s="1"/>
  <c r="G1608" i="4"/>
  <c r="I1608" i="4" s="1"/>
  <c r="L1607" i="4"/>
  <c r="N1607" i="4" s="1"/>
  <c r="G1607" i="4"/>
  <c r="I1607" i="4" s="1"/>
  <c r="L1606" i="4"/>
  <c r="N1606" i="4" s="1"/>
  <c r="G1606" i="4"/>
  <c r="I1606" i="4" s="1"/>
  <c r="L1605" i="4"/>
  <c r="N1605" i="4" s="1"/>
  <c r="G1605" i="4"/>
  <c r="L1604" i="4"/>
  <c r="M1604" i="4" s="1"/>
  <c r="G1604" i="4"/>
  <c r="I1604" i="4" s="1"/>
  <c r="L1603" i="4"/>
  <c r="M1603" i="4" s="1"/>
  <c r="G1603" i="4"/>
  <c r="H1603" i="4" s="1"/>
  <c r="L1602" i="4"/>
  <c r="N1602" i="4" s="1"/>
  <c r="G1602" i="4"/>
  <c r="I1602" i="4" s="1"/>
  <c r="L1601" i="4"/>
  <c r="M1601" i="4" s="1"/>
  <c r="G1601" i="4"/>
  <c r="L1600" i="4"/>
  <c r="N1600" i="4" s="1"/>
  <c r="G1600" i="4"/>
  <c r="I1600" i="4" s="1"/>
  <c r="L1599" i="4"/>
  <c r="M1599" i="4" s="1"/>
  <c r="G1599" i="4"/>
  <c r="H1599" i="4" s="1"/>
  <c r="L1598" i="4"/>
  <c r="N1598" i="4" s="1"/>
  <c r="G1598" i="4"/>
  <c r="I1598" i="4" s="1"/>
  <c r="L1597" i="4"/>
  <c r="M1597" i="4" s="1"/>
  <c r="G1597" i="4"/>
  <c r="H1597" i="4" s="1"/>
  <c r="L1596" i="4"/>
  <c r="N1596" i="4" s="1"/>
  <c r="G1596" i="4"/>
  <c r="I1596" i="4" s="1"/>
  <c r="L1595" i="4"/>
  <c r="M1595" i="4" s="1"/>
  <c r="G1595" i="4"/>
  <c r="H1595" i="4" s="1"/>
  <c r="L1594" i="4"/>
  <c r="N1594" i="4" s="1"/>
  <c r="G1594" i="4"/>
  <c r="I1594" i="4" s="1"/>
  <c r="L1593" i="4"/>
  <c r="M1593" i="4" s="1"/>
  <c r="G1593" i="4"/>
  <c r="H1593" i="4" s="1"/>
  <c r="L1592" i="4"/>
  <c r="N1592" i="4" s="1"/>
  <c r="G1592" i="4"/>
  <c r="I1592" i="4" s="1"/>
  <c r="L1591" i="4"/>
  <c r="M1591" i="4" s="1"/>
  <c r="G1591" i="4"/>
  <c r="H1591" i="4" s="1"/>
  <c r="L1590" i="4"/>
  <c r="N1590" i="4" s="1"/>
  <c r="G1590" i="4"/>
  <c r="I1590" i="4" s="1"/>
  <c r="L1589" i="4"/>
  <c r="M1589" i="4" s="1"/>
  <c r="G1589" i="4"/>
  <c r="H1589" i="4" s="1"/>
  <c r="L1588" i="4"/>
  <c r="N1588" i="4" s="1"/>
  <c r="G1588" i="4"/>
  <c r="I1588" i="4" s="1"/>
  <c r="L1587" i="4"/>
  <c r="M1587" i="4" s="1"/>
  <c r="G1587" i="4"/>
  <c r="I1587" i="4" s="1"/>
  <c r="L1586" i="4"/>
  <c r="M1586" i="4" s="1"/>
  <c r="G1586" i="4"/>
  <c r="L1585" i="4"/>
  <c r="N1585" i="4" s="1"/>
  <c r="G1585" i="4"/>
  <c r="H1585" i="4" s="1"/>
  <c r="L1584" i="4"/>
  <c r="N1584" i="4" s="1"/>
  <c r="G1584" i="4"/>
  <c r="L1583" i="4"/>
  <c r="N1583" i="4" s="1"/>
  <c r="G1583" i="4"/>
  <c r="I1583" i="4" s="1"/>
  <c r="L1582" i="4"/>
  <c r="M1582" i="4" s="1"/>
  <c r="G1582" i="4"/>
  <c r="L1581" i="4"/>
  <c r="N1581" i="4" s="1"/>
  <c r="G1581" i="4"/>
  <c r="I1581" i="4" s="1"/>
  <c r="L1580" i="4"/>
  <c r="N1580" i="4" s="1"/>
  <c r="G1580" i="4"/>
  <c r="L1579" i="4"/>
  <c r="N1579" i="4" s="1"/>
  <c r="G1579" i="4"/>
  <c r="I1579" i="4" s="1"/>
  <c r="L1578" i="4"/>
  <c r="M1578" i="4" s="1"/>
  <c r="G1578" i="4"/>
  <c r="I1578" i="4" s="1"/>
  <c r="L1577" i="4"/>
  <c r="N1577" i="4" s="1"/>
  <c r="G1577" i="4"/>
  <c r="H1577" i="4" s="1"/>
  <c r="L1576" i="4"/>
  <c r="N1576" i="4" s="1"/>
  <c r="G1576" i="4"/>
  <c r="I1576" i="4" s="1"/>
  <c r="L1575" i="4"/>
  <c r="N1575" i="4" s="1"/>
  <c r="G1575" i="4"/>
  <c r="I1575" i="4" s="1"/>
  <c r="L1574" i="4"/>
  <c r="N1574" i="4" s="1"/>
  <c r="G1574" i="4"/>
  <c r="I1574" i="4" s="1"/>
  <c r="L1573" i="4"/>
  <c r="M1573" i="4" s="1"/>
  <c r="G1573" i="4"/>
  <c r="H1573" i="4" s="1"/>
  <c r="L1572" i="4"/>
  <c r="N1572" i="4" s="1"/>
  <c r="G1572" i="4"/>
  <c r="I1572" i="4" s="1"/>
  <c r="L1571" i="4"/>
  <c r="N1571" i="4" s="1"/>
  <c r="G1571" i="4"/>
  <c r="I1571" i="4" s="1"/>
  <c r="L1570" i="4"/>
  <c r="N1570" i="4" s="1"/>
  <c r="G1570" i="4"/>
  <c r="I1570" i="4" s="1"/>
  <c r="L1569" i="4"/>
  <c r="M1569" i="4" s="1"/>
  <c r="G1569" i="4"/>
  <c r="H1569" i="4" s="1"/>
  <c r="L1568" i="4"/>
  <c r="N1568" i="4" s="1"/>
  <c r="G1568" i="4"/>
  <c r="L1567" i="4"/>
  <c r="M1567" i="4" s="1"/>
  <c r="G1567" i="4"/>
  <c r="I1567" i="4" s="1"/>
  <c r="L1566" i="4"/>
  <c r="N1566" i="4" s="1"/>
  <c r="G1566" i="4"/>
  <c r="I1566" i="4" s="1"/>
  <c r="L1565" i="4"/>
  <c r="N1565" i="4" s="1"/>
  <c r="G1565" i="4"/>
  <c r="H1565" i="4" s="1"/>
  <c r="L1564" i="4"/>
  <c r="N1564" i="4" s="1"/>
  <c r="G1564" i="4"/>
  <c r="I1564" i="4" s="1"/>
  <c r="L1563" i="4"/>
  <c r="N1563" i="4" s="1"/>
  <c r="G1563" i="4"/>
  <c r="L1562" i="4"/>
  <c r="N1562" i="4" s="1"/>
  <c r="G1562" i="4"/>
  <c r="I1562" i="4" s="1"/>
  <c r="L1561" i="4"/>
  <c r="N1561" i="4" s="1"/>
  <c r="G1561" i="4"/>
  <c r="H1561" i="4" s="1"/>
  <c r="L1560" i="4"/>
  <c r="N1560" i="4" s="1"/>
  <c r="G1560" i="4"/>
  <c r="I1560" i="4" s="1"/>
  <c r="L1559" i="4"/>
  <c r="N1559" i="4" s="1"/>
  <c r="G1559" i="4"/>
  <c r="I1559" i="4" s="1"/>
  <c r="L1558" i="4"/>
  <c r="N1558" i="4" s="1"/>
  <c r="G1558" i="4"/>
  <c r="I1558" i="4" s="1"/>
  <c r="L1557" i="4"/>
  <c r="N1557" i="4" s="1"/>
  <c r="G1557" i="4"/>
  <c r="H1557" i="4" s="1"/>
  <c r="L1556" i="4"/>
  <c r="N1556" i="4" s="1"/>
  <c r="G1556" i="4"/>
  <c r="I1556" i="4" s="1"/>
  <c r="L1555" i="4"/>
  <c r="N1555" i="4" s="1"/>
  <c r="G1555" i="4"/>
  <c r="I1555" i="4" s="1"/>
  <c r="L1554" i="4"/>
  <c r="N1554" i="4" s="1"/>
  <c r="G1554" i="4"/>
  <c r="I1554" i="4" s="1"/>
  <c r="L1553" i="4"/>
  <c r="N1553" i="4" s="1"/>
  <c r="G1553" i="4"/>
  <c r="H1553" i="4" s="1"/>
  <c r="L1552" i="4"/>
  <c r="N1552" i="4" s="1"/>
  <c r="G1552" i="4"/>
  <c r="L1551" i="4"/>
  <c r="M1551" i="4" s="1"/>
  <c r="G1551" i="4"/>
  <c r="I1551" i="4" s="1"/>
  <c r="L1550" i="4"/>
  <c r="N1550" i="4" s="1"/>
  <c r="G1550" i="4"/>
  <c r="I1550" i="4" s="1"/>
  <c r="L1549" i="4"/>
  <c r="N1549" i="4" s="1"/>
  <c r="G1549" i="4"/>
  <c r="H1549" i="4" s="1"/>
  <c r="L1548" i="4"/>
  <c r="N1548" i="4" s="1"/>
  <c r="G1548" i="4"/>
  <c r="I1548" i="4" s="1"/>
  <c r="L1547" i="4"/>
  <c r="N1547" i="4" s="1"/>
  <c r="G1547" i="4"/>
  <c r="L1546" i="4"/>
  <c r="N1546" i="4" s="1"/>
  <c r="G1546" i="4"/>
  <c r="I1546" i="4" s="1"/>
  <c r="L1545" i="4"/>
  <c r="N1545" i="4" s="1"/>
  <c r="G1545" i="4"/>
  <c r="H1545" i="4" s="1"/>
  <c r="L1544" i="4"/>
  <c r="N1544" i="4" s="1"/>
  <c r="G1544" i="4"/>
  <c r="I1544" i="4" s="1"/>
  <c r="L1543" i="4"/>
  <c r="N1543" i="4" s="1"/>
  <c r="G1543" i="4"/>
  <c r="I1543" i="4" s="1"/>
  <c r="L1542" i="4"/>
  <c r="N1542" i="4" s="1"/>
  <c r="G1542" i="4"/>
  <c r="I1542" i="4" s="1"/>
  <c r="L1541" i="4"/>
  <c r="N1541" i="4" s="1"/>
  <c r="G1541" i="4"/>
  <c r="H1541" i="4" s="1"/>
  <c r="L1540" i="4"/>
  <c r="N1540" i="4" s="1"/>
  <c r="G1540" i="4"/>
  <c r="I1540" i="4" s="1"/>
  <c r="L1539" i="4"/>
  <c r="N1539" i="4" s="1"/>
  <c r="G1539" i="4"/>
  <c r="I1539" i="4" s="1"/>
  <c r="L1538" i="4"/>
  <c r="N1538" i="4" s="1"/>
  <c r="G1538" i="4"/>
  <c r="I1538" i="4" s="1"/>
  <c r="G1537" i="4"/>
  <c r="H1537" i="4" s="1"/>
  <c r="G1535" i="4"/>
  <c r="H1535" i="4" s="1"/>
  <c r="L1534" i="4"/>
  <c r="M1534" i="4" s="1"/>
  <c r="L1532" i="4"/>
  <c r="N1532" i="4" s="1"/>
  <c r="L1531" i="4"/>
  <c r="M1531" i="4" s="1"/>
  <c r="G1531" i="4"/>
  <c r="H1531" i="4" s="1"/>
  <c r="L1530" i="4"/>
  <c r="M1530" i="4" s="1"/>
  <c r="L1529" i="4"/>
  <c r="M1529" i="4" s="1"/>
  <c r="G1529" i="4"/>
  <c r="H1529" i="4" s="1"/>
  <c r="L1528" i="4"/>
  <c r="G1528" i="4"/>
  <c r="G1527" i="4"/>
  <c r="L1525" i="4"/>
  <c r="N1525" i="4" s="1"/>
  <c r="G1525" i="4"/>
  <c r="I1525" i="4" s="1"/>
  <c r="L1524" i="4"/>
  <c r="N1524" i="4" s="1"/>
  <c r="G1524" i="4"/>
  <c r="L1523" i="4"/>
  <c r="M1523" i="4" s="1"/>
  <c r="G1523" i="4"/>
  <c r="I1523" i="4" s="1"/>
  <c r="L1522" i="4"/>
  <c r="N1522" i="4" s="1"/>
  <c r="G1522" i="4"/>
  <c r="H1522" i="4" s="1"/>
  <c r="G1521" i="4"/>
  <c r="H1521" i="4" s="1"/>
  <c r="L1520" i="4"/>
  <c r="M1520" i="4" s="1"/>
  <c r="G1520" i="4"/>
  <c r="H1520" i="4" s="1"/>
  <c r="L1519" i="4"/>
  <c r="M1519" i="4" s="1"/>
  <c r="G1519" i="4"/>
  <c r="I1519" i="4" s="1"/>
  <c r="L1518" i="4"/>
  <c r="L1517" i="4"/>
  <c r="M1517" i="4" s="1"/>
  <c r="G1517" i="4"/>
  <c r="I1517" i="4" s="1"/>
  <c r="L1516" i="4"/>
  <c r="M1516" i="4" s="1"/>
  <c r="G1516" i="4"/>
  <c r="H1516" i="4" s="1"/>
  <c r="G1515" i="4"/>
  <c r="H1515" i="4" s="1"/>
  <c r="L1513" i="4"/>
  <c r="M1513" i="4" s="1"/>
  <c r="G1511" i="4"/>
  <c r="H1511" i="4" s="1"/>
  <c r="L1510" i="4"/>
  <c r="N1510" i="4" s="1"/>
  <c r="G1509" i="4"/>
  <c r="H1509" i="4" s="1"/>
  <c r="L1508" i="4"/>
  <c r="M1508" i="4" s="1"/>
  <c r="G1508" i="4"/>
  <c r="I1508" i="4" s="1"/>
  <c r="L1507" i="4"/>
  <c r="M1507" i="4" s="1"/>
  <c r="L1505" i="4"/>
  <c r="M1505" i="4" s="1"/>
  <c r="G1505" i="4"/>
  <c r="H1505" i="4" s="1"/>
  <c r="L1504" i="4"/>
  <c r="M1504" i="4" s="1"/>
  <c r="G1504" i="4"/>
  <c r="H1504" i="4" s="1"/>
  <c r="L1503" i="4"/>
  <c r="M1503" i="4" s="1"/>
  <c r="G1503" i="4"/>
  <c r="H1503" i="4" s="1"/>
  <c r="L1501" i="4"/>
  <c r="L1500" i="4"/>
  <c r="M1500" i="4" s="1"/>
  <c r="G1500" i="4"/>
  <c r="H1500" i="4" s="1"/>
  <c r="L1499" i="4"/>
  <c r="M1499" i="4" s="1"/>
  <c r="G1499" i="4"/>
  <c r="H1499" i="4" s="1"/>
  <c r="L1498" i="4"/>
  <c r="N1498" i="4" s="1"/>
  <c r="G1498" i="4"/>
  <c r="H1498" i="4" s="1"/>
  <c r="G1497" i="4"/>
  <c r="H1497" i="4" s="1"/>
  <c r="L1496" i="4"/>
  <c r="M1496" i="4" s="1"/>
  <c r="G1496" i="4"/>
  <c r="I1496" i="4" s="1"/>
  <c r="G1495" i="4"/>
  <c r="H1495" i="4" s="1"/>
  <c r="L1494" i="4"/>
  <c r="L1493" i="4"/>
  <c r="M1493" i="4" s="1"/>
  <c r="G1493" i="4"/>
  <c r="H1493" i="4" s="1"/>
  <c r="L1492" i="4"/>
  <c r="M1492" i="4" s="1"/>
  <c r="G1492" i="4"/>
  <c r="H1492" i="4" s="1"/>
  <c r="G1491" i="4"/>
  <c r="H1491" i="4" s="1"/>
  <c r="L1489" i="4"/>
  <c r="M1489" i="4" s="1"/>
  <c r="L1488" i="4"/>
  <c r="M1488" i="4" s="1"/>
  <c r="G1488" i="4"/>
  <c r="G1487" i="4"/>
  <c r="H1487" i="4" s="1"/>
  <c r="L1486" i="4"/>
  <c r="M1486" i="4" s="1"/>
  <c r="G1486" i="4"/>
  <c r="H1486" i="4" s="1"/>
  <c r="G1485" i="4"/>
  <c r="H1485" i="4" s="1"/>
  <c r="L1484" i="4"/>
  <c r="M1484" i="4" s="1"/>
  <c r="G1484" i="4"/>
  <c r="I1484" i="4" s="1"/>
  <c r="L1483" i="4"/>
  <c r="M1483" i="4" s="1"/>
  <c r="L1482" i="4"/>
  <c r="M1482" i="4" s="1"/>
  <c r="L1481" i="4"/>
  <c r="M1481" i="4" s="1"/>
  <c r="G1481" i="4"/>
  <c r="H1481" i="4" s="1"/>
  <c r="L1480" i="4"/>
  <c r="M1480" i="4" s="1"/>
  <c r="G1480" i="4"/>
  <c r="H1480" i="4" s="1"/>
  <c r="G1479" i="4"/>
  <c r="H1479" i="4" s="1"/>
  <c r="L1477" i="4"/>
  <c r="L1476" i="4"/>
  <c r="M1476" i="4" s="1"/>
  <c r="G1476" i="4"/>
  <c r="I1476" i="4" s="1"/>
  <c r="L1475" i="4"/>
  <c r="M1475" i="4" s="1"/>
  <c r="G1475" i="4"/>
  <c r="I1475" i="4" s="1"/>
  <c r="L1474" i="4"/>
  <c r="N1474" i="4" s="1"/>
  <c r="K1858" i="4"/>
  <c r="J1858" i="4"/>
  <c r="G1474" i="4"/>
  <c r="I1474" i="4" s="1"/>
  <c r="L1473" i="4"/>
  <c r="M1473" i="4" s="1"/>
  <c r="K1857" i="4"/>
  <c r="G1473" i="4"/>
  <c r="I1473" i="4" s="1"/>
  <c r="J1856" i="4"/>
  <c r="G1472" i="4"/>
  <c r="H1472" i="4" s="1"/>
  <c r="K1855" i="4"/>
  <c r="J1855" i="4"/>
  <c r="G1471" i="4"/>
  <c r="I1471" i="4" s="1"/>
  <c r="L1470" i="4"/>
  <c r="M1470" i="4" s="1"/>
  <c r="K1854" i="4"/>
  <c r="J1854" i="4"/>
  <c r="K1853" i="4"/>
  <c r="J1853" i="4"/>
  <c r="G1469" i="4"/>
  <c r="H1469" i="4" s="1"/>
  <c r="K1852" i="4"/>
  <c r="J1852" i="4"/>
  <c r="L1852" i="4" s="1"/>
  <c r="M1852" i="4" s="1"/>
  <c r="G1468" i="4"/>
  <c r="I1468" i="4" s="1"/>
  <c r="K1851" i="4"/>
  <c r="G1467" i="4"/>
  <c r="I1467" i="4" s="1"/>
  <c r="J1850" i="4"/>
  <c r="L1465" i="4"/>
  <c r="G1465" i="4"/>
  <c r="H1465" i="4" s="1"/>
  <c r="L1464" i="4"/>
  <c r="M1464" i="4" s="1"/>
  <c r="G1464" i="4"/>
  <c r="H1464" i="4" s="1"/>
  <c r="L1463" i="4"/>
  <c r="L1462" i="4"/>
  <c r="M1462" i="4" s="1"/>
  <c r="G1462" i="4"/>
  <c r="H1462" i="4" s="1"/>
  <c r="G1461" i="4"/>
  <c r="L1460" i="4"/>
  <c r="M1460" i="4" s="1"/>
  <c r="G1460" i="4"/>
  <c r="H1460" i="4" s="1"/>
  <c r="L1459" i="4"/>
  <c r="M1459" i="4" s="1"/>
  <c r="G1459" i="4"/>
  <c r="H1459" i="4" s="1"/>
  <c r="L1458" i="4"/>
  <c r="L1457" i="4"/>
  <c r="M1457" i="4" s="1"/>
  <c r="G1457" i="4"/>
  <c r="H1457" i="4" s="1"/>
  <c r="L1456" i="4"/>
  <c r="M1456" i="4" s="1"/>
  <c r="G1456" i="4"/>
  <c r="G1455" i="4"/>
  <c r="H1455" i="4" s="1"/>
  <c r="L1453" i="4"/>
  <c r="G1453" i="4"/>
  <c r="H1453" i="4" s="1"/>
  <c r="G1452" i="4"/>
  <c r="H1452" i="4" s="1"/>
  <c r="L1451" i="4"/>
  <c r="M1451" i="4" s="1"/>
  <c r="N1451" i="4"/>
  <c r="G1451" i="4"/>
  <c r="I1451" i="4" s="1"/>
  <c r="L1450" i="4"/>
  <c r="N1450" i="4" s="1"/>
  <c r="G1449" i="4"/>
  <c r="H1449" i="4" s="1"/>
  <c r="L1448" i="4"/>
  <c r="M1448" i="4" s="1"/>
  <c r="G1448" i="4"/>
  <c r="I1448" i="4" s="1"/>
  <c r="G1447" i="4"/>
  <c r="H1447" i="4" s="1"/>
  <c r="L1446" i="4"/>
  <c r="M1446" i="4" s="1"/>
  <c r="L1445" i="4"/>
  <c r="M1445" i="4" s="1"/>
  <c r="G1445" i="4"/>
  <c r="H1445" i="4" s="1"/>
  <c r="L1444" i="4"/>
  <c r="M1444" i="4" s="1"/>
  <c r="G1444" i="4"/>
  <c r="G1443" i="4"/>
  <c r="H1443" i="4" s="1"/>
  <c r="L1441" i="4"/>
  <c r="N1441" i="4" s="1"/>
  <c r="G1441" i="4"/>
  <c r="H1441" i="4" s="1"/>
  <c r="L1440" i="4"/>
  <c r="M1440" i="4" s="1"/>
  <c r="G1440" i="4"/>
  <c r="H1440" i="4" s="1"/>
  <c r="L1439" i="4"/>
  <c r="M1439" i="4" s="1"/>
  <c r="G1439" i="4"/>
  <c r="G1438" i="4"/>
  <c r="H1438" i="4" s="1"/>
  <c r="G1437" i="4"/>
  <c r="H1437" i="4" s="1"/>
  <c r="L1436" i="4"/>
  <c r="G1436" i="4"/>
  <c r="I1436" i="4" s="1"/>
  <c r="G1435" i="4"/>
  <c r="H1435" i="4" s="1"/>
  <c r="L1434" i="4"/>
  <c r="M1434" i="4" s="1"/>
  <c r="L1433" i="4"/>
  <c r="M1433" i="4" s="1"/>
  <c r="G1433" i="4"/>
  <c r="H1433" i="4" s="1"/>
  <c r="L1432" i="4"/>
  <c r="M1432" i="4" s="1"/>
  <c r="G1432" i="4"/>
  <c r="I1432" i="4" s="1"/>
  <c r="G1431" i="4"/>
  <c r="H1431" i="4" s="1"/>
  <c r="L1429" i="4"/>
  <c r="N1429" i="4" s="1"/>
  <c r="G1429" i="4"/>
  <c r="H1429" i="4" s="1"/>
  <c r="L1428" i="4"/>
  <c r="M1428" i="4" s="1"/>
  <c r="G1428" i="4"/>
  <c r="H1428" i="4" s="1"/>
  <c r="L1427" i="4"/>
  <c r="M1427" i="4" s="1"/>
  <c r="G1427" i="4"/>
  <c r="G1426" i="4"/>
  <c r="H1426" i="4" s="1"/>
  <c r="G1425" i="4"/>
  <c r="H1425" i="4" s="1"/>
  <c r="L1424" i="4"/>
  <c r="G1424" i="4"/>
  <c r="I1424" i="4" s="1"/>
  <c r="G1423" i="4"/>
  <c r="H1423" i="4" s="1"/>
  <c r="L1422" i="4"/>
  <c r="M1422" i="4" s="1"/>
  <c r="N1422" i="4"/>
  <c r="L1421" i="4"/>
  <c r="M1421" i="4" s="1"/>
  <c r="G1421" i="4"/>
  <c r="H1421" i="4" s="1"/>
  <c r="L1420" i="4"/>
  <c r="M1420" i="4" s="1"/>
  <c r="G1419" i="4"/>
  <c r="H1419" i="4" s="1"/>
  <c r="G1418" i="4"/>
  <c r="H1418" i="4" s="1"/>
  <c r="L1417" i="4"/>
  <c r="M1417" i="4" s="1"/>
  <c r="G1417" i="4"/>
  <c r="L1416" i="4"/>
  <c r="M1416" i="4" s="1"/>
  <c r="G1416" i="4"/>
  <c r="I1416" i="4" s="1"/>
  <c r="L1415" i="4"/>
  <c r="M1415" i="4" s="1"/>
  <c r="L1414" i="4"/>
  <c r="G1414" i="4"/>
  <c r="I1414" i="4" s="1"/>
  <c r="G1413" i="4"/>
  <c r="H1413" i="4" s="1"/>
  <c r="L1412" i="4"/>
  <c r="M1412" i="4" s="1"/>
  <c r="G1412" i="4"/>
  <c r="H1412" i="4" s="1"/>
  <c r="L1411" i="4"/>
  <c r="M1411" i="4" s="1"/>
  <c r="G1411" i="4"/>
  <c r="H1411" i="4" s="1"/>
  <c r="L1410" i="4"/>
  <c r="M1410" i="4" s="1"/>
  <c r="L1409" i="4"/>
  <c r="M1409" i="4" s="1"/>
  <c r="G1409" i="4"/>
  <c r="L1408" i="4"/>
  <c r="N1408" i="4" s="1"/>
  <c r="G1408" i="4"/>
  <c r="H1408" i="4" s="1"/>
  <c r="G1406" i="4"/>
  <c r="H1406" i="4" s="1"/>
  <c r="L1405" i="4"/>
  <c r="M1405" i="4" s="1"/>
  <c r="G1405" i="4"/>
  <c r="G1404" i="4"/>
  <c r="H1404" i="4" s="1"/>
  <c r="L1403" i="4"/>
  <c r="L1402" i="4"/>
  <c r="G1402" i="4"/>
  <c r="I1402" i="4" s="1"/>
  <c r="G1401" i="4"/>
  <c r="H1401" i="4" s="1"/>
  <c r="L1400" i="4"/>
  <c r="M1400" i="4" s="1"/>
  <c r="G1400" i="4"/>
  <c r="H1400" i="4" s="1"/>
  <c r="L1399" i="4"/>
  <c r="M1399" i="4" s="1"/>
  <c r="G1399" i="4"/>
  <c r="H1399" i="4" s="1"/>
  <c r="L1398" i="4"/>
  <c r="M1398" i="4" s="1"/>
  <c r="G1398" i="4"/>
  <c r="H1398" i="4" s="1"/>
  <c r="L1397" i="4"/>
  <c r="M1397" i="4" s="1"/>
  <c r="G1397" i="4"/>
  <c r="H1397" i="4" s="1"/>
  <c r="L1396" i="4"/>
  <c r="N1396" i="4" s="1"/>
  <c r="G1396" i="4"/>
  <c r="H1396" i="4" s="1"/>
  <c r="G1395" i="4"/>
  <c r="H1395" i="4" s="1"/>
  <c r="G1394" i="4"/>
  <c r="H1394" i="4" s="1"/>
  <c r="L1393" i="4"/>
  <c r="M1393" i="4" s="1"/>
  <c r="G1393" i="4"/>
  <c r="G1392" i="4"/>
  <c r="H1392" i="4" s="1"/>
  <c r="L1391" i="4"/>
  <c r="G1391" i="4"/>
  <c r="H1391" i="4" s="1"/>
  <c r="L1390" i="4"/>
  <c r="G1390" i="4"/>
  <c r="I1390" i="4" s="1"/>
  <c r="G1389" i="4"/>
  <c r="H1389" i="4" s="1"/>
  <c r="L1388" i="4"/>
  <c r="M1388" i="4" s="1"/>
  <c r="G1388" i="4"/>
  <c r="H1388" i="4" s="1"/>
  <c r="L1387" i="4"/>
  <c r="M1387" i="4" s="1"/>
  <c r="G1387" i="4"/>
  <c r="H1387" i="4" s="1"/>
  <c r="L1386" i="4"/>
  <c r="M1386" i="4" s="1"/>
  <c r="J1769" i="4"/>
  <c r="G1385" i="4"/>
  <c r="H1385" i="4" s="1"/>
  <c r="L1384" i="4"/>
  <c r="N1384" i="4" s="1"/>
  <c r="F1768" i="4"/>
  <c r="G1383" i="4"/>
  <c r="H1383" i="4" s="1"/>
  <c r="F1767" i="4"/>
  <c r="E1767" i="4"/>
  <c r="L1381" i="4"/>
  <c r="G1381" i="4"/>
  <c r="H1381" i="4" s="1"/>
  <c r="L1380" i="4"/>
  <c r="N1380" i="4" s="1"/>
  <c r="G1380" i="4"/>
  <c r="I1380" i="4" s="1"/>
  <c r="L1379" i="4"/>
  <c r="N1379" i="4" s="1"/>
  <c r="G1379" i="4"/>
  <c r="I1379" i="4" s="1"/>
  <c r="L1378" i="4"/>
  <c r="N1378" i="4" s="1"/>
  <c r="G1378" i="4"/>
  <c r="I1378" i="4" s="1"/>
  <c r="L1377" i="4"/>
  <c r="G1377" i="4"/>
  <c r="H1377" i="4" s="1"/>
  <c r="L1376" i="4"/>
  <c r="N1376" i="4" s="1"/>
  <c r="G1376" i="4"/>
  <c r="I1376" i="4" s="1"/>
  <c r="L1375" i="4"/>
  <c r="N1375" i="4" s="1"/>
  <c r="G1375" i="4"/>
  <c r="I1375" i="4" s="1"/>
  <c r="L1374" i="4"/>
  <c r="N1374" i="4" s="1"/>
  <c r="G1374" i="4"/>
  <c r="I1374" i="4" s="1"/>
  <c r="L1373" i="4"/>
  <c r="G1373" i="4"/>
  <c r="H1373" i="4" s="1"/>
  <c r="L1372" i="4"/>
  <c r="N1372" i="4" s="1"/>
  <c r="G1372" i="4"/>
  <c r="I1372" i="4" s="1"/>
  <c r="L1371" i="4"/>
  <c r="N1371" i="4" s="1"/>
  <c r="G1371" i="4"/>
  <c r="I1371" i="4" s="1"/>
  <c r="L1370" i="4"/>
  <c r="N1370" i="4" s="1"/>
  <c r="G1370" i="4"/>
  <c r="I1370" i="4" s="1"/>
  <c r="L1369" i="4"/>
  <c r="G1369" i="4"/>
  <c r="H1369" i="4" s="1"/>
  <c r="L1368" i="4"/>
  <c r="N1368" i="4" s="1"/>
  <c r="G1368" i="4"/>
  <c r="I1368" i="4" s="1"/>
  <c r="L1367" i="4"/>
  <c r="N1367" i="4" s="1"/>
  <c r="G1367" i="4"/>
  <c r="I1367" i="4" s="1"/>
  <c r="L1366" i="4"/>
  <c r="N1366" i="4" s="1"/>
  <c r="G1366" i="4"/>
  <c r="I1366" i="4" s="1"/>
  <c r="L1365" i="4"/>
  <c r="G1365" i="4"/>
  <c r="H1365" i="4" s="1"/>
  <c r="L1364" i="4"/>
  <c r="N1364" i="4" s="1"/>
  <c r="G1364" i="4"/>
  <c r="I1364" i="4" s="1"/>
  <c r="L1363" i="4"/>
  <c r="N1363" i="4" s="1"/>
  <c r="G1363" i="4"/>
  <c r="I1363" i="4" s="1"/>
  <c r="L1362" i="4"/>
  <c r="N1362" i="4" s="1"/>
  <c r="G1362" i="4"/>
  <c r="I1362" i="4" s="1"/>
  <c r="L1361" i="4"/>
  <c r="G1361" i="4"/>
  <c r="H1361" i="4" s="1"/>
  <c r="L1360" i="4"/>
  <c r="N1360" i="4" s="1"/>
  <c r="G1360" i="4"/>
  <c r="I1360" i="4" s="1"/>
  <c r="L1359" i="4"/>
  <c r="N1359" i="4" s="1"/>
  <c r="G1359" i="4"/>
  <c r="I1359" i="4" s="1"/>
  <c r="L1358" i="4"/>
  <c r="N1358" i="4" s="1"/>
  <c r="G1358" i="4"/>
  <c r="I1358" i="4" s="1"/>
  <c r="L1357" i="4"/>
  <c r="G1357" i="4"/>
  <c r="H1357" i="4" s="1"/>
  <c r="L1356" i="4"/>
  <c r="N1356" i="4" s="1"/>
  <c r="G1356" i="4"/>
  <c r="I1356" i="4" s="1"/>
  <c r="L1355" i="4"/>
  <c r="N1355" i="4" s="1"/>
  <c r="G1355" i="4"/>
  <c r="I1355" i="4" s="1"/>
  <c r="L1354" i="4"/>
  <c r="N1354" i="4" s="1"/>
  <c r="G1354" i="4"/>
  <c r="I1354" i="4" s="1"/>
  <c r="L1353" i="4"/>
  <c r="G1353" i="4"/>
  <c r="H1353" i="4" s="1"/>
  <c r="L1352" i="4"/>
  <c r="N1352" i="4" s="1"/>
  <c r="G1352" i="4"/>
  <c r="I1352" i="4" s="1"/>
  <c r="L1351" i="4"/>
  <c r="N1351" i="4" s="1"/>
  <c r="G1351" i="4"/>
  <c r="I1351" i="4" s="1"/>
  <c r="L1350" i="4"/>
  <c r="N1350" i="4" s="1"/>
  <c r="G1350" i="4"/>
  <c r="I1350" i="4" s="1"/>
  <c r="L1349" i="4"/>
  <c r="G1349" i="4"/>
  <c r="H1349" i="4" s="1"/>
  <c r="L1348" i="4"/>
  <c r="N1348" i="4" s="1"/>
  <c r="G1348" i="4"/>
  <c r="I1348" i="4" s="1"/>
  <c r="L1347" i="4"/>
  <c r="N1347" i="4" s="1"/>
  <c r="G1347" i="4"/>
  <c r="I1347" i="4" s="1"/>
  <c r="L1346" i="4"/>
  <c r="N1346" i="4" s="1"/>
  <c r="G1346" i="4"/>
  <c r="I1346" i="4" s="1"/>
  <c r="L1344" i="4"/>
  <c r="L1343" i="4"/>
  <c r="L1339" i="4"/>
  <c r="G1339" i="4"/>
  <c r="H1339" i="4" s="1"/>
  <c r="L1338" i="4"/>
  <c r="G1337" i="4"/>
  <c r="L1336" i="4"/>
  <c r="G1336" i="4"/>
  <c r="G1335" i="4"/>
  <c r="L1334" i="4"/>
  <c r="L1333" i="4"/>
  <c r="G1333" i="4"/>
  <c r="L1332" i="4"/>
  <c r="N1332" i="4" s="1"/>
  <c r="G1332" i="4"/>
  <c r="I1332" i="4" s="1"/>
  <c r="L1331" i="4"/>
  <c r="M1331" i="4" s="1"/>
  <c r="G1331" i="4"/>
  <c r="K1906" i="4"/>
  <c r="J1906" i="4"/>
  <c r="F1906" i="4"/>
  <c r="E1906" i="4"/>
  <c r="K1905" i="4"/>
  <c r="E1905" i="4"/>
  <c r="J1904" i="4"/>
  <c r="F1904" i="4"/>
  <c r="E1904" i="4"/>
  <c r="K1903" i="4"/>
  <c r="J1903" i="4"/>
  <c r="G1327" i="4"/>
  <c r="H1327" i="4" s="1"/>
  <c r="F1903" i="4"/>
  <c r="E1903" i="4"/>
  <c r="K1902" i="4"/>
  <c r="J1902" i="4"/>
  <c r="K1901" i="4"/>
  <c r="J1901" i="4"/>
  <c r="F1901" i="4"/>
  <c r="E1901" i="4"/>
  <c r="L1324" i="4"/>
  <c r="M1324" i="4" s="1"/>
  <c r="K1900" i="4"/>
  <c r="J1900" i="4"/>
  <c r="F1900" i="4"/>
  <c r="E1900" i="4"/>
  <c r="K1899" i="4"/>
  <c r="E1899" i="4"/>
  <c r="J1898" i="4"/>
  <c r="K1897" i="4"/>
  <c r="J1897" i="4"/>
  <c r="F1897" i="4"/>
  <c r="E1897" i="4"/>
  <c r="L1320" i="4"/>
  <c r="M1320" i="4" s="1"/>
  <c r="K1896" i="4"/>
  <c r="J1896" i="4"/>
  <c r="F1896" i="4"/>
  <c r="E1896" i="4"/>
  <c r="K1895" i="4"/>
  <c r="J1895" i="4"/>
  <c r="G1319" i="4"/>
  <c r="H1319" i="4" s="1"/>
  <c r="F1895" i="4"/>
  <c r="E1895" i="4"/>
  <c r="K1894" i="4"/>
  <c r="G1318" i="4"/>
  <c r="H1318" i="4" s="1"/>
  <c r="F1894" i="4"/>
  <c r="E1894" i="4"/>
  <c r="K1893" i="4"/>
  <c r="G1317" i="4"/>
  <c r="H1317" i="4" s="1"/>
  <c r="F1893" i="4"/>
  <c r="E1893" i="4"/>
  <c r="J1892" i="4"/>
  <c r="F1892" i="4"/>
  <c r="K1891" i="4"/>
  <c r="J1891" i="4"/>
  <c r="G1315" i="4"/>
  <c r="H1315" i="4" s="1"/>
  <c r="F1891" i="4"/>
  <c r="E1891" i="4"/>
  <c r="K1890" i="4"/>
  <c r="J1890" i="4"/>
  <c r="K1889" i="4"/>
  <c r="J1889" i="4"/>
  <c r="F1889" i="4"/>
  <c r="E1889" i="4"/>
  <c r="L1312" i="4"/>
  <c r="M1312" i="4" s="1"/>
  <c r="K1888" i="4"/>
  <c r="J1888" i="4"/>
  <c r="G1312" i="4"/>
  <c r="F1888" i="4"/>
  <c r="E1888" i="4"/>
  <c r="K1887" i="4"/>
  <c r="F1887" i="4"/>
  <c r="L1310" i="4"/>
  <c r="N1310" i="4" s="1"/>
  <c r="J1886" i="4"/>
  <c r="K1885" i="4"/>
  <c r="F1885" i="4"/>
  <c r="E1885" i="4"/>
  <c r="L1308" i="4"/>
  <c r="K1884" i="4"/>
  <c r="J1884" i="4"/>
  <c r="F1884" i="4"/>
  <c r="E1884" i="4"/>
  <c r="K1883" i="4"/>
  <c r="J1883" i="4"/>
  <c r="G1307" i="4"/>
  <c r="I1307" i="4" s="1"/>
  <c r="F1883" i="4"/>
  <c r="E1883" i="4"/>
  <c r="K1882" i="4"/>
  <c r="F1882" i="4"/>
  <c r="E1882" i="4"/>
  <c r="F1881" i="4"/>
  <c r="J1880" i="4"/>
  <c r="F1880" i="4"/>
  <c r="E1880" i="4"/>
  <c r="K1879" i="4"/>
  <c r="G1303" i="4"/>
  <c r="H1303" i="4" s="1"/>
  <c r="F1879" i="4"/>
  <c r="E1879" i="4"/>
  <c r="K1878" i="4"/>
  <c r="J1878" i="4"/>
  <c r="K1877" i="4"/>
  <c r="J1877" i="4"/>
  <c r="L1300" i="4"/>
  <c r="K1876" i="4"/>
  <c r="J1876" i="4"/>
  <c r="F1876" i="4"/>
  <c r="E1876" i="4"/>
  <c r="G1876" i="4" s="1"/>
  <c r="H1876" i="4" s="1"/>
  <c r="K1875" i="4"/>
  <c r="E1875" i="4"/>
  <c r="J1873" i="4"/>
  <c r="F1873" i="4"/>
  <c r="E1873" i="4"/>
  <c r="L1296" i="4"/>
  <c r="M1296" i="4" s="1"/>
  <c r="K1872" i="4"/>
  <c r="J1872" i="4"/>
  <c r="F1872" i="4"/>
  <c r="E1872" i="4"/>
  <c r="J1871" i="4"/>
  <c r="G1295" i="4"/>
  <c r="H1295" i="4" s="1"/>
  <c r="F1871" i="4"/>
  <c r="G1294" i="4"/>
  <c r="H1294" i="4" s="1"/>
  <c r="F1870" i="4"/>
  <c r="E1870" i="4"/>
  <c r="K1869" i="4"/>
  <c r="F1869" i="4"/>
  <c r="E1869" i="4"/>
  <c r="G1869" i="4" s="1"/>
  <c r="H1869" i="4" s="1"/>
  <c r="J1868" i="4"/>
  <c r="F1868" i="4"/>
  <c r="E1868" i="4"/>
  <c r="K1867" i="4"/>
  <c r="J1867" i="4"/>
  <c r="E1867" i="4"/>
  <c r="K1866" i="4"/>
  <c r="J1866" i="4"/>
  <c r="K1865" i="4"/>
  <c r="J1865" i="4"/>
  <c r="F1865" i="4"/>
  <c r="L1288" i="4"/>
  <c r="M1288" i="4" s="1"/>
  <c r="K1864" i="4"/>
  <c r="J1864" i="4"/>
  <c r="G1288" i="4"/>
  <c r="F1864" i="4"/>
  <c r="E1864" i="4"/>
  <c r="K1863" i="4"/>
  <c r="F1863" i="4"/>
  <c r="E1863" i="4"/>
  <c r="G1863" i="4" s="1"/>
  <c r="H1863" i="4" s="1"/>
  <c r="L1286" i="4"/>
  <c r="J1862" i="4"/>
  <c r="J1861" i="4"/>
  <c r="F1861" i="4"/>
  <c r="E1861" i="4"/>
  <c r="J1860" i="4"/>
  <c r="K1859" i="4"/>
  <c r="J1859" i="4"/>
  <c r="G1283" i="4"/>
  <c r="H1283" i="4" s="1"/>
  <c r="F1859" i="4"/>
  <c r="E1859" i="4"/>
  <c r="L1282" i="4"/>
  <c r="G1282" i="4"/>
  <c r="I1282" i="4" s="1"/>
  <c r="G1281" i="4"/>
  <c r="G1280" i="4"/>
  <c r="I1280" i="4" s="1"/>
  <c r="L1279" i="4"/>
  <c r="N1279" i="4" s="1"/>
  <c r="G1279" i="4"/>
  <c r="I1279" i="4" s="1"/>
  <c r="L1278" i="4"/>
  <c r="L1277" i="4"/>
  <c r="M1277" i="4" s="1"/>
  <c r="G1277" i="4"/>
  <c r="I1277" i="4" s="1"/>
  <c r="L1276" i="4"/>
  <c r="G1276" i="4"/>
  <c r="I1276" i="4" s="1"/>
  <c r="G1275" i="4"/>
  <c r="I1275" i="4" s="1"/>
  <c r="L1274" i="4"/>
  <c r="J1849" i="4"/>
  <c r="F1849" i="4"/>
  <c r="E1849" i="4"/>
  <c r="K1848" i="4"/>
  <c r="J1848" i="4"/>
  <c r="E1848" i="4"/>
  <c r="L1271" i="4"/>
  <c r="K1847" i="4"/>
  <c r="J1847" i="4"/>
  <c r="G1271" i="4"/>
  <c r="H1271" i="4" s="1"/>
  <c r="F1847" i="4"/>
  <c r="E1847" i="4"/>
  <c r="J1846" i="4"/>
  <c r="F1846" i="4"/>
  <c r="K1845" i="4"/>
  <c r="F1845" i="4"/>
  <c r="E1845" i="4"/>
  <c r="E1844" i="4"/>
  <c r="K1843" i="4"/>
  <c r="J1843" i="4"/>
  <c r="G1267" i="4"/>
  <c r="I1267" i="4" s="1"/>
  <c r="F1843" i="4"/>
  <c r="E1843" i="4"/>
  <c r="K1842" i="4"/>
  <c r="J1842" i="4"/>
  <c r="L1842" i="4" s="1"/>
  <c r="M1842" i="4" s="1"/>
  <c r="L1265" i="4"/>
  <c r="K1841" i="4"/>
  <c r="J1841" i="4"/>
  <c r="F1841" i="4"/>
  <c r="E1841" i="4"/>
  <c r="L1264" i="4"/>
  <c r="M1264" i="4" s="1"/>
  <c r="K1840" i="4"/>
  <c r="J1840" i="4"/>
  <c r="K1839" i="4"/>
  <c r="G1263" i="4"/>
  <c r="F1839" i="4"/>
  <c r="E1839" i="4"/>
  <c r="K1837" i="4"/>
  <c r="J1837" i="4"/>
  <c r="F1837" i="4"/>
  <c r="E1837" i="4"/>
  <c r="J1836" i="4"/>
  <c r="F1836" i="4"/>
  <c r="E1836" i="4"/>
  <c r="L1259" i="4"/>
  <c r="N1259" i="4" s="1"/>
  <c r="K1835" i="4"/>
  <c r="J1835" i="4"/>
  <c r="K1834" i="4"/>
  <c r="J1834" i="4"/>
  <c r="F1834" i="4"/>
  <c r="E1834" i="4"/>
  <c r="J1833" i="4"/>
  <c r="G1257" i="4"/>
  <c r="H1257" i="4" s="1"/>
  <c r="F1833" i="4"/>
  <c r="E1833" i="4"/>
  <c r="J1832" i="4"/>
  <c r="F1832" i="4"/>
  <c r="E1832" i="4"/>
  <c r="F1831" i="4"/>
  <c r="E1831" i="4"/>
  <c r="G1831" i="4" s="1"/>
  <c r="H1831" i="4" s="1"/>
  <c r="K1830" i="4"/>
  <c r="J1830" i="4"/>
  <c r="K1829" i="4"/>
  <c r="J1829" i="4"/>
  <c r="F1829" i="4"/>
  <c r="E1829" i="4"/>
  <c r="L1252" i="4"/>
  <c r="K1828" i="4"/>
  <c r="J1828" i="4"/>
  <c r="F1828" i="4"/>
  <c r="E1828" i="4"/>
  <c r="K1827" i="4"/>
  <c r="E1827" i="4"/>
  <c r="J1826" i="4"/>
  <c r="K1825" i="4"/>
  <c r="J1825" i="4"/>
  <c r="F1825" i="4"/>
  <c r="K1824" i="4"/>
  <c r="J1824" i="4"/>
  <c r="F1824" i="4"/>
  <c r="E1824" i="4"/>
  <c r="L1247" i="4"/>
  <c r="K1823" i="4"/>
  <c r="J1823" i="4"/>
  <c r="G1247" i="4"/>
  <c r="I1247" i="4" s="1"/>
  <c r="F1823" i="4"/>
  <c r="E1823" i="4"/>
  <c r="J1822" i="4"/>
  <c r="F1822" i="4"/>
  <c r="E1822" i="4"/>
  <c r="K1821" i="4"/>
  <c r="F1821" i="4"/>
  <c r="E1821" i="4"/>
  <c r="J1820" i="4"/>
  <c r="F1820" i="4"/>
  <c r="E1820" i="4"/>
  <c r="K1819" i="4"/>
  <c r="J1819" i="4"/>
  <c r="G1243" i="4"/>
  <c r="I1243" i="4" s="1"/>
  <c r="F1819" i="4"/>
  <c r="E1819" i="4"/>
  <c r="L1242" i="4"/>
  <c r="M1242" i="4" s="1"/>
  <c r="K1818" i="4"/>
  <c r="J1818" i="4"/>
  <c r="K1817" i="4"/>
  <c r="J1817" i="4"/>
  <c r="F1817" i="4"/>
  <c r="E1817" i="4"/>
  <c r="K1816" i="4"/>
  <c r="J1816" i="4"/>
  <c r="G1240" i="4"/>
  <c r="I1240" i="4" s="1"/>
  <c r="F1816" i="4"/>
  <c r="E1816" i="4"/>
  <c r="K1815" i="4"/>
  <c r="F1815" i="4"/>
  <c r="E1815" i="4"/>
  <c r="J1813" i="4"/>
  <c r="F1813" i="4"/>
  <c r="E1813" i="4"/>
  <c r="K1812" i="4"/>
  <c r="J1812" i="4"/>
  <c r="F1812" i="4"/>
  <c r="L1235" i="4"/>
  <c r="N1235" i="4" s="1"/>
  <c r="K1811" i="4"/>
  <c r="J1811" i="4"/>
  <c r="K1810" i="4"/>
  <c r="J1810" i="4"/>
  <c r="G1234" i="4"/>
  <c r="I1234" i="4" s="1"/>
  <c r="F1810" i="4"/>
  <c r="K1809" i="4"/>
  <c r="E1809" i="4"/>
  <c r="J1808" i="4"/>
  <c r="F1808" i="4"/>
  <c r="E1808" i="4"/>
  <c r="J1807" i="4"/>
  <c r="G1231" i="4"/>
  <c r="I1231" i="4" s="1"/>
  <c r="F1807" i="4"/>
  <c r="E1807" i="4"/>
  <c r="G1807" i="4" s="1"/>
  <c r="H1807" i="4" s="1"/>
  <c r="K1806" i="4"/>
  <c r="J1806" i="4"/>
  <c r="K1805" i="4"/>
  <c r="G1229" i="4"/>
  <c r="H1229" i="4" s="1"/>
  <c r="F1805" i="4"/>
  <c r="E1805" i="4"/>
  <c r="J1804" i="4"/>
  <c r="F1804" i="4"/>
  <c r="E1804" i="4"/>
  <c r="K1803" i="4"/>
  <c r="F1803" i="4"/>
  <c r="E1803" i="4"/>
  <c r="L1226" i="4"/>
  <c r="F1802" i="4"/>
  <c r="E1802" i="4"/>
  <c r="L1225" i="4"/>
  <c r="K1801" i="4"/>
  <c r="J1801" i="4"/>
  <c r="G1225" i="4"/>
  <c r="H1225" i="4" s="1"/>
  <c r="F1801" i="4"/>
  <c r="E1801" i="4"/>
  <c r="K1800" i="4"/>
  <c r="J1800" i="4"/>
  <c r="E1800" i="4"/>
  <c r="K1799" i="4"/>
  <c r="J1799" i="4"/>
  <c r="K1798" i="4"/>
  <c r="J1798" i="4"/>
  <c r="F1798" i="4"/>
  <c r="E1798" i="4"/>
  <c r="K1797" i="4"/>
  <c r="F1797" i="4"/>
  <c r="E1797" i="4"/>
  <c r="J1796" i="4"/>
  <c r="F1796" i="4"/>
  <c r="E1796" i="4"/>
  <c r="G1796" i="4" s="1"/>
  <c r="H1796" i="4" s="1"/>
  <c r="L1219" i="4"/>
  <c r="K1795" i="4"/>
  <c r="J1795" i="4"/>
  <c r="F1795" i="4"/>
  <c r="E1795" i="4"/>
  <c r="K1794" i="4"/>
  <c r="J1794" i="4"/>
  <c r="K1793" i="4"/>
  <c r="J1793" i="4"/>
  <c r="F1793" i="4"/>
  <c r="E1793" i="4"/>
  <c r="K1792" i="4"/>
  <c r="J1792" i="4"/>
  <c r="F1792" i="4"/>
  <c r="E1792" i="4"/>
  <c r="K1791" i="4"/>
  <c r="G1215" i="4"/>
  <c r="F1791" i="4"/>
  <c r="L1214" i="4"/>
  <c r="J1790" i="4"/>
  <c r="K1789" i="4"/>
  <c r="J1789" i="4"/>
  <c r="F1789" i="4"/>
  <c r="E1789" i="4"/>
  <c r="L1212" i="4"/>
  <c r="M1212" i="4" s="1"/>
  <c r="K1788" i="4"/>
  <c r="J1788" i="4"/>
  <c r="F1788" i="4"/>
  <c r="K1787" i="4"/>
  <c r="J1787" i="4"/>
  <c r="L1210" i="4"/>
  <c r="K1786" i="4"/>
  <c r="J1786" i="4"/>
  <c r="F1786" i="4"/>
  <c r="E1786" i="4"/>
  <c r="K1785" i="4"/>
  <c r="F1785" i="4"/>
  <c r="E1785" i="4"/>
  <c r="F1784" i="4"/>
  <c r="E1784" i="4"/>
  <c r="L1207" i="4"/>
  <c r="J1783" i="4"/>
  <c r="F1783" i="4"/>
  <c r="E1783" i="4"/>
  <c r="K1782" i="4"/>
  <c r="J1782" i="4"/>
  <c r="K1781" i="4"/>
  <c r="F1781" i="4"/>
  <c r="E1781" i="4"/>
  <c r="K1780" i="4"/>
  <c r="J1780" i="4"/>
  <c r="F1780" i="4"/>
  <c r="E1780" i="4"/>
  <c r="K1779" i="4"/>
  <c r="F1779" i="4"/>
  <c r="E1779" i="4"/>
  <c r="J1778" i="4"/>
  <c r="F1778" i="4"/>
  <c r="K1777" i="4"/>
  <c r="J1777" i="4"/>
  <c r="F1777" i="4"/>
  <c r="E1777" i="4"/>
  <c r="L1200" i="4"/>
  <c r="K1776" i="4"/>
  <c r="J1776" i="4"/>
  <c r="G1200" i="4"/>
  <c r="H1200" i="4" s="1"/>
  <c r="F1776" i="4"/>
  <c r="E1776" i="4"/>
  <c r="J1775" i="4"/>
  <c r="F1775" i="4"/>
  <c r="E1775" i="4"/>
  <c r="K1774" i="4"/>
  <c r="J1774" i="4"/>
  <c r="F1774" i="4"/>
  <c r="E1774" i="4"/>
  <c r="K1773" i="4"/>
  <c r="F1773" i="4"/>
  <c r="E1773" i="4"/>
  <c r="K1772" i="4"/>
  <c r="J1772" i="4"/>
  <c r="F1772" i="4"/>
  <c r="E1772" i="4"/>
  <c r="K1771" i="4"/>
  <c r="J1771" i="4"/>
  <c r="G1195" i="4"/>
  <c r="F1771" i="4"/>
  <c r="E1771" i="4"/>
  <c r="G1771" i="4" s="1"/>
  <c r="H1771" i="4" s="1"/>
  <c r="K1770" i="4"/>
  <c r="J1770" i="4"/>
  <c r="L1193" i="4"/>
  <c r="K1769" i="4"/>
  <c r="F1769" i="4"/>
  <c r="E1769" i="4"/>
  <c r="L1192" i="4"/>
  <c r="N1192" i="4" s="1"/>
  <c r="G1192" i="4"/>
  <c r="I1192" i="4" s="1"/>
  <c r="G1191" i="4"/>
  <c r="I1191" i="4" s="1"/>
  <c r="G1190" i="4"/>
  <c r="I1190" i="4" s="1"/>
  <c r="L1189" i="4"/>
  <c r="G1189" i="4"/>
  <c r="I1189" i="4" s="1"/>
  <c r="L1188" i="4"/>
  <c r="M1188" i="4" s="1"/>
  <c r="G1188" i="4"/>
  <c r="I1188" i="4" s="1"/>
  <c r="N1187" i="4"/>
  <c r="L1187" i="4"/>
  <c r="G1187" i="4"/>
  <c r="I1187" i="4" s="1"/>
  <c r="L1186" i="4"/>
  <c r="N1186" i="4" s="1"/>
  <c r="G1186" i="4"/>
  <c r="L1185" i="4"/>
  <c r="M1185" i="4" s="1"/>
  <c r="H1185" i="4"/>
  <c r="G1185" i="4"/>
  <c r="I1185" i="4" s="1"/>
  <c r="L1184" i="4"/>
  <c r="N1184" i="4" s="1"/>
  <c r="G1184" i="4"/>
  <c r="H1184" i="4" s="1"/>
  <c r="L1183" i="4"/>
  <c r="M1183" i="4" s="1"/>
  <c r="G1183" i="4"/>
  <c r="I1183" i="4" s="1"/>
  <c r="L1182" i="4"/>
  <c r="N1182" i="4" s="1"/>
  <c r="G1182" i="4"/>
  <c r="I1182" i="4" s="1"/>
  <c r="L1181" i="4"/>
  <c r="G1181" i="4"/>
  <c r="I1181" i="4" s="1"/>
  <c r="L1180" i="4"/>
  <c r="N1180" i="4" s="1"/>
  <c r="G1180" i="4"/>
  <c r="I1180" i="4" s="1"/>
  <c r="L1179" i="4"/>
  <c r="G1179" i="4"/>
  <c r="I1179" i="4" s="1"/>
  <c r="L1178" i="4"/>
  <c r="G1178" i="4"/>
  <c r="I1178" i="4" s="1"/>
  <c r="L1177" i="4"/>
  <c r="P1177" i="4" s="1"/>
  <c r="G1177" i="4"/>
  <c r="I1177" i="4" s="1"/>
  <c r="L1176" i="4"/>
  <c r="N1176" i="4" s="1"/>
  <c r="G1176" i="4"/>
  <c r="H1176" i="4" s="1"/>
  <c r="L1175" i="4"/>
  <c r="M1175" i="4" s="1"/>
  <c r="G1175" i="4"/>
  <c r="I1175" i="4" s="1"/>
  <c r="L1174" i="4"/>
  <c r="N1174" i="4" s="1"/>
  <c r="G1174" i="4"/>
  <c r="L1173" i="4"/>
  <c r="G1173" i="4"/>
  <c r="I1173" i="4" s="1"/>
  <c r="L1172" i="4"/>
  <c r="N1172" i="4" s="1"/>
  <c r="G1172" i="4"/>
  <c r="H1172" i="4" s="1"/>
  <c r="L1171" i="4"/>
  <c r="G1171" i="4"/>
  <c r="I1171" i="4" s="1"/>
  <c r="L1170" i="4"/>
  <c r="N1170" i="4" s="1"/>
  <c r="G1170" i="4"/>
  <c r="I1170" i="4" s="1"/>
  <c r="L1169" i="4"/>
  <c r="N1169" i="4" s="1"/>
  <c r="G1169" i="4"/>
  <c r="I1169" i="4" s="1"/>
  <c r="L1168" i="4"/>
  <c r="N1168" i="4" s="1"/>
  <c r="G1168" i="4"/>
  <c r="I1168" i="4" s="1"/>
  <c r="L1167" i="4"/>
  <c r="G1167" i="4"/>
  <c r="I1167" i="4" s="1"/>
  <c r="L1166" i="4"/>
  <c r="P1166" i="4" s="1"/>
  <c r="G1166" i="4"/>
  <c r="I1166" i="4" s="1"/>
  <c r="L1165" i="4"/>
  <c r="G1165" i="4"/>
  <c r="I1165" i="4" s="1"/>
  <c r="L1164" i="4"/>
  <c r="M1164" i="4" s="1"/>
  <c r="G1164" i="4"/>
  <c r="I1164" i="4" s="1"/>
  <c r="L1163" i="4"/>
  <c r="P1163" i="4" s="1"/>
  <c r="G1163" i="4"/>
  <c r="I1163" i="4" s="1"/>
  <c r="L1162" i="4"/>
  <c r="N1162" i="4" s="1"/>
  <c r="G1162" i="4"/>
  <c r="L1161" i="4"/>
  <c r="M1161" i="4" s="1"/>
  <c r="G1161" i="4"/>
  <c r="I1161" i="4" s="1"/>
  <c r="L1160" i="4"/>
  <c r="M1160" i="4" s="1"/>
  <c r="G1160" i="4"/>
  <c r="H1160" i="4" s="1"/>
  <c r="L1159" i="4"/>
  <c r="M1159" i="4" s="1"/>
  <c r="G1159" i="4"/>
  <c r="I1159" i="4" s="1"/>
  <c r="L1158" i="4"/>
  <c r="N1158" i="4" s="1"/>
  <c r="G1158" i="4"/>
  <c r="I1158" i="4" s="1"/>
  <c r="L1157" i="4"/>
  <c r="G1157" i="4"/>
  <c r="I1157" i="4" s="1"/>
  <c r="L1156" i="4"/>
  <c r="N1156" i="4" s="1"/>
  <c r="G1156" i="4"/>
  <c r="I1156" i="4" s="1"/>
  <c r="L1155" i="4"/>
  <c r="N1155" i="4" s="1"/>
  <c r="G1155" i="4"/>
  <c r="I1155" i="4" s="1"/>
  <c r="L1154" i="4"/>
  <c r="G1154" i="4"/>
  <c r="I1154" i="4" s="1"/>
  <c r="J1921" i="4"/>
  <c r="G1153" i="4"/>
  <c r="I1153" i="4" s="1"/>
  <c r="E1921" i="4"/>
  <c r="G1152" i="4"/>
  <c r="I1152" i="4" s="1"/>
  <c r="E1920" i="4"/>
  <c r="J1919" i="4"/>
  <c r="E1919" i="4"/>
  <c r="K1918" i="4"/>
  <c r="J1918" i="4"/>
  <c r="G1150" i="4"/>
  <c r="E1918" i="4"/>
  <c r="E1917" i="4"/>
  <c r="L1148" i="4"/>
  <c r="J1916" i="4"/>
  <c r="K1915" i="4"/>
  <c r="J1915" i="4"/>
  <c r="F1915" i="4"/>
  <c r="E1915" i="4"/>
  <c r="K1914" i="4"/>
  <c r="J1914" i="4"/>
  <c r="G1146" i="4"/>
  <c r="I1146" i="4" s="1"/>
  <c r="K1913" i="4"/>
  <c r="J1913" i="4"/>
  <c r="F1913" i="4"/>
  <c r="E1913" i="4"/>
  <c r="J1912" i="4"/>
  <c r="G1144" i="4"/>
  <c r="E1912" i="4"/>
  <c r="L1143" i="4"/>
  <c r="N1143" i="4" s="1"/>
  <c r="E1911" i="4"/>
  <c r="G1911" i="4" s="1"/>
  <c r="H1911" i="4" s="1"/>
  <c r="J1910" i="4"/>
  <c r="L1141" i="4"/>
  <c r="N1141" i="4" s="1"/>
  <c r="E1909" i="4"/>
  <c r="G1909" i="4" s="1"/>
  <c r="L1140" i="4"/>
  <c r="G1140" i="4"/>
  <c r="I1140" i="4" s="1"/>
  <c r="E1908" i="4"/>
  <c r="L1139" i="4"/>
  <c r="L1138" i="4"/>
  <c r="N1138" i="4" s="1"/>
  <c r="G1138" i="4"/>
  <c r="I1138" i="4" s="1"/>
  <c r="L1137" i="4"/>
  <c r="N1137" i="4" s="1"/>
  <c r="G1137" i="4"/>
  <c r="H1137" i="4" s="1"/>
  <c r="L1136" i="4"/>
  <c r="G1136" i="4"/>
  <c r="I1136" i="4" s="1"/>
  <c r="L1135" i="4"/>
  <c r="N1135" i="4" s="1"/>
  <c r="G1135" i="4"/>
  <c r="H1135" i="4" s="1"/>
  <c r="L1134" i="4"/>
  <c r="N1134" i="4" s="1"/>
  <c r="G1134" i="4"/>
  <c r="I1134" i="4" s="1"/>
  <c r="L1133" i="4"/>
  <c r="N1133" i="4" s="1"/>
  <c r="G1133" i="4"/>
  <c r="I1133" i="4" s="1"/>
  <c r="L1132" i="4"/>
  <c r="G1132" i="4"/>
  <c r="I1132" i="4" s="1"/>
  <c r="L1131" i="4"/>
  <c r="G1131" i="4"/>
  <c r="L1130" i="4"/>
  <c r="G1130" i="4"/>
  <c r="I1130" i="4" s="1"/>
  <c r="L1129" i="4"/>
  <c r="M1129" i="4" s="1"/>
  <c r="G1129" i="4"/>
  <c r="I1129" i="4" s="1"/>
  <c r="L1128" i="4"/>
  <c r="N1128" i="4" s="1"/>
  <c r="G1128" i="4"/>
  <c r="L1127" i="4"/>
  <c r="N1127" i="4" s="1"/>
  <c r="G1127" i="4"/>
  <c r="L1126" i="4"/>
  <c r="M1126" i="4" s="1"/>
  <c r="G1126" i="4"/>
  <c r="I1126" i="4" s="1"/>
  <c r="L1125" i="4"/>
  <c r="N1125" i="4" s="1"/>
  <c r="G1125" i="4"/>
  <c r="H1125" i="4" s="1"/>
  <c r="L1124" i="4"/>
  <c r="G1124" i="4"/>
  <c r="I1124" i="4" s="1"/>
  <c r="L1123" i="4"/>
  <c r="M1123" i="4" s="1"/>
  <c r="G1123" i="4"/>
  <c r="I1123" i="4" s="1"/>
  <c r="L1122" i="4"/>
  <c r="G1122" i="4"/>
  <c r="I1122" i="4" s="1"/>
  <c r="L1121" i="4"/>
  <c r="N1121" i="4" s="1"/>
  <c r="G1121" i="4"/>
  <c r="I1121" i="4" s="1"/>
  <c r="L1120" i="4"/>
  <c r="N1120" i="4" s="1"/>
  <c r="G1120" i="4"/>
  <c r="I1120" i="4" s="1"/>
  <c r="L1119" i="4"/>
  <c r="G1119" i="4"/>
  <c r="I1119" i="4" s="1"/>
  <c r="L1118" i="4"/>
  <c r="G1118" i="4"/>
  <c r="I1118" i="4" s="1"/>
  <c r="L1117" i="4"/>
  <c r="M1117" i="4" s="1"/>
  <c r="G1117" i="4"/>
  <c r="H1117" i="4" s="1"/>
  <c r="L1116" i="4"/>
  <c r="M1116" i="4" s="1"/>
  <c r="G1116" i="4"/>
  <c r="I1116" i="4" s="1"/>
  <c r="L1115" i="4"/>
  <c r="N1115" i="4" s="1"/>
  <c r="G1115" i="4"/>
  <c r="L1114" i="4"/>
  <c r="N1114" i="4" s="1"/>
  <c r="G1114" i="4"/>
  <c r="I1114" i="4" s="1"/>
  <c r="L1113" i="4"/>
  <c r="N1113" i="4" s="1"/>
  <c r="G1113" i="4"/>
  <c r="H1113" i="4" s="1"/>
  <c r="L1112" i="4"/>
  <c r="G1112" i="4"/>
  <c r="I1112" i="4" s="1"/>
  <c r="L1111" i="4"/>
  <c r="N1111" i="4" s="1"/>
  <c r="G1111" i="4"/>
  <c r="H1111" i="4" s="1"/>
  <c r="L1110" i="4"/>
  <c r="G1110" i="4"/>
  <c r="I1110" i="4" s="1"/>
  <c r="L1109" i="4"/>
  <c r="N1109" i="4" s="1"/>
  <c r="G1109" i="4"/>
  <c r="I1109" i="4" s="1"/>
  <c r="L1108" i="4"/>
  <c r="N1108" i="4" s="1"/>
  <c r="G1108" i="4"/>
  <c r="I1108" i="4" s="1"/>
  <c r="L1107" i="4"/>
  <c r="G1107" i="4"/>
  <c r="H1107" i="4" s="1"/>
  <c r="L1106" i="4"/>
  <c r="N1106" i="4" s="1"/>
  <c r="G1106" i="4"/>
  <c r="I1106" i="4" s="1"/>
  <c r="L1105" i="4"/>
  <c r="M1105" i="4" s="1"/>
  <c r="G1105" i="4"/>
  <c r="H1105" i="4" s="1"/>
  <c r="L1104" i="4"/>
  <c r="N1104" i="4" s="1"/>
  <c r="G1104" i="4"/>
  <c r="L1103" i="4"/>
  <c r="O1103" i="4" s="1"/>
  <c r="G1103" i="4"/>
  <c r="H1103" i="4" s="1"/>
  <c r="L1102" i="4"/>
  <c r="M1102" i="4" s="1"/>
  <c r="G1102" i="4"/>
  <c r="I1102" i="4" s="1"/>
  <c r="L1101" i="4"/>
  <c r="M1101" i="4" s="1"/>
  <c r="G1101" i="4"/>
  <c r="H1101" i="4" s="1"/>
  <c r="L1100" i="4"/>
  <c r="G1100" i="4"/>
  <c r="I1100" i="4" s="1"/>
  <c r="L1099" i="4"/>
  <c r="G1099" i="4"/>
  <c r="I1099" i="4" s="1"/>
  <c r="L1098" i="4"/>
  <c r="G1098" i="4"/>
  <c r="H1098" i="4" s="1"/>
  <c r="L1097" i="4"/>
  <c r="N1097" i="4" s="1"/>
  <c r="G1097" i="4"/>
  <c r="I1097" i="4" s="1"/>
  <c r="L1096" i="4"/>
  <c r="N1096" i="4" s="1"/>
  <c r="G1096" i="4"/>
  <c r="I1096" i="4" s="1"/>
  <c r="L1095" i="4"/>
  <c r="G1095" i="4"/>
  <c r="L1094" i="4"/>
  <c r="N1094" i="4" s="1"/>
  <c r="G1094" i="4"/>
  <c r="I1094" i="4" s="1"/>
  <c r="L1093" i="4"/>
  <c r="M1093" i="4" s="1"/>
  <c r="G1093" i="4"/>
  <c r="H1093" i="4" s="1"/>
  <c r="L1092" i="4"/>
  <c r="M1092" i="4" s="1"/>
  <c r="G1092" i="4"/>
  <c r="I1092" i="4" s="1"/>
  <c r="L1091" i="4"/>
  <c r="M1091" i="4" s="1"/>
  <c r="G1091" i="4"/>
  <c r="H1091" i="4" s="1"/>
  <c r="L1090" i="4"/>
  <c r="N1090" i="4" s="1"/>
  <c r="G1090" i="4"/>
  <c r="I1090" i="4" s="1"/>
  <c r="L1089" i="4"/>
  <c r="N1089" i="4" s="1"/>
  <c r="G1089" i="4"/>
  <c r="H1089" i="4" s="1"/>
  <c r="L1088" i="4"/>
  <c r="G1088" i="4"/>
  <c r="I1088" i="4" s="1"/>
  <c r="L1087" i="4"/>
  <c r="N1087" i="4" s="1"/>
  <c r="G1087" i="4"/>
  <c r="H1087" i="4" s="1"/>
  <c r="L1086" i="4"/>
  <c r="G1086" i="4"/>
  <c r="I1086" i="4" s="1"/>
  <c r="L1085" i="4"/>
  <c r="N1085" i="4" s="1"/>
  <c r="G1085" i="4"/>
  <c r="I1085" i="4" s="1"/>
  <c r="L1084" i="4"/>
  <c r="G1084" i="4"/>
  <c r="I1084" i="4" s="1"/>
  <c r="L1083" i="4"/>
  <c r="G1083" i="4"/>
  <c r="I1083" i="4" s="1"/>
  <c r="L1082" i="4"/>
  <c r="G1082" i="4"/>
  <c r="I1082" i="4" s="1"/>
  <c r="L1081" i="4"/>
  <c r="M1081" i="4" s="1"/>
  <c r="G1081" i="4"/>
  <c r="H1081" i="4" s="1"/>
  <c r="L1080" i="4"/>
  <c r="N1080" i="4" s="1"/>
  <c r="G1080" i="4"/>
  <c r="L1079" i="4"/>
  <c r="G1079" i="4"/>
  <c r="I1079" i="4" s="1"/>
  <c r="L1078" i="4"/>
  <c r="M1078" i="4" s="1"/>
  <c r="G1078" i="4"/>
  <c r="I1078" i="4" s="1"/>
  <c r="L1077" i="4"/>
  <c r="G1077" i="4"/>
  <c r="H1077" i="4" s="1"/>
  <c r="L1076" i="4"/>
  <c r="G1076" i="4"/>
  <c r="I1076" i="4" s="1"/>
  <c r="L1075" i="4"/>
  <c r="N1075" i="4" s="1"/>
  <c r="G1075" i="4"/>
  <c r="I1075" i="4" s="1"/>
  <c r="L1074" i="4"/>
  <c r="G1074" i="4"/>
  <c r="H1074" i="4" s="1"/>
  <c r="L1073" i="4"/>
  <c r="N1073" i="4" s="1"/>
  <c r="G1073" i="4"/>
  <c r="I1073" i="4" s="1"/>
  <c r="L1072" i="4"/>
  <c r="M1072" i="4" s="1"/>
  <c r="G1072" i="4"/>
  <c r="I1072" i="4" s="1"/>
  <c r="L1071" i="4"/>
  <c r="G1071" i="4"/>
  <c r="H1071" i="4" s="1"/>
  <c r="L1070" i="4"/>
  <c r="M1070" i="4" s="1"/>
  <c r="G1070" i="4"/>
  <c r="I1070" i="4" s="1"/>
  <c r="L1069" i="4"/>
  <c r="M1069" i="4" s="1"/>
  <c r="G1069" i="4"/>
  <c r="H1069" i="4" s="1"/>
  <c r="L1068" i="4"/>
  <c r="M1068" i="4" s="1"/>
  <c r="G1068" i="4"/>
  <c r="I1068" i="4" s="1"/>
  <c r="L1067" i="4"/>
  <c r="N1067" i="4" s="1"/>
  <c r="G1067" i="4"/>
  <c r="H1067" i="4" s="1"/>
  <c r="L1066" i="4"/>
  <c r="N1066" i="4" s="1"/>
  <c r="G1066" i="4"/>
  <c r="I1066" i="4" s="1"/>
  <c r="L1065" i="4"/>
  <c r="N1065" i="4" s="1"/>
  <c r="G1065" i="4"/>
  <c r="H1065" i="4" s="1"/>
  <c r="L1064" i="4"/>
  <c r="G1064" i="4"/>
  <c r="I1064" i="4" s="1"/>
  <c r="L1063" i="4"/>
  <c r="N1063" i="4" s="1"/>
  <c r="G1063" i="4"/>
  <c r="H1063" i="4" s="1"/>
  <c r="L1062" i="4"/>
  <c r="G1062" i="4"/>
  <c r="I1062" i="4" s="1"/>
  <c r="L1061" i="4"/>
  <c r="N1061" i="4" s="1"/>
  <c r="G1061" i="4"/>
  <c r="L1060" i="4"/>
  <c r="G1060" i="4"/>
  <c r="I1060" i="4" s="1"/>
  <c r="L1059" i="4"/>
  <c r="G1059" i="4"/>
  <c r="I1059" i="4" s="1"/>
  <c r="L1058" i="4"/>
  <c r="M1058" i="4" s="1"/>
  <c r="G1058" i="4"/>
  <c r="I1058" i="4" s="1"/>
  <c r="L1057" i="4"/>
  <c r="M1057" i="4" s="1"/>
  <c r="G1057" i="4"/>
  <c r="I1057" i="4" s="1"/>
  <c r="L1056" i="4"/>
  <c r="G1056" i="4"/>
  <c r="L1055" i="4"/>
  <c r="G1055" i="4"/>
  <c r="I1055" i="4" s="1"/>
  <c r="L1054" i="4"/>
  <c r="M1054" i="4" s="1"/>
  <c r="G1054" i="4"/>
  <c r="I1054" i="4" s="1"/>
  <c r="L1053" i="4"/>
  <c r="N1053" i="4" s="1"/>
  <c r="G1053" i="4"/>
  <c r="H1053" i="4" s="1"/>
  <c r="L1052" i="4"/>
  <c r="G1052" i="4"/>
  <c r="H1052" i="4" s="1"/>
  <c r="L1051" i="4"/>
  <c r="G1051" i="4"/>
  <c r="I1051" i="4" s="1"/>
  <c r="L1050" i="4"/>
  <c r="N1050" i="4" s="1"/>
  <c r="G1050" i="4"/>
  <c r="I1050" i="4" s="1"/>
  <c r="L1049" i="4"/>
  <c r="N1049" i="4" s="1"/>
  <c r="G1049" i="4"/>
  <c r="I1049" i="4" s="1"/>
  <c r="L1048" i="4"/>
  <c r="M1048" i="4" s="1"/>
  <c r="G1048" i="4"/>
  <c r="I1048" i="4" s="1"/>
  <c r="L1047" i="4"/>
  <c r="G1047" i="4"/>
  <c r="H1047" i="4" s="1"/>
  <c r="L1046" i="4"/>
  <c r="M1046" i="4" s="1"/>
  <c r="G1046" i="4"/>
  <c r="I1046" i="4" s="1"/>
  <c r="L1045" i="4"/>
  <c r="N1045" i="4" s="1"/>
  <c r="G1045" i="4"/>
  <c r="I1045" i="4" s="1"/>
  <c r="L1044" i="4"/>
  <c r="M1044" i="4" s="1"/>
  <c r="G1044" i="4"/>
  <c r="I1044" i="4" s="1"/>
  <c r="L1043" i="4"/>
  <c r="G1043" i="4"/>
  <c r="H1043" i="4" s="1"/>
  <c r="L1042" i="4"/>
  <c r="G1042" i="4"/>
  <c r="I1042" i="4" s="1"/>
  <c r="L1041" i="4"/>
  <c r="N1041" i="4" s="1"/>
  <c r="G1041" i="4"/>
  <c r="H1041" i="4" s="1"/>
  <c r="L1040" i="4"/>
  <c r="G1040" i="4"/>
  <c r="I1040" i="4" s="1"/>
  <c r="L1039" i="4"/>
  <c r="N1039" i="4" s="1"/>
  <c r="G1039" i="4"/>
  <c r="H1039" i="4" s="1"/>
  <c r="L1038" i="4"/>
  <c r="G1038" i="4"/>
  <c r="I1038" i="4" s="1"/>
  <c r="L1037" i="4"/>
  <c r="N1037" i="4" s="1"/>
  <c r="G1037" i="4"/>
  <c r="L1036" i="4"/>
  <c r="M1036" i="4" s="1"/>
  <c r="G1036" i="4"/>
  <c r="I1036" i="4" s="1"/>
  <c r="L1035" i="4"/>
  <c r="N1035" i="4" s="1"/>
  <c r="G1035" i="4"/>
  <c r="I1035" i="4" s="1"/>
  <c r="L1034" i="4"/>
  <c r="G1034" i="4"/>
  <c r="I1034" i="4" s="1"/>
  <c r="L1033" i="4"/>
  <c r="M1033" i="4" s="1"/>
  <c r="G1033" i="4"/>
  <c r="I1033" i="4" s="1"/>
  <c r="L1032" i="4"/>
  <c r="N1032" i="4" s="1"/>
  <c r="G1032" i="4"/>
  <c r="I1032" i="4" s="1"/>
  <c r="L1031" i="4"/>
  <c r="G1031" i="4"/>
  <c r="I1031" i="4" s="1"/>
  <c r="L1030" i="4"/>
  <c r="G1030" i="4"/>
  <c r="I1030" i="4" s="1"/>
  <c r="L1029" i="4"/>
  <c r="M1029" i="4" s="1"/>
  <c r="G1029" i="4"/>
  <c r="I1029" i="4" s="1"/>
  <c r="L1028" i="4"/>
  <c r="N1028" i="4" s="1"/>
  <c r="G1028" i="4"/>
  <c r="H1028" i="4" s="1"/>
  <c r="L1027" i="4"/>
  <c r="M1027" i="4" s="1"/>
  <c r="G1027" i="4"/>
  <c r="I1027" i="4" s="1"/>
  <c r="L1026" i="4"/>
  <c r="G1026" i="4"/>
  <c r="H1026" i="4" s="1"/>
  <c r="L1025" i="4"/>
  <c r="G1025" i="4"/>
  <c r="I1025" i="4" s="1"/>
  <c r="L1024" i="4"/>
  <c r="G1024" i="4"/>
  <c r="H1024" i="4" s="1"/>
  <c r="L1023" i="4"/>
  <c r="G1023" i="4"/>
  <c r="I1023" i="4" s="1"/>
  <c r="L1022" i="4"/>
  <c r="N1022" i="4" s="1"/>
  <c r="G1022" i="4"/>
  <c r="I1022" i="4" s="1"/>
  <c r="L1021" i="4"/>
  <c r="N1021" i="4" s="1"/>
  <c r="G1021" i="4"/>
  <c r="H1021" i="4" s="1"/>
  <c r="L1020" i="4"/>
  <c r="N1020" i="4" s="1"/>
  <c r="G1020" i="4"/>
  <c r="L1019" i="4"/>
  <c r="M1019" i="4" s="1"/>
  <c r="G1019" i="4"/>
  <c r="I1019" i="4" s="1"/>
  <c r="L1018" i="4"/>
  <c r="G1018" i="4"/>
  <c r="I1018" i="4" s="1"/>
  <c r="L1017" i="4"/>
  <c r="G1017" i="4"/>
  <c r="I1017" i="4" s="1"/>
  <c r="L1016" i="4"/>
  <c r="N1016" i="4" s="1"/>
  <c r="G1016" i="4"/>
  <c r="I1016" i="4" s="1"/>
  <c r="L1015" i="4"/>
  <c r="G1015" i="4"/>
  <c r="H1015" i="4" s="1"/>
  <c r="L1014" i="4"/>
  <c r="G1014" i="4"/>
  <c r="I1014" i="4" s="1"/>
  <c r="L1013" i="4"/>
  <c r="M1013" i="4" s="1"/>
  <c r="G1013" i="4"/>
  <c r="I1013" i="4" s="1"/>
  <c r="L1012" i="4"/>
  <c r="N1012" i="4" s="1"/>
  <c r="G1012" i="4"/>
  <c r="H1012" i="4" s="1"/>
  <c r="L1011" i="4"/>
  <c r="G1011" i="4"/>
  <c r="I1011" i="4" s="1"/>
  <c r="L1010" i="4"/>
  <c r="M1010" i="4" s="1"/>
  <c r="G1010" i="4"/>
  <c r="I1010" i="4" s="1"/>
  <c r="L1009" i="4"/>
  <c r="M1009" i="4" s="1"/>
  <c r="G1009" i="4"/>
  <c r="I1009" i="4" s="1"/>
  <c r="L1008" i="4"/>
  <c r="N1008" i="4" s="1"/>
  <c r="G1008" i="4"/>
  <c r="I1008" i="4" s="1"/>
  <c r="L1007" i="4"/>
  <c r="M1007" i="4" s="1"/>
  <c r="G1007" i="4"/>
  <c r="L1006" i="4"/>
  <c r="G1006" i="4"/>
  <c r="I1006" i="4" s="1"/>
  <c r="L1005" i="4"/>
  <c r="G1005" i="4"/>
  <c r="I1005" i="4" s="1"/>
  <c r="L1004" i="4"/>
  <c r="G1004" i="4"/>
  <c r="I1004" i="4" s="1"/>
  <c r="L1003" i="4"/>
  <c r="M1003" i="4" s="1"/>
  <c r="G1003" i="4"/>
  <c r="H1003" i="4" s="1"/>
  <c r="L1002" i="4"/>
  <c r="G1002" i="4"/>
  <c r="H1002" i="4" s="1"/>
  <c r="L1001" i="4"/>
  <c r="N1001" i="4" s="1"/>
  <c r="I1001" i="4"/>
  <c r="G1001" i="4"/>
  <c r="H1001" i="4" s="1"/>
  <c r="L1000" i="4"/>
  <c r="O1000" i="4" s="1"/>
  <c r="G1000" i="4"/>
  <c r="H1000" i="4" s="1"/>
  <c r="L999" i="4"/>
  <c r="N999" i="4" s="1"/>
  <c r="G999" i="4"/>
  <c r="H999" i="4" s="1"/>
  <c r="G998" i="4"/>
  <c r="L997" i="4"/>
  <c r="G997" i="4"/>
  <c r="I997" i="4" s="1"/>
  <c r="L996" i="4"/>
  <c r="G996" i="4"/>
  <c r="I996" i="4" s="1"/>
  <c r="L995" i="4"/>
  <c r="M995" i="4" s="1"/>
  <c r="G995" i="4"/>
  <c r="L994" i="4"/>
  <c r="G994" i="4"/>
  <c r="I994" i="4" s="1"/>
  <c r="L993" i="4"/>
  <c r="M993" i="4" s="1"/>
  <c r="G993" i="4"/>
  <c r="L992" i="4"/>
  <c r="O992" i="4" s="1"/>
  <c r="G992" i="4"/>
  <c r="I992" i="4" s="1"/>
  <c r="L991" i="4"/>
  <c r="N991" i="4" s="1"/>
  <c r="G991" i="4"/>
  <c r="L990" i="4"/>
  <c r="G990" i="4"/>
  <c r="I990" i="4" s="1"/>
  <c r="L989" i="4"/>
  <c r="M989" i="4" s="1"/>
  <c r="G989" i="4"/>
  <c r="I989" i="4" s="1"/>
  <c r="L988" i="4"/>
  <c r="G988" i="4"/>
  <c r="I988" i="4" s="1"/>
  <c r="L987" i="4"/>
  <c r="O987" i="4" s="1"/>
  <c r="G987" i="4"/>
  <c r="H987" i="4" s="1"/>
  <c r="L986" i="4"/>
  <c r="N986" i="4" s="1"/>
  <c r="G986" i="4"/>
  <c r="I986" i="4" s="1"/>
  <c r="L985" i="4"/>
  <c r="G985" i="4"/>
  <c r="I985" i="4" s="1"/>
  <c r="L984" i="4"/>
  <c r="N984" i="4" s="1"/>
  <c r="G984" i="4"/>
  <c r="H984" i="4" s="1"/>
  <c r="L983" i="4"/>
  <c r="M983" i="4" s="1"/>
  <c r="G983" i="4"/>
  <c r="H983" i="4" s="1"/>
  <c r="L982" i="4"/>
  <c r="N982" i="4" s="1"/>
  <c r="G982" i="4"/>
  <c r="H982" i="4" s="1"/>
  <c r="L981" i="4"/>
  <c r="G981" i="4"/>
  <c r="I981" i="4" s="1"/>
  <c r="L980" i="4"/>
  <c r="N980" i="4" s="1"/>
  <c r="G980" i="4"/>
  <c r="L979" i="4"/>
  <c r="M979" i="4" s="1"/>
  <c r="G979" i="4"/>
  <c r="H979" i="4" s="1"/>
  <c r="L978" i="4"/>
  <c r="N978" i="4" s="1"/>
  <c r="G978" i="4"/>
  <c r="I978" i="4" s="1"/>
  <c r="L977" i="4"/>
  <c r="G977" i="4"/>
  <c r="H977" i="4" s="1"/>
  <c r="L976" i="4"/>
  <c r="G976" i="4"/>
  <c r="H976" i="4" s="1"/>
  <c r="L975" i="4"/>
  <c r="N975" i="4" s="1"/>
  <c r="G975" i="4"/>
  <c r="I975" i="4" s="1"/>
  <c r="L974" i="4"/>
  <c r="N974" i="4" s="1"/>
  <c r="G974" i="4"/>
  <c r="I974" i="4" s="1"/>
  <c r="L973" i="4"/>
  <c r="M973" i="4" s="1"/>
  <c r="G973" i="4"/>
  <c r="I973" i="4" s="1"/>
  <c r="L972" i="4"/>
  <c r="G972" i="4"/>
  <c r="I972" i="4" s="1"/>
  <c r="L971" i="4"/>
  <c r="N971" i="4" s="1"/>
  <c r="G971" i="4"/>
  <c r="H971" i="4" s="1"/>
  <c r="L970" i="4"/>
  <c r="G970" i="4"/>
  <c r="I970" i="4" s="1"/>
  <c r="L969" i="4"/>
  <c r="M969" i="4" s="1"/>
  <c r="G969" i="4"/>
  <c r="L968" i="4"/>
  <c r="G968" i="4"/>
  <c r="I968" i="4" s="1"/>
  <c r="L967" i="4"/>
  <c r="G967" i="4"/>
  <c r="I967" i="4" s="1"/>
  <c r="L966" i="4"/>
  <c r="O966" i="4" s="1"/>
  <c r="G966" i="4"/>
  <c r="H966" i="4" s="1"/>
  <c r="L965" i="4"/>
  <c r="G965" i="4"/>
  <c r="I965" i="4" s="1"/>
  <c r="L964" i="4"/>
  <c r="M964" i="4" s="1"/>
  <c r="G964" i="4"/>
  <c r="L963" i="4"/>
  <c r="M963" i="4" s="1"/>
  <c r="G963" i="4"/>
  <c r="I963" i="4" s="1"/>
  <c r="L962" i="4"/>
  <c r="N962" i="4" s="1"/>
  <c r="G962" i="4"/>
  <c r="H962" i="4" s="1"/>
  <c r="J771" i="4"/>
  <c r="K771" i="4"/>
  <c r="L771" i="4" s="1"/>
  <c r="J772" i="4"/>
  <c r="K772" i="4"/>
  <c r="J773" i="4"/>
  <c r="L773" i="4" s="1"/>
  <c r="K773" i="4"/>
  <c r="J774" i="4"/>
  <c r="K774" i="4"/>
  <c r="L774" i="4" s="1"/>
  <c r="M774" i="4" s="1"/>
  <c r="J775" i="4"/>
  <c r="K775" i="4"/>
  <c r="J776" i="4"/>
  <c r="L776" i="4" s="1"/>
  <c r="M776" i="4" s="1"/>
  <c r="K776" i="4"/>
  <c r="J777" i="4"/>
  <c r="K777" i="4"/>
  <c r="J778" i="4"/>
  <c r="L778" i="4" s="1"/>
  <c r="N778" i="4" s="1"/>
  <c r="K778" i="4"/>
  <c r="J779" i="4"/>
  <c r="K779" i="4"/>
  <c r="J780" i="4"/>
  <c r="K780" i="4"/>
  <c r="J781" i="4"/>
  <c r="K781" i="4"/>
  <c r="J782" i="4"/>
  <c r="L782" i="4" s="1"/>
  <c r="M782" i="4" s="1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L791" i="4" s="1"/>
  <c r="M791" i="4" s="1"/>
  <c r="K791" i="4"/>
  <c r="J792" i="4"/>
  <c r="K792" i="4"/>
  <c r="J793" i="4"/>
  <c r="K793" i="4"/>
  <c r="J794" i="4"/>
  <c r="L794" i="4" s="1"/>
  <c r="M794" i="4" s="1"/>
  <c r="K794" i="4"/>
  <c r="J795" i="4"/>
  <c r="L795" i="4" s="1"/>
  <c r="K795" i="4"/>
  <c r="J796" i="4"/>
  <c r="K796" i="4"/>
  <c r="J797" i="4"/>
  <c r="L797" i="4" s="1"/>
  <c r="K797" i="4"/>
  <c r="J798" i="4"/>
  <c r="K798" i="4"/>
  <c r="J799" i="4"/>
  <c r="K799" i="4"/>
  <c r="J800" i="4"/>
  <c r="K800" i="4"/>
  <c r="J801" i="4"/>
  <c r="L801" i="4" s="1"/>
  <c r="M801" i="4" s="1"/>
  <c r="K801" i="4"/>
  <c r="J802" i="4"/>
  <c r="L802" i="4" s="1"/>
  <c r="K802" i="4"/>
  <c r="J803" i="4"/>
  <c r="L803" i="4" s="1"/>
  <c r="M803" i="4" s="1"/>
  <c r="K803" i="4"/>
  <c r="J804" i="4"/>
  <c r="K804" i="4"/>
  <c r="J805" i="4"/>
  <c r="K805" i="4"/>
  <c r="L805" i="4" s="1"/>
  <c r="M805" i="4" s="1"/>
  <c r="J806" i="4"/>
  <c r="K806" i="4"/>
  <c r="J807" i="4"/>
  <c r="K807" i="4"/>
  <c r="J808" i="4"/>
  <c r="K808" i="4"/>
  <c r="J947" i="4"/>
  <c r="L947" i="4" s="1"/>
  <c r="M947" i="4" s="1"/>
  <c r="K947" i="4"/>
  <c r="J948" i="4"/>
  <c r="K948" i="4"/>
  <c r="J949" i="4"/>
  <c r="K949" i="4"/>
  <c r="K950" i="4"/>
  <c r="K951" i="4"/>
  <c r="K952" i="4"/>
  <c r="K770" i="4"/>
  <c r="J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90" i="4"/>
  <c r="F891" i="4"/>
  <c r="F892" i="4"/>
  <c r="F893" i="4"/>
  <c r="F894" i="4"/>
  <c r="F895" i="4"/>
  <c r="F896" i="4"/>
  <c r="F897" i="4"/>
  <c r="G897" i="4" s="1"/>
  <c r="H897" i="4" s="1"/>
  <c r="F898" i="4"/>
  <c r="F947" i="4"/>
  <c r="F948" i="4"/>
  <c r="F949" i="4"/>
  <c r="F950" i="4"/>
  <c r="F951" i="4"/>
  <c r="F952" i="4"/>
  <c r="F770" i="4"/>
  <c r="E772" i="4"/>
  <c r="E773" i="4"/>
  <c r="E774" i="4"/>
  <c r="E775" i="4"/>
  <c r="G775" i="4" s="1"/>
  <c r="H775" i="4" s="1"/>
  <c r="E776" i="4"/>
  <c r="G776" i="4" s="1"/>
  <c r="H776" i="4" s="1"/>
  <c r="E777" i="4"/>
  <c r="E778" i="4"/>
  <c r="E779" i="4"/>
  <c r="E780" i="4"/>
  <c r="G780" i="4" s="1"/>
  <c r="H780" i="4" s="1"/>
  <c r="E781" i="4"/>
  <c r="E782" i="4"/>
  <c r="E783" i="4"/>
  <c r="E784" i="4"/>
  <c r="E785" i="4"/>
  <c r="E786" i="4"/>
  <c r="E787" i="4"/>
  <c r="E788" i="4"/>
  <c r="G788" i="4" s="1"/>
  <c r="H788" i="4" s="1"/>
  <c r="E789" i="4"/>
  <c r="E790" i="4"/>
  <c r="E791" i="4"/>
  <c r="E792" i="4"/>
  <c r="G792" i="4" s="1"/>
  <c r="H792" i="4" s="1"/>
  <c r="E793" i="4"/>
  <c r="G793" i="4" s="1"/>
  <c r="E794" i="4"/>
  <c r="E795" i="4"/>
  <c r="E796" i="4"/>
  <c r="E797" i="4"/>
  <c r="E798" i="4"/>
  <c r="E799" i="4"/>
  <c r="G799" i="4" s="1"/>
  <c r="H799" i="4" s="1"/>
  <c r="E800" i="4"/>
  <c r="G800" i="4" s="1"/>
  <c r="H800" i="4" s="1"/>
  <c r="E801" i="4"/>
  <c r="E802" i="4"/>
  <c r="E803" i="4"/>
  <c r="E804" i="4"/>
  <c r="G804" i="4" s="1"/>
  <c r="H804" i="4" s="1"/>
  <c r="E805" i="4"/>
  <c r="E808" i="4"/>
  <c r="E890" i="4"/>
  <c r="G890" i="4" s="1"/>
  <c r="H890" i="4" s="1"/>
  <c r="E891" i="4"/>
  <c r="E892" i="4"/>
  <c r="E893" i="4"/>
  <c r="E894" i="4"/>
  <c r="E895" i="4"/>
  <c r="G895" i="4" s="1"/>
  <c r="H895" i="4" s="1"/>
  <c r="E896" i="4"/>
  <c r="G896" i="4" s="1"/>
  <c r="H896" i="4" s="1"/>
  <c r="E897" i="4"/>
  <c r="E898" i="4"/>
  <c r="E771" i="4"/>
  <c r="E770" i="4"/>
  <c r="L194" i="4"/>
  <c r="M194" i="4" s="1"/>
  <c r="L195" i="4"/>
  <c r="N195" i="4" s="1"/>
  <c r="L196" i="4"/>
  <c r="M196" i="4" s="1"/>
  <c r="L197" i="4"/>
  <c r="M197" i="4" s="1"/>
  <c r="L198" i="4"/>
  <c r="N198" i="4" s="1"/>
  <c r="L199" i="4"/>
  <c r="M199" i="4" s="1"/>
  <c r="L200" i="4"/>
  <c r="M200" i="4" s="1"/>
  <c r="L201" i="4"/>
  <c r="L202" i="4"/>
  <c r="N202" i="4" s="1"/>
  <c r="M202" i="4"/>
  <c r="L203" i="4"/>
  <c r="M203" i="4" s="1"/>
  <c r="L204" i="4"/>
  <c r="L205" i="4"/>
  <c r="M205" i="4" s="1"/>
  <c r="L206" i="4"/>
  <c r="N206" i="4" s="1"/>
  <c r="L207" i="4"/>
  <c r="M207" i="4" s="1"/>
  <c r="L208" i="4"/>
  <c r="M208" i="4" s="1"/>
  <c r="L209" i="4"/>
  <c r="M209" i="4" s="1"/>
  <c r="L210" i="4"/>
  <c r="N210" i="4" s="1"/>
  <c r="L211" i="4"/>
  <c r="M211" i="4" s="1"/>
  <c r="L212" i="4"/>
  <c r="M212" i="4" s="1"/>
  <c r="L213" i="4"/>
  <c r="M213" i="4" s="1"/>
  <c r="L214" i="4"/>
  <c r="M214" i="4" s="1"/>
  <c r="L215" i="4"/>
  <c r="M215" i="4" s="1"/>
  <c r="L216" i="4"/>
  <c r="L217" i="4"/>
  <c r="N217" i="4" s="1"/>
  <c r="L218" i="4"/>
  <c r="M218" i="4" s="1"/>
  <c r="L219" i="4"/>
  <c r="M219" i="4"/>
  <c r="N219" i="4"/>
  <c r="L220" i="4"/>
  <c r="M220" i="4" s="1"/>
  <c r="L221" i="4"/>
  <c r="M221" i="4" s="1"/>
  <c r="L222" i="4"/>
  <c r="M222" i="4" s="1"/>
  <c r="L223" i="4"/>
  <c r="M223" i="4" s="1"/>
  <c r="L224" i="4"/>
  <c r="M224" i="4" s="1"/>
  <c r="L225" i="4"/>
  <c r="M225" i="4" s="1"/>
  <c r="L226" i="4"/>
  <c r="L227" i="4"/>
  <c r="M227" i="4" s="1"/>
  <c r="N227" i="4"/>
  <c r="L228" i="4"/>
  <c r="M228" i="4" s="1"/>
  <c r="L229" i="4"/>
  <c r="M229" i="4" s="1"/>
  <c r="L230" i="4"/>
  <c r="N230" i="4" s="1"/>
  <c r="L231" i="4"/>
  <c r="M231" i="4" s="1"/>
  <c r="N231" i="4"/>
  <c r="L232" i="4"/>
  <c r="N232" i="4" s="1"/>
  <c r="L314" i="4"/>
  <c r="L315" i="4"/>
  <c r="L316" i="4"/>
  <c r="M316" i="4" s="1"/>
  <c r="L317" i="4"/>
  <c r="M317" i="4" s="1"/>
  <c r="L318" i="4"/>
  <c r="N318" i="4" s="1"/>
  <c r="L319" i="4"/>
  <c r="M319" i="4" s="1"/>
  <c r="L320" i="4"/>
  <c r="M320" i="4" s="1"/>
  <c r="L321" i="4"/>
  <c r="M321" i="4" s="1"/>
  <c r="L322" i="4"/>
  <c r="M322" i="4" s="1"/>
  <c r="L371" i="4"/>
  <c r="L372" i="4"/>
  <c r="M372" i="4" s="1"/>
  <c r="L373" i="4"/>
  <c r="M373" i="4" s="1"/>
  <c r="L386" i="4"/>
  <c r="L387" i="4"/>
  <c r="M387" i="4" s="1"/>
  <c r="L388" i="4"/>
  <c r="M388" i="4" s="1"/>
  <c r="L389" i="4"/>
  <c r="M389" i="4" s="1"/>
  <c r="L390" i="4"/>
  <c r="M390" i="4" s="1"/>
  <c r="L391" i="4"/>
  <c r="N391" i="4" s="1"/>
  <c r="M391" i="4"/>
  <c r="L392" i="4"/>
  <c r="N392" i="4" s="1"/>
  <c r="L393" i="4"/>
  <c r="L394" i="4"/>
  <c r="M394" i="4"/>
  <c r="N394" i="4"/>
  <c r="L395" i="4"/>
  <c r="M395" i="4" s="1"/>
  <c r="L396" i="4"/>
  <c r="M396" i="4" s="1"/>
  <c r="L397" i="4"/>
  <c r="M397" i="4" s="1"/>
  <c r="L398" i="4"/>
  <c r="M398" i="4" s="1"/>
  <c r="L399" i="4"/>
  <c r="M399" i="4" s="1"/>
  <c r="L400" i="4"/>
  <c r="L401" i="4"/>
  <c r="M401" i="4" s="1"/>
  <c r="L402" i="4"/>
  <c r="N402" i="4" s="1"/>
  <c r="L403" i="4"/>
  <c r="N403" i="4" s="1"/>
  <c r="L404" i="4"/>
  <c r="M404" i="4" s="1"/>
  <c r="L405" i="4"/>
  <c r="M405" i="4" s="1"/>
  <c r="L406" i="4"/>
  <c r="N406" i="4" s="1"/>
  <c r="L407" i="4"/>
  <c r="M407" i="4" s="1"/>
  <c r="L408" i="4"/>
  <c r="L409" i="4"/>
  <c r="M409" i="4" s="1"/>
  <c r="L410" i="4"/>
  <c r="N410" i="4" s="1"/>
  <c r="L411" i="4"/>
  <c r="M411" i="4" s="1"/>
  <c r="N411" i="4"/>
  <c r="L412" i="4"/>
  <c r="M412" i="4" s="1"/>
  <c r="L413" i="4"/>
  <c r="M413" i="4" s="1"/>
  <c r="L414" i="4"/>
  <c r="N414" i="4" s="1"/>
  <c r="M414" i="4"/>
  <c r="L415" i="4"/>
  <c r="M415" i="4" s="1"/>
  <c r="L416" i="4"/>
  <c r="N416" i="4" s="1"/>
  <c r="L417" i="4"/>
  <c r="N417" i="4" s="1"/>
  <c r="L418" i="4"/>
  <c r="M418" i="4"/>
  <c r="N418" i="4"/>
  <c r="L419" i="4"/>
  <c r="M419" i="4" s="1"/>
  <c r="L420" i="4"/>
  <c r="M420" i="4" s="1"/>
  <c r="L421" i="4"/>
  <c r="M421" i="4" s="1"/>
  <c r="L422" i="4"/>
  <c r="N422" i="4" s="1"/>
  <c r="L423" i="4"/>
  <c r="N423" i="4" s="1"/>
  <c r="L424" i="4"/>
  <c r="N424" i="4" s="1"/>
  <c r="L563" i="4"/>
  <c r="M563" i="4" s="1"/>
  <c r="L564" i="4"/>
  <c r="M564" i="4" s="1"/>
  <c r="L565" i="4"/>
  <c r="M565" i="4" s="1"/>
  <c r="L578" i="4"/>
  <c r="M578" i="4" s="1"/>
  <c r="L579" i="4"/>
  <c r="M579" i="4" s="1"/>
  <c r="L580" i="4"/>
  <c r="M580" i="4" s="1"/>
  <c r="L581" i="4"/>
  <c r="M581" i="4" s="1"/>
  <c r="L582" i="4"/>
  <c r="M582" i="4" s="1"/>
  <c r="L583" i="4"/>
  <c r="M583" i="4" s="1"/>
  <c r="L584" i="4"/>
  <c r="M584" i="4" s="1"/>
  <c r="L585" i="4"/>
  <c r="M585" i="4" s="1"/>
  <c r="L586" i="4"/>
  <c r="L587" i="4"/>
  <c r="N587" i="4" s="1"/>
  <c r="L588" i="4"/>
  <c r="M588" i="4" s="1"/>
  <c r="L589" i="4"/>
  <c r="M589" i="4" s="1"/>
  <c r="L590" i="4"/>
  <c r="M590" i="4" s="1"/>
  <c r="N590" i="4"/>
  <c r="L591" i="4"/>
  <c r="M591" i="4" s="1"/>
  <c r="L592" i="4"/>
  <c r="M592" i="4" s="1"/>
  <c r="L593" i="4"/>
  <c r="M593" i="4"/>
  <c r="N593" i="4"/>
  <c r="L594" i="4"/>
  <c r="M594" i="4" s="1"/>
  <c r="L595" i="4"/>
  <c r="M595" i="4" s="1"/>
  <c r="L596" i="4"/>
  <c r="M596" i="4" s="1"/>
  <c r="L597" i="4"/>
  <c r="M597" i="4" s="1"/>
  <c r="L598" i="4"/>
  <c r="M598" i="4" s="1"/>
  <c r="L599" i="4"/>
  <c r="M599" i="4" s="1"/>
  <c r="L600" i="4"/>
  <c r="N600" i="4" s="1"/>
  <c r="L601" i="4"/>
  <c r="M601" i="4" s="1"/>
  <c r="L602" i="4"/>
  <c r="M602" i="4" s="1"/>
  <c r="L603" i="4"/>
  <c r="M603" i="4"/>
  <c r="N603" i="4"/>
  <c r="L604" i="4"/>
  <c r="M604" i="4" s="1"/>
  <c r="L605" i="4"/>
  <c r="M605" i="4" s="1"/>
  <c r="L606" i="4"/>
  <c r="M606" i="4" s="1"/>
  <c r="N606" i="4"/>
  <c r="L607" i="4"/>
  <c r="M607" i="4" s="1"/>
  <c r="L608" i="4"/>
  <c r="L609" i="4"/>
  <c r="M609" i="4" s="1"/>
  <c r="L610" i="4"/>
  <c r="M610" i="4"/>
  <c r="N610" i="4"/>
  <c r="L611" i="4"/>
  <c r="M611" i="4" s="1"/>
  <c r="L612" i="4"/>
  <c r="M612" i="4" s="1"/>
  <c r="L613" i="4"/>
  <c r="M613" i="4" s="1"/>
  <c r="L614" i="4"/>
  <c r="M614" i="4" s="1"/>
  <c r="L615" i="4"/>
  <c r="M615" i="4" s="1"/>
  <c r="L616" i="4"/>
  <c r="M616" i="4" s="1"/>
  <c r="L617" i="4"/>
  <c r="M617" i="4" s="1"/>
  <c r="L619" i="4"/>
  <c r="M619" i="4" s="1"/>
  <c r="N619" i="4"/>
  <c r="L620" i="4"/>
  <c r="M620" i="4" s="1"/>
  <c r="L621" i="4"/>
  <c r="M621" i="4" s="1"/>
  <c r="L622" i="4"/>
  <c r="M622" i="4" s="1"/>
  <c r="L623" i="4"/>
  <c r="M623" i="4" s="1"/>
  <c r="L624" i="4"/>
  <c r="M624" i="4" s="1"/>
  <c r="L625" i="4"/>
  <c r="M625" i="4" s="1"/>
  <c r="N625" i="4"/>
  <c r="L627" i="4"/>
  <c r="M627" i="4" s="1"/>
  <c r="L628" i="4"/>
  <c r="M628" i="4" s="1"/>
  <c r="L629" i="4"/>
  <c r="M629" i="4" s="1"/>
  <c r="L630" i="4"/>
  <c r="M630" i="4" s="1"/>
  <c r="L631" i="4"/>
  <c r="M631" i="4" s="1"/>
  <c r="L632" i="4"/>
  <c r="N632" i="4" s="1"/>
  <c r="L633" i="4"/>
  <c r="M633" i="4" s="1"/>
  <c r="L634" i="4"/>
  <c r="M634" i="4" s="1"/>
  <c r="L635" i="4"/>
  <c r="N635" i="4" s="1"/>
  <c r="M635" i="4"/>
  <c r="L636" i="4"/>
  <c r="M636" i="4" s="1"/>
  <c r="L637" i="4"/>
  <c r="M637" i="4" s="1"/>
  <c r="L638" i="4"/>
  <c r="M638" i="4"/>
  <c r="N638" i="4"/>
  <c r="L639" i="4"/>
  <c r="M639" i="4" s="1"/>
  <c r="L640" i="4"/>
  <c r="L641" i="4"/>
  <c r="M641" i="4" s="1"/>
  <c r="L642" i="4"/>
  <c r="N642" i="4" s="1"/>
  <c r="M642" i="4"/>
  <c r="L643" i="4"/>
  <c r="N643" i="4" s="1"/>
  <c r="M643" i="4"/>
  <c r="L645" i="4"/>
  <c r="M645" i="4" s="1"/>
  <c r="L646" i="4"/>
  <c r="M646" i="4" s="1"/>
  <c r="L647" i="4"/>
  <c r="M647" i="4" s="1"/>
  <c r="L648" i="4"/>
  <c r="M648" i="4" s="1"/>
  <c r="L649" i="4"/>
  <c r="M649" i="4" s="1"/>
  <c r="L650" i="4"/>
  <c r="L651" i="4"/>
  <c r="M651" i="4" s="1"/>
  <c r="L652" i="4"/>
  <c r="M652" i="4" s="1"/>
  <c r="L653" i="4"/>
  <c r="M653" i="4" s="1"/>
  <c r="L654" i="4"/>
  <c r="M654" i="4" s="1"/>
  <c r="L655" i="4"/>
  <c r="M655" i="4" s="1"/>
  <c r="L656" i="4"/>
  <c r="M656" i="4" s="1"/>
  <c r="L657" i="4"/>
  <c r="M657" i="4" s="1"/>
  <c r="L658" i="4"/>
  <c r="M658" i="4" s="1"/>
  <c r="L659" i="4"/>
  <c r="N659" i="4" s="1"/>
  <c r="L660" i="4"/>
  <c r="M660" i="4" s="1"/>
  <c r="L661" i="4"/>
  <c r="M661" i="4" s="1"/>
  <c r="L662" i="4"/>
  <c r="M662" i="4" s="1"/>
  <c r="L663" i="4"/>
  <c r="M663" i="4" s="1"/>
  <c r="L664" i="4"/>
  <c r="N664" i="4" s="1"/>
  <c r="L665" i="4"/>
  <c r="M665" i="4" s="1"/>
  <c r="L666" i="4"/>
  <c r="M666" i="4" s="1"/>
  <c r="L667" i="4"/>
  <c r="M667" i="4"/>
  <c r="N667" i="4"/>
  <c r="L668" i="4"/>
  <c r="M668" i="4" s="1"/>
  <c r="L669" i="4"/>
  <c r="M669" i="4" s="1"/>
  <c r="L670" i="4"/>
  <c r="M670" i="4" s="1"/>
  <c r="N670" i="4"/>
  <c r="L671" i="4"/>
  <c r="M671" i="4" s="1"/>
  <c r="L672" i="4"/>
  <c r="L673" i="4"/>
  <c r="M673" i="4" s="1"/>
  <c r="L675" i="4"/>
  <c r="M675" i="4" s="1"/>
  <c r="L676" i="4"/>
  <c r="M676" i="4" s="1"/>
  <c r="L677" i="4"/>
  <c r="M677" i="4" s="1"/>
  <c r="L678" i="4"/>
  <c r="M678" i="4" s="1"/>
  <c r="L679" i="4"/>
  <c r="M679" i="4" s="1"/>
  <c r="L680" i="4"/>
  <c r="M680" i="4" s="1"/>
  <c r="L681" i="4"/>
  <c r="M681" i="4" s="1"/>
  <c r="L682" i="4"/>
  <c r="L683" i="4"/>
  <c r="M683" i="4" s="1"/>
  <c r="N683" i="4"/>
  <c r="L684" i="4"/>
  <c r="M684" i="4" s="1"/>
  <c r="L685" i="4"/>
  <c r="M685" i="4" s="1"/>
  <c r="L686" i="4"/>
  <c r="M686" i="4"/>
  <c r="N686" i="4"/>
  <c r="L687" i="4"/>
  <c r="M687" i="4" s="1"/>
  <c r="L688" i="4"/>
  <c r="M688" i="4" s="1"/>
  <c r="L689" i="4"/>
  <c r="M689" i="4" s="1"/>
  <c r="L690" i="4"/>
  <c r="M690" i="4" s="1"/>
  <c r="L691" i="4"/>
  <c r="L692" i="4"/>
  <c r="M692" i="4" s="1"/>
  <c r="L693" i="4"/>
  <c r="M693" i="4" s="1"/>
  <c r="L694" i="4"/>
  <c r="M694" i="4" s="1"/>
  <c r="L695" i="4"/>
  <c r="M695" i="4" s="1"/>
  <c r="L696" i="4"/>
  <c r="N696" i="4" s="1"/>
  <c r="M696" i="4"/>
  <c r="L697" i="4"/>
  <c r="M697" i="4" s="1"/>
  <c r="L698" i="4"/>
  <c r="M698" i="4" s="1"/>
  <c r="L699" i="4"/>
  <c r="L700" i="4"/>
  <c r="M700" i="4" s="1"/>
  <c r="L701" i="4"/>
  <c r="M701" i="4" s="1"/>
  <c r="L702" i="4"/>
  <c r="M702" i="4" s="1"/>
  <c r="L703" i="4"/>
  <c r="M703" i="4" s="1"/>
  <c r="L704" i="4"/>
  <c r="L705" i="4"/>
  <c r="M705" i="4" s="1"/>
  <c r="L706" i="4"/>
  <c r="L707" i="4"/>
  <c r="M707" i="4" s="1"/>
  <c r="N707" i="4"/>
  <c r="L708" i="4"/>
  <c r="M708" i="4" s="1"/>
  <c r="L709" i="4"/>
  <c r="M709" i="4" s="1"/>
  <c r="L710" i="4"/>
  <c r="N710" i="4" s="1"/>
  <c r="L711" i="4"/>
  <c r="M711" i="4" s="1"/>
  <c r="L712" i="4"/>
  <c r="M712" i="4" s="1"/>
  <c r="N712" i="4"/>
  <c r="L713" i="4"/>
  <c r="M713" i="4" s="1"/>
  <c r="L714" i="4"/>
  <c r="N714" i="4" s="1"/>
  <c r="L715" i="4"/>
  <c r="M715" i="4" s="1"/>
  <c r="L716" i="4"/>
  <c r="M716" i="4" s="1"/>
  <c r="L717" i="4"/>
  <c r="M717" i="4" s="1"/>
  <c r="L718" i="4"/>
  <c r="N718" i="4" s="1"/>
  <c r="L719" i="4"/>
  <c r="M719" i="4" s="1"/>
  <c r="L720" i="4"/>
  <c r="N720" i="4" s="1"/>
  <c r="L721" i="4"/>
  <c r="M721" i="4" s="1"/>
  <c r="L722" i="4"/>
  <c r="M722" i="4" s="1"/>
  <c r="N722" i="4"/>
  <c r="L723" i="4"/>
  <c r="M723" i="4" s="1"/>
  <c r="N723" i="4"/>
  <c r="L724" i="4"/>
  <c r="M724" i="4" s="1"/>
  <c r="L725" i="4"/>
  <c r="M725" i="4" s="1"/>
  <c r="L726" i="4"/>
  <c r="L727" i="4"/>
  <c r="M727" i="4" s="1"/>
  <c r="L728" i="4"/>
  <c r="M728" i="4" s="1"/>
  <c r="L729" i="4"/>
  <c r="M729" i="4" s="1"/>
  <c r="L730" i="4"/>
  <c r="M730" i="4" s="1"/>
  <c r="L731" i="4"/>
  <c r="M731" i="4" s="1"/>
  <c r="L732" i="4"/>
  <c r="M732" i="4" s="1"/>
  <c r="L733" i="4"/>
  <c r="M733" i="4" s="1"/>
  <c r="L734" i="4"/>
  <c r="M734" i="4" s="1"/>
  <c r="L735" i="4"/>
  <c r="M735" i="4" s="1"/>
  <c r="L736" i="4"/>
  <c r="M736" i="4" s="1"/>
  <c r="L737" i="4"/>
  <c r="L738" i="4"/>
  <c r="M738" i="4" s="1"/>
  <c r="L739" i="4"/>
  <c r="N739" i="4" s="1"/>
  <c r="L740" i="4"/>
  <c r="M740" i="4" s="1"/>
  <c r="L741" i="4"/>
  <c r="M741" i="4" s="1"/>
  <c r="L742" i="4"/>
  <c r="M742" i="4" s="1"/>
  <c r="L743" i="4"/>
  <c r="M743" i="4" s="1"/>
  <c r="L744" i="4"/>
  <c r="N744" i="4" s="1"/>
  <c r="M744" i="4"/>
  <c r="L745" i="4"/>
  <c r="M745" i="4" s="1"/>
  <c r="L746" i="4"/>
  <c r="M746" i="4" s="1"/>
  <c r="N746" i="4"/>
  <c r="L747" i="4"/>
  <c r="L748" i="4"/>
  <c r="M748" i="4" s="1"/>
  <c r="L749" i="4"/>
  <c r="M749" i="4" s="1"/>
  <c r="L750" i="4"/>
  <c r="M750" i="4" s="1"/>
  <c r="L751" i="4"/>
  <c r="M751" i="4" s="1"/>
  <c r="L752" i="4"/>
  <c r="N752" i="4" s="1"/>
  <c r="M752" i="4"/>
  <c r="L753" i="4"/>
  <c r="M753" i="4" s="1"/>
  <c r="L754" i="4"/>
  <c r="N754" i="4" s="1"/>
  <c r="L755" i="4"/>
  <c r="M755" i="4" s="1"/>
  <c r="L756" i="4"/>
  <c r="M756" i="4" s="1"/>
  <c r="L757" i="4"/>
  <c r="M757" i="4" s="1"/>
  <c r="J769" i="4"/>
  <c r="J768" i="4"/>
  <c r="J767" i="4"/>
  <c r="J766" i="4"/>
  <c r="J5566" i="4" s="1"/>
  <c r="L5566" i="4" s="1"/>
  <c r="N5566" i="4" s="1"/>
  <c r="J765" i="4"/>
  <c r="J5565" i="4" s="1"/>
  <c r="J764" i="4"/>
  <c r="J5564" i="4" s="1"/>
  <c r="L5564" i="4" s="1"/>
  <c r="N5564" i="4" s="1"/>
  <c r="K763" i="4"/>
  <c r="K5563" i="4" s="1"/>
  <c r="J763" i="4"/>
  <c r="J5563" i="4" s="1"/>
  <c r="K762" i="4"/>
  <c r="K5562" i="4" s="1"/>
  <c r="J762" i="4"/>
  <c r="J5562" i="4" s="1"/>
  <c r="K761" i="4"/>
  <c r="K5561" i="4" s="1"/>
  <c r="J761" i="4"/>
  <c r="J5561" i="4" s="1"/>
  <c r="J760" i="4"/>
  <c r="J5560" i="4" s="1"/>
  <c r="J759" i="4"/>
  <c r="J5559" i="4" s="1"/>
  <c r="J758" i="4"/>
  <c r="K674" i="4"/>
  <c r="K5474" i="4" s="1"/>
  <c r="L5474" i="4" s="1"/>
  <c r="J644" i="4"/>
  <c r="J5444" i="4" s="1"/>
  <c r="K626" i="4"/>
  <c r="K5426" i="4" s="1"/>
  <c r="J618" i="4"/>
  <c r="J5418" i="4" s="1"/>
  <c r="J577" i="4"/>
  <c r="J576" i="4"/>
  <c r="J575" i="4"/>
  <c r="K574" i="4"/>
  <c r="K5374" i="4" s="1"/>
  <c r="J574" i="4"/>
  <c r="J5374" i="4" s="1"/>
  <c r="K573" i="4"/>
  <c r="K5373" i="4" s="1"/>
  <c r="J573" i="4"/>
  <c r="K572" i="4"/>
  <c r="K5372" i="4" s="1"/>
  <c r="J572" i="4"/>
  <c r="J5372" i="4" s="1"/>
  <c r="L5372" i="4" s="1"/>
  <c r="K571" i="4"/>
  <c r="K5371" i="4" s="1"/>
  <c r="J571" i="4"/>
  <c r="K570" i="4"/>
  <c r="J570" i="4"/>
  <c r="J5370" i="4" s="1"/>
  <c r="K569" i="4"/>
  <c r="K5369" i="4" s="1"/>
  <c r="J569" i="4"/>
  <c r="J5369" i="4" s="1"/>
  <c r="J568" i="4"/>
  <c r="J5368" i="4" s="1"/>
  <c r="L5368" i="4" s="1"/>
  <c r="J567" i="4"/>
  <c r="J566" i="4"/>
  <c r="J5366" i="4" s="1"/>
  <c r="K562" i="4"/>
  <c r="K5362" i="4" s="1"/>
  <c r="J562" i="4"/>
  <c r="J5362" i="4" s="1"/>
  <c r="K561" i="4"/>
  <c r="K5361" i="4" s="1"/>
  <c r="J561" i="4"/>
  <c r="K560" i="4"/>
  <c r="K5360" i="4" s="1"/>
  <c r="J560" i="4"/>
  <c r="J5360" i="4" s="1"/>
  <c r="L5360" i="4" s="1"/>
  <c r="K559" i="4"/>
  <c r="K5359" i="4" s="1"/>
  <c r="J559" i="4"/>
  <c r="J5359" i="4" s="1"/>
  <c r="K558" i="4"/>
  <c r="J558" i="4"/>
  <c r="J5358" i="4" s="1"/>
  <c r="K557" i="4"/>
  <c r="K5357" i="4" s="1"/>
  <c r="J557" i="4"/>
  <c r="J5357" i="4" s="1"/>
  <c r="K556" i="4"/>
  <c r="K5356" i="4" s="1"/>
  <c r="J556" i="4"/>
  <c r="J5356" i="4" s="1"/>
  <c r="K555" i="4"/>
  <c r="J555" i="4"/>
  <c r="K554" i="4"/>
  <c r="J554" i="4"/>
  <c r="L554" i="4" s="1"/>
  <c r="K553" i="4"/>
  <c r="K5353" i="4" s="1"/>
  <c r="J553" i="4"/>
  <c r="J5353" i="4" s="1"/>
  <c r="K552" i="4"/>
  <c r="K5352" i="4" s="1"/>
  <c r="J552" i="4"/>
  <c r="J5352" i="4" s="1"/>
  <c r="K551" i="4"/>
  <c r="K5351" i="4" s="1"/>
  <c r="J551" i="4"/>
  <c r="J5351" i="4" s="1"/>
  <c r="K550" i="4"/>
  <c r="K5350" i="4" s="1"/>
  <c r="J550" i="4"/>
  <c r="J5350" i="4" s="1"/>
  <c r="K549" i="4"/>
  <c r="K5349" i="4" s="1"/>
  <c r="J549" i="4"/>
  <c r="K548" i="4"/>
  <c r="K5348" i="4" s="1"/>
  <c r="J548" i="4"/>
  <c r="K547" i="4"/>
  <c r="J547" i="4"/>
  <c r="J5347" i="4" s="1"/>
  <c r="K546" i="4"/>
  <c r="J546" i="4"/>
  <c r="J5346" i="4" s="1"/>
  <c r="K545" i="4"/>
  <c r="K5345" i="4" s="1"/>
  <c r="J545" i="4"/>
  <c r="J5345" i="4" s="1"/>
  <c r="K544" i="4"/>
  <c r="K5344" i="4" s="1"/>
  <c r="J544" i="4"/>
  <c r="K543" i="4"/>
  <c r="K5343" i="4" s="1"/>
  <c r="J543" i="4"/>
  <c r="K542" i="4"/>
  <c r="J542" i="4"/>
  <c r="L542" i="4" s="1"/>
  <c r="K541" i="4"/>
  <c r="J541" i="4"/>
  <c r="J5341" i="4" s="1"/>
  <c r="K540" i="4"/>
  <c r="K5340" i="4" s="1"/>
  <c r="J540" i="4"/>
  <c r="J5340" i="4" s="1"/>
  <c r="K539" i="4"/>
  <c r="K5339" i="4" s="1"/>
  <c r="J539" i="4"/>
  <c r="J5339" i="4" s="1"/>
  <c r="K538" i="4"/>
  <c r="K5338" i="4" s="1"/>
  <c r="J538" i="4"/>
  <c r="K537" i="4"/>
  <c r="J537" i="4"/>
  <c r="K536" i="4"/>
  <c r="K5336" i="4" s="1"/>
  <c r="J536" i="4"/>
  <c r="J5336" i="4" s="1"/>
  <c r="L5336" i="4" s="1"/>
  <c r="K535" i="4"/>
  <c r="K5335" i="4" s="1"/>
  <c r="J535" i="4"/>
  <c r="J5335" i="4" s="1"/>
  <c r="K534" i="4"/>
  <c r="J534" i="4"/>
  <c r="J5334" i="4" s="1"/>
  <c r="K533" i="4"/>
  <c r="K5333" i="4" s="1"/>
  <c r="J533" i="4"/>
  <c r="K532" i="4"/>
  <c r="K5332" i="4" s="1"/>
  <c r="J532" i="4"/>
  <c r="K531" i="4"/>
  <c r="K5331" i="4" s="1"/>
  <c r="J531" i="4"/>
  <c r="J5331" i="4" s="1"/>
  <c r="K530" i="4"/>
  <c r="J530" i="4"/>
  <c r="J5330" i="4" s="1"/>
  <c r="K529" i="4"/>
  <c r="J529" i="4"/>
  <c r="J5329" i="4" s="1"/>
  <c r="K528" i="4"/>
  <c r="K5328" i="4" s="1"/>
  <c r="J528" i="4"/>
  <c r="K527" i="4"/>
  <c r="K5327" i="4" s="1"/>
  <c r="J527" i="4"/>
  <c r="J5327" i="4" s="1"/>
  <c r="K526" i="4"/>
  <c r="K5326" i="4" s="1"/>
  <c r="J526" i="4"/>
  <c r="J5326" i="4" s="1"/>
  <c r="K525" i="4"/>
  <c r="K5325" i="4" s="1"/>
  <c r="J525" i="4"/>
  <c r="K524" i="4"/>
  <c r="J524" i="4"/>
  <c r="K523" i="4"/>
  <c r="K5323" i="4" s="1"/>
  <c r="J523" i="4"/>
  <c r="J5323" i="4" s="1"/>
  <c r="K522" i="4"/>
  <c r="J522" i="4"/>
  <c r="K521" i="4"/>
  <c r="K5321" i="4" s="1"/>
  <c r="J521" i="4"/>
  <c r="J5321" i="4" s="1"/>
  <c r="K520" i="4"/>
  <c r="K5320" i="4" s="1"/>
  <c r="J520" i="4"/>
  <c r="K519" i="4"/>
  <c r="K5319" i="4" s="1"/>
  <c r="J519" i="4"/>
  <c r="J5319" i="4" s="1"/>
  <c r="K518" i="4"/>
  <c r="J518" i="4"/>
  <c r="K517" i="4"/>
  <c r="J517" i="4"/>
  <c r="K516" i="4"/>
  <c r="K5316" i="4" s="1"/>
  <c r="J516" i="4"/>
  <c r="J5316" i="4" s="1"/>
  <c r="K515" i="4"/>
  <c r="K5315" i="4" s="1"/>
  <c r="J515" i="4"/>
  <c r="J5315" i="4" s="1"/>
  <c r="K514" i="4"/>
  <c r="J514" i="4"/>
  <c r="K513" i="4"/>
  <c r="K5313" i="4" s="1"/>
  <c r="J513" i="4"/>
  <c r="K512" i="4"/>
  <c r="J512" i="4"/>
  <c r="K511" i="4"/>
  <c r="J511" i="4"/>
  <c r="K510" i="4"/>
  <c r="J510" i="4"/>
  <c r="K509" i="4"/>
  <c r="J509" i="4"/>
  <c r="L509" i="4" s="1"/>
  <c r="M509" i="4" s="1"/>
  <c r="K508" i="4"/>
  <c r="J508" i="4"/>
  <c r="L508" i="4" s="1"/>
  <c r="M508" i="4" s="1"/>
  <c r="K507" i="4"/>
  <c r="K5307" i="4" s="1"/>
  <c r="J507" i="4"/>
  <c r="K506" i="4"/>
  <c r="J506" i="4"/>
  <c r="K505" i="4"/>
  <c r="K5305" i="4" s="1"/>
  <c r="J505" i="4"/>
  <c r="J5305" i="4" s="1"/>
  <c r="K504" i="4"/>
  <c r="K5304" i="4" s="1"/>
  <c r="J504" i="4"/>
  <c r="J5304" i="4" s="1"/>
  <c r="K503" i="4"/>
  <c r="K5303" i="4" s="1"/>
  <c r="J503" i="4"/>
  <c r="J5303" i="4" s="1"/>
  <c r="K502" i="4"/>
  <c r="K5302" i="4" s="1"/>
  <c r="J502" i="4"/>
  <c r="K501" i="4"/>
  <c r="K5301" i="4" s="1"/>
  <c r="J501" i="4"/>
  <c r="K500" i="4"/>
  <c r="K5300" i="4" s="1"/>
  <c r="J500" i="4"/>
  <c r="J5300" i="4" s="1"/>
  <c r="K499" i="4"/>
  <c r="K5299" i="4" s="1"/>
  <c r="J499" i="4"/>
  <c r="J5299" i="4" s="1"/>
  <c r="K498" i="4"/>
  <c r="J498" i="4"/>
  <c r="J5298" i="4" s="1"/>
  <c r="K497" i="4"/>
  <c r="K5297" i="4" s="1"/>
  <c r="J497" i="4"/>
  <c r="K496" i="4"/>
  <c r="J496" i="4"/>
  <c r="K495" i="4"/>
  <c r="K5295" i="4" s="1"/>
  <c r="J495" i="4"/>
  <c r="J5295" i="4" s="1"/>
  <c r="K494" i="4"/>
  <c r="K5294" i="4" s="1"/>
  <c r="J494" i="4"/>
  <c r="J5294" i="4" s="1"/>
  <c r="L5294" i="4" s="1"/>
  <c r="N5294" i="4" s="1"/>
  <c r="K493" i="4"/>
  <c r="J493" i="4"/>
  <c r="J5293" i="4" s="1"/>
  <c r="K492" i="4"/>
  <c r="K5292" i="4" s="1"/>
  <c r="J492" i="4"/>
  <c r="J5292" i="4" s="1"/>
  <c r="K491" i="4"/>
  <c r="K5291" i="4" s="1"/>
  <c r="J491" i="4"/>
  <c r="K490" i="4"/>
  <c r="L490" i="4" s="1"/>
  <c r="J490" i="4"/>
  <c r="K489" i="4"/>
  <c r="K5289" i="4" s="1"/>
  <c r="J489" i="4"/>
  <c r="K488" i="4"/>
  <c r="K5288" i="4" s="1"/>
  <c r="J488" i="4"/>
  <c r="J5288" i="4" s="1"/>
  <c r="K487" i="4"/>
  <c r="K5287" i="4" s="1"/>
  <c r="J487" i="4"/>
  <c r="J5287" i="4" s="1"/>
  <c r="K486" i="4"/>
  <c r="J486" i="4"/>
  <c r="K485" i="4"/>
  <c r="K5285" i="4" s="1"/>
  <c r="J485" i="4"/>
  <c r="J5285" i="4" s="1"/>
  <c r="K484" i="4"/>
  <c r="K5284" i="4" s="1"/>
  <c r="J484" i="4"/>
  <c r="K483" i="4"/>
  <c r="K5283" i="4" s="1"/>
  <c r="J483" i="4"/>
  <c r="J5283" i="4" s="1"/>
  <c r="K482" i="4"/>
  <c r="K5282" i="4" s="1"/>
  <c r="J482" i="4"/>
  <c r="J5282" i="4" s="1"/>
  <c r="L5282" i="4" s="1"/>
  <c r="N5282" i="4" s="1"/>
  <c r="K481" i="4"/>
  <c r="J481" i="4"/>
  <c r="K480" i="4"/>
  <c r="J480" i="4"/>
  <c r="K479" i="4"/>
  <c r="K5279" i="4" s="1"/>
  <c r="J479" i="4"/>
  <c r="J5279" i="4" s="1"/>
  <c r="K478" i="4"/>
  <c r="K5278" i="4" s="1"/>
  <c r="J478" i="4"/>
  <c r="J5278" i="4" s="1"/>
  <c r="K477" i="4"/>
  <c r="K5277" i="4" s="1"/>
  <c r="J477" i="4"/>
  <c r="K476" i="4"/>
  <c r="K5276" i="4" s="1"/>
  <c r="J476" i="4"/>
  <c r="J5276" i="4" s="1"/>
  <c r="K475" i="4"/>
  <c r="J475" i="4"/>
  <c r="K474" i="4"/>
  <c r="J474" i="4"/>
  <c r="J5274" i="4" s="1"/>
  <c r="K473" i="4"/>
  <c r="K5273" i="4" s="1"/>
  <c r="J473" i="4"/>
  <c r="J5273" i="4" s="1"/>
  <c r="K472" i="4"/>
  <c r="K5272" i="4" s="1"/>
  <c r="J472" i="4"/>
  <c r="K471" i="4"/>
  <c r="J471" i="4"/>
  <c r="K470" i="4"/>
  <c r="K5270" i="4" s="1"/>
  <c r="J470" i="4"/>
  <c r="K469" i="4"/>
  <c r="K5269" i="4" s="1"/>
  <c r="J469" i="4"/>
  <c r="K468" i="4"/>
  <c r="K5268" i="4" s="1"/>
  <c r="J468" i="4"/>
  <c r="J5268" i="4" s="1"/>
  <c r="K467" i="4"/>
  <c r="K5267" i="4" s="1"/>
  <c r="J467" i="4"/>
  <c r="J5267" i="4" s="1"/>
  <c r="K466" i="4"/>
  <c r="K5266" i="4" s="1"/>
  <c r="J466" i="4"/>
  <c r="K465" i="4"/>
  <c r="K5265" i="4" s="1"/>
  <c r="J465" i="4"/>
  <c r="K464" i="4"/>
  <c r="K5264" i="4" s="1"/>
  <c r="J464" i="4"/>
  <c r="J5264" i="4" s="1"/>
  <c r="K463" i="4"/>
  <c r="K5263" i="4" s="1"/>
  <c r="J463" i="4"/>
  <c r="J5263" i="4" s="1"/>
  <c r="K462" i="4"/>
  <c r="J462" i="4"/>
  <c r="K461" i="4"/>
  <c r="K5261" i="4" s="1"/>
  <c r="J461" i="4"/>
  <c r="K460" i="4"/>
  <c r="K5260" i="4" s="1"/>
  <c r="J460" i="4"/>
  <c r="K459" i="4"/>
  <c r="K5259" i="4" s="1"/>
  <c r="J459" i="4"/>
  <c r="J5259" i="4" s="1"/>
  <c r="K458" i="4"/>
  <c r="K5258" i="4" s="1"/>
  <c r="J458" i="4"/>
  <c r="K457" i="4"/>
  <c r="J457" i="4"/>
  <c r="K456" i="4"/>
  <c r="J456" i="4"/>
  <c r="J5256" i="4" s="1"/>
  <c r="K455" i="4"/>
  <c r="K5255" i="4" s="1"/>
  <c r="J455" i="4"/>
  <c r="J5255" i="4" s="1"/>
  <c r="K454" i="4"/>
  <c r="J454" i="4"/>
  <c r="J5254" i="4" s="1"/>
  <c r="K453" i="4"/>
  <c r="K5253" i="4" s="1"/>
  <c r="J453" i="4"/>
  <c r="K452" i="4"/>
  <c r="K5252" i="4" s="1"/>
  <c r="J452" i="4"/>
  <c r="K451" i="4"/>
  <c r="J451" i="4"/>
  <c r="K450" i="4"/>
  <c r="J450" i="4"/>
  <c r="J5250" i="4" s="1"/>
  <c r="K449" i="4"/>
  <c r="K5249" i="4" s="1"/>
  <c r="J449" i="4"/>
  <c r="J5249" i="4" s="1"/>
  <c r="K448" i="4"/>
  <c r="K5248" i="4" s="1"/>
  <c r="J448" i="4"/>
  <c r="K447" i="4"/>
  <c r="K5247" i="4" s="1"/>
  <c r="J447" i="4"/>
  <c r="K446" i="4"/>
  <c r="K5246" i="4" s="1"/>
  <c r="J446" i="4"/>
  <c r="K445" i="4"/>
  <c r="K5245" i="4" s="1"/>
  <c r="J445" i="4"/>
  <c r="K444" i="4"/>
  <c r="K5244" i="4" s="1"/>
  <c r="J444" i="4"/>
  <c r="J5244" i="4" s="1"/>
  <c r="K443" i="4"/>
  <c r="K5243" i="4" s="1"/>
  <c r="J443" i="4"/>
  <c r="J5243" i="4" s="1"/>
  <c r="K442" i="4"/>
  <c r="K5242" i="4" s="1"/>
  <c r="J442" i="4"/>
  <c r="K441" i="4"/>
  <c r="J441" i="4"/>
  <c r="K440" i="4"/>
  <c r="K5240" i="4" s="1"/>
  <c r="J440" i="4"/>
  <c r="K439" i="4"/>
  <c r="K5239" i="4" s="1"/>
  <c r="J439" i="4"/>
  <c r="K438" i="4"/>
  <c r="J438" i="4"/>
  <c r="K437" i="4"/>
  <c r="K5237" i="4" s="1"/>
  <c r="J437" i="4"/>
  <c r="K436" i="4"/>
  <c r="K5236" i="4" s="1"/>
  <c r="J436" i="4"/>
  <c r="K435" i="4"/>
  <c r="K5235" i="4" s="1"/>
  <c r="J435" i="4"/>
  <c r="J5235" i="4" s="1"/>
  <c r="K434" i="4"/>
  <c r="K5234" i="4" s="1"/>
  <c r="J434" i="4"/>
  <c r="K433" i="4"/>
  <c r="J433" i="4"/>
  <c r="K432" i="4"/>
  <c r="J432" i="4"/>
  <c r="K431" i="4"/>
  <c r="K5231" i="4" s="1"/>
  <c r="J431" i="4"/>
  <c r="J5231" i="4" s="1"/>
  <c r="K430" i="4"/>
  <c r="K5230" i="4" s="1"/>
  <c r="J430" i="4"/>
  <c r="K429" i="4"/>
  <c r="K5229" i="4" s="1"/>
  <c r="J429" i="4"/>
  <c r="K428" i="4"/>
  <c r="K5228" i="4" s="1"/>
  <c r="J428" i="4"/>
  <c r="K427" i="4"/>
  <c r="K5227" i="4" s="1"/>
  <c r="J427" i="4"/>
  <c r="K426" i="4"/>
  <c r="J426" i="4"/>
  <c r="J5226" i="4" s="1"/>
  <c r="K425" i="4"/>
  <c r="K5225" i="4" s="1"/>
  <c r="J425" i="4"/>
  <c r="J385" i="4"/>
  <c r="J384" i="4"/>
  <c r="J383" i="4"/>
  <c r="J382" i="4"/>
  <c r="J5182" i="4" s="1"/>
  <c r="J381" i="4"/>
  <c r="J380" i="4"/>
  <c r="K380" i="4" s="1"/>
  <c r="K5180" i="4" s="1"/>
  <c r="K379" i="4"/>
  <c r="J379" i="4"/>
  <c r="K378" i="4"/>
  <c r="J378" i="4"/>
  <c r="J5178" i="4" s="1"/>
  <c r="K377" i="4"/>
  <c r="K5177" i="4" s="1"/>
  <c r="J377" i="4"/>
  <c r="J376" i="4"/>
  <c r="J375" i="4"/>
  <c r="J374" i="4"/>
  <c r="K370" i="4"/>
  <c r="J370" i="4"/>
  <c r="K369" i="4"/>
  <c r="J369" i="4"/>
  <c r="K368" i="4"/>
  <c r="K5168" i="4" s="1"/>
  <c r="J368" i="4"/>
  <c r="J5168" i="4" s="1"/>
  <c r="K367" i="4"/>
  <c r="J367" i="4"/>
  <c r="K366" i="4"/>
  <c r="J366" i="4"/>
  <c r="K365" i="4"/>
  <c r="J365" i="4"/>
  <c r="K364" i="4"/>
  <c r="J364" i="4"/>
  <c r="K363" i="4"/>
  <c r="J363" i="4"/>
  <c r="J5163" i="4" s="1"/>
  <c r="K362" i="4"/>
  <c r="J362" i="4"/>
  <c r="K361" i="4"/>
  <c r="J361" i="4"/>
  <c r="K360" i="4"/>
  <c r="J360" i="4"/>
  <c r="K359" i="4"/>
  <c r="K5159" i="4" s="1"/>
  <c r="K5735" i="4" s="1"/>
  <c r="J359" i="4"/>
  <c r="K358" i="4"/>
  <c r="J358" i="4"/>
  <c r="K357" i="4"/>
  <c r="J357" i="4"/>
  <c r="K356" i="4"/>
  <c r="J356" i="4"/>
  <c r="L356" i="4" s="1"/>
  <c r="K355" i="4"/>
  <c r="J355" i="4"/>
  <c r="K354" i="4"/>
  <c r="J354" i="4"/>
  <c r="K353" i="4"/>
  <c r="J353" i="4"/>
  <c r="K352" i="4"/>
  <c r="J352" i="4"/>
  <c r="K351" i="4"/>
  <c r="J351" i="4"/>
  <c r="K350" i="4"/>
  <c r="K5150" i="4" s="1"/>
  <c r="J350" i="4"/>
  <c r="L350" i="4" s="1"/>
  <c r="K349" i="4"/>
  <c r="K5149" i="4" s="1"/>
  <c r="J349" i="4"/>
  <c r="J5149" i="4" s="1"/>
  <c r="K348" i="4"/>
  <c r="J348" i="4"/>
  <c r="K347" i="4"/>
  <c r="J347" i="4"/>
  <c r="K346" i="4"/>
  <c r="J346" i="4"/>
  <c r="K345" i="4"/>
  <c r="J345" i="4"/>
  <c r="K344" i="4"/>
  <c r="K5144" i="4" s="1"/>
  <c r="J344" i="4"/>
  <c r="J5144" i="4" s="1"/>
  <c r="K343" i="4"/>
  <c r="J343" i="4"/>
  <c r="J5143" i="4" s="1"/>
  <c r="K342" i="4"/>
  <c r="J342" i="4"/>
  <c r="K341" i="4"/>
  <c r="J341" i="4"/>
  <c r="K340" i="4"/>
  <c r="J340" i="4"/>
  <c r="K339" i="4"/>
  <c r="J339" i="4"/>
  <c r="K338" i="4"/>
  <c r="J338" i="4"/>
  <c r="K337" i="4"/>
  <c r="J337" i="4"/>
  <c r="K336" i="4"/>
  <c r="J336" i="4"/>
  <c r="K335" i="4"/>
  <c r="J335" i="4"/>
  <c r="K334" i="4"/>
  <c r="J334" i="4"/>
  <c r="K333" i="4"/>
  <c r="J333" i="4"/>
  <c r="K332" i="4"/>
  <c r="J332" i="4"/>
  <c r="L332" i="4" s="1"/>
  <c r="K331" i="4"/>
  <c r="J331" i="4"/>
  <c r="K330" i="4"/>
  <c r="K5130" i="4" s="1"/>
  <c r="J330" i="4"/>
  <c r="K329" i="4"/>
  <c r="J329" i="4"/>
  <c r="K328" i="4"/>
  <c r="J328" i="4"/>
  <c r="K327" i="4"/>
  <c r="J327" i="4"/>
  <c r="K326" i="4"/>
  <c r="J326" i="4"/>
  <c r="K325" i="4"/>
  <c r="J325" i="4"/>
  <c r="K324" i="4"/>
  <c r="J324" i="4"/>
  <c r="K323" i="4"/>
  <c r="J323" i="4"/>
  <c r="K313" i="4"/>
  <c r="J313" i="4"/>
  <c r="K312" i="4"/>
  <c r="J312" i="4"/>
  <c r="K311" i="4"/>
  <c r="K5111" i="4" s="1"/>
  <c r="J311" i="4"/>
  <c r="J5111" i="4" s="1"/>
  <c r="K310" i="4"/>
  <c r="K5110" i="4" s="1"/>
  <c r="J310" i="4"/>
  <c r="K309" i="4"/>
  <c r="J309" i="4"/>
  <c r="K308" i="4"/>
  <c r="J308" i="4"/>
  <c r="K307" i="4"/>
  <c r="J307" i="4"/>
  <c r="K306" i="4"/>
  <c r="J306" i="4"/>
  <c r="J882" i="4" s="1"/>
  <c r="K305" i="4"/>
  <c r="K5105" i="4" s="1"/>
  <c r="K5681" i="4" s="1"/>
  <c r="J305" i="4"/>
  <c r="J5105" i="4" s="1"/>
  <c r="K304" i="4"/>
  <c r="J304" i="4"/>
  <c r="K303" i="4"/>
  <c r="J303" i="4"/>
  <c r="K302" i="4"/>
  <c r="J302" i="4"/>
  <c r="K301" i="4"/>
  <c r="J301" i="4"/>
  <c r="K300" i="4"/>
  <c r="J300" i="4"/>
  <c r="K299" i="4"/>
  <c r="J299" i="4"/>
  <c r="L299" i="4" s="1"/>
  <c r="K298" i="4"/>
  <c r="J298" i="4"/>
  <c r="K297" i="4"/>
  <c r="J297" i="4"/>
  <c r="K296" i="4"/>
  <c r="J296" i="4"/>
  <c r="K295" i="4"/>
  <c r="J295" i="4"/>
  <c r="K294" i="4"/>
  <c r="J294" i="4"/>
  <c r="K293" i="4"/>
  <c r="K5093" i="4" s="1"/>
  <c r="K5669" i="4" s="1"/>
  <c r="J293" i="4"/>
  <c r="K292" i="4"/>
  <c r="J292" i="4"/>
  <c r="K291" i="4"/>
  <c r="J291" i="4"/>
  <c r="K290" i="4"/>
  <c r="J290" i="4"/>
  <c r="K289" i="4"/>
  <c r="J289" i="4"/>
  <c r="K288" i="4"/>
  <c r="J288" i="4"/>
  <c r="K287" i="4"/>
  <c r="J287" i="4"/>
  <c r="L287" i="4" s="1"/>
  <c r="K286" i="4"/>
  <c r="J286" i="4"/>
  <c r="J5086" i="4" s="1"/>
  <c r="K285" i="4"/>
  <c r="J285" i="4"/>
  <c r="K284" i="4"/>
  <c r="J284" i="4"/>
  <c r="K283" i="4"/>
  <c r="J283" i="4"/>
  <c r="K282" i="4"/>
  <c r="J282" i="4"/>
  <c r="K281" i="4"/>
  <c r="J281" i="4"/>
  <c r="K280" i="4"/>
  <c r="K5080" i="4" s="1"/>
  <c r="K5656" i="4" s="1"/>
  <c r="J280" i="4"/>
  <c r="K279" i="4"/>
  <c r="J279" i="4"/>
  <c r="K278" i="4"/>
  <c r="J278" i="4"/>
  <c r="K277" i="4"/>
  <c r="J277" i="4"/>
  <c r="K276" i="4"/>
  <c r="K5076" i="4" s="1"/>
  <c r="J276" i="4"/>
  <c r="J5076" i="4" s="1"/>
  <c r="K275" i="4"/>
  <c r="K5075" i="4" s="1"/>
  <c r="K5651" i="4" s="1"/>
  <c r="J275" i="4"/>
  <c r="L275" i="4" s="1"/>
  <c r="K274" i="4"/>
  <c r="J274" i="4"/>
  <c r="K273" i="4"/>
  <c r="J273" i="4"/>
  <c r="K272" i="4"/>
  <c r="J272" i="4"/>
  <c r="K271" i="4"/>
  <c r="J271" i="4"/>
  <c r="K270" i="4"/>
  <c r="J270" i="4"/>
  <c r="K269" i="4"/>
  <c r="J269" i="4"/>
  <c r="K268" i="4"/>
  <c r="J268" i="4"/>
  <c r="K267" i="4"/>
  <c r="J267" i="4"/>
  <c r="K266" i="4"/>
  <c r="J266" i="4"/>
  <c r="K265" i="4"/>
  <c r="J265" i="4"/>
  <c r="K264" i="4"/>
  <c r="J264" i="4"/>
  <c r="K263" i="4"/>
  <c r="J263" i="4"/>
  <c r="K262" i="4"/>
  <c r="J262" i="4"/>
  <c r="K261" i="4"/>
  <c r="J261" i="4"/>
  <c r="K260" i="4"/>
  <c r="J260" i="4"/>
  <c r="K259" i="4"/>
  <c r="J259" i="4"/>
  <c r="K258" i="4"/>
  <c r="J258" i="4"/>
  <c r="K257" i="4"/>
  <c r="J257" i="4"/>
  <c r="K256" i="4"/>
  <c r="J256" i="4"/>
  <c r="K255" i="4"/>
  <c r="J255" i="4"/>
  <c r="K254" i="4"/>
  <c r="J254" i="4"/>
  <c r="K253" i="4"/>
  <c r="J253" i="4"/>
  <c r="K252" i="4"/>
  <c r="J252" i="4"/>
  <c r="K251" i="4"/>
  <c r="J251" i="4"/>
  <c r="K250" i="4"/>
  <c r="J250" i="4"/>
  <c r="K249" i="4"/>
  <c r="J249" i="4"/>
  <c r="K248" i="4"/>
  <c r="J248" i="4"/>
  <c r="K247" i="4"/>
  <c r="J247" i="4"/>
  <c r="K246" i="4"/>
  <c r="J246" i="4"/>
  <c r="K245" i="4"/>
  <c r="J245" i="4"/>
  <c r="J821" i="4" s="1"/>
  <c r="K244" i="4"/>
  <c r="J244" i="4"/>
  <c r="K243" i="4"/>
  <c r="J243" i="4"/>
  <c r="K242" i="4"/>
  <c r="J242" i="4"/>
  <c r="K241" i="4"/>
  <c r="J241" i="4"/>
  <c r="K240" i="4"/>
  <c r="J240" i="4"/>
  <c r="K239" i="4"/>
  <c r="J239" i="4"/>
  <c r="K238" i="4"/>
  <c r="J238" i="4"/>
  <c r="K237" i="4"/>
  <c r="J237" i="4"/>
  <c r="K236" i="4"/>
  <c r="J236" i="4"/>
  <c r="K235" i="4"/>
  <c r="J235" i="4"/>
  <c r="K234" i="4"/>
  <c r="J234" i="4"/>
  <c r="K233" i="4"/>
  <c r="G195" i="4"/>
  <c r="P195" i="4" s="1"/>
  <c r="G196" i="4"/>
  <c r="P196" i="4" s="1"/>
  <c r="G197" i="4"/>
  <c r="H197" i="4" s="1"/>
  <c r="G198" i="4"/>
  <c r="H198" i="4" s="1"/>
  <c r="G199" i="4"/>
  <c r="I199" i="4" s="1"/>
  <c r="G200" i="4"/>
  <c r="H200" i="4" s="1"/>
  <c r="G201" i="4"/>
  <c r="P201" i="4" s="1"/>
  <c r="G202" i="4"/>
  <c r="H202" i="4" s="1"/>
  <c r="I202" i="4"/>
  <c r="G203" i="4"/>
  <c r="H203" i="4" s="1"/>
  <c r="G204" i="4"/>
  <c r="H204" i="4" s="1"/>
  <c r="G205" i="4"/>
  <c r="I205" i="4" s="1"/>
  <c r="G206" i="4"/>
  <c r="I206" i="4" s="1"/>
  <c r="G207" i="4"/>
  <c r="P207" i="4" s="1"/>
  <c r="H207" i="4"/>
  <c r="G208" i="4"/>
  <c r="I208" i="4" s="1"/>
  <c r="G209" i="4"/>
  <c r="H209" i="4" s="1"/>
  <c r="G210" i="4"/>
  <c r="G211" i="4"/>
  <c r="H211" i="4" s="1"/>
  <c r="G212" i="4"/>
  <c r="I212" i="4" s="1"/>
  <c r="G213" i="4"/>
  <c r="I213" i="4" s="1"/>
  <c r="G214" i="4"/>
  <c r="H214" i="4" s="1"/>
  <c r="G215" i="4"/>
  <c r="I215" i="4" s="1"/>
  <c r="H215" i="4"/>
  <c r="G216" i="4"/>
  <c r="I216" i="4" s="1"/>
  <c r="G217" i="4"/>
  <c r="G218" i="4"/>
  <c r="H218" i="4"/>
  <c r="I218" i="4"/>
  <c r="G219" i="4"/>
  <c r="I219" i="4" s="1"/>
  <c r="G220" i="4"/>
  <c r="P220" i="4" s="1"/>
  <c r="G221" i="4"/>
  <c r="G222" i="4"/>
  <c r="H222" i="4" s="1"/>
  <c r="G223" i="4"/>
  <c r="P223" i="4" s="1"/>
  <c r="G224" i="4"/>
  <c r="H224" i="4" s="1"/>
  <c r="G225" i="4"/>
  <c r="H225" i="4" s="1"/>
  <c r="G226" i="4"/>
  <c r="H226" i="4" s="1"/>
  <c r="G227" i="4"/>
  <c r="P227" i="4" s="1"/>
  <c r="H227" i="4"/>
  <c r="G228" i="4"/>
  <c r="H228" i="4" s="1"/>
  <c r="G229" i="4"/>
  <c r="I229" i="4" s="1"/>
  <c r="G230" i="4"/>
  <c r="H230" i="4" s="1"/>
  <c r="G231" i="4"/>
  <c r="I231" i="4" s="1"/>
  <c r="G232" i="4"/>
  <c r="H232" i="4" s="1"/>
  <c r="I232" i="4"/>
  <c r="G314" i="4"/>
  <c r="H314" i="4" s="1"/>
  <c r="G315" i="4"/>
  <c r="I315" i="4" s="1"/>
  <c r="H315" i="4"/>
  <c r="G316" i="4"/>
  <c r="P316" i="4" s="1"/>
  <c r="G317" i="4"/>
  <c r="P317" i="4" s="1"/>
  <c r="G318" i="4"/>
  <c r="G319" i="4"/>
  <c r="H319" i="4" s="1"/>
  <c r="G320" i="4"/>
  <c r="H320" i="4" s="1"/>
  <c r="G321" i="4"/>
  <c r="H321" i="4" s="1"/>
  <c r="G322" i="4"/>
  <c r="H322" i="4" s="1"/>
  <c r="G386" i="4"/>
  <c r="H386" i="4" s="1"/>
  <c r="G387" i="4"/>
  <c r="H387" i="4" s="1"/>
  <c r="I387" i="4"/>
  <c r="G388" i="4"/>
  <c r="G389" i="4"/>
  <c r="H389" i="4" s="1"/>
  <c r="G390" i="4"/>
  <c r="H390" i="4" s="1"/>
  <c r="G391" i="4"/>
  <c r="H391" i="4" s="1"/>
  <c r="G392" i="4"/>
  <c r="H392" i="4" s="1"/>
  <c r="G393" i="4"/>
  <c r="I393" i="4" s="1"/>
  <c r="G394" i="4"/>
  <c r="H394" i="4" s="1"/>
  <c r="G395" i="4"/>
  <c r="H395" i="4" s="1"/>
  <c r="G396" i="4"/>
  <c r="H396" i="4" s="1"/>
  <c r="G397" i="4"/>
  <c r="H397" i="4" s="1"/>
  <c r="G398" i="4"/>
  <c r="H398" i="4" s="1"/>
  <c r="G399" i="4"/>
  <c r="I399" i="4" s="1"/>
  <c r="H399" i="4"/>
  <c r="G400" i="4"/>
  <c r="I400" i="4" s="1"/>
  <c r="H400" i="4"/>
  <c r="G401" i="4"/>
  <c r="I401" i="4" s="1"/>
  <c r="G402" i="4"/>
  <c r="H402" i="4" s="1"/>
  <c r="G403" i="4"/>
  <c r="I403" i="4" s="1"/>
  <c r="H403" i="4"/>
  <c r="G404" i="4"/>
  <c r="H404" i="4" s="1"/>
  <c r="G405" i="4"/>
  <c r="I405" i="4" s="1"/>
  <c r="G406" i="4"/>
  <c r="H406" i="4" s="1"/>
  <c r="G407" i="4"/>
  <c r="H407" i="4" s="1"/>
  <c r="G408" i="4"/>
  <c r="H408" i="4" s="1"/>
  <c r="G409" i="4"/>
  <c r="H409" i="4" s="1"/>
  <c r="G410" i="4"/>
  <c r="H410" i="4" s="1"/>
  <c r="G411" i="4"/>
  <c r="I411" i="4" s="1"/>
  <c r="G412" i="4"/>
  <c r="H412" i="4" s="1"/>
  <c r="G413" i="4"/>
  <c r="H413" i="4" s="1"/>
  <c r="G414" i="4"/>
  <c r="H414" i="4" s="1"/>
  <c r="G415" i="4"/>
  <c r="H415" i="4" s="1"/>
  <c r="G416" i="4"/>
  <c r="H416" i="4" s="1"/>
  <c r="G417" i="4"/>
  <c r="H417" i="4" s="1"/>
  <c r="I417" i="4"/>
  <c r="G418" i="4"/>
  <c r="H418" i="4" s="1"/>
  <c r="G419" i="4"/>
  <c r="I419" i="4" s="1"/>
  <c r="G420" i="4"/>
  <c r="I420" i="4" s="1"/>
  <c r="H420" i="4"/>
  <c r="G421" i="4"/>
  <c r="H421" i="4" s="1"/>
  <c r="G456" i="4"/>
  <c r="I456" i="4" s="1"/>
  <c r="H456" i="4"/>
  <c r="G506" i="4"/>
  <c r="I506" i="4" s="1"/>
  <c r="G507" i="4"/>
  <c r="I507" i="4" s="1"/>
  <c r="H507" i="4"/>
  <c r="G508" i="4"/>
  <c r="H508" i="4" s="1"/>
  <c r="G509" i="4"/>
  <c r="I509" i="4" s="1"/>
  <c r="G510" i="4"/>
  <c r="H510" i="4" s="1"/>
  <c r="G511" i="4"/>
  <c r="H511" i="4" s="1"/>
  <c r="G512" i="4"/>
  <c r="I512" i="4" s="1"/>
  <c r="G513" i="4"/>
  <c r="H513" i="4" s="1"/>
  <c r="G514" i="4"/>
  <c r="H514" i="4" s="1"/>
  <c r="G578" i="4"/>
  <c r="H578" i="4" s="1"/>
  <c r="G579" i="4"/>
  <c r="H579" i="4" s="1"/>
  <c r="G580" i="4"/>
  <c r="H580" i="4" s="1"/>
  <c r="G581" i="4"/>
  <c r="H581" i="4" s="1"/>
  <c r="G582" i="4"/>
  <c r="H582" i="4" s="1"/>
  <c r="G583" i="4"/>
  <c r="H583" i="4" s="1"/>
  <c r="G584" i="4"/>
  <c r="I584" i="4" s="1"/>
  <c r="G585" i="4"/>
  <c r="H585" i="4" s="1"/>
  <c r="G586" i="4"/>
  <c r="H586" i="4" s="1"/>
  <c r="G587" i="4"/>
  <c r="G588" i="4"/>
  <c r="I588" i="4" s="1"/>
  <c r="H588" i="4"/>
  <c r="G589" i="4"/>
  <c r="I589" i="4" s="1"/>
  <c r="G590" i="4"/>
  <c r="H590" i="4" s="1"/>
  <c r="G591" i="4"/>
  <c r="H591" i="4" s="1"/>
  <c r="G592" i="4"/>
  <c r="I592" i="4" s="1"/>
  <c r="H592" i="4"/>
  <c r="G593" i="4"/>
  <c r="H593" i="4" s="1"/>
  <c r="G594" i="4"/>
  <c r="I594" i="4" s="1"/>
  <c r="G595" i="4"/>
  <c r="H595" i="4" s="1"/>
  <c r="G596" i="4"/>
  <c r="I596" i="4" s="1"/>
  <c r="H596" i="4"/>
  <c r="G597" i="4"/>
  <c r="H597" i="4" s="1"/>
  <c r="G598" i="4"/>
  <c r="H598" i="4" s="1"/>
  <c r="G599" i="4"/>
  <c r="H599" i="4" s="1"/>
  <c r="G600" i="4"/>
  <c r="H600" i="4" s="1"/>
  <c r="G601" i="4"/>
  <c r="H601" i="4" s="1"/>
  <c r="G602" i="4"/>
  <c r="I602" i="4" s="1"/>
  <c r="G603" i="4"/>
  <c r="H603" i="4" s="1"/>
  <c r="G604" i="4"/>
  <c r="H604" i="4"/>
  <c r="I604" i="4"/>
  <c r="G605" i="4"/>
  <c r="H605" i="4" s="1"/>
  <c r="G606" i="4"/>
  <c r="H606" i="4" s="1"/>
  <c r="G607" i="4"/>
  <c r="H607" i="4" s="1"/>
  <c r="G608" i="4"/>
  <c r="I608" i="4" s="1"/>
  <c r="G609" i="4"/>
  <c r="I609" i="4" s="1"/>
  <c r="G610" i="4"/>
  <c r="H610" i="4" s="1"/>
  <c r="I610" i="4"/>
  <c r="G611" i="4"/>
  <c r="H611" i="4" s="1"/>
  <c r="G612" i="4"/>
  <c r="H612" i="4" s="1"/>
  <c r="G613" i="4"/>
  <c r="H613" i="4" s="1"/>
  <c r="G614" i="4"/>
  <c r="H614" i="4" s="1"/>
  <c r="G615" i="4"/>
  <c r="H615" i="4" s="1"/>
  <c r="G616" i="4"/>
  <c r="I616" i="4" s="1"/>
  <c r="G617" i="4"/>
  <c r="H617" i="4" s="1"/>
  <c r="G618" i="4"/>
  <c r="H618" i="4" s="1"/>
  <c r="G619" i="4"/>
  <c r="H619" i="4" s="1"/>
  <c r="I619" i="4"/>
  <c r="G620" i="4"/>
  <c r="I620" i="4" s="1"/>
  <c r="G621" i="4"/>
  <c r="H621" i="4" s="1"/>
  <c r="G622" i="4"/>
  <c r="H622" i="4" s="1"/>
  <c r="G623" i="4"/>
  <c r="H623" i="4" s="1"/>
  <c r="G624" i="4"/>
  <c r="H624" i="4" s="1"/>
  <c r="G625" i="4"/>
  <c r="H625" i="4" s="1"/>
  <c r="G626" i="4"/>
  <c r="H626" i="4" s="1"/>
  <c r="I626" i="4"/>
  <c r="G627" i="4"/>
  <c r="H627" i="4" s="1"/>
  <c r="G628" i="4"/>
  <c r="H628" i="4" s="1"/>
  <c r="I628" i="4"/>
  <c r="G629" i="4"/>
  <c r="H629" i="4" s="1"/>
  <c r="G630" i="4"/>
  <c r="H630" i="4" s="1"/>
  <c r="G631" i="4"/>
  <c r="H631" i="4" s="1"/>
  <c r="G632" i="4"/>
  <c r="H632" i="4" s="1"/>
  <c r="I632" i="4"/>
  <c r="G633" i="4"/>
  <c r="H633" i="4" s="1"/>
  <c r="G634" i="4"/>
  <c r="H634" i="4" s="1"/>
  <c r="G635" i="4"/>
  <c r="G636" i="4"/>
  <c r="I636" i="4" s="1"/>
  <c r="H636" i="4"/>
  <c r="G637" i="4"/>
  <c r="I637" i="4" s="1"/>
  <c r="G638" i="4"/>
  <c r="H638" i="4" s="1"/>
  <c r="G639" i="4"/>
  <c r="H639" i="4" s="1"/>
  <c r="G640" i="4"/>
  <c r="I640" i="4" s="1"/>
  <c r="H640" i="4"/>
  <c r="G641" i="4"/>
  <c r="H641" i="4" s="1"/>
  <c r="G642" i="4"/>
  <c r="I642" i="4" s="1"/>
  <c r="G643" i="4"/>
  <c r="H643" i="4" s="1"/>
  <c r="G644" i="4"/>
  <c r="I644" i="4" s="1"/>
  <c r="G645" i="4"/>
  <c r="I645" i="4" s="1"/>
  <c r="H645" i="4"/>
  <c r="G646" i="4"/>
  <c r="H646" i="4" s="1"/>
  <c r="G647" i="4"/>
  <c r="H647" i="4" s="1"/>
  <c r="G648" i="4"/>
  <c r="H648" i="4" s="1"/>
  <c r="G649" i="4"/>
  <c r="H649" i="4" s="1"/>
  <c r="I649" i="4"/>
  <c r="G650" i="4"/>
  <c r="I650" i="4" s="1"/>
  <c r="H650" i="4"/>
  <c r="G651" i="4"/>
  <c r="H651" i="4" s="1"/>
  <c r="G652" i="4"/>
  <c r="H652" i="4" s="1"/>
  <c r="G653" i="4"/>
  <c r="H653" i="4" s="1"/>
  <c r="G654" i="4"/>
  <c r="H654" i="4" s="1"/>
  <c r="G655" i="4"/>
  <c r="H655" i="4" s="1"/>
  <c r="G656" i="4"/>
  <c r="H656" i="4" s="1"/>
  <c r="G657" i="4"/>
  <c r="I657" i="4" s="1"/>
  <c r="G658" i="4"/>
  <c r="H658" i="4"/>
  <c r="I658" i="4"/>
  <c r="G659" i="4"/>
  <c r="H659" i="4" s="1"/>
  <c r="G660" i="4"/>
  <c r="H660" i="4"/>
  <c r="I660" i="4"/>
  <c r="G661" i="4"/>
  <c r="H661" i="4" s="1"/>
  <c r="G662" i="4"/>
  <c r="H662" i="4" s="1"/>
  <c r="G663" i="4"/>
  <c r="H663" i="4" s="1"/>
  <c r="G664" i="4"/>
  <c r="I664" i="4" s="1"/>
  <c r="G665" i="4"/>
  <c r="H665" i="4" s="1"/>
  <c r="G666" i="4"/>
  <c r="H666" i="4" s="1"/>
  <c r="G667" i="4"/>
  <c r="H667" i="4"/>
  <c r="I667" i="4"/>
  <c r="G668" i="4"/>
  <c r="I668" i="4" s="1"/>
  <c r="G669" i="4"/>
  <c r="H669" i="4" s="1"/>
  <c r="G670" i="4"/>
  <c r="H670" i="4" s="1"/>
  <c r="G671" i="4"/>
  <c r="H671" i="4" s="1"/>
  <c r="G672" i="4"/>
  <c r="I672" i="4" s="1"/>
  <c r="G673" i="4"/>
  <c r="H673" i="4" s="1"/>
  <c r="I673" i="4"/>
  <c r="G674" i="4"/>
  <c r="H674" i="4" s="1"/>
  <c r="I674" i="4"/>
  <c r="G675" i="4"/>
  <c r="H675" i="4" s="1"/>
  <c r="G676" i="4"/>
  <c r="H676" i="4" s="1"/>
  <c r="G677" i="4"/>
  <c r="H677" i="4" s="1"/>
  <c r="I677" i="4"/>
  <c r="G678" i="4"/>
  <c r="H678" i="4" s="1"/>
  <c r="G679" i="4"/>
  <c r="H679" i="4" s="1"/>
  <c r="G680" i="4"/>
  <c r="I680" i="4" s="1"/>
  <c r="H680" i="4"/>
  <c r="G681" i="4"/>
  <c r="H681" i="4" s="1"/>
  <c r="G682" i="4"/>
  <c r="H682" i="4" s="1"/>
  <c r="G683" i="4"/>
  <c r="G684" i="4"/>
  <c r="H684" i="4" s="1"/>
  <c r="I684" i="4"/>
  <c r="G685" i="4"/>
  <c r="I685" i="4" s="1"/>
  <c r="H685" i="4"/>
  <c r="G686" i="4"/>
  <c r="H686" i="4" s="1"/>
  <c r="G687" i="4"/>
  <c r="H687" i="4" s="1"/>
  <c r="G688" i="4"/>
  <c r="I688" i="4" s="1"/>
  <c r="G689" i="4"/>
  <c r="H689" i="4" s="1"/>
  <c r="G690" i="4"/>
  <c r="I690" i="4" s="1"/>
  <c r="G691" i="4"/>
  <c r="H691" i="4" s="1"/>
  <c r="G692" i="4"/>
  <c r="I692" i="4" s="1"/>
  <c r="G693" i="4"/>
  <c r="I693" i="4" s="1"/>
  <c r="H693" i="4"/>
  <c r="G694" i="4"/>
  <c r="H694" i="4" s="1"/>
  <c r="G695" i="4"/>
  <c r="H695" i="4" s="1"/>
  <c r="G696" i="4"/>
  <c r="H696" i="4" s="1"/>
  <c r="G697" i="4"/>
  <c r="H697" i="4" s="1"/>
  <c r="G698" i="4"/>
  <c r="I698" i="4" s="1"/>
  <c r="H698" i="4"/>
  <c r="G699" i="4"/>
  <c r="H699" i="4" s="1"/>
  <c r="G700" i="4"/>
  <c r="I700" i="4" s="1"/>
  <c r="G701" i="4"/>
  <c r="H701" i="4" s="1"/>
  <c r="G702" i="4"/>
  <c r="H702" i="4" s="1"/>
  <c r="G703" i="4"/>
  <c r="H703" i="4" s="1"/>
  <c r="G704" i="4"/>
  <c r="I704" i="4" s="1"/>
  <c r="H704" i="4"/>
  <c r="G705" i="4"/>
  <c r="I705" i="4" s="1"/>
  <c r="H705" i="4"/>
  <c r="G706" i="4"/>
  <c r="H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I712" i="4" s="1"/>
  <c r="G713" i="4"/>
  <c r="H713" i="4" s="1"/>
  <c r="G714" i="4"/>
  <c r="I714" i="4" s="1"/>
  <c r="H714" i="4"/>
  <c r="G715" i="4"/>
  <c r="H715" i="4" s="1"/>
  <c r="G716" i="4"/>
  <c r="I716" i="4" s="1"/>
  <c r="G717" i="4"/>
  <c r="H717" i="4" s="1"/>
  <c r="G718" i="4"/>
  <c r="H718" i="4" s="1"/>
  <c r="G719" i="4"/>
  <c r="H719" i="4" s="1"/>
  <c r="G720" i="4"/>
  <c r="H720" i="4" s="1"/>
  <c r="G721" i="4"/>
  <c r="H721" i="4" s="1"/>
  <c r="G722" i="4"/>
  <c r="H722" i="4" s="1"/>
  <c r="G723" i="4"/>
  <c r="H723" i="4" s="1"/>
  <c r="G724" i="4"/>
  <c r="H724" i="4" s="1"/>
  <c r="G725" i="4"/>
  <c r="H725" i="4" s="1"/>
  <c r="I725" i="4"/>
  <c r="G726" i="4"/>
  <c r="H726" i="4" s="1"/>
  <c r="G727" i="4"/>
  <c r="H727" i="4" s="1"/>
  <c r="G728" i="4"/>
  <c r="H728" i="4" s="1"/>
  <c r="G729" i="4"/>
  <c r="H729" i="4" s="1"/>
  <c r="G730" i="4"/>
  <c r="H730" i="4" s="1"/>
  <c r="I730" i="4"/>
  <c r="G731" i="4"/>
  <c r="G732" i="4"/>
  <c r="H732" i="4" s="1"/>
  <c r="G733" i="4"/>
  <c r="H733" i="4" s="1"/>
  <c r="G734" i="4"/>
  <c r="H734" i="4" s="1"/>
  <c r="G735" i="4"/>
  <c r="H735" i="4" s="1"/>
  <c r="G736" i="4"/>
  <c r="I736" i="4" s="1"/>
  <c r="G737" i="4"/>
  <c r="H737" i="4" s="1"/>
  <c r="G738" i="4"/>
  <c r="I738" i="4" s="1"/>
  <c r="H738" i="4"/>
  <c r="G739" i="4"/>
  <c r="I739" i="4" s="1"/>
  <c r="G740" i="4"/>
  <c r="I740" i="4" s="1"/>
  <c r="G741" i="4"/>
  <c r="H741" i="4" s="1"/>
  <c r="I741" i="4"/>
  <c r="G742" i="4"/>
  <c r="H742" i="4" s="1"/>
  <c r="G743" i="4"/>
  <c r="H743" i="4" s="1"/>
  <c r="G744" i="4"/>
  <c r="H744" i="4" s="1"/>
  <c r="I744" i="4"/>
  <c r="G745" i="4"/>
  <c r="H745" i="4" s="1"/>
  <c r="I745" i="4"/>
  <c r="G746" i="4"/>
  <c r="I746" i="4" s="1"/>
  <c r="G747" i="4"/>
  <c r="H747" i="4" s="1"/>
  <c r="G748" i="4"/>
  <c r="H748" i="4" s="1"/>
  <c r="G749" i="4"/>
  <c r="H749" i="4" s="1"/>
  <c r="G750" i="4"/>
  <c r="H750" i="4" s="1"/>
  <c r="G751" i="4"/>
  <c r="H751" i="4" s="1"/>
  <c r="G752" i="4"/>
  <c r="H752" i="4" s="1"/>
  <c r="G753" i="4"/>
  <c r="H753" i="4" s="1"/>
  <c r="G754" i="4"/>
  <c r="I754" i="4" s="1"/>
  <c r="G759" i="4"/>
  <c r="H759" i="4" s="1"/>
  <c r="G194" i="4"/>
  <c r="H194" i="4" s="1"/>
  <c r="E769" i="4"/>
  <c r="E768" i="4"/>
  <c r="E767" i="4"/>
  <c r="E766" i="4"/>
  <c r="E5566" i="4" s="1"/>
  <c r="E765" i="4"/>
  <c r="E5565" i="4" s="1"/>
  <c r="E764" i="4"/>
  <c r="E5564" i="4" s="1"/>
  <c r="F763" i="4"/>
  <c r="F5563" i="4" s="1"/>
  <c r="E763" i="4"/>
  <c r="E5563" i="4" s="1"/>
  <c r="F762" i="4"/>
  <c r="F5562" i="4" s="1"/>
  <c r="E762" i="4"/>
  <c r="E5562" i="4" s="1"/>
  <c r="F761" i="4"/>
  <c r="F5561" i="4" s="1"/>
  <c r="E761" i="4"/>
  <c r="E5561" i="4" s="1"/>
  <c r="E760" i="4"/>
  <c r="E5560" i="4" s="1"/>
  <c r="G5560" i="4" s="1"/>
  <c r="H5560" i="4" s="1"/>
  <c r="E759" i="4"/>
  <c r="E5559" i="4" s="1"/>
  <c r="G5559" i="4" s="1"/>
  <c r="I5559" i="4" s="1"/>
  <c r="E758" i="4"/>
  <c r="E5558" i="4" s="1"/>
  <c r="E757" i="4"/>
  <c r="E5557" i="4" s="1"/>
  <c r="G5557" i="4" s="1"/>
  <c r="E756" i="4"/>
  <c r="E5556" i="4" s="1"/>
  <c r="G5556" i="4" s="1"/>
  <c r="E755" i="4"/>
  <c r="E577" i="4"/>
  <c r="E576" i="4"/>
  <c r="E5376" i="4" s="1"/>
  <c r="E575" i="4"/>
  <c r="E574" i="4"/>
  <c r="E573" i="4"/>
  <c r="E572" i="4"/>
  <c r="F571" i="4"/>
  <c r="E571" i="4"/>
  <c r="E5371" i="4" s="1"/>
  <c r="F570" i="4"/>
  <c r="F5370" i="4" s="1"/>
  <c r="E570" i="4"/>
  <c r="F569" i="4"/>
  <c r="E569" i="4"/>
  <c r="E5369" i="4" s="1"/>
  <c r="E568" i="4"/>
  <c r="E5368" i="4" s="1"/>
  <c r="G5368" i="4" s="1"/>
  <c r="I5368" i="4" s="1"/>
  <c r="E567" i="4"/>
  <c r="E5367" i="4" s="1"/>
  <c r="E566" i="4"/>
  <c r="E5366" i="4" s="1"/>
  <c r="E565" i="4"/>
  <c r="E5365" i="4" s="1"/>
  <c r="G5365" i="4" s="1"/>
  <c r="I5365" i="4" s="1"/>
  <c r="E564" i="4"/>
  <c r="E5364" i="4" s="1"/>
  <c r="E563" i="4"/>
  <c r="E5363" i="4" s="1"/>
  <c r="G5363" i="4" s="1"/>
  <c r="I5363" i="4" s="1"/>
  <c r="F562" i="4"/>
  <c r="E562" i="4"/>
  <c r="E5362" i="4" s="1"/>
  <c r="F561" i="4"/>
  <c r="F5361" i="4" s="1"/>
  <c r="E561" i="4"/>
  <c r="E5361" i="4" s="1"/>
  <c r="F560" i="4"/>
  <c r="E560" i="4"/>
  <c r="E5360" i="4" s="1"/>
  <c r="F559" i="4"/>
  <c r="F5359" i="4" s="1"/>
  <c r="E559" i="4"/>
  <c r="E5359" i="4" s="1"/>
  <c r="G5359" i="4" s="1"/>
  <c r="I5359" i="4" s="1"/>
  <c r="F558" i="4"/>
  <c r="F5358" i="4" s="1"/>
  <c r="E558" i="4"/>
  <c r="F557" i="4"/>
  <c r="F5357" i="4" s="1"/>
  <c r="E557" i="4"/>
  <c r="E5357" i="4" s="1"/>
  <c r="F556" i="4"/>
  <c r="F5356" i="4" s="1"/>
  <c r="E556" i="4"/>
  <c r="E5356" i="4" s="1"/>
  <c r="G5356" i="4" s="1"/>
  <c r="I5356" i="4" s="1"/>
  <c r="F555" i="4"/>
  <c r="F5355" i="4" s="1"/>
  <c r="E555" i="4"/>
  <c r="E5355" i="4" s="1"/>
  <c r="G5355" i="4" s="1"/>
  <c r="H5355" i="4" s="1"/>
  <c r="F554" i="4"/>
  <c r="F5354" i="4" s="1"/>
  <c r="E554" i="4"/>
  <c r="E5354" i="4" s="1"/>
  <c r="F553" i="4"/>
  <c r="F5353" i="4" s="1"/>
  <c r="E553" i="4"/>
  <c r="E5353" i="4" s="1"/>
  <c r="F552" i="4"/>
  <c r="F5352" i="4" s="1"/>
  <c r="E552" i="4"/>
  <c r="E5352" i="4" s="1"/>
  <c r="F551" i="4"/>
  <c r="F5351" i="4" s="1"/>
  <c r="E551" i="4"/>
  <c r="E5351" i="4" s="1"/>
  <c r="F550" i="4"/>
  <c r="F5350" i="4" s="1"/>
  <c r="E550" i="4"/>
  <c r="E5350" i="4" s="1"/>
  <c r="F549" i="4"/>
  <c r="F5349" i="4" s="1"/>
  <c r="E549" i="4"/>
  <c r="E5349" i="4" s="1"/>
  <c r="F548" i="4"/>
  <c r="E548" i="4"/>
  <c r="E5348" i="4" s="1"/>
  <c r="F547" i="4"/>
  <c r="E547" i="4"/>
  <c r="E5347" i="4" s="1"/>
  <c r="F546" i="4"/>
  <c r="F5346" i="4" s="1"/>
  <c r="E546" i="4"/>
  <c r="F545" i="4"/>
  <c r="F5345" i="4" s="1"/>
  <c r="E545" i="4"/>
  <c r="E5345" i="4" s="1"/>
  <c r="F544" i="4"/>
  <c r="F5344" i="4" s="1"/>
  <c r="E544" i="4"/>
  <c r="E5344" i="4" s="1"/>
  <c r="G5344" i="4" s="1"/>
  <c r="F543" i="4"/>
  <c r="F5343" i="4" s="1"/>
  <c r="E543" i="4"/>
  <c r="E5343" i="4" s="1"/>
  <c r="G5343" i="4" s="1"/>
  <c r="H5343" i="4" s="1"/>
  <c r="F542" i="4"/>
  <c r="F5342" i="4" s="1"/>
  <c r="E542" i="4"/>
  <c r="E5342" i="4" s="1"/>
  <c r="F541" i="4"/>
  <c r="F5341" i="4" s="1"/>
  <c r="E541" i="4"/>
  <c r="E5341" i="4" s="1"/>
  <c r="F540" i="4"/>
  <c r="F5340" i="4" s="1"/>
  <c r="E540" i="4"/>
  <c r="E5340" i="4" s="1"/>
  <c r="F539" i="4"/>
  <c r="F5339" i="4" s="1"/>
  <c r="E539" i="4"/>
  <c r="E5339" i="4" s="1"/>
  <c r="F538" i="4"/>
  <c r="E538" i="4"/>
  <c r="E5338" i="4" s="1"/>
  <c r="F537" i="4"/>
  <c r="F5337" i="4" s="1"/>
  <c r="E537" i="4"/>
  <c r="E5337" i="4" s="1"/>
  <c r="F536" i="4"/>
  <c r="E536" i="4"/>
  <c r="E5336" i="4" s="1"/>
  <c r="F535" i="4"/>
  <c r="F5335" i="4" s="1"/>
  <c r="E535" i="4"/>
  <c r="E5335" i="4" s="1"/>
  <c r="G5335" i="4" s="1"/>
  <c r="H5335" i="4" s="1"/>
  <c r="F534" i="4"/>
  <c r="F5334" i="4" s="1"/>
  <c r="E534" i="4"/>
  <c r="F533" i="4"/>
  <c r="F5333" i="4" s="1"/>
  <c r="E533" i="4"/>
  <c r="E5333" i="4" s="1"/>
  <c r="F532" i="4"/>
  <c r="F5332" i="4" s="1"/>
  <c r="E532" i="4"/>
  <c r="E5332" i="4" s="1"/>
  <c r="G5332" i="4" s="1"/>
  <c r="F531" i="4"/>
  <c r="F5331" i="4" s="1"/>
  <c r="E531" i="4"/>
  <c r="E5331" i="4" s="1"/>
  <c r="G5331" i="4" s="1"/>
  <c r="I5331" i="4" s="1"/>
  <c r="F530" i="4"/>
  <c r="F5330" i="4" s="1"/>
  <c r="E530" i="4"/>
  <c r="E5330" i="4" s="1"/>
  <c r="F529" i="4"/>
  <c r="F5329" i="4" s="1"/>
  <c r="E529" i="4"/>
  <c r="E5329" i="4" s="1"/>
  <c r="F528" i="4"/>
  <c r="F5328" i="4" s="1"/>
  <c r="E528" i="4"/>
  <c r="E5328" i="4" s="1"/>
  <c r="F527" i="4"/>
  <c r="F5327" i="4" s="1"/>
  <c r="E527" i="4"/>
  <c r="E5327" i="4" s="1"/>
  <c r="F526" i="4"/>
  <c r="F5326" i="4" s="1"/>
  <c r="E526" i="4"/>
  <c r="E5326" i="4" s="1"/>
  <c r="F525" i="4"/>
  <c r="E525" i="4"/>
  <c r="E5325" i="4" s="1"/>
  <c r="F524" i="4"/>
  <c r="E524" i="4"/>
  <c r="E5324" i="4" s="1"/>
  <c r="F523" i="4"/>
  <c r="E523" i="4"/>
  <c r="E5323" i="4" s="1"/>
  <c r="F522" i="4"/>
  <c r="F5322" i="4" s="1"/>
  <c r="E522" i="4"/>
  <c r="F521" i="4"/>
  <c r="F5321" i="4" s="1"/>
  <c r="E521" i="4"/>
  <c r="E5321" i="4" s="1"/>
  <c r="F520" i="4"/>
  <c r="F5320" i="4" s="1"/>
  <c r="E520" i="4"/>
  <c r="E5320" i="4" s="1"/>
  <c r="G5320" i="4" s="1"/>
  <c r="F519" i="4"/>
  <c r="F5319" i="4" s="1"/>
  <c r="E519" i="4"/>
  <c r="E5319" i="4" s="1"/>
  <c r="G5319" i="4" s="1"/>
  <c r="I5319" i="4" s="1"/>
  <c r="F518" i="4"/>
  <c r="E518" i="4"/>
  <c r="E5318" i="4" s="1"/>
  <c r="F517" i="4"/>
  <c r="F5317" i="4" s="1"/>
  <c r="E517" i="4"/>
  <c r="E5317" i="4" s="1"/>
  <c r="F516" i="4"/>
  <c r="F5316" i="4" s="1"/>
  <c r="E516" i="4"/>
  <c r="E5316" i="4" s="1"/>
  <c r="F515" i="4"/>
  <c r="F5315" i="4" s="1"/>
  <c r="E515" i="4"/>
  <c r="E5315" i="4" s="1"/>
  <c r="F505" i="4"/>
  <c r="F5305" i="4" s="1"/>
  <c r="E505" i="4"/>
  <c r="E5305" i="4" s="1"/>
  <c r="F504" i="4"/>
  <c r="F5304" i="4" s="1"/>
  <c r="E504" i="4"/>
  <c r="E5304" i="4" s="1"/>
  <c r="F503" i="4"/>
  <c r="E503" i="4"/>
  <c r="E5303" i="4" s="1"/>
  <c r="F502" i="4"/>
  <c r="F5302" i="4" s="1"/>
  <c r="E502" i="4"/>
  <c r="E5302" i="4" s="1"/>
  <c r="G5302" i="4" s="1"/>
  <c r="I5302" i="4" s="1"/>
  <c r="F501" i="4"/>
  <c r="E501" i="4"/>
  <c r="E5301" i="4" s="1"/>
  <c r="F500" i="4"/>
  <c r="F5300" i="4" s="1"/>
  <c r="E500" i="4"/>
  <c r="E5300" i="4" s="1"/>
  <c r="G5300" i="4" s="1"/>
  <c r="I5300" i="4" s="1"/>
  <c r="F499" i="4"/>
  <c r="F5299" i="4" s="1"/>
  <c r="E499" i="4"/>
  <c r="E5299" i="4" s="1"/>
  <c r="G5299" i="4" s="1"/>
  <c r="I5299" i="4" s="1"/>
  <c r="F498" i="4"/>
  <c r="F5298" i="4" s="1"/>
  <c r="E498" i="4"/>
  <c r="F497" i="4"/>
  <c r="F5297" i="4" s="1"/>
  <c r="E497" i="4"/>
  <c r="E5297" i="4" s="1"/>
  <c r="F496" i="4"/>
  <c r="F5296" i="4" s="1"/>
  <c r="E496" i="4"/>
  <c r="E5296" i="4" s="1"/>
  <c r="F495" i="4"/>
  <c r="F5295" i="4" s="1"/>
  <c r="E495" i="4"/>
  <c r="E5295" i="4" s="1"/>
  <c r="F494" i="4"/>
  <c r="F5294" i="4" s="1"/>
  <c r="E494" i="4"/>
  <c r="E5294" i="4" s="1"/>
  <c r="F493" i="4"/>
  <c r="F5293" i="4" s="1"/>
  <c r="E493" i="4"/>
  <c r="E5293" i="4" s="1"/>
  <c r="F492" i="4"/>
  <c r="F5292" i="4" s="1"/>
  <c r="E492" i="4"/>
  <c r="E5292" i="4" s="1"/>
  <c r="F491" i="4"/>
  <c r="E491" i="4"/>
  <c r="E5291" i="4" s="1"/>
  <c r="F490" i="4"/>
  <c r="F5290" i="4" s="1"/>
  <c r="E490" i="4"/>
  <c r="E5290" i="4" s="1"/>
  <c r="F489" i="4"/>
  <c r="F5289" i="4" s="1"/>
  <c r="E489" i="4"/>
  <c r="E5289" i="4" s="1"/>
  <c r="F488" i="4"/>
  <c r="F5288" i="4" s="1"/>
  <c r="E488" i="4"/>
  <c r="E5288" i="4" s="1"/>
  <c r="G5288" i="4" s="1"/>
  <c r="F487" i="4"/>
  <c r="F5287" i="4" s="1"/>
  <c r="E487" i="4"/>
  <c r="E5287" i="4" s="1"/>
  <c r="G5287" i="4" s="1"/>
  <c r="I5287" i="4" s="1"/>
  <c r="F486" i="4"/>
  <c r="F5286" i="4" s="1"/>
  <c r="E486" i="4"/>
  <c r="F485" i="4"/>
  <c r="F5285" i="4" s="1"/>
  <c r="E485" i="4"/>
  <c r="E5285" i="4" s="1"/>
  <c r="F484" i="4"/>
  <c r="F5284" i="4" s="1"/>
  <c r="E484" i="4"/>
  <c r="E5284" i="4" s="1"/>
  <c r="F483" i="4"/>
  <c r="F5283" i="4" s="1"/>
  <c r="E483" i="4"/>
  <c r="E5283" i="4" s="1"/>
  <c r="F482" i="4"/>
  <c r="F5282" i="4" s="1"/>
  <c r="E482" i="4"/>
  <c r="E5282" i="4" s="1"/>
  <c r="F481" i="4"/>
  <c r="F5281" i="4" s="1"/>
  <c r="E481" i="4"/>
  <c r="E5281" i="4" s="1"/>
  <c r="F480" i="4"/>
  <c r="F5280" i="4" s="1"/>
  <c r="E480" i="4"/>
  <c r="E5280" i="4" s="1"/>
  <c r="F479" i="4"/>
  <c r="E479" i="4"/>
  <c r="E5279" i="4" s="1"/>
  <c r="F478" i="4"/>
  <c r="F5278" i="4" s="1"/>
  <c r="E478" i="4"/>
  <c r="E5278" i="4" s="1"/>
  <c r="G5278" i="4" s="1"/>
  <c r="H5278" i="4" s="1"/>
  <c r="F477" i="4"/>
  <c r="E477" i="4"/>
  <c r="E5277" i="4" s="1"/>
  <c r="F476" i="4"/>
  <c r="F5276" i="4" s="1"/>
  <c r="E476" i="4"/>
  <c r="E5276" i="4" s="1"/>
  <c r="F475" i="4"/>
  <c r="F5275" i="4" s="1"/>
  <c r="E475" i="4"/>
  <c r="E5275" i="4" s="1"/>
  <c r="F474" i="4"/>
  <c r="F5274" i="4" s="1"/>
  <c r="E474" i="4"/>
  <c r="F473" i="4"/>
  <c r="F5273" i="4" s="1"/>
  <c r="E473" i="4"/>
  <c r="E5273" i="4" s="1"/>
  <c r="F472" i="4"/>
  <c r="F5272" i="4" s="1"/>
  <c r="E472" i="4"/>
  <c r="E5272" i="4" s="1"/>
  <c r="F471" i="4"/>
  <c r="F5271" i="4" s="1"/>
  <c r="E471" i="4"/>
  <c r="E5271" i="4" s="1"/>
  <c r="F470" i="4"/>
  <c r="F5270" i="4" s="1"/>
  <c r="E470" i="4"/>
  <c r="E5270" i="4" s="1"/>
  <c r="F469" i="4"/>
  <c r="F5269" i="4" s="1"/>
  <c r="E469" i="4"/>
  <c r="E5269" i="4" s="1"/>
  <c r="F468" i="4"/>
  <c r="F5268" i="4" s="1"/>
  <c r="E468" i="4"/>
  <c r="E5268" i="4" s="1"/>
  <c r="F467" i="4"/>
  <c r="E467" i="4"/>
  <c r="E5267" i="4" s="1"/>
  <c r="F466" i="4"/>
  <c r="F5266" i="4" s="1"/>
  <c r="E466" i="4"/>
  <c r="E5266" i="4" s="1"/>
  <c r="G5266" i="4" s="1"/>
  <c r="I5266" i="4" s="1"/>
  <c r="F465" i="4"/>
  <c r="F5265" i="4" s="1"/>
  <c r="E465" i="4"/>
  <c r="E5265" i="4" s="1"/>
  <c r="F464" i="4"/>
  <c r="F5264" i="4" s="1"/>
  <c r="E464" i="4"/>
  <c r="E5264" i="4" s="1"/>
  <c r="G5264" i="4" s="1"/>
  <c r="F463" i="4"/>
  <c r="F5263" i="4" s="1"/>
  <c r="E463" i="4"/>
  <c r="E5263" i="4" s="1"/>
  <c r="F462" i="4"/>
  <c r="F5262" i="4" s="1"/>
  <c r="E462" i="4"/>
  <c r="F461" i="4"/>
  <c r="F5261" i="4" s="1"/>
  <c r="E461" i="4"/>
  <c r="F460" i="4"/>
  <c r="F5260" i="4" s="1"/>
  <c r="E460" i="4"/>
  <c r="E5260" i="4" s="1"/>
  <c r="F459" i="4"/>
  <c r="F5259" i="4" s="1"/>
  <c r="E459" i="4"/>
  <c r="E5259" i="4" s="1"/>
  <c r="F458" i="4"/>
  <c r="F5258" i="4" s="1"/>
  <c r="E458" i="4"/>
  <c r="E5258" i="4" s="1"/>
  <c r="E457" i="4"/>
  <c r="E5257" i="4" s="1"/>
  <c r="E455" i="4"/>
  <c r="E5255" i="4" s="1"/>
  <c r="F454" i="4"/>
  <c r="F5254" i="4" s="1"/>
  <c r="E454" i="4"/>
  <c r="E5254" i="4" s="1"/>
  <c r="F453" i="4"/>
  <c r="E453" i="4"/>
  <c r="E5253" i="4" s="1"/>
  <c r="F452" i="4"/>
  <c r="F5252" i="4" s="1"/>
  <c r="E452" i="4"/>
  <c r="E5252" i="4" s="1"/>
  <c r="G5252" i="4" s="1"/>
  <c r="I5252" i="4" s="1"/>
  <c r="F451" i="4"/>
  <c r="F5251" i="4" s="1"/>
  <c r="E451" i="4"/>
  <c r="E5251" i="4" s="1"/>
  <c r="F450" i="4"/>
  <c r="F5250" i="4" s="1"/>
  <c r="E450" i="4"/>
  <c r="E5250" i="4" s="1"/>
  <c r="G5250" i="4" s="1"/>
  <c r="F449" i="4"/>
  <c r="F5249" i="4" s="1"/>
  <c r="E449" i="4"/>
  <c r="E5249" i="4" s="1"/>
  <c r="F448" i="4"/>
  <c r="E448" i="4"/>
  <c r="E5248" i="4" s="1"/>
  <c r="F447" i="4"/>
  <c r="F5247" i="4" s="1"/>
  <c r="E447" i="4"/>
  <c r="F446" i="4"/>
  <c r="F5246" i="4" s="1"/>
  <c r="E446" i="4"/>
  <c r="E5246" i="4" s="1"/>
  <c r="F445" i="4"/>
  <c r="F5245" i="4" s="1"/>
  <c r="E445" i="4"/>
  <c r="E5245" i="4" s="1"/>
  <c r="F444" i="4"/>
  <c r="F5244" i="4" s="1"/>
  <c r="E444" i="4"/>
  <c r="E5244" i="4" s="1"/>
  <c r="F443" i="4"/>
  <c r="F5243" i="4" s="1"/>
  <c r="E443" i="4"/>
  <c r="E5243" i="4" s="1"/>
  <c r="F442" i="4"/>
  <c r="F5242" i="4" s="1"/>
  <c r="E442" i="4"/>
  <c r="E5242" i="4" s="1"/>
  <c r="F441" i="4"/>
  <c r="E441" i="4"/>
  <c r="E5241" i="4" s="1"/>
  <c r="F440" i="4"/>
  <c r="F5240" i="4" s="1"/>
  <c r="E440" i="4"/>
  <c r="E5240" i="4" s="1"/>
  <c r="G5240" i="4" s="1"/>
  <c r="H5240" i="4" s="1"/>
  <c r="F439" i="4"/>
  <c r="F5239" i="4" s="1"/>
  <c r="E439" i="4"/>
  <c r="E5239" i="4" s="1"/>
  <c r="F438" i="4"/>
  <c r="F5238" i="4" s="1"/>
  <c r="E438" i="4"/>
  <c r="E5238" i="4" s="1"/>
  <c r="G5238" i="4" s="1"/>
  <c r="I5238" i="4" s="1"/>
  <c r="F437" i="4"/>
  <c r="F5237" i="4" s="1"/>
  <c r="E437" i="4"/>
  <c r="E5237" i="4" s="1"/>
  <c r="F436" i="4"/>
  <c r="F5236" i="4" s="1"/>
  <c r="E436" i="4"/>
  <c r="E5236" i="4" s="1"/>
  <c r="G5236" i="4" s="1"/>
  <c r="H5236" i="4" s="1"/>
  <c r="F435" i="4"/>
  <c r="E435" i="4"/>
  <c r="E5235" i="4" s="1"/>
  <c r="F434" i="4"/>
  <c r="F5234" i="4" s="1"/>
  <c r="E434" i="4"/>
  <c r="E5234" i="4" s="1"/>
  <c r="F433" i="4"/>
  <c r="F5233" i="4" s="1"/>
  <c r="E433" i="4"/>
  <c r="E5233" i="4" s="1"/>
  <c r="F432" i="4"/>
  <c r="F5232" i="4" s="1"/>
  <c r="E432" i="4"/>
  <c r="E5232" i="4" s="1"/>
  <c r="F431" i="4"/>
  <c r="F5231" i="4" s="1"/>
  <c r="E431" i="4"/>
  <c r="E5231" i="4" s="1"/>
  <c r="F430" i="4"/>
  <c r="F5230" i="4" s="1"/>
  <c r="E430" i="4"/>
  <c r="E5230" i="4" s="1"/>
  <c r="F429" i="4"/>
  <c r="E429" i="4"/>
  <c r="E5229" i="4" s="1"/>
  <c r="F428" i="4"/>
  <c r="F5228" i="4" s="1"/>
  <c r="E428" i="4"/>
  <c r="E5228" i="4" s="1"/>
  <c r="G5228" i="4" s="1"/>
  <c r="F427" i="4"/>
  <c r="F5227" i="4" s="1"/>
  <c r="E427" i="4"/>
  <c r="E5227" i="4" s="1"/>
  <c r="F426" i="4"/>
  <c r="F5226" i="4" s="1"/>
  <c r="E426" i="4"/>
  <c r="F425" i="4"/>
  <c r="F5225" i="4" s="1"/>
  <c r="E425" i="4"/>
  <c r="F424" i="4"/>
  <c r="G424" i="4" s="1"/>
  <c r="H424" i="4" s="1"/>
  <c r="F423" i="4"/>
  <c r="E423" i="4"/>
  <c r="F422" i="4"/>
  <c r="E422" i="4"/>
  <c r="G422" i="4" s="1"/>
  <c r="H422" i="4" s="1"/>
  <c r="E385" i="4"/>
  <c r="E384" i="4"/>
  <c r="E383" i="4"/>
  <c r="E5183" i="4" s="1"/>
  <c r="E382" i="4"/>
  <c r="E381" i="4"/>
  <c r="E380" i="4"/>
  <c r="F379" i="4"/>
  <c r="E379" i="4"/>
  <c r="E5179" i="4" s="1"/>
  <c r="F378" i="4"/>
  <c r="E378" i="4"/>
  <c r="F377" i="4"/>
  <c r="E377" i="4"/>
  <c r="E376" i="4"/>
  <c r="E5176" i="4" s="1"/>
  <c r="E375" i="4"/>
  <c r="E5175" i="4" s="1"/>
  <c r="E374" i="4"/>
  <c r="E5174" i="4" s="1"/>
  <c r="G5174" i="4" s="1"/>
  <c r="I5174" i="4" s="1"/>
  <c r="E373" i="4"/>
  <c r="E5173" i="4" s="1"/>
  <c r="G5173" i="4" s="1"/>
  <c r="E372" i="4"/>
  <c r="E5172" i="4" s="1"/>
  <c r="E371" i="4"/>
  <c r="E5171" i="4" s="1"/>
  <c r="F370" i="4"/>
  <c r="E370" i="4"/>
  <c r="F369" i="4"/>
  <c r="F5169" i="4" s="1"/>
  <c r="E369" i="4"/>
  <c r="F368" i="4"/>
  <c r="E368" i="4"/>
  <c r="G368" i="4" s="1"/>
  <c r="F367" i="4"/>
  <c r="E367" i="4"/>
  <c r="F366" i="4"/>
  <c r="E366" i="4"/>
  <c r="F365" i="4"/>
  <c r="E365" i="4"/>
  <c r="F364" i="4"/>
  <c r="E364" i="4"/>
  <c r="F363" i="4"/>
  <c r="E363" i="4"/>
  <c r="F362" i="4"/>
  <c r="E362" i="4"/>
  <c r="G362" i="4" s="1"/>
  <c r="F361" i="4"/>
  <c r="E361" i="4"/>
  <c r="F360" i="4"/>
  <c r="E360" i="4"/>
  <c r="F359" i="4"/>
  <c r="E359" i="4"/>
  <c r="G359" i="4" s="1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G350" i="4" s="1"/>
  <c r="H350" i="4" s="1"/>
  <c r="F349" i="4"/>
  <c r="E349" i="4"/>
  <c r="F348" i="4"/>
  <c r="E348" i="4"/>
  <c r="F347" i="4"/>
  <c r="E347" i="4"/>
  <c r="F346" i="4"/>
  <c r="E346" i="4"/>
  <c r="F345" i="4"/>
  <c r="E345" i="4"/>
  <c r="F344" i="4"/>
  <c r="E344" i="4"/>
  <c r="G344" i="4" s="1"/>
  <c r="I344" i="4" s="1"/>
  <c r="F343" i="4"/>
  <c r="E343" i="4"/>
  <c r="F342" i="4"/>
  <c r="E342" i="4"/>
  <c r="F341" i="4"/>
  <c r="E341" i="4"/>
  <c r="F340" i="4"/>
  <c r="E340" i="4"/>
  <c r="F339" i="4"/>
  <c r="E339" i="4"/>
  <c r="F338" i="4"/>
  <c r="F5138" i="4" s="1"/>
  <c r="E338" i="4"/>
  <c r="G338" i="4" s="1"/>
  <c r="F337" i="4"/>
  <c r="E337" i="4"/>
  <c r="F336" i="4"/>
  <c r="E336" i="4"/>
  <c r="G336" i="4" s="1"/>
  <c r="F335" i="4"/>
  <c r="E335" i="4"/>
  <c r="G335" i="4" s="1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G326" i="4" s="1"/>
  <c r="H326" i="4" s="1"/>
  <c r="F325" i="4"/>
  <c r="E325" i="4"/>
  <c r="F324" i="4"/>
  <c r="E324" i="4"/>
  <c r="F323" i="4"/>
  <c r="E323" i="4"/>
  <c r="G323" i="4" s="1"/>
  <c r="F313" i="4"/>
  <c r="E313" i="4"/>
  <c r="F312" i="4"/>
  <c r="E312" i="4"/>
  <c r="F311" i="4"/>
  <c r="F5111" i="4" s="1"/>
  <c r="E311" i="4"/>
  <c r="F310" i="4"/>
  <c r="E310" i="4"/>
  <c r="F309" i="4"/>
  <c r="E309" i="4"/>
  <c r="G309" i="4" s="1"/>
  <c r="F308" i="4"/>
  <c r="E308" i="4"/>
  <c r="F307" i="4"/>
  <c r="E307" i="4"/>
  <c r="F306" i="4"/>
  <c r="E306" i="4"/>
  <c r="F305" i="4"/>
  <c r="E305" i="4"/>
  <c r="G305" i="4" s="1"/>
  <c r="F304" i="4"/>
  <c r="E304" i="4"/>
  <c r="F303" i="4"/>
  <c r="E303" i="4"/>
  <c r="F302" i="4"/>
  <c r="E302" i="4"/>
  <c r="F301" i="4"/>
  <c r="E301" i="4"/>
  <c r="F300" i="4"/>
  <c r="E300" i="4"/>
  <c r="F299" i="4"/>
  <c r="E299" i="4"/>
  <c r="G299" i="4" s="1"/>
  <c r="F298" i="4"/>
  <c r="E298" i="4"/>
  <c r="F297" i="4"/>
  <c r="E297" i="4"/>
  <c r="F296" i="4"/>
  <c r="E296" i="4"/>
  <c r="F295" i="4"/>
  <c r="E295" i="4"/>
  <c r="F294" i="4"/>
  <c r="E294" i="4"/>
  <c r="F293" i="4"/>
  <c r="E293" i="4"/>
  <c r="G293" i="4" s="1"/>
  <c r="F292" i="4"/>
  <c r="E292" i="4"/>
  <c r="F291" i="4"/>
  <c r="E291" i="4"/>
  <c r="F290" i="4"/>
  <c r="E290" i="4"/>
  <c r="E5090" i="4" s="1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G281" i="4" s="1"/>
  <c r="F280" i="4"/>
  <c r="E280" i="4"/>
  <c r="F279" i="4"/>
  <c r="E279" i="4"/>
  <c r="F278" i="4"/>
  <c r="E278" i="4"/>
  <c r="G278" i="4" s="1"/>
  <c r="H278" i="4" s="1"/>
  <c r="F277" i="4"/>
  <c r="E277" i="4"/>
  <c r="F276" i="4"/>
  <c r="E276" i="4"/>
  <c r="F275" i="4"/>
  <c r="E275" i="4"/>
  <c r="F274" i="4"/>
  <c r="E274" i="4"/>
  <c r="F273" i="4"/>
  <c r="E273" i="4"/>
  <c r="G273" i="4" s="1"/>
  <c r="F272" i="4"/>
  <c r="E272" i="4"/>
  <c r="F271" i="4"/>
  <c r="E271" i="4"/>
  <c r="F270" i="4"/>
  <c r="E270" i="4"/>
  <c r="F269" i="4"/>
  <c r="E269" i="4"/>
  <c r="G269" i="4" s="1"/>
  <c r="F268" i="4"/>
  <c r="E268" i="4"/>
  <c r="F267" i="4"/>
  <c r="E267" i="4"/>
  <c r="F266" i="4"/>
  <c r="E266" i="4"/>
  <c r="F265" i="4"/>
  <c r="E265" i="4"/>
  <c r="F264" i="4"/>
  <c r="E264" i="4"/>
  <c r="F263" i="4"/>
  <c r="E263" i="4"/>
  <c r="G263" i="4" s="1"/>
  <c r="I263" i="4" s="1"/>
  <c r="F262" i="4"/>
  <c r="E262" i="4"/>
  <c r="F261" i="4"/>
  <c r="E261" i="4"/>
  <c r="G261" i="4" s="1"/>
  <c r="F260" i="4"/>
  <c r="E260" i="4"/>
  <c r="F259" i="4"/>
  <c r="E259" i="4"/>
  <c r="F258" i="4"/>
  <c r="E258" i="4"/>
  <c r="F257" i="4"/>
  <c r="E257" i="4"/>
  <c r="G257" i="4" s="1"/>
  <c r="F256" i="4"/>
  <c r="E256" i="4"/>
  <c r="F255" i="4"/>
  <c r="E255" i="4"/>
  <c r="F254" i="4"/>
  <c r="E254" i="4"/>
  <c r="F253" i="4"/>
  <c r="E253" i="4"/>
  <c r="F252" i="4"/>
  <c r="E252" i="4"/>
  <c r="F251" i="4"/>
  <c r="E251" i="4"/>
  <c r="G251" i="4" s="1"/>
  <c r="F250" i="4"/>
  <c r="F5050" i="4" s="1"/>
  <c r="E250" i="4"/>
  <c r="F249" i="4"/>
  <c r="E249" i="4"/>
  <c r="F248" i="4"/>
  <c r="E248" i="4"/>
  <c r="F247" i="4"/>
  <c r="E247" i="4"/>
  <c r="F246" i="4"/>
  <c r="E246" i="4"/>
  <c r="F245" i="4"/>
  <c r="E245" i="4"/>
  <c r="G245" i="4" s="1"/>
  <c r="F244" i="4"/>
  <c r="E244" i="4"/>
  <c r="F243" i="4"/>
  <c r="E243" i="4"/>
  <c r="F242" i="4"/>
  <c r="E242" i="4"/>
  <c r="G242" i="4" s="1"/>
  <c r="I242" i="4" s="1"/>
  <c r="F241" i="4"/>
  <c r="E241" i="4"/>
  <c r="F240" i="4"/>
  <c r="E240" i="4"/>
  <c r="F239" i="4"/>
  <c r="E239" i="4"/>
  <c r="G239" i="4" s="1"/>
  <c r="F238" i="4"/>
  <c r="E238" i="4"/>
  <c r="F237" i="4"/>
  <c r="E237" i="4"/>
  <c r="F236" i="4"/>
  <c r="E236" i="4"/>
  <c r="F235" i="4"/>
  <c r="E235" i="4"/>
  <c r="F234" i="4"/>
  <c r="E234" i="4"/>
  <c r="F233" i="4"/>
  <c r="E233" i="4"/>
  <c r="G233" i="4" s="1"/>
  <c r="K193" i="4"/>
  <c r="J193" i="4"/>
  <c r="J192" i="4"/>
  <c r="J191" i="4"/>
  <c r="J190" i="4"/>
  <c r="J189" i="4"/>
  <c r="J188" i="4"/>
  <c r="K187" i="4"/>
  <c r="J187" i="4"/>
  <c r="K186" i="4"/>
  <c r="J186" i="4"/>
  <c r="K185" i="4"/>
  <c r="J185" i="4"/>
  <c r="J184" i="4"/>
  <c r="J183" i="4"/>
  <c r="J182" i="4"/>
  <c r="L182" i="4" s="1"/>
  <c r="J74" i="4"/>
  <c r="L74" i="4" s="1"/>
  <c r="M74" i="4" s="1"/>
  <c r="L14" i="4"/>
  <c r="M14" i="4" s="1"/>
  <c r="L15" i="4"/>
  <c r="M15" i="4" s="1"/>
  <c r="L16" i="4"/>
  <c r="M16" i="4" s="1"/>
  <c r="L17" i="4"/>
  <c r="M17" i="4" s="1"/>
  <c r="L18" i="4"/>
  <c r="M18" i="4" s="1"/>
  <c r="L19" i="4"/>
  <c r="M19" i="4" s="1"/>
  <c r="L20" i="4"/>
  <c r="M20" i="4" s="1"/>
  <c r="L21" i="4"/>
  <c r="N21" i="4" s="1"/>
  <c r="L22" i="4"/>
  <c r="M22" i="4" s="1"/>
  <c r="L23" i="4"/>
  <c r="M23" i="4" s="1"/>
  <c r="L24" i="4"/>
  <c r="M24" i="4" s="1"/>
  <c r="L25" i="4"/>
  <c r="M25" i="4" s="1"/>
  <c r="L26" i="4"/>
  <c r="M26" i="4" s="1"/>
  <c r="L27" i="4"/>
  <c r="N27" i="4" s="1"/>
  <c r="L28" i="4"/>
  <c r="M28" i="4" s="1"/>
  <c r="L29" i="4"/>
  <c r="N29" i="4" s="1"/>
  <c r="L30" i="4"/>
  <c r="M30" i="4" s="1"/>
  <c r="L31" i="4"/>
  <c r="L32" i="4"/>
  <c r="M32" i="4" s="1"/>
  <c r="L33" i="4"/>
  <c r="M33" i="4" s="1"/>
  <c r="N33" i="4"/>
  <c r="L34" i="4"/>
  <c r="M34" i="4" s="1"/>
  <c r="L35" i="4"/>
  <c r="M35" i="4" s="1"/>
  <c r="L36" i="4"/>
  <c r="M36" i="4" s="1"/>
  <c r="L37" i="4"/>
  <c r="N37" i="4" s="1"/>
  <c r="L38" i="4"/>
  <c r="M38" i="4" s="1"/>
  <c r="L39" i="4"/>
  <c r="M39" i="4" s="1"/>
  <c r="L40" i="4"/>
  <c r="M40" i="4" s="1"/>
  <c r="L41" i="4"/>
  <c r="M41" i="4"/>
  <c r="L42" i="4"/>
  <c r="M42" i="4" s="1"/>
  <c r="L43" i="4"/>
  <c r="N43" i="4" s="1"/>
  <c r="L44" i="4"/>
  <c r="M44" i="4" s="1"/>
  <c r="L45" i="4"/>
  <c r="N45" i="4" s="1"/>
  <c r="L46" i="4"/>
  <c r="M46" i="4" s="1"/>
  <c r="L47" i="4"/>
  <c r="M47" i="4" s="1"/>
  <c r="N47" i="4"/>
  <c r="L48" i="4"/>
  <c r="M48" i="4" s="1"/>
  <c r="L49" i="4"/>
  <c r="M49" i="4" s="1"/>
  <c r="L50" i="4"/>
  <c r="L51" i="4"/>
  <c r="L52" i="4"/>
  <c r="M52" i="4" s="1"/>
  <c r="L53" i="4"/>
  <c r="L54" i="4"/>
  <c r="M54" i="4" s="1"/>
  <c r="N54" i="4"/>
  <c r="L55" i="4"/>
  <c r="N55" i="4" s="1"/>
  <c r="L56" i="4"/>
  <c r="L57" i="4"/>
  <c r="M57" i="4" s="1"/>
  <c r="L58" i="4"/>
  <c r="M58" i="4" s="1"/>
  <c r="L59" i="4"/>
  <c r="M59" i="4" s="1"/>
  <c r="L60" i="4"/>
  <c r="N60" i="4" s="1"/>
  <c r="L61" i="4"/>
  <c r="N61" i="4" s="1"/>
  <c r="L62" i="4"/>
  <c r="L63" i="4"/>
  <c r="M63" i="4" s="1"/>
  <c r="L64" i="4"/>
  <c r="L65" i="4"/>
  <c r="M65" i="4" s="1"/>
  <c r="L66" i="4"/>
  <c r="M66" i="4" s="1"/>
  <c r="L67" i="4"/>
  <c r="L68" i="4"/>
  <c r="M68" i="4" s="1"/>
  <c r="L69" i="4"/>
  <c r="N69" i="4" s="1"/>
  <c r="L70" i="4"/>
  <c r="L71" i="4"/>
  <c r="M71" i="4" s="1"/>
  <c r="L72" i="4"/>
  <c r="M72" i="4" s="1"/>
  <c r="L73" i="4"/>
  <c r="N73" i="4"/>
  <c r="L75" i="4"/>
  <c r="M75" i="4" s="1"/>
  <c r="L76" i="4"/>
  <c r="L77" i="4"/>
  <c r="N77" i="4" s="1"/>
  <c r="M77" i="4"/>
  <c r="L78" i="4"/>
  <c r="M78" i="4" s="1"/>
  <c r="L79" i="4"/>
  <c r="M79" i="4" s="1"/>
  <c r="L80" i="4"/>
  <c r="M80" i="4" s="1"/>
  <c r="L81" i="4"/>
  <c r="M81" i="4" s="1"/>
  <c r="L82" i="4"/>
  <c r="L83" i="4"/>
  <c r="M83" i="4" s="1"/>
  <c r="L84" i="4"/>
  <c r="M84" i="4" s="1"/>
  <c r="L85" i="4"/>
  <c r="N85" i="4" s="1"/>
  <c r="L86" i="4"/>
  <c r="M86" i="4" s="1"/>
  <c r="L87" i="4"/>
  <c r="M87" i="4" s="1"/>
  <c r="L88" i="4"/>
  <c r="L89" i="4"/>
  <c r="N89" i="4" s="1"/>
  <c r="L90" i="4"/>
  <c r="M90" i="4" s="1"/>
  <c r="L91" i="4"/>
  <c r="M91" i="4" s="1"/>
  <c r="L92" i="4"/>
  <c r="M92" i="4" s="1"/>
  <c r="L93" i="4"/>
  <c r="N93" i="4" s="1"/>
  <c r="L94" i="4"/>
  <c r="M94" i="4" s="1"/>
  <c r="L95" i="4"/>
  <c r="N95" i="4" s="1"/>
  <c r="L96" i="4"/>
  <c r="M96" i="4" s="1"/>
  <c r="L97" i="4"/>
  <c r="M97" i="4" s="1"/>
  <c r="L98" i="4"/>
  <c r="N98" i="4"/>
  <c r="L99" i="4"/>
  <c r="N99" i="4" s="1"/>
  <c r="L100" i="4"/>
  <c r="M100" i="4" s="1"/>
  <c r="L101" i="4"/>
  <c r="L102" i="4"/>
  <c r="M102" i="4" s="1"/>
  <c r="N102" i="4"/>
  <c r="L103" i="4"/>
  <c r="M103" i="4" s="1"/>
  <c r="L104" i="4"/>
  <c r="L105" i="4"/>
  <c r="N105" i="4" s="1"/>
  <c r="M105" i="4"/>
  <c r="L106" i="4"/>
  <c r="N106" i="4" s="1"/>
  <c r="M106" i="4"/>
  <c r="L107" i="4"/>
  <c r="M107" i="4" s="1"/>
  <c r="L108" i="4"/>
  <c r="M108" i="4" s="1"/>
  <c r="L109" i="4"/>
  <c r="N109" i="4" s="1"/>
  <c r="L110" i="4"/>
  <c r="M110" i="4" s="1"/>
  <c r="L111" i="4"/>
  <c r="M111" i="4" s="1"/>
  <c r="L112" i="4"/>
  <c r="L113" i="4"/>
  <c r="M113" i="4" s="1"/>
  <c r="L114" i="4"/>
  <c r="L115" i="4"/>
  <c r="N115" i="4" s="1"/>
  <c r="M115" i="4"/>
  <c r="L116" i="4"/>
  <c r="M116" i="4" s="1"/>
  <c r="N116" i="4"/>
  <c r="L117" i="4"/>
  <c r="N117" i="4" s="1"/>
  <c r="L118" i="4"/>
  <c r="M118" i="4" s="1"/>
  <c r="L119" i="4"/>
  <c r="M119" i="4" s="1"/>
  <c r="L120" i="4"/>
  <c r="M120" i="4" s="1"/>
  <c r="L121" i="4"/>
  <c r="L122" i="4"/>
  <c r="M122" i="4" s="1"/>
  <c r="L123" i="4"/>
  <c r="L124" i="4"/>
  <c r="L125" i="4"/>
  <c r="L126" i="4"/>
  <c r="M126" i="4" s="1"/>
  <c r="L127" i="4"/>
  <c r="L128" i="4"/>
  <c r="M128" i="4" s="1"/>
  <c r="L129" i="4"/>
  <c r="N129" i="4" s="1"/>
  <c r="L130" i="4"/>
  <c r="L131" i="4"/>
  <c r="M131" i="4" s="1"/>
  <c r="L132" i="4"/>
  <c r="M132" i="4" s="1"/>
  <c r="L133" i="4"/>
  <c r="N133" i="4" s="1"/>
  <c r="L134" i="4"/>
  <c r="M134" i="4" s="1"/>
  <c r="L135" i="4"/>
  <c r="M135" i="4" s="1"/>
  <c r="L136" i="4"/>
  <c r="M136" i="4" s="1"/>
  <c r="L137" i="4"/>
  <c r="N137" i="4" s="1"/>
  <c r="L138" i="4"/>
  <c r="M138" i="4" s="1"/>
  <c r="L139" i="4"/>
  <c r="M139" i="4"/>
  <c r="L140" i="4"/>
  <c r="N140" i="4" s="1"/>
  <c r="L141" i="4"/>
  <c r="N141" i="4" s="1"/>
  <c r="L142" i="4"/>
  <c r="M142" i="4" s="1"/>
  <c r="L143" i="4"/>
  <c r="M143" i="4" s="1"/>
  <c r="L144" i="4"/>
  <c r="M144" i="4" s="1"/>
  <c r="L145" i="4"/>
  <c r="M145" i="4" s="1"/>
  <c r="L146" i="4"/>
  <c r="M146" i="4"/>
  <c r="L147" i="4"/>
  <c r="M147" i="4"/>
  <c r="N147" i="4"/>
  <c r="L148" i="4"/>
  <c r="L149" i="4"/>
  <c r="N149" i="4" s="1"/>
  <c r="L150" i="4"/>
  <c r="M150" i="4" s="1"/>
  <c r="L151" i="4"/>
  <c r="L152" i="4"/>
  <c r="L153" i="4"/>
  <c r="M153" i="4" s="1"/>
  <c r="L154" i="4"/>
  <c r="L155" i="4"/>
  <c r="M155" i="4"/>
  <c r="N155" i="4"/>
  <c r="L156" i="4"/>
  <c r="L157" i="4"/>
  <c r="N157" i="4" s="1"/>
  <c r="M157" i="4"/>
  <c r="L158" i="4"/>
  <c r="M158" i="4" s="1"/>
  <c r="L159" i="4"/>
  <c r="M159" i="4" s="1"/>
  <c r="L160" i="4"/>
  <c r="M160" i="4" s="1"/>
  <c r="L161" i="4"/>
  <c r="M161" i="4" s="1"/>
  <c r="L162" i="4"/>
  <c r="L163" i="4"/>
  <c r="N163" i="4" s="1"/>
  <c r="L164" i="4"/>
  <c r="L165" i="4"/>
  <c r="M165" i="4"/>
  <c r="L166" i="4"/>
  <c r="M166" i="4" s="1"/>
  <c r="L167" i="4"/>
  <c r="N167" i="4" s="1"/>
  <c r="M167" i="4"/>
  <c r="L168" i="4"/>
  <c r="L169" i="4"/>
  <c r="M169" i="4" s="1"/>
  <c r="L170" i="4"/>
  <c r="N170" i="4" s="1"/>
  <c r="L171" i="4"/>
  <c r="M171" i="4" s="1"/>
  <c r="L172" i="4"/>
  <c r="M172" i="4" s="1"/>
  <c r="L173" i="4"/>
  <c r="N173" i="4" s="1"/>
  <c r="L174" i="4"/>
  <c r="M174" i="4" s="1"/>
  <c r="L175" i="4"/>
  <c r="L176" i="4"/>
  <c r="M176" i="4" s="1"/>
  <c r="L177" i="4"/>
  <c r="M177" i="4" s="1"/>
  <c r="L178" i="4"/>
  <c r="N178" i="4" s="1"/>
  <c r="L179" i="4"/>
  <c r="N179" i="4" s="1"/>
  <c r="L180" i="4"/>
  <c r="M180" i="4" s="1"/>
  <c r="L181" i="4"/>
  <c r="N181" i="4" s="1"/>
  <c r="M181" i="4"/>
  <c r="L183" i="4"/>
  <c r="M183" i="4" s="1"/>
  <c r="L186" i="4"/>
  <c r="M186" i="4" s="1"/>
  <c r="L187" i="4"/>
  <c r="N6" i="4"/>
  <c r="M7" i="4"/>
  <c r="N7" i="4"/>
  <c r="N9" i="4"/>
  <c r="N12" i="4"/>
  <c r="M13" i="4"/>
  <c r="L3" i="4"/>
  <c r="M3" i="4" s="1"/>
  <c r="L4" i="4"/>
  <c r="L5" i="4"/>
  <c r="L6" i="4"/>
  <c r="M6" i="4" s="1"/>
  <c r="L7" i="4"/>
  <c r="L8" i="4"/>
  <c r="L9" i="4"/>
  <c r="M9" i="4" s="1"/>
  <c r="L10" i="4"/>
  <c r="M10" i="4" s="1"/>
  <c r="L11" i="4"/>
  <c r="L12" i="4"/>
  <c r="L13" i="4"/>
  <c r="L2" i="4"/>
  <c r="E193" i="4"/>
  <c r="G193" i="4" s="1"/>
  <c r="I193" i="4" s="1"/>
  <c r="E192" i="4"/>
  <c r="G192" i="4" s="1"/>
  <c r="E191" i="4"/>
  <c r="F190" i="4"/>
  <c r="E190" i="4"/>
  <c r="G190" i="4" s="1"/>
  <c r="H190" i="4" s="1"/>
  <c r="F189" i="4"/>
  <c r="E189" i="4"/>
  <c r="F188" i="4"/>
  <c r="E188" i="4"/>
  <c r="F187" i="4"/>
  <c r="E187" i="4"/>
  <c r="F186" i="4"/>
  <c r="E186" i="4"/>
  <c r="F185" i="4"/>
  <c r="E185" i="4"/>
  <c r="E184" i="4"/>
  <c r="E183" i="4"/>
  <c r="E182" i="4"/>
  <c r="E181" i="4"/>
  <c r="G181" i="4" s="1"/>
  <c r="H181" i="4" s="1"/>
  <c r="E180" i="4"/>
  <c r="G180" i="4" s="1"/>
  <c r="H180" i="4" s="1"/>
  <c r="E179" i="4"/>
  <c r="G179" i="4"/>
  <c r="H179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H31" i="4" s="1"/>
  <c r="G32" i="4"/>
  <c r="H32" i="4" s="1"/>
  <c r="G33" i="4"/>
  <c r="H33" i="4" s="1"/>
  <c r="G34" i="4"/>
  <c r="H34" i="4" s="1"/>
  <c r="G35" i="4"/>
  <c r="G36" i="4"/>
  <c r="H36" i="4" s="1"/>
  <c r="G37" i="4"/>
  <c r="H37" i="4" s="1"/>
  <c r="G38" i="4"/>
  <c r="H38" i="4" s="1"/>
  <c r="G39" i="4"/>
  <c r="H39" i="4" s="1"/>
  <c r="G40" i="4"/>
  <c r="H40" i="4" s="1"/>
  <c r="G41" i="4"/>
  <c r="I41" i="4" s="1"/>
  <c r="G42" i="4"/>
  <c r="H42" i="4" s="1"/>
  <c r="G43" i="4"/>
  <c r="H43" i="4" s="1"/>
  <c r="G44" i="4"/>
  <c r="G45" i="4"/>
  <c r="H45" i="4" s="1"/>
  <c r="G46" i="4"/>
  <c r="H46" i="4" s="1"/>
  <c r="G47" i="4"/>
  <c r="H47" i="4" s="1"/>
  <c r="G48" i="4"/>
  <c r="H48" i="4" s="1"/>
  <c r="G49" i="4"/>
  <c r="H49" i="4" s="1"/>
  <c r="G50" i="4"/>
  <c r="H50" i="4" s="1"/>
  <c r="G51" i="4"/>
  <c r="H51" i="4" s="1"/>
  <c r="G52" i="4"/>
  <c r="H52" i="4" s="1"/>
  <c r="G53" i="4"/>
  <c r="I53" i="4" s="1"/>
  <c r="G54" i="4"/>
  <c r="H54" i="4" s="1"/>
  <c r="G55" i="4"/>
  <c r="H55" i="4" s="1"/>
  <c r="G56" i="4"/>
  <c r="H56" i="4" s="1"/>
  <c r="G57" i="4"/>
  <c r="I57" i="4" s="1"/>
  <c r="G58" i="4"/>
  <c r="H58" i="4" s="1"/>
  <c r="G59" i="4"/>
  <c r="G60" i="4"/>
  <c r="H60" i="4" s="1"/>
  <c r="G61" i="4"/>
  <c r="H61" i="4" s="1"/>
  <c r="G62" i="4"/>
  <c r="H62" i="4" s="1"/>
  <c r="G63" i="4"/>
  <c r="H63" i="4" s="1"/>
  <c r="G64" i="4"/>
  <c r="H64" i="4" s="1"/>
  <c r="G65" i="4"/>
  <c r="G66" i="4"/>
  <c r="H66" i="4" s="1"/>
  <c r="G67" i="4"/>
  <c r="H67" i="4" s="1"/>
  <c r="G68" i="4"/>
  <c r="H68" i="4" s="1"/>
  <c r="G69" i="4"/>
  <c r="H69" i="4" s="1"/>
  <c r="G70" i="4"/>
  <c r="H70" i="4" s="1"/>
  <c r="G71" i="4"/>
  <c r="I71" i="4" s="1"/>
  <c r="G72" i="4"/>
  <c r="I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H79" i="4" s="1"/>
  <c r="G80" i="4"/>
  <c r="H80" i="4" s="1"/>
  <c r="G81" i="4"/>
  <c r="H81" i="4" s="1"/>
  <c r="G82" i="4"/>
  <c r="H82" i="4" s="1"/>
  <c r="G83" i="4"/>
  <c r="G84" i="4"/>
  <c r="H84" i="4" s="1"/>
  <c r="G85" i="4"/>
  <c r="H85" i="4" s="1"/>
  <c r="G86" i="4"/>
  <c r="H86" i="4" s="1"/>
  <c r="G87" i="4"/>
  <c r="H87" i="4" s="1"/>
  <c r="G88" i="4"/>
  <c r="H88" i="4" s="1"/>
  <c r="G89" i="4"/>
  <c r="G90" i="4"/>
  <c r="H90" i="4" s="1"/>
  <c r="G91" i="4"/>
  <c r="H91" i="4" s="1"/>
  <c r="G92" i="4"/>
  <c r="H92" i="4" s="1"/>
  <c r="G93" i="4"/>
  <c r="H93" i="4" s="1"/>
  <c r="G94" i="4"/>
  <c r="H94" i="4" s="1"/>
  <c r="G95" i="4"/>
  <c r="H95" i="4" s="1"/>
  <c r="G96" i="4"/>
  <c r="I96" i="4" s="1"/>
  <c r="G97" i="4"/>
  <c r="H97" i="4" s="1"/>
  <c r="G98" i="4"/>
  <c r="H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G106" i="4"/>
  <c r="H106" i="4" s="1"/>
  <c r="G107" i="4"/>
  <c r="H107" i="4" s="1"/>
  <c r="G108" i="4"/>
  <c r="H108" i="4" s="1"/>
  <c r="G109" i="4"/>
  <c r="H109" i="4" s="1"/>
  <c r="G110" i="4"/>
  <c r="H110" i="4" s="1"/>
  <c r="G111" i="4"/>
  <c r="H111" i="4" s="1"/>
  <c r="G112" i="4"/>
  <c r="H112" i="4" s="1"/>
  <c r="G113" i="4"/>
  <c r="G114" i="4"/>
  <c r="H114" i="4" s="1"/>
  <c r="G115" i="4"/>
  <c r="H115" i="4" s="1"/>
  <c r="G116" i="4"/>
  <c r="H116" i="4" s="1"/>
  <c r="G117" i="4"/>
  <c r="I117" i="4" s="1"/>
  <c r="G118" i="4"/>
  <c r="H118" i="4" s="1"/>
  <c r="G119" i="4"/>
  <c r="H119" i="4" s="1"/>
  <c r="G120" i="4"/>
  <c r="H120" i="4" s="1"/>
  <c r="G121" i="4"/>
  <c r="I121" i="4" s="1"/>
  <c r="G122" i="4"/>
  <c r="H122" i="4" s="1"/>
  <c r="G123" i="4"/>
  <c r="I123" i="4" s="1"/>
  <c r="G124" i="4"/>
  <c r="I124" i="4" s="1"/>
  <c r="G125" i="4"/>
  <c r="H125" i="4" s="1"/>
  <c r="G126" i="4"/>
  <c r="H126" i="4" s="1"/>
  <c r="G127" i="4"/>
  <c r="I127" i="4" s="1"/>
  <c r="G128" i="4"/>
  <c r="H128" i="4" s="1"/>
  <c r="G129" i="4"/>
  <c r="H129" i="4" s="1"/>
  <c r="G130" i="4"/>
  <c r="H130" i="4" s="1"/>
  <c r="G131" i="4"/>
  <c r="G132" i="4"/>
  <c r="G133" i="4"/>
  <c r="G134" i="4"/>
  <c r="H134" i="4" s="1"/>
  <c r="G135" i="4"/>
  <c r="I135" i="4" s="1"/>
  <c r="G136" i="4"/>
  <c r="H136" i="4" s="1"/>
  <c r="G137" i="4"/>
  <c r="G138" i="4"/>
  <c r="H138" i="4" s="1"/>
  <c r="G139" i="4"/>
  <c r="H139" i="4" s="1"/>
  <c r="G140" i="4"/>
  <c r="H140" i="4" s="1"/>
  <c r="G141" i="4"/>
  <c r="H141" i="4" s="1"/>
  <c r="G142" i="4"/>
  <c r="H142" i="4" s="1"/>
  <c r="G143" i="4"/>
  <c r="H143" i="4" s="1"/>
  <c r="G144" i="4"/>
  <c r="H144" i="4" s="1"/>
  <c r="G145" i="4"/>
  <c r="H145" i="4" s="1"/>
  <c r="G146" i="4"/>
  <c r="H146" i="4" s="1"/>
  <c r="G147" i="4"/>
  <c r="G148" i="4"/>
  <c r="H148" i="4" s="1"/>
  <c r="G149" i="4"/>
  <c r="H149" i="4" s="1"/>
  <c r="G150" i="4"/>
  <c r="H150" i="4" s="1"/>
  <c r="G151" i="4"/>
  <c r="H151" i="4" s="1"/>
  <c r="G152" i="4"/>
  <c r="H152" i="4" s="1"/>
  <c r="G153" i="4"/>
  <c r="H153" i="4" s="1"/>
  <c r="G154" i="4"/>
  <c r="H154" i="4" s="1"/>
  <c r="G155" i="4"/>
  <c r="G156" i="4"/>
  <c r="H156" i="4" s="1"/>
  <c r="G157" i="4"/>
  <c r="G158" i="4"/>
  <c r="H158" i="4" s="1"/>
  <c r="G159" i="4"/>
  <c r="H159" i="4" s="1"/>
  <c r="G160" i="4"/>
  <c r="G161" i="4"/>
  <c r="G162" i="4"/>
  <c r="H162" i="4" s="1"/>
  <c r="G163" i="4"/>
  <c r="H163" i="4" s="1"/>
  <c r="G164" i="4"/>
  <c r="H164" i="4" s="1"/>
  <c r="G165" i="4"/>
  <c r="H165" i="4" s="1"/>
  <c r="G166" i="4"/>
  <c r="H166" i="4" s="1"/>
  <c r="G167" i="4"/>
  <c r="H167" i="4" s="1"/>
  <c r="G168" i="4"/>
  <c r="H168" i="4" s="1"/>
  <c r="G169" i="4"/>
  <c r="H169" i="4" s="1"/>
  <c r="G170" i="4"/>
  <c r="H170" i="4" s="1"/>
  <c r="G171" i="4"/>
  <c r="I171" i="4" s="1"/>
  <c r="G172" i="4"/>
  <c r="G173" i="4"/>
  <c r="G174" i="4"/>
  <c r="H174" i="4" s="1"/>
  <c r="G175" i="4"/>
  <c r="H175" i="4" s="1"/>
  <c r="G176" i="4"/>
  <c r="H176" i="4" s="1"/>
  <c r="G177" i="4"/>
  <c r="H177" i="4" s="1"/>
  <c r="G178" i="4"/>
  <c r="H178" i="4" s="1"/>
  <c r="G187" i="4"/>
  <c r="H187" i="4" s="1"/>
  <c r="G25" i="4"/>
  <c r="I25" i="4" s="1"/>
  <c r="G24" i="4"/>
  <c r="I24" i="4" s="1"/>
  <c r="G23" i="4"/>
  <c r="H23" i="4" s="1"/>
  <c r="G22" i="4"/>
  <c r="I22" i="4" s="1"/>
  <c r="G21" i="4"/>
  <c r="H21" i="4" s="1"/>
  <c r="G20" i="4"/>
  <c r="I20" i="4" s="1"/>
  <c r="G19" i="4"/>
  <c r="I19" i="4" s="1"/>
  <c r="G18" i="4"/>
  <c r="I18" i="4" s="1"/>
  <c r="G17" i="4"/>
  <c r="G16" i="4"/>
  <c r="G15" i="4"/>
  <c r="H15" i="4" s="1"/>
  <c r="G14" i="4"/>
  <c r="I14" i="4" s="1"/>
  <c r="G3" i="4"/>
  <c r="I3" i="4" s="1"/>
  <c r="G4" i="4"/>
  <c r="I4" i="4" s="1"/>
  <c r="G5" i="4"/>
  <c r="I5" i="4" s="1"/>
  <c r="G6" i="4"/>
  <c r="I6" i="4" s="1"/>
  <c r="G7" i="4"/>
  <c r="I7" i="4" s="1"/>
  <c r="G8" i="4"/>
  <c r="I8" i="4" s="1"/>
  <c r="G9" i="4"/>
  <c r="I9" i="4" s="1"/>
  <c r="G10" i="4"/>
  <c r="H10" i="4" s="1"/>
  <c r="G11" i="4"/>
  <c r="H11" i="4" s="1"/>
  <c r="G12" i="4"/>
  <c r="H12" i="4" s="1"/>
  <c r="G13" i="4"/>
  <c r="H13" i="4" s="1"/>
  <c r="G2" i="4"/>
  <c r="I2" i="4" s="1"/>
  <c r="M5550" i="4" l="1"/>
  <c r="N5550" i="4"/>
  <c r="L5578" i="4"/>
  <c r="N4838" i="4"/>
  <c r="M4838" i="4"/>
  <c r="M3304" i="4"/>
  <c r="N3304" i="4"/>
  <c r="G4218" i="4"/>
  <c r="I4218" i="4" s="1"/>
  <c r="F4794" i="4"/>
  <c r="E5570" i="4"/>
  <c r="G4802" i="4"/>
  <c r="I4802" i="4" s="1"/>
  <c r="O8" i="4"/>
  <c r="E5177" i="4"/>
  <c r="F5323" i="4"/>
  <c r="F5347" i="4"/>
  <c r="I720" i="4"/>
  <c r="I656" i="4"/>
  <c r="K5720" i="4"/>
  <c r="L5263" i="4"/>
  <c r="M5263" i="4" s="1"/>
  <c r="L5287" i="4"/>
  <c r="M5287" i="4" s="1"/>
  <c r="L5299" i="4"/>
  <c r="M5299" i="4" s="1"/>
  <c r="L5323" i="4"/>
  <c r="M5323" i="4" s="1"/>
  <c r="L5335" i="4"/>
  <c r="M5335" i="4" s="1"/>
  <c r="L5359" i="4"/>
  <c r="M5359" i="4" s="1"/>
  <c r="N622" i="4"/>
  <c r="L781" i="4"/>
  <c r="L1900" i="4"/>
  <c r="M1900" i="4" s="1"/>
  <c r="L1906" i="4"/>
  <c r="M1906" i="4" s="1"/>
  <c r="L2374" i="4"/>
  <c r="N2374" i="4" s="1"/>
  <c r="L2413" i="4"/>
  <c r="M2413" i="4" s="1"/>
  <c r="K2743" i="4"/>
  <c r="F2752" i="4"/>
  <c r="L2776" i="4"/>
  <c r="M2776" i="4" s="1"/>
  <c r="G3089" i="4"/>
  <c r="H3089" i="4" s="1"/>
  <c r="L3148" i="4"/>
  <c r="M3148" i="4" s="1"/>
  <c r="E3703" i="4"/>
  <c r="O3860" i="4"/>
  <c r="G4047" i="4"/>
  <c r="I4047" i="4" s="1"/>
  <c r="G4143" i="4"/>
  <c r="I4143" i="4" s="1"/>
  <c r="G4750" i="4"/>
  <c r="H4750" i="4" s="1"/>
  <c r="M5490" i="4"/>
  <c r="J5032" i="4"/>
  <c r="L5032" i="4" s="1"/>
  <c r="N5032" i="4" s="1"/>
  <c r="J5116" i="4"/>
  <c r="J5224" i="4"/>
  <c r="L5018" i="4"/>
  <c r="N5018" i="4" s="1"/>
  <c r="K2811" i="4"/>
  <c r="K2859" i="4"/>
  <c r="G3098" i="4"/>
  <c r="H3098" i="4" s="1"/>
  <c r="E3698" i="4"/>
  <c r="E3710" i="4"/>
  <c r="G3146" i="4"/>
  <c r="I3146" i="4" s="1"/>
  <c r="F3806" i="4"/>
  <c r="F3830" i="4"/>
  <c r="O7" i="4"/>
  <c r="O41" i="4"/>
  <c r="F5177" i="4"/>
  <c r="H411" i="4"/>
  <c r="H393" i="4"/>
  <c r="H201" i="4"/>
  <c r="N419" i="4"/>
  <c r="N407" i="4"/>
  <c r="M195" i="4"/>
  <c r="G772" i="4"/>
  <c r="H772" i="4" s="1"/>
  <c r="G1908" i="4"/>
  <c r="H1908" i="4" s="1"/>
  <c r="I1460" i="4"/>
  <c r="G2178" i="4"/>
  <c r="I2178" i="4" s="1"/>
  <c r="N2413" i="4"/>
  <c r="J2707" i="4"/>
  <c r="L2707" i="4" s="1"/>
  <c r="L3232" i="4"/>
  <c r="P3232" i="4" s="1"/>
  <c r="G3247" i="4"/>
  <c r="H3247" i="4" s="1"/>
  <c r="F3675" i="4"/>
  <c r="G4095" i="4"/>
  <c r="I4095" i="4" s="1"/>
  <c r="L4357" i="4"/>
  <c r="G5022" i="4"/>
  <c r="H5022" i="4" s="1"/>
  <c r="L5387" i="4"/>
  <c r="N5387" i="4" s="1"/>
  <c r="L5573" i="4"/>
  <c r="N5573" i="4" s="1"/>
  <c r="O4955" i="4"/>
  <c r="O79" i="4"/>
  <c r="O60" i="4"/>
  <c r="E5058" i="4"/>
  <c r="E5178" i="4"/>
  <c r="I752" i="4"/>
  <c r="M659" i="4"/>
  <c r="M587" i="4"/>
  <c r="L998" i="4"/>
  <c r="N998" i="4" s="1"/>
  <c r="G2226" i="4"/>
  <c r="I2226" i="4" s="1"/>
  <c r="E3725" i="4"/>
  <c r="J3796" i="4"/>
  <c r="J3832" i="4"/>
  <c r="G4253" i="4"/>
  <c r="I4253" i="4" s="1"/>
  <c r="J5214" i="4"/>
  <c r="L5214" i="4" s="1"/>
  <c r="N5214" i="4" s="1"/>
  <c r="L4981" i="4"/>
  <c r="M4981" i="4" s="1"/>
  <c r="O4942" i="4"/>
  <c r="O4930" i="4"/>
  <c r="L4918" i="4"/>
  <c r="O4918" i="4" s="1"/>
  <c r="L4902" i="4"/>
  <c r="I200" i="4"/>
  <c r="L1281" i="4"/>
  <c r="N1281" i="4" s="1"/>
  <c r="I1499" i="4"/>
  <c r="L2350" i="4"/>
  <c r="N2350" i="4" s="1"/>
  <c r="I2362" i="4"/>
  <c r="N2568" i="4"/>
  <c r="E2826" i="4"/>
  <c r="E2850" i="4"/>
  <c r="E2874" i="4"/>
  <c r="I2975" i="4"/>
  <c r="I3078" i="4"/>
  <c r="L3136" i="4"/>
  <c r="G3163" i="4"/>
  <c r="I3163" i="4" s="1"/>
  <c r="H4157" i="4"/>
  <c r="G4358" i="4"/>
  <c r="I4358" i="4" s="1"/>
  <c r="N4456" i="4"/>
  <c r="H5002" i="4"/>
  <c r="K5199" i="4"/>
  <c r="K5581" i="4"/>
  <c r="L5581" i="4" s="1"/>
  <c r="M5581" i="4" s="1"/>
  <c r="F5325" i="4"/>
  <c r="G5325" i="4" s="1"/>
  <c r="J5229" i="4"/>
  <c r="J5253" i="4"/>
  <c r="J5265" i="4"/>
  <c r="J5277" i="4"/>
  <c r="J5289" i="4"/>
  <c r="J5325" i="4"/>
  <c r="J5337" i="4"/>
  <c r="J5349" i="4"/>
  <c r="J5361" i="4"/>
  <c r="N1966" i="4"/>
  <c r="L2179" i="4"/>
  <c r="L2338" i="4"/>
  <c r="N2338" i="4" s="1"/>
  <c r="L2362" i="4"/>
  <c r="I2638" i="4"/>
  <c r="N2684" i="4"/>
  <c r="K2719" i="4"/>
  <c r="M2954" i="4"/>
  <c r="J3760" i="4"/>
  <c r="H4145" i="4"/>
  <c r="L4157" i="4"/>
  <c r="L4254" i="4"/>
  <c r="N4254" i="4" s="1"/>
  <c r="I4307" i="4"/>
  <c r="L4383" i="4"/>
  <c r="N4383" i="4" s="1"/>
  <c r="H4560" i="4"/>
  <c r="L5002" i="4"/>
  <c r="H5195" i="4"/>
  <c r="I5492" i="4"/>
  <c r="F5574" i="4"/>
  <c r="F5179" i="4"/>
  <c r="N750" i="4"/>
  <c r="N713" i="4"/>
  <c r="G771" i="4"/>
  <c r="H771" i="4" s="1"/>
  <c r="I1184" i="4"/>
  <c r="M1594" i="4"/>
  <c r="M1938" i="4"/>
  <c r="L2227" i="4"/>
  <c r="M2227" i="4" s="1"/>
  <c r="N2479" i="4"/>
  <c r="I2662" i="4"/>
  <c r="H2944" i="4"/>
  <c r="M3150" i="4"/>
  <c r="L3220" i="4"/>
  <c r="M3220" i="4" s="1"/>
  <c r="H3505" i="4"/>
  <c r="J3676" i="4"/>
  <c r="F3775" i="4"/>
  <c r="O3850" i="4"/>
  <c r="O3862" i="4"/>
  <c r="O3907" i="4"/>
  <c r="H4097" i="4"/>
  <c r="P4208" i="4"/>
  <c r="I4281" i="4"/>
  <c r="L4810" i="4"/>
  <c r="F5019" i="4"/>
  <c r="F5031" i="4"/>
  <c r="G5031" i="4" s="1"/>
  <c r="I5031" i="4" s="1"/>
  <c r="G2163" i="4"/>
  <c r="I2163" i="4" s="1"/>
  <c r="G2295" i="4"/>
  <c r="F2846" i="4"/>
  <c r="J5006" i="4"/>
  <c r="J5582" i="4" s="1"/>
  <c r="F4788" i="4"/>
  <c r="N169" i="4"/>
  <c r="M95" i="4"/>
  <c r="N36" i="4"/>
  <c r="G353" i="4"/>
  <c r="F5338" i="4"/>
  <c r="G5338" i="4" s="1"/>
  <c r="F5362" i="4"/>
  <c r="H716" i="4"/>
  <c r="I652" i="4"/>
  <c r="I603" i="4"/>
  <c r="H506" i="4"/>
  <c r="I389" i="4"/>
  <c r="J5230" i="4"/>
  <c r="N730" i="4"/>
  <c r="N673" i="4"/>
  <c r="M403" i="4"/>
  <c r="E1791" i="4"/>
  <c r="G2166" i="4"/>
  <c r="I2166" i="4" s="1"/>
  <c r="G2262" i="4"/>
  <c r="I2262" i="4" s="1"/>
  <c r="M2351" i="4"/>
  <c r="L2390" i="4"/>
  <c r="N2390" i="4" s="1"/>
  <c r="G2491" i="4"/>
  <c r="H2491" i="4" s="1"/>
  <c r="E2729" i="4"/>
  <c r="E2778" i="4"/>
  <c r="L3124" i="4"/>
  <c r="K3665" i="4"/>
  <c r="K3819" i="4"/>
  <c r="I4926" i="4"/>
  <c r="O4957" i="4"/>
  <c r="N5436" i="4"/>
  <c r="N5481" i="4"/>
  <c r="I732" i="4"/>
  <c r="H700" i="4"/>
  <c r="J5176" i="4"/>
  <c r="L5176" i="4" s="1"/>
  <c r="K5254" i="4"/>
  <c r="L618" i="4"/>
  <c r="N618" i="4" s="1"/>
  <c r="M417" i="4"/>
  <c r="M778" i="4"/>
  <c r="J1797" i="4"/>
  <c r="L1797" i="4" s="1"/>
  <c r="M1797" i="4" s="1"/>
  <c r="L1747" i="4"/>
  <c r="M1747" i="4" s="1"/>
  <c r="L1765" i="4"/>
  <c r="G2875" i="4"/>
  <c r="H2875" i="4" s="1"/>
  <c r="E3691" i="4"/>
  <c r="O4003" i="4"/>
  <c r="G4083" i="4"/>
  <c r="I4083" i="4" s="1"/>
  <c r="G4131" i="4"/>
  <c r="I4131" i="4" s="1"/>
  <c r="L4196" i="4"/>
  <c r="N4196" i="4" s="1"/>
  <c r="M4209" i="4"/>
  <c r="G4680" i="4"/>
  <c r="I4680" i="4" s="1"/>
  <c r="F4798" i="4"/>
  <c r="K5119" i="4"/>
  <c r="G5218" i="4"/>
  <c r="I5218" i="4" s="1"/>
  <c r="I748" i="4"/>
  <c r="I617" i="4"/>
  <c r="N729" i="4"/>
  <c r="N654" i="4"/>
  <c r="N322" i="4"/>
  <c r="N224" i="4"/>
  <c r="N208" i="4"/>
  <c r="J1857" i="4"/>
  <c r="L2128" i="4"/>
  <c r="M2128" i="4" s="1"/>
  <c r="G2214" i="4"/>
  <c r="I2214" i="4" s="1"/>
  <c r="G2467" i="4"/>
  <c r="H2467" i="4" s="1"/>
  <c r="E2730" i="4"/>
  <c r="G3139" i="4"/>
  <c r="I3139" i="4" s="1"/>
  <c r="L4436" i="4"/>
  <c r="M4436" i="4" s="1"/>
  <c r="F4695" i="4"/>
  <c r="J5202" i="4"/>
  <c r="L5202" i="4" s="1"/>
  <c r="I665" i="4"/>
  <c r="I196" i="4"/>
  <c r="M93" i="4"/>
  <c r="G5233" i="4"/>
  <c r="I5233" i="4" s="1"/>
  <c r="G5259" i="4"/>
  <c r="I5259" i="4" s="1"/>
  <c r="G5271" i="4"/>
  <c r="H5271" i="4" s="1"/>
  <c r="G5283" i="4"/>
  <c r="I5283" i="4" s="1"/>
  <c r="G5295" i="4"/>
  <c r="H5295" i="4" s="1"/>
  <c r="G5316" i="4"/>
  <c r="G5328" i="4"/>
  <c r="G5340" i="4"/>
  <c r="G5352" i="4"/>
  <c r="I5352" i="4" s="1"/>
  <c r="I601" i="4"/>
  <c r="H584" i="4"/>
  <c r="I211" i="4"/>
  <c r="H196" i="4"/>
  <c r="J5044" i="4"/>
  <c r="J5620" i="4" s="1"/>
  <c r="L5620" i="4" s="1"/>
  <c r="M5620" i="4" s="1"/>
  <c r="L256" i="4"/>
  <c r="N256" i="4" s="1"/>
  <c r="L325" i="4"/>
  <c r="L337" i="4"/>
  <c r="L361" i="4"/>
  <c r="J5367" i="4"/>
  <c r="L5367" i="4" s="1"/>
  <c r="M5367" i="4" s="1"/>
  <c r="M600" i="4"/>
  <c r="M416" i="4"/>
  <c r="N401" i="4"/>
  <c r="N1702" i="4"/>
  <c r="G1730" i="4"/>
  <c r="H1730" i="4" s="1"/>
  <c r="G1736" i="4"/>
  <c r="H1736" i="4" s="1"/>
  <c r="G1742" i="4"/>
  <c r="G1760" i="4"/>
  <c r="H1760" i="4" s="1"/>
  <c r="O1929" i="4"/>
  <c r="O2103" i="4"/>
  <c r="L2263" i="4"/>
  <c r="M2263" i="4" s="1"/>
  <c r="G2771" i="4"/>
  <c r="H2771" i="4" s="1"/>
  <c r="N3529" i="4"/>
  <c r="L3677" i="4"/>
  <c r="G3748" i="4"/>
  <c r="J3820" i="4"/>
  <c r="I3886" i="4"/>
  <c r="P4161" i="4"/>
  <c r="O4960" i="4"/>
  <c r="M5004" i="4"/>
  <c r="N5537" i="4"/>
  <c r="L1244" i="4"/>
  <c r="K5019" i="4"/>
  <c r="K5595" i="4" s="1"/>
  <c r="G189" i="4"/>
  <c r="H189" i="4" s="1"/>
  <c r="O148" i="4"/>
  <c r="G5563" i="4"/>
  <c r="I5563" i="4" s="1"/>
  <c r="I747" i="4"/>
  <c r="H616" i="4"/>
  <c r="N689" i="4"/>
  <c r="N633" i="4"/>
  <c r="N415" i="4"/>
  <c r="N207" i="4"/>
  <c r="M2002" i="4"/>
  <c r="L2215" i="4"/>
  <c r="M2353" i="4"/>
  <c r="M2595" i="4"/>
  <c r="H2607" i="4"/>
  <c r="I2957" i="4"/>
  <c r="G3223" i="4"/>
  <c r="P3223" i="4" s="1"/>
  <c r="N3507" i="4"/>
  <c r="J3748" i="4"/>
  <c r="M4116" i="4"/>
  <c r="G4199" i="4"/>
  <c r="N4437" i="4"/>
  <c r="N5122" i="4"/>
  <c r="F5007" i="4"/>
  <c r="G5007" i="4" s="1"/>
  <c r="J5009" i="4"/>
  <c r="L4046" i="4"/>
  <c r="L4058" i="4"/>
  <c r="L4070" i="4"/>
  <c r="L4082" i="4"/>
  <c r="L4094" i="4"/>
  <c r="M4094" i="4" s="1"/>
  <c r="K4694" i="4"/>
  <c r="L4142" i="4"/>
  <c r="L4214" i="4"/>
  <c r="M4214" i="4" s="1"/>
  <c r="I713" i="4"/>
  <c r="I209" i="4"/>
  <c r="J5317" i="4"/>
  <c r="N222" i="4"/>
  <c r="G892" i="4"/>
  <c r="H892" i="4" s="1"/>
  <c r="N1680" i="4"/>
  <c r="N1930" i="4"/>
  <c r="I1947" i="4"/>
  <c r="M2468" i="4"/>
  <c r="E2862" i="4"/>
  <c r="G2862" i="4" s="1"/>
  <c r="I2885" i="4"/>
  <c r="O2957" i="4"/>
  <c r="N3280" i="4"/>
  <c r="P4176" i="4"/>
  <c r="N4427" i="4"/>
  <c r="I4472" i="4"/>
  <c r="I4563" i="4"/>
  <c r="I4585" i="4"/>
  <c r="E5008" i="4"/>
  <c r="G5008" i="4" s="1"/>
  <c r="H5008" i="4" s="1"/>
  <c r="E5023" i="4"/>
  <c r="J5219" i="4"/>
  <c r="G5494" i="4"/>
  <c r="I5494" i="4" s="1"/>
  <c r="E5247" i="4"/>
  <c r="E5261" i="4"/>
  <c r="I581" i="4"/>
  <c r="I225" i="4"/>
  <c r="K5293" i="4"/>
  <c r="K5317" i="4"/>
  <c r="K5329" i="4"/>
  <c r="K5341" i="4"/>
  <c r="L5563" i="4"/>
  <c r="N5563" i="4" s="1"/>
  <c r="M632" i="4"/>
  <c r="N319" i="4"/>
  <c r="N776" i="4"/>
  <c r="L2323" i="4"/>
  <c r="N2323" i="4" s="1"/>
  <c r="K2779" i="4"/>
  <c r="M2947" i="4"/>
  <c r="O3059" i="4"/>
  <c r="L3196" i="4"/>
  <c r="N3196" i="4" s="1"/>
  <c r="M3624" i="4"/>
  <c r="G3714" i="4"/>
  <c r="H3714" i="4" s="1"/>
  <c r="I3866" i="4"/>
  <c r="G4071" i="4"/>
  <c r="I4071" i="4" s="1"/>
  <c r="H4151" i="4"/>
  <c r="G4659" i="4"/>
  <c r="H4659" i="4" s="1"/>
  <c r="M5470" i="4"/>
  <c r="I5553" i="4"/>
  <c r="F5577" i="4"/>
  <c r="F5311" i="4"/>
  <c r="G5311" i="4" s="1"/>
  <c r="J5396" i="4"/>
  <c r="L5396" i="4" s="1"/>
  <c r="N5396" i="4" s="1"/>
  <c r="J4775" i="4"/>
  <c r="G5531" i="4"/>
  <c r="I5531" i="4" s="1"/>
  <c r="G5519" i="4"/>
  <c r="G5493" i="4"/>
  <c r="I5493" i="4" s="1"/>
  <c r="G5480" i="4"/>
  <c r="H5480" i="4" s="1"/>
  <c r="G5468" i="4"/>
  <c r="H5468" i="4" s="1"/>
  <c r="G5443" i="4"/>
  <c r="I5443" i="4" s="1"/>
  <c r="G5431" i="4"/>
  <c r="G5419" i="4"/>
  <c r="G5391" i="4"/>
  <c r="N183" i="4"/>
  <c r="M89" i="4"/>
  <c r="N49" i="4"/>
  <c r="F5235" i="4"/>
  <c r="F5318" i="4"/>
  <c r="F5369" i="4"/>
  <c r="I629" i="4"/>
  <c r="I597" i="4"/>
  <c r="H419" i="4"/>
  <c r="I322" i="4"/>
  <c r="N611" i="4"/>
  <c r="E2814" i="4"/>
  <c r="G3418" i="4"/>
  <c r="I3418" i="4" s="1"/>
  <c r="E5262" i="4"/>
  <c r="G5262" i="4" s="1"/>
  <c r="I5262" i="4" s="1"/>
  <c r="E5274" i="4"/>
  <c r="G5274" i="4" s="1"/>
  <c r="H5274" i="4" s="1"/>
  <c r="E5286" i="4"/>
  <c r="E5298" i="4"/>
  <c r="G5298" i="4" s="1"/>
  <c r="I5298" i="4" s="1"/>
  <c r="E5370" i="4"/>
  <c r="H712" i="4"/>
  <c r="I580" i="4"/>
  <c r="H208" i="4"/>
  <c r="M318" i="4"/>
  <c r="I1623" i="4"/>
  <c r="L2155" i="4"/>
  <c r="N2155" i="4" s="1"/>
  <c r="M2394" i="4"/>
  <c r="K2821" i="4"/>
  <c r="K2845" i="4"/>
  <c r="K2869" i="4"/>
  <c r="G3211" i="4"/>
  <c r="H3211" i="4" s="1"/>
  <c r="M3498" i="4"/>
  <c r="I3509" i="4"/>
  <c r="M3648" i="4"/>
  <c r="E3679" i="4"/>
  <c r="F3763" i="4"/>
  <c r="M4056" i="4"/>
  <c r="H4917" i="4"/>
  <c r="L5008" i="4"/>
  <c r="N5008" i="4" s="1"/>
  <c r="F5248" i="4"/>
  <c r="G5248" i="4" s="1"/>
  <c r="J5355" i="4"/>
  <c r="H1123" i="4"/>
  <c r="N2356" i="4"/>
  <c r="N2409" i="4"/>
  <c r="H2679" i="4"/>
  <c r="E2703" i="4"/>
  <c r="N3171" i="4"/>
  <c r="I4104" i="4"/>
  <c r="J4791" i="4"/>
  <c r="M5443" i="4"/>
  <c r="E5225" i="4"/>
  <c r="K5355" i="4"/>
  <c r="O1005" i="4"/>
  <c r="H1064" i="4"/>
  <c r="H2107" i="4"/>
  <c r="N2447" i="4"/>
  <c r="H2460" i="4"/>
  <c r="I3144" i="4"/>
  <c r="I3325" i="4"/>
  <c r="N3615" i="4"/>
  <c r="H3638" i="4"/>
  <c r="H4090" i="4"/>
  <c r="P4216" i="4"/>
  <c r="I4301" i="4"/>
  <c r="H4555" i="4"/>
  <c r="O4949" i="4"/>
  <c r="G2169" i="4"/>
  <c r="I2169" i="4" s="1"/>
  <c r="G2181" i="4"/>
  <c r="H2181" i="4" s="1"/>
  <c r="G2193" i="4"/>
  <c r="H2193" i="4" s="1"/>
  <c r="G2205" i="4"/>
  <c r="G2217" i="4"/>
  <c r="I2217" i="4" s="1"/>
  <c r="G2229" i="4"/>
  <c r="F2829" i="4"/>
  <c r="G2829" i="4" s="1"/>
  <c r="I2829" i="4" s="1"/>
  <c r="G2265" i="4"/>
  <c r="I2265" i="4" s="1"/>
  <c r="G2289" i="4"/>
  <c r="I2289" i="4" s="1"/>
  <c r="F2738" i="4"/>
  <c r="L4049" i="4"/>
  <c r="L4061" i="4"/>
  <c r="K4629" i="4"/>
  <c r="L4410" i="4"/>
  <c r="M4410" i="4" s="1"/>
  <c r="G4978" i="4"/>
  <c r="I4978" i="4" s="1"/>
  <c r="G4916" i="4"/>
  <c r="H4916" i="4" s="1"/>
  <c r="G4904" i="4"/>
  <c r="I4904" i="4" s="1"/>
  <c r="G4892" i="4"/>
  <c r="H4892" i="4" s="1"/>
  <c r="H9" i="4"/>
  <c r="H4" i="4"/>
  <c r="F5371" i="4"/>
  <c r="G5371" i="4" s="1"/>
  <c r="J5236" i="4"/>
  <c r="L5236" i="4" s="1"/>
  <c r="J5248" i="4"/>
  <c r="L5248" i="4" s="1"/>
  <c r="J5260" i="4"/>
  <c r="L5260" i="4" s="1"/>
  <c r="J5272" i="4"/>
  <c r="L5272" i="4" s="1"/>
  <c r="J5284" i="4"/>
  <c r="L5284" i="4" s="1"/>
  <c r="J5296" i="4"/>
  <c r="J5320" i="4"/>
  <c r="L517" i="4"/>
  <c r="M517" i="4" s="1"/>
  <c r="L784" i="4"/>
  <c r="M1005" i="4"/>
  <c r="I2063" i="4"/>
  <c r="G2190" i="4"/>
  <c r="I2190" i="4" s="1"/>
  <c r="I2622" i="4"/>
  <c r="O2927" i="4"/>
  <c r="O3027" i="4"/>
  <c r="H3050" i="4"/>
  <c r="N3102" i="4"/>
  <c r="H3159" i="4"/>
  <c r="J3736" i="4"/>
  <c r="I3880" i="4"/>
  <c r="M4178" i="4"/>
  <c r="M4236" i="4"/>
  <c r="N4565" i="4"/>
  <c r="F4683" i="4"/>
  <c r="O4950" i="4"/>
  <c r="F5211" i="4"/>
  <c r="K2829" i="4"/>
  <c r="G3107" i="4"/>
  <c r="H3107" i="4" s="1"/>
  <c r="G3131" i="4"/>
  <c r="I3131" i="4" s="1"/>
  <c r="F4670" i="4"/>
  <c r="K4642" i="4"/>
  <c r="K4654" i="4"/>
  <c r="K4666" i="4"/>
  <c r="K4678" i="4"/>
  <c r="L4678" i="4" s="1"/>
  <c r="N4678" i="4" s="1"/>
  <c r="K4690" i="4"/>
  <c r="L4690" i="4" s="1"/>
  <c r="N4690" i="4" s="1"/>
  <c r="K4702" i="4"/>
  <c r="K4714" i="4"/>
  <c r="K4726" i="4"/>
  <c r="H8" i="4"/>
  <c r="H3" i="4"/>
  <c r="N65" i="4"/>
  <c r="E5226" i="4"/>
  <c r="G5226" i="4" s="1"/>
  <c r="H5226" i="4" s="1"/>
  <c r="I194" i="4"/>
  <c r="I691" i="4"/>
  <c r="I595" i="4"/>
  <c r="I514" i="4"/>
  <c r="I397" i="4"/>
  <c r="H220" i="4"/>
  <c r="J5373" i="4"/>
  <c r="L5373" i="4" s="1"/>
  <c r="M5373" i="4" s="1"/>
  <c r="N609" i="4"/>
  <c r="J1905" i="4"/>
  <c r="O2063" i="4"/>
  <c r="H2075" i="4"/>
  <c r="G2142" i="4"/>
  <c r="H2142" i="4" s="1"/>
  <c r="K2863" i="4"/>
  <c r="N2939" i="4"/>
  <c r="O2950" i="4"/>
  <c r="N3039" i="4"/>
  <c r="P3159" i="4"/>
  <c r="N3997" i="4"/>
  <c r="N4153" i="4"/>
  <c r="G4166" i="4"/>
  <c r="I4166" i="4" s="1"/>
  <c r="M4533" i="4"/>
  <c r="O4819" i="4"/>
  <c r="L2772" i="4"/>
  <c r="K5594" i="4"/>
  <c r="K2806" i="4"/>
  <c r="K3800" i="4"/>
  <c r="K3812" i="4"/>
  <c r="K3836" i="4"/>
  <c r="F4785" i="4"/>
  <c r="H6" i="4"/>
  <c r="N142" i="4"/>
  <c r="I643" i="4"/>
  <c r="H609" i="4"/>
  <c r="I415" i="4"/>
  <c r="M664" i="4"/>
  <c r="M423" i="4"/>
  <c r="M1554" i="4"/>
  <c r="E1854" i="4"/>
  <c r="N1973" i="4"/>
  <c r="O2075" i="4"/>
  <c r="L2704" i="4"/>
  <c r="M2704" i="4" s="1"/>
  <c r="K2815" i="4"/>
  <c r="I3087" i="4"/>
  <c r="I4060" i="4"/>
  <c r="H4601" i="4"/>
  <c r="H5" i="4"/>
  <c r="N177" i="4"/>
  <c r="F5079" i="4"/>
  <c r="E5322" i="4"/>
  <c r="E5334" i="4"/>
  <c r="E5346" i="4"/>
  <c r="E5358" i="4"/>
  <c r="G760" i="4"/>
  <c r="I760" i="4" s="1"/>
  <c r="I722" i="4"/>
  <c r="H690" i="4"/>
  <c r="H219" i="4"/>
  <c r="L238" i="4"/>
  <c r="L262" i="4"/>
  <c r="L310" i="4"/>
  <c r="N738" i="4"/>
  <c r="M720" i="4"/>
  <c r="M410" i="4"/>
  <c r="M232" i="4"/>
  <c r="M217" i="4"/>
  <c r="L783" i="4"/>
  <c r="M783" i="4" s="1"/>
  <c r="H2623" i="4"/>
  <c r="K2704" i="4"/>
  <c r="E2718" i="4"/>
  <c r="O2961" i="4"/>
  <c r="H3040" i="4"/>
  <c r="N4033" i="4"/>
  <c r="M4431" i="4"/>
  <c r="E4793" i="4"/>
  <c r="M5446" i="4"/>
  <c r="H5502" i="4"/>
  <c r="E5213" i="4"/>
  <c r="K5211" i="4"/>
  <c r="K5025" i="4"/>
  <c r="L5025" i="4" s="1"/>
  <c r="N119" i="4"/>
  <c r="F5277" i="4"/>
  <c r="F5301" i="4"/>
  <c r="H672" i="4"/>
  <c r="H657" i="4"/>
  <c r="H608" i="4"/>
  <c r="H512" i="4"/>
  <c r="I395" i="4"/>
  <c r="K5143" i="4"/>
  <c r="H1181" i="4"/>
  <c r="G1470" i="4"/>
  <c r="I1470" i="4" s="1"/>
  <c r="I1674" i="4"/>
  <c r="I2076" i="4"/>
  <c r="L2143" i="4"/>
  <c r="N2176" i="4"/>
  <c r="E2706" i="4"/>
  <c r="N2961" i="4"/>
  <c r="N3393" i="4"/>
  <c r="N3582" i="4"/>
  <c r="F3751" i="4"/>
  <c r="M3881" i="4"/>
  <c r="H4251" i="4"/>
  <c r="N4408" i="4"/>
  <c r="G5323" i="4"/>
  <c r="I5323" i="4" s="1"/>
  <c r="G757" i="4"/>
  <c r="I757" i="4" s="1"/>
  <c r="P1181" i="4"/>
  <c r="L1864" i="4"/>
  <c r="M1864" i="4" s="1"/>
  <c r="N1974" i="4"/>
  <c r="O1985" i="4"/>
  <c r="P2144" i="4"/>
  <c r="O3052" i="4"/>
  <c r="N3436" i="4"/>
  <c r="G3717" i="4"/>
  <c r="L4611" i="4"/>
  <c r="M4611" i="4" s="1"/>
  <c r="L4631" i="4"/>
  <c r="M4631" i="4" s="1"/>
  <c r="G4662" i="4"/>
  <c r="H4662" i="4" s="1"/>
  <c r="L4729" i="4"/>
  <c r="M4729" i="4" s="1"/>
  <c r="G4794" i="4"/>
  <c r="H4794" i="4" s="1"/>
  <c r="O4834" i="4"/>
  <c r="N5401" i="4"/>
  <c r="L5579" i="4"/>
  <c r="M5579" i="4" s="1"/>
  <c r="F2762" i="4"/>
  <c r="J5018" i="4"/>
  <c r="G5513" i="4"/>
  <c r="I5513" i="4" s="1"/>
  <c r="G5438" i="4"/>
  <c r="G5426" i="4"/>
  <c r="I5426" i="4" s="1"/>
  <c r="O3" i="4"/>
  <c r="M163" i="4"/>
  <c r="N110" i="4"/>
  <c r="N79" i="4"/>
  <c r="H739" i="4"/>
  <c r="H688" i="4"/>
  <c r="I413" i="4"/>
  <c r="J5558" i="4"/>
  <c r="L758" i="4"/>
  <c r="M754" i="4"/>
  <c r="M739" i="4"/>
  <c r="M691" i="4"/>
  <c r="N691" i="4"/>
  <c r="N675" i="4"/>
  <c r="G784" i="4"/>
  <c r="H784" i="4" s="1"/>
  <c r="O1059" i="4"/>
  <c r="N1444" i="4"/>
  <c r="M1636" i="4"/>
  <c r="I1959" i="4"/>
  <c r="I1970" i="4"/>
  <c r="H1970" i="4"/>
  <c r="P2225" i="4"/>
  <c r="N4814" i="4"/>
  <c r="M4814" i="4"/>
  <c r="H7" i="4"/>
  <c r="N126" i="4"/>
  <c r="N108" i="4"/>
  <c r="N94" i="4"/>
  <c r="N78" i="4"/>
  <c r="G250" i="4"/>
  <c r="I250" i="4" s="1"/>
  <c r="G343" i="4"/>
  <c r="I343" i="4" s="1"/>
  <c r="I749" i="4"/>
  <c r="I724" i="4"/>
  <c r="I699" i="4"/>
  <c r="I648" i="4"/>
  <c r="H620" i="4"/>
  <c r="I207" i="4"/>
  <c r="L5561" i="4"/>
  <c r="M5561" i="4" s="1"/>
  <c r="N641" i="4"/>
  <c r="N399" i="4"/>
  <c r="M230" i="4"/>
  <c r="L786" i="4"/>
  <c r="M786" i="4" s="1"/>
  <c r="I1002" i="4"/>
  <c r="G1859" i="4"/>
  <c r="H1859" i="4" s="1"/>
  <c r="N1388" i="4"/>
  <c r="M1980" i="4"/>
  <c r="M2046" i="4"/>
  <c r="N2046" i="4"/>
  <c r="N2566" i="4"/>
  <c r="O4902" i="4"/>
  <c r="L4980" i="4"/>
  <c r="M61" i="4"/>
  <c r="M326" i="4"/>
  <c r="M362" i="4"/>
  <c r="M706" i="4"/>
  <c r="N706" i="4"/>
  <c r="N657" i="4"/>
  <c r="L429" i="4"/>
  <c r="M429" i="4" s="1"/>
  <c r="O1002" i="4"/>
  <c r="I4302" i="4"/>
  <c r="H4302" i="4"/>
  <c r="N5452" i="4"/>
  <c r="M400" i="4"/>
  <c r="N400" i="4"/>
  <c r="L787" i="4"/>
  <c r="M787" i="4" s="1"/>
  <c r="H736" i="4"/>
  <c r="N705" i="4"/>
  <c r="L362" i="4"/>
  <c r="O2036" i="4"/>
  <c r="N3288" i="4"/>
  <c r="M3288" i="4"/>
  <c r="L5197" i="4"/>
  <c r="N5197" i="4" s="1"/>
  <c r="N386" i="4"/>
  <c r="M386" i="4"/>
  <c r="P1282" i="4"/>
  <c r="L338" i="4"/>
  <c r="M338" i="4" s="1"/>
  <c r="L785" i="4"/>
  <c r="M785" i="4" s="1"/>
  <c r="I1353" i="4"/>
  <c r="I2025" i="4"/>
  <c r="N2047" i="4"/>
  <c r="N92" i="4"/>
  <c r="M60" i="4"/>
  <c r="G252" i="4"/>
  <c r="H252" i="4" s="1"/>
  <c r="G264" i="4"/>
  <c r="H264" i="4" s="1"/>
  <c r="G300" i="4"/>
  <c r="I300" i="4" s="1"/>
  <c r="G333" i="4"/>
  <c r="H333" i="4" s="1"/>
  <c r="G345" i="4"/>
  <c r="G369" i="4"/>
  <c r="G423" i="4"/>
  <c r="H423" i="4" s="1"/>
  <c r="I697" i="4"/>
  <c r="L326" i="4"/>
  <c r="G777" i="4"/>
  <c r="H777" i="4" s="1"/>
  <c r="L806" i="4"/>
  <c r="M806" i="4" s="1"/>
  <c r="L775" i="4"/>
  <c r="M775" i="4" s="1"/>
  <c r="O1962" i="4"/>
  <c r="O1993" i="4"/>
  <c r="O2025" i="4"/>
  <c r="M2441" i="4"/>
  <c r="N2441" i="4"/>
  <c r="N3583" i="4"/>
  <c r="M3583" i="4"/>
  <c r="P4034" i="4"/>
  <c r="I4206" i="4"/>
  <c r="H4206" i="4"/>
  <c r="H5516" i="4"/>
  <c r="I5516" i="4"/>
  <c r="N8" i="4"/>
  <c r="F5745" i="4"/>
  <c r="I618" i="4"/>
  <c r="I605" i="4"/>
  <c r="I421" i="4"/>
  <c r="P231" i="4"/>
  <c r="P218" i="4"/>
  <c r="J823" i="4"/>
  <c r="N734" i="4"/>
  <c r="M422" i="4"/>
  <c r="N395" i="4"/>
  <c r="N805" i="4"/>
  <c r="O1924" i="4"/>
  <c r="M2430" i="4"/>
  <c r="L5491" i="4"/>
  <c r="N5491" i="4" s="1"/>
  <c r="M8" i="4"/>
  <c r="N171" i="4"/>
  <c r="M140" i="4"/>
  <c r="O121" i="4"/>
  <c r="N91" i="4"/>
  <c r="N42" i="4"/>
  <c r="G241" i="4"/>
  <c r="I241" i="4" s="1"/>
  <c r="G277" i="4"/>
  <c r="I277" i="4" s="1"/>
  <c r="G289" i="4"/>
  <c r="G301" i="4"/>
  <c r="G334" i="4"/>
  <c r="H334" i="4" s="1"/>
  <c r="G358" i="4"/>
  <c r="H358" i="4" s="1"/>
  <c r="G370" i="4"/>
  <c r="I370" i="4" s="1"/>
  <c r="I733" i="4"/>
  <c r="I721" i="4"/>
  <c r="I708" i="4"/>
  <c r="I696" i="4"/>
  <c r="H668" i="4"/>
  <c r="H594" i="4"/>
  <c r="I407" i="4"/>
  <c r="I396" i="4"/>
  <c r="H353" i="4"/>
  <c r="I230" i="4"/>
  <c r="I203" i="4"/>
  <c r="N702" i="4"/>
  <c r="M226" i="4"/>
  <c r="N226" i="4"/>
  <c r="N211" i="4"/>
  <c r="N794" i="4"/>
  <c r="I1994" i="4"/>
  <c r="M2115" i="4"/>
  <c r="H4279" i="4"/>
  <c r="M4919" i="4"/>
  <c r="N4919" i="4"/>
  <c r="N58" i="4"/>
  <c r="H746" i="4"/>
  <c r="I682" i="4"/>
  <c r="H644" i="4"/>
  <c r="I578" i="4"/>
  <c r="L5235" i="4"/>
  <c r="N5235" i="4" s="1"/>
  <c r="L5259" i="4"/>
  <c r="L5283" i="4"/>
  <c r="L5295" i="4"/>
  <c r="M5295" i="4" s="1"/>
  <c r="L5319" i="4"/>
  <c r="I2466" i="4"/>
  <c r="H2466" i="4"/>
  <c r="G5001" i="4"/>
  <c r="I5001" i="4" s="1"/>
  <c r="E5577" i="4"/>
  <c r="I770" i="4"/>
  <c r="O1088" i="4"/>
  <c r="I1585" i="4"/>
  <c r="N2455" i="4"/>
  <c r="M2455" i="4"/>
  <c r="P4080" i="4"/>
  <c r="N4080" i="4"/>
  <c r="G5000" i="4"/>
  <c r="I5000" i="4" s="1"/>
  <c r="F5576" i="4"/>
  <c r="O73" i="4"/>
  <c r="H1155" i="4"/>
  <c r="M1596" i="4"/>
  <c r="I1654" i="4"/>
  <c r="I3895" i="4"/>
  <c r="H3895" i="4"/>
  <c r="H5544" i="4"/>
  <c r="I5544" i="4"/>
  <c r="F5571" i="4"/>
  <c r="H193" i="4"/>
  <c r="N118" i="4"/>
  <c r="N103" i="4"/>
  <c r="G267" i="4"/>
  <c r="I267" i="4" s="1"/>
  <c r="G291" i="4"/>
  <c r="I291" i="4" s="1"/>
  <c r="G324" i="4"/>
  <c r="I324" i="4" s="1"/>
  <c r="H336" i="4"/>
  <c r="E5148" i="4"/>
  <c r="E924" i="4"/>
  <c r="G360" i="4"/>
  <c r="I360" i="4" s="1"/>
  <c r="H405" i="4"/>
  <c r="I321" i="4"/>
  <c r="I227" i="4"/>
  <c r="I214" i="4"/>
  <c r="M714" i="4"/>
  <c r="P209" i="4"/>
  <c r="G770" i="4"/>
  <c r="H770" i="4" s="1"/>
  <c r="I1101" i="4"/>
  <c r="O1136" i="4"/>
  <c r="N1688" i="4"/>
  <c r="H2606" i="4"/>
  <c r="I2606" i="4"/>
  <c r="M3344" i="4"/>
  <c r="I5519" i="4"/>
  <c r="H5519" i="4"/>
  <c r="I5419" i="4"/>
  <c r="H5419" i="4"/>
  <c r="G5407" i="4"/>
  <c r="I5407" i="4" s="1"/>
  <c r="G5379" i="4"/>
  <c r="H5379" i="4" s="1"/>
  <c r="E5571" i="4"/>
  <c r="G5571" i="4" s="1"/>
  <c r="G5192" i="4"/>
  <c r="I5192" i="4" s="1"/>
  <c r="E5576" i="4"/>
  <c r="M4902" i="4"/>
  <c r="N3" i="4"/>
  <c r="O169" i="4"/>
  <c r="M137" i="4"/>
  <c r="N71" i="4"/>
  <c r="M55" i="4"/>
  <c r="N19" i="4"/>
  <c r="I666" i="4"/>
  <c r="P202" i="4"/>
  <c r="J907" i="4"/>
  <c r="J931" i="4"/>
  <c r="L367" i="4"/>
  <c r="N367" i="4" s="1"/>
  <c r="L425" i="4"/>
  <c r="M699" i="4"/>
  <c r="N699" i="4"/>
  <c r="N651" i="4"/>
  <c r="N601" i="4"/>
  <c r="N223" i="4"/>
  <c r="I771" i="4"/>
  <c r="N1954" i="4"/>
  <c r="M1954" i="4"/>
  <c r="M2188" i="4"/>
  <c r="N2188" i="4"/>
  <c r="M4013" i="4"/>
  <c r="O4013" i="4"/>
  <c r="G4220" i="4"/>
  <c r="I4220" i="4" s="1"/>
  <c r="F4796" i="4"/>
  <c r="L4890" i="4"/>
  <c r="O4890" i="4" s="1"/>
  <c r="I45" i="4"/>
  <c r="O103" i="4"/>
  <c r="O47" i="4"/>
  <c r="G256" i="4"/>
  <c r="I256" i="4" s="1"/>
  <c r="G268" i="4"/>
  <c r="G280" i="4"/>
  <c r="G292" i="4"/>
  <c r="G304" i="4"/>
  <c r="G325" i="4"/>
  <c r="G349" i="4"/>
  <c r="G361" i="4"/>
  <c r="I361" i="4" s="1"/>
  <c r="H760" i="4"/>
  <c r="I653" i="4"/>
  <c r="H642" i="4"/>
  <c r="I513" i="4"/>
  <c r="I404" i="4"/>
  <c r="I394" i="4"/>
  <c r="I201" i="4"/>
  <c r="K5686" i="4"/>
  <c r="N761" i="4"/>
  <c r="M392" i="4"/>
  <c r="M1689" i="4"/>
  <c r="N1689" i="4"/>
  <c r="H5193" i="4"/>
  <c r="G4804" i="4"/>
  <c r="H4804" i="4" s="1"/>
  <c r="E5572" i="4"/>
  <c r="J5104" i="4"/>
  <c r="L304" i="4"/>
  <c r="O32" i="4"/>
  <c r="I268" i="4"/>
  <c r="I280" i="4"/>
  <c r="I304" i="4"/>
  <c r="I325" i="4"/>
  <c r="I349" i="4"/>
  <c r="H692" i="4"/>
  <c r="H602" i="4"/>
  <c r="H589" i="4"/>
  <c r="I418" i="4"/>
  <c r="I319" i="4"/>
  <c r="I226" i="4"/>
  <c r="H212" i="4"/>
  <c r="N697" i="4"/>
  <c r="N681" i="4"/>
  <c r="N665" i="4"/>
  <c r="M406" i="4"/>
  <c r="N2301" i="4"/>
  <c r="M2301" i="4"/>
  <c r="M2332" i="4"/>
  <c r="N2332" i="4"/>
  <c r="H4841" i="4"/>
  <c r="I4841" i="4"/>
  <c r="G4994" i="4"/>
  <c r="I4994" i="4" s="1"/>
  <c r="F5570" i="4"/>
  <c r="J5080" i="4"/>
  <c r="J5656" i="4" s="1"/>
  <c r="L5656" i="4" s="1"/>
  <c r="L280" i="4"/>
  <c r="H1615" i="4"/>
  <c r="N287" i="4"/>
  <c r="N299" i="4"/>
  <c r="L761" i="4"/>
  <c r="M761" i="4" s="1"/>
  <c r="M1079" i="4"/>
  <c r="O1079" i="4"/>
  <c r="N1079" i="4"/>
  <c r="N1440" i="4"/>
  <c r="H4174" i="4"/>
  <c r="I4174" i="4"/>
  <c r="H4258" i="4"/>
  <c r="I4258" i="4"/>
  <c r="F4223" i="4"/>
  <c r="F4799" i="4" s="1"/>
  <c r="G4799" i="4" s="1"/>
  <c r="H4799" i="4" s="1"/>
  <c r="E4799" i="4"/>
  <c r="G4256" i="4"/>
  <c r="I4256" i="4" s="1"/>
  <c r="F4640" i="4"/>
  <c r="E4670" i="4"/>
  <c r="G4670" i="4" s="1"/>
  <c r="H4670" i="4" s="1"/>
  <c r="G4286" i="4"/>
  <c r="H4286" i="4" s="1"/>
  <c r="G4392" i="4"/>
  <c r="F4776" i="4"/>
  <c r="K4785" i="4"/>
  <c r="L4017" i="4"/>
  <c r="M4017" i="4" s="1"/>
  <c r="K4977" i="4"/>
  <c r="L4977" i="4" s="1"/>
  <c r="O4977" i="4" s="1"/>
  <c r="K4649" i="4"/>
  <c r="L4073" i="4"/>
  <c r="P4073" i="4" s="1"/>
  <c r="K4661" i="4"/>
  <c r="L4085" i="4"/>
  <c r="M4085" i="4" s="1"/>
  <c r="L4097" i="4"/>
  <c r="K4673" i="4"/>
  <c r="L4109" i="4"/>
  <c r="P4109" i="4" s="1"/>
  <c r="K4685" i="4"/>
  <c r="K4697" i="4"/>
  <c r="L4121" i="4"/>
  <c r="K4709" i="4"/>
  <c r="L4133" i="4"/>
  <c r="K4721" i="4"/>
  <c r="L4145" i="4"/>
  <c r="P4145" i="4" s="1"/>
  <c r="J4743" i="4"/>
  <c r="L4743" i="4" s="1"/>
  <c r="M4743" i="4" s="1"/>
  <c r="L4167" i="4"/>
  <c r="M4167" i="4" s="1"/>
  <c r="L4203" i="4"/>
  <c r="J4779" i="4"/>
  <c r="K4218" i="4"/>
  <c r="K5178" i="4" s="1"/>
  <c r="J4794" i="4"/>
  <c r="J4642" i="4"/>
  <c r="L4258" i="4"/>
  <c r="J4654" i="4"/>
  <c r="L4654" i="4" s="1"/>
  <c r="L4270" i="4"/>
  <c r="M4270" i="4" s="1"/>
  <c r="L4282" i="4"/>
  <c r="N4282" i="4" s="1"/>
  <c r="J4666" i="4"/>
  <c r="L4294" i="4"/>
  <c r="N4294" i="4" s="1"/>
  <c r="J4690" i="4"/>
  <c r="L4306" i="4"/>
  <c r="N4306" i="4" s="1"/>
  <c r="J4702" i="4"/>
  <c r="L4318" i="4"/>
  <c r="M4318" i="4" s="1"/>
  <c r="L4330" i="4"/>
  <c r="N4330" i="4" s="1"/>
  <c r="J4714" i="4"/>
  <c r="L4342" i="4"/>
  <c r="M4342" i="4" s="1"/>
  <c r="J4726" i="4"/>
  <c r="J4745" i="4"/>
  <c r="L4361" i="4"/>
  <c r="N4361" i="4" s="1"/>
  <c r="L4373" i="4"/>
  <c r="N4373" i="4" s="1"/>
  <c r="J4757" i="4"/>
  <c r="L4757" i="4" s="1"/>
  <c r="L4386" i="4"/>
  <c r="M4386" i="4" s="1"/>
  <c r="K4770" i="4"/>
  <c r="L4398" i="4"/>
  <c r="M4398" i="4" s="1"/>
  <c r="K4782" i="4"/>
  <c r="K5556" i="4"/>
  <c r="L5556" i="4" s="1"/>
  <c r="N5556" i="4" s="1"/>
  <c r="L4596" i="4"/>
  <c r="M4596" i="4" s="1"/>
  <c r="K4788" i="4"/>
  <c r="E5696" i="4"/>
  <c r="G4928" i="4"/>
  <c r="O4928" i="4" s="1"/>
  <c r="G4878" i="4"/>
  <c r="H4878" i="4" s="1"/>
  <c r="G4866" i="4"/>
  <c r="H4866" i="4" s="1"/>
  <c r="G4854" i="4"/>
  <c r="O4840" i="4"/>
  <c r="G4828" i="4"/>
  <c r="H4828" i="4" s="1"/>
  <c r="G4816" i="4"/>
  <c r="M2903" i="4"/>
  <c r="N2903" i="4"/>
  <c r="H309" i="4"/>
  <c r="L777" i="4"/>
  <c r="M777" i="4" s="1"/>
  <c r="O1119" i="4"/>
  <c r="O2023" i="4"/>
  <c r="I293" i="4"/>
  <c r="L759" i="4"/>
  <c r="M759" i="4" s="1"/>
  <c r="M986" i="4"/>
  <c r="H2315" i="4"/>
  <c r="I2315" i="4"/>
  <c r="I2410" i="4"/>
  <c r="H2410" i="4"/>
  <c r="N2527" i="4"/>
  <c r="M2527" i="4"/>
  <c r="N3981" i="4"/>
  <c r="M3981" i="4"/>
  <c r="E5011" i="4"/>
  <c r="G5011" i="4" s="1"/>
  <c r="I5011" i="4" s="1"/>
  <c r="E2707" i="4"/>
  <c r="G2131" i="4"/>
  <c r="I2131" i="4" s="1"/>
  <c r="E5026" i="4"/>
  <c r="E2722" i="4"/>
  <c r="E2758" i="4"/>
  <c r="G2182" i="4"/>
  <c r="I2182" i="4" s="1"/>
  <c r="G2206" i="4"/>
  <c r="E2782" i="4"/>
  <c r="G2230" i="4"/>
  <c r="E2806" i="4"/>
  <c r="G2242" i="4"/>
  <c r="E2818" i="4"/>
  <c r="E2830" i="4"/>
  <c r="G2254" i="4"/>
  <c r="P2254" i="4" s="1"/>
  <c r="E2878" i="4"/>
  <c r="G2878" i="4" s="1"/>
  <c r="G2302" i="4"/>
  <c r="E5393" i="4"/>
  <c r="E2705" i="4"/>
  <c r="J5013" i="4"/>
  <c r="J2709" i="4"/>
  <c r="K5027" i="4"/>
  <c r="L2147" i="4"/>
  <c r="N2147" i="4" s="1"/>
  <c r="K2723" i="4"/>
  <c r="K2735" i="4"/>
  <c r="L2735" i="4" s="1"/>
  <c r="M2735" i="4" s="1"/>
  <c r="L2159" i="4"/>
  <c r="N2159" i="4" s="1"/>
  <c r="K2747" i="4"/>
  <c r="L2171" i="4"/>
  <c r="K2771" i="4"/>
  <c r="L2195" i="4"/>
  <c r="M2195" i="4" s="1"/>
  <c r="L2219" i="4"/>
  <c r="M2219" i="4" s="1"/>
  <c r="K2843" i="4"/>
  <c r="L2267" i="4"/>
  <c r="N2267" i="4" s="1"/>
  <c r="L2279" i="4"/>
  <c r="N2279" i="4" s="1"/>
  <c r="K2855" i="4"/>
  <c r="L2291" i="4"/>
  <c r="N2291" i="4" s="1"/>
  <c r="K2867" i="4"/>
  <c r="J5210" i="4"/>
  <c r="J2714" i="4"/>
  <c r="L2330" i="4"/>
  <c r="N2330" i="4" s="1"/>
  <c r="L2397" i="4"/>
  <c r="N2397" i="4" s="1"/>
  <c r="K2781" i="4"/>
  <c r="K2805" i="4"/>
  <c r="L2421" i="4"/>
  <c r="N2421" i="4" s="1"/>
  <c r="L2469" i="4"/>
  <c r="N2469" i="4" s="1"/>
  <c r="K2853" i="4"/>
  <c r="L2853" i="4" s="1"/>
  <c r="M2853" i="4" s="1"/>
  <c r="K2877" i="4"/>
  <c r="L2493" i="4"/>
  <c r="M2493" i="4" s="1"/>
  <c r="G3095" i="4"/>
  <c r="I3095" i="4" s="1"/>
  <c r="E3671" i="4"/>
  <c r="E3695" i="4"/>
  <c r="G3119" i="4"/>
  <c r="E3719" i="4"/>
  <c r="G3143" i="4"/>
  <c r="I3143" i="4" s="1"/>
  <c r="F3731" i="4"/>
  <c r="G3155" i="4"/>
  <c r="I3155" i="4" s="1"/>
  <c r="G3167" i="4"/>
  <c r="I3167" i="4" s="1"/>
  <c r="F3743" i="4"/>
  <c r="G3179" i="4"/>
  <c r="H3179" i="4" s="1"/>
  <c r="F3755" i="4"/>
  <c r="G3191" i="4"/>
  <c r="I3191" i="4" s="1"/>
  <c r="F3767" i="4"/>
  <c r="G3203" i="4"/>
  <c r="H3203" i="4" s="1"/>
  <c r="F3779" i="4"/>
  <c r="G3779" i="4" s="1"/>
  <c r="H3779" i="4" s="1"/>
  <c r="F3791" i="4"/>
  <c r="G3215" i="4"/>
  <c r="G3227" i="4"/>
  <c r="H3227" i="4" s="1"/>
  <c r="F3803" i="4"/>
  <c r="G3239" i="4"/>
  <c r="F3815" i="4"/>
  <c r="G3251" i="4"/>
  <c r="I3251" i="4" s="1"/>
  <c r="F3827" i="4"/>
  <c r="G3263" i="4"/>
  <c r="H3263" i="4" s="1"/>
  <c r="F3839" i="4"/>
  <c r="G3295" i="4"/>
  <c r="H3295" i="4" s="1"/>
  <c r="F3679" i="4"/>
  <c r="F3765" i="4"/>
  <c r="G3765" i="4" s="1"/>
  <c r="G3381" i="4"/>
  <c r="H3381" i="4" s="1"/>
  <c r="F3810" i="4"/>
  <c r="G3426" i="4"/>
  <c r="I3426" i="4" s="1"/>
  <c r="F3834" i="4"/>
  <c r="G3450" i="4"/>
  <c r="I3450" i="4" s="1"/>
  <c r="L3090" i="4"/>
  <c r="J3666" i="4"/>
  <c r="J3680" i="4"/>
  <c r="L3104" i="4"/>
  <c r="M3104" i="4" s="1"/>
  <c r="J3692" i="4"/>
  <c r="L3692" i="4" s="1"/>
  <c r="M3692" i="4" s="1"/>
  <c r="L3116" i="4"/>
  <c r="M3116" i="4" s="1"/>
  <c r="J3704" i="4"/>
  <c r="L3128" i="4"/>
  <c r="J3716" i="4"/>
  <c r="L3140" i="4"/>
  <c r="N3140" i="4" s="1"/>
  <c r="J3740" i="4"/>
  <c r="L3740" i="4" s="1"/>
  <c r="M3740" i="4" s="1"/>
  <c r="L3164" i="4"/>
  <c r="N3164" i="4" s="1"/>
  <c r="J3752" i="4"/>
  <c r="L3176" i="4"/>
  <c r="P3176" i="4" s="1"/>
  <c r="J3764" i="4"/>
  <c r="L3188" i="4"/>
  <c r="P3188" i="4" s="1"/>
  <c r="J3776" i="4"/>
  <c r="L3200" i="4"/>
  <c r="L3212" i="4"/>
  <c r="M3212" i="4" s="1"/>
  <c r="J3788" i="4"/>
  <c r="L3224" i="4"/>
  <c r="N3224" i="4" s="1"/>
  <c r="J3800" i="4"/>
  <c r="L3236" i="4"/>
  <c r="M3236" i="4" s="1"/>
  <c r="J3812" i="4"/>
  <c r="L3248" i="4"/>
  <c r="M3248" i="4" s="1"/>
  <c r="J3824" i="4"/>
  <c r="J3836" i="4"/>
  <c r="L3260" i="4"/>
  <c r="N3260" i="4" s="1"/>
  <c r="L3283" i="4"/>
  <c r="N3283" i="4" s="1"/>
  <c r="K3667" i="4"/>
  <c r="L3295" i="4"/>
  <c r="N3295" i="4" s="1"/>
  <c r="K3679" i="4"/>
  <c r="L3679" i="4" s="1"/>
  <c r="K3803" i="4"/>
  <c r="L3419" i="4"/>
  <c r="N3419" i="4" s="1"/>
  <c r="L3443" i="4"/>
  <c r="N3443" i="4" s="1"/>
  <c r="K3827" i="4"/>
  <c r="F4697" i="4"/>
  <c r="G3929" i="4"/>
  <c r="I3929" i="4" s="1"/>
  <c r="F4889" i="4"/>
  <c r="G4889" i="4" s="1"/>
  <c r="I4889" i="4" s="1"/>
  <c r="G4051" i="4"/>
  <c r="I4051" i="4" s="1"/>
  <c r="F4627" i="4"/>
  <c r="G4063" i="4"/>
  <c r="I4063" i="4" s="1"/>
  <c r="F4639" i="4"/>
  <c r="G4639" i="4" s="1"/>
  <c r="F4651" i="4"/>
  <c r="G4075" i="4"/>
  <c r="I4075" i="4" s="1"/>
  <c r="F4663" i="4"/>
  <c r="G4087" i="4"/>
  <c r="G4099" i="4"/>
  <c r="I4099" i="4" s="1"/>
  <c r="F4675" i="4"/>
  <c r="G4675" i="4" s="1"/>
  <c r="G4111" i="4"/>
  <c r="H4111" i="4" s="1"/>
  <c r="F4687" i="4"/>
  <c r="G4123" i="4"/>
  <c r="I4123" i="4" s="1"/>
  <c r="F4699" i="4"/>
  <c r="G4699" i="4" s="1"/>
  <c r="I4699" i="4" s="1"/>
  <c r="F4711" i="4"/>
  <c r="G4135" i="4"/>
  <c r="F4723" i="4"/>
  <c r="G4723" i="4" s="1"/>
  <c r="H4723" i="4" s="1"/>
  <c r="G4147" i="4"/>
  <c r="I4147" i="4" s="1"/>
  <c r="E4785" i="4"/>
  <c r="G4785" i="4" s="1"/>
  <c r="I4785" i="4" s="1"/>
  <c r="G4209" i="4"/>
  <c r="I4209" i="4" s="1"/>
  <c r="F4224" i="4"/>
  <c r="E4800" i="4"/>
  <c r="F4777" i="4"/>
  <c r="G4393" i="4"/>
  <c r="I4393" i="4" s="1"/>
  <c r="K4978" i="4"/>
  <c r="L4978" i="4" s="1"/>
  <c r="K4786" i="4"/>
  <c r="L4018" i="4"/>
  <c r="L4050" i="4"/>
  <c r="N4050" i="4" s="1"/>
  <c r="J4626" i="4"/>
  <c r="N4134" i="4"/>
  <c r="P4134" i="4"/>
  <c r="L4168" i="4"/>
  <c r="J4744" i="4"/>
  <c r="L4204" i="4"/>
  <c r="J4780" i="4"/>
  <c r="K4219" i="4"/>
  <c r="K5179" i="4" s="1"/>
  <c r="J4795" i="4"/>
  <c r="J4630" i="4"/>
  <c r="L4630" i="4" s="1"/>
  <c r="N4630" i="4" s="1"/>
  <c r="L4246" i="4"/>
  <c r="N4246" i="4" s="1"/>
  <c r="L4387" i="4"/>
  <c r="M4387" i="4" s="1"/>
  <c r="J4771" i="4"/>
  <c r="L4771" i="4" s="1"/>
  <c r="M4771" i="4" s="1"/>
  <c r="L4399" i="4"/>
  <c r="N4399" i="4" s="1"/>
  <c r="J4783" i="4"/>
  <c r="K5557" i="4"/>
  <c r="L5557" i="4" s="1"/>
  <c r="M5557" i="4" s="1"/>
  <c r="L4597" i="4"/>
  <c r="M4597" i="4" s="1"/>
  <c r="K4789" i="4"/>
  <c r="M1683" i="4"/>
  <c r="I233" i="4"/>
  <c r="I281" i="4"/>
  <c r="N166" i="4"/>
  <c r="M149" i="4"/>
  <c r="N83" i="4"/>
  <c r="N68" i="4"/>
  <c r="N52" i="4"/>
  <c r="N35" i="4"/>
  <c r="G467" i="4"/>
  <c r="I467" i="4" s="1"/>
  <c r="G503" i="4"/>
  <c r="H503" i="4" s="1"/>
  <c r="H754" i="4"/>
  <c r="I715" i="4"/>
  <c r="I625" i="4"/>
  <c r="I612" i="4"/>
  <c r="I317" i="4"/>
  <c r="K5652" i="4"/>
  <c r="N728" i="4"/>
  <c r="N390" i="4"/>
  <c r="M206" i="4"/>
  <c r="G787" i="4"/>
  <c r="H787" i="4" s="1"/>
  <c r="L779" i="4"/>
  <c r="M779" i="4" s="1"/>
  <c r="O1998" i="4"/>
  <c r="I2054" i="4"/>
  <c r="H2054" i="4"/>
  <c r="H2191" i="4"/>
  <c r="I2191" i="4"/>
  <c r="M2385" i="4"/>
  <c r="N2435" i="4"/>
  <c r="O2937" i="4"/>
  <c r="M5477" i="4"/>
  <c r="N5477" i="4"/>
  <c r="F5026" i="4"/>
  <c r="F5602" i="4" s="1"/>
  <c r="F2722" i="4"/>
  <c r="E5212" i="4"/>
  <c r="G5212" i="4" s="1"/>
  <c r="H5212" i="4" s="1"/>
  <c r="E2716" i="4"/>
  <c r="G2356" i="4"/>
  <c r="H2356" i="4" s="1"/>
  <c r="F2740" i="4"/>
  <c r="G2740" i="4" s="1"/>
  <c r="H2740" i="4" s="1"/>
  <c r="G2406" i="4"/>
  <c r="I2406" i="4" s="1"/>
  <c r="F2790" i="4"/>
  <c r="G2430" i="4"/>
  <c r="F2814" i="4"/>
  <c r="F2860" i="4"/>
  <c r="I2476" i="4"/>
  <c r="J5014" i="4"/>
  <c r="J2710" i="4"/>
  <c r="J5028" i="4"/>
  <c r="L2148" i="4"/>
  <c r="J2724" i="4"/>
  <c r="L2724" i="4" s="1"/>
  <c r="L2184" i="4"/>
  <c r="M2184" i="4" s="1"/>
  <c r="J2760" i="4"/>
  <c r="J2784" i="4"/>
  <c r="L2208" i="4"/>
  <c r="L2244" i="4"/>
  <c r="J2820" i="4"/>
  <c r="L2256" i="4"/>
  <c r="J2832" i="4"/>
  <c r="L2268" i="4"/>
  <c r="M2268" i="4" s="1"/>
  <c r="J2844" i="4"/>
  <c r="L2304" i="4"/>
  <c r="J2880" i="4"/>
  <c r="L2880" i="4" s="1"/>
  <c r="N2880" i="4" s="1"/>
  <c r="L2398" i="4"/>
  <c r="N2398" i="4" s="1"/>
  <c r="K2782" i="4"/>
  <c r="L2470" i="4"/>
  <c r="M2470" i="4" s="1"/>
  <c r="K2854" i="4"/>
  <c r="L2854" i="4" s="1"/>
  <c r="M2854" i="4" s="1"/>
  <c r="K2878" i="4"/>
  <c r="L2878" i="4" s="1"/>
  <c r="L2494" i="4"/>
  <c r="N2494" i="4" s="1"/>
  <c r="E3732" i="4"/>
  <c r="G3156" i="4"/>
  <c r="I3156" i="4" s="1"/>
  <c r="E3744" i="4"/>
  <c r="G3168" i="4"/>
  <c r="I3168" i="4" s="1"/>
  <c r="G3180" i="4"/>
  <c r="E3756" i="4"/>
  <c r="G3192" i="4"/>
  <c r="I3192" i="4" s="1"/>
  <c r="E3768" i="4"/>
  <c r="G3204" i="4"/>
  <c r="H3204" i="4" s="1"/>
  <c r="E3780" i="4"/>
  <c r="E3792" i="4"/>
  <c r="G3216" i="4"/>
  <c r="I3216" i="4" s="1"/>
  <c r="E3804" i="4"/>
  <c r="G3228" i="4"/>
  <c r="H3228" i="4" s="1"/>
  <c r="G3240" i="4"/>
  <c r="I3240" i="4" s="1"/>
  <c r="E3816" i="4"/>
  <c r="G3252" i="4"/>
  <c r="P3252" i="4" s="1"/>
  <c r="E3828" i="4"/>
  <c r="G3828" i="4" s="1"/>
  <c r="H3828" i="4" s="1"/>
  <c r="G3264" i="4"/>
  <c r="I3264" i="4" s="1"/>
  <c r="E3840" i="4"/>
  <c r="H3296" i="4"/>
  <c r="G3296" i="4"/>
  <c r="I3296" i="4" s="1"/>
  <c r="E3680" i="4"/>
  <c r="G3382" i="4"/>
  <c r="I3382" i="4" s="1"/>
  <c r="F3766" i="4"/>
  <c r="F3811" i="4"/>
  <c r="G3427" i="4"/>
  <c r="H3427" i="4" s="1"/>
  <c r="F3835" i="4"/>
  <c r="G3451" i="4"/>
  <c r="H3451" i="4" s="1"/>
  <c r="N3320" i="4"/>
  <c r="N3380" i="4"/>
  <c r="K3804" i="4"/>
  <c r="L3420" i="4"/>
  <c r="M3420" i="4" s="1"/>
  <c r="L3444" i="4"/>
  <c r="K3828" i="4"/>
  <c r="F4976" i="4"/>
  <c r="G4976" i="4" s="1"/>
  <c r="H4976" i="4" s="1"/>
  <c r="F4784" i="4"/>
  <c r="G4016" i="4"/>
  <c r="G4052" i="4"/>
  <c r="E4628" i="4"/>
  <c r="G4064" i="4"/>
  <c r="I4064" i="4" s="1"/>
  <c r="E4640" i="4"/>
  <c r="G4640" i="4" s="1"/>
  <c r="H4640" i="4" s="1"/>
  <c r="E4664" i="4"/>
  <c r="G4088" i="4"/>
  <c r="I4088" i="4" s="1"/>
  <c r="G4100" i="4"/>
  <c r="E4676" i="4"/>
  <c r="G4112" i="4"/>
  <c r="I4112" i="4" s="1"/>
  <c r="E4688" i="4"/>
  <c r="G4124" i="4"/>
  <c r="E4700" i="4"/>
  <c r="E4724" i="4"/>
  <c r="G4724" i="4" s="1"/>
  <c r="H4724" i="4" s="1"/>
  <c r="G4148" i="4"/>
  <c r="I4148" i="4" s="1"/>
  <c r="E4751" i="4"/>
  <c r="G4175" i="4"/>
  <c r="I4175" i="4" s="1"/>
  <c r="I245" i="4"/>
  <c r="I305" i="4"/>
  <c r="G5230" i="4"/>
  <c r="H5230" i="4" s="1"/>
  <c r="G5242" i="4"/>
  <c r="H5242" i="4" s="1"/>
  <c r="G5254" i="4"/>
  <c r="H5254" i="4" s="1"/>
  <c r="G5268" i="4"/>
  <c r="I5268" i="4" s="1"/>
  <c r="G5280" i="4"/>
  <c r="I5280" i="4" s="1"/>
  <c r="G5292" i="4"/>
  <c r="I5292" i="4" s="1"/>
  <c r="G5304" i="4"/>
  <c r="I5304" i="4" s="1"/>
  <c r="G5349" i="4"/>
  <c r="H5349" i="4" s="1"/>
  <c r="G5361" i="4"/>
  <c r="I5361" i="4" s="1"/>
  <c r="I728" i="4"/>
  <c r="I676" i="4"/>
  <c r="H664" i="4"/>
  <c r="I651" i="4"/>
  <c r="I402" i="4"/>
  <c r="I392" i="4"/>
  <c r="I224" i="4"/>
  <c r="P211" i="4"/>
  <c r="H199" i="4"/>
  <c r="L5264" i="4"/>
  <c r="L5276" i="4"/>
  <c r="L5288" i="4"/>
  <c r="L5300" i="4"/>
  <c r="G893" i="4"/>
  <c r="H893" i="4" s="1"/>
  <c r="G786" i="4"/>
  <c r="I1968" i="4"/>
  <c r="L4788" i="4"/>
  <c r="M4788" i="4" s="1"/>
  <c r="G1907" i="4"/>
  <c r="H1907" i="4" s="1"/>
  <c r="J5030" i="4"/>
  <c r="L1190" i="4"/>
  <c r="J5222" i="4"/>
  <c r="F4844" i="4"/>
  <c r="G4844" i="4" s="1"/>
  <c r="I4844" i="4" s="1"/>
  <c r="F2732" i="4"/>
  <c r="G2732" i="4" s="1"/>
  <c r="I2732" i="4" s="1"/>
  <c r="O9" i="4"/>
  <c r="G5558" i="4"/>
  <c r="H740" i="4"/>
  <c r="I701" i="4"/>
  <c r="I624" i="4"/>
  <c r="I600" i="4"/>
  <c r="I586" i="4"/>
  <c r="M4584" i="4"/>
  <c r="F5171" i="4"/>
  <c r="F5747" i="4" s="1"/>
  <c r="L1394" i="4"/>
  <c r="M1394" i="4" s="1"/>
  <c r="L1406" i="4"/>
  <c r="M1406" i="4" s="1"/>
  <c r="L1418" i="4"/>
  <c r="L1442" i="4"/>
  <c r="N1442" i="4" s="1"/>
  <c r="L1454" i="4"/>
  <c r="L1478" i="4"/>
  <c r="M1478" i="4" s="1"/>
  <c r="N4902" i="4"/>
  <c r="G5362" i="4"/>
  <c r="I5362" i="4" s="1"/>
  <c r="H637" i="4"/>
  <c r="H509" i="4"/>
  <c r="H401" i="4"/>
  <c r="I391" i="4"/>
  <c r="I198" i="4"/>
  <c r="L441" i="4"/>
  <c r="G891" i="4"/>
  <c r="H891" i="4" s="1"/>
  <c r="H1444" i="4"/>
  <c r="I1444" i="4"/>
  <c r="I2055" i="4"/>
  <c r="M2110" i="4"/>
  <c r="N4573" i="4"/>
  <c r="N4913" i="4"/>
  <c r="M4913" i="4"/>
  <c r="K5205" i="4"/>
  <c r="L5205" i="4" s="1"/>
  <c r="N5205" i="4" s="1"/>
  <c r="G783" i="4"/>
  <c r="H783" i="4" s="1"/>
  <c r="N1624" i="4"/>
  <c r="M1947" i="4"/>
  <c r="O3844" i="4"/>
  <c r="P3207" i="4"/>
  <c r="G3831" i="4"/>
  <c r="H3831" i="4" s="1"/>
  <c r="F5122" i="4"/>
  <c r="F5698" i="4" s="1"/>
  <c r="F2733" i="4"/>
  <c r="G2451" i="4"/>
  <c r="H2451" i="4" s="1"/>
  <c r="P2130" i="4"/>
  <c r="P2298" i="4"/>
  <c r="O3960" i="4"/>
  <c r="P4068" i="4"/>
  <c r="P4091" i="4"/>
  <c r="P4162" i="4"/>
  <c r="G4731" i="4"/>
  <c r="I4731" i="4" s="1"/>
  <c r="E5012" i="4"/>
  <c r="E5027" i="4"/>
  <c r="F4641" i="4"/>
  <c r="E4671" i="4"/>
  <c r="I2095" i="4"/>
  <c r="I2386" i="4"/>
  <c r="H2498" i="4"/>
  <c r="I2628" i="4"/>
  <c r="P3255" i="4"/>
  <c r="N3266" i="4"/>
  <c r="M3415" i="4"/>
  <c r="H3574" i="4"/>
  <c r="N3616" i="4"/>
  <c r="I3949" i="4"/>
  <c r="H4025" i="4"/>
  <c r="M4325" i="4"/>
  <c r="M4349" i="4"/>
  <c r="N4395" i="4"/>
  <c r="N4461" i="4"/>
  <c r="I4471" i="4"/>
  <c r="M4481" i="4"/>
  <c r="O4868" i="4"/>
  <c r="M4997" i="4"/>
  <c r="N5521" i="4"/>
  <c r="M5543" i="4"/>
  <c r="K5607" i="4"/>
  <c r="K5751" i="4"/>
  <c r="F5027" i="4"/>
  <c r="F5603" i="4" s="1"/>
  <c r="G2776" i="4"/>
  <c r="L2803" i="4"/>
  <c r="M2803" i="4" s="1"/>
  <c r="M3438" i="4"/>
  <c r="M3885" i="4"/>
  <c r="O3973" i="4"/>
  <c r="M4185" i="4"/>
  <c r="H4303" i="4"/>
  <c r="N4574" i="4"/>
  <c r="G4632" i="4"/>
  <c r="I4632" i="4" s="1"/>
  <c r="G4745" i="4"/>
  <c r="H4745" i="4" s="1"/>
  <c r="H4949" i="4"/>
  <c r="I4961" i="4"/>
  <c r="I5208" i="4"/>
  <c r="L5116" i="4"/>
  <c r="G2881" i="4"/>
  <c r="H2881" i="4" s="1"/>
  <c r="O3000" i="4"/>
  <c r="G3749" i="4"/>
  <c r="H3749" i="4" s="1"/>
  <c r="O4903" i="4"/>
  <c r="K5608" i="4"/>
  <c r="E5015" i="4"/>
  <c r="O4915" i="4"/>
  <c r="E1778" i="4"/>
  <c r="K2726" i="4"/>
  <c r="K2738" i="4"/>
  <c r="K2750" i="4"/>
  <c r="M2619" i="4"/>
  <c r="H2675" i="4"/>
  <c r="L2861" i="4"/>
  <c r="M3000" i="4"/>
  <c r="H3200" i="4"/>
  <c r="M3210" i="4"/>
  <c r="N3336" i="4"/>
  <c r="M3439" i="4"/>
  <c r="N3544" i="4"/>
  <c r="H3554" i="4"/>
  <c r="N3575" i="4"/>
  <c r="I3608" i="4"/>
  <c r="H3847" i="4"/>
  <c r="H3867" i="4"/>
  <c r="O3974" i="4"/>
  <c r="H4072" i="4"/>
  <c r="I4197" i="4"/>
  <c r="I4260" i="4"/>
  <c r="H4363" i="4"/>
  <c r="H4548" i="4"/>
  <c r="O4835" i="4"/>
  <c r="M5534" i="4"/>
  <c r="J2751" i="4"/>
  <c r="G5453" i="4"/>
  <c r="J5342" i="4"/>
  <c r="L5342" i="4" s="1"/>
  <c r="N5342" i="4" s="1"/>
  <c r="J5354" i="4"/>
  <c r="L5354" i="4" s="1"/>
  <c r="N5354" i="4" s="1"/>
  <c r="K5370" i="4"/>
  <c r="L5370" i="4" s="1"/>
  <c r="N736" i="4"/>
  <c r="N214" i="4"/>
  <c r="L948" i="4"/>
  <c r="M948" i="4" s="1"/>
  <c r="L2791" i="4"/>
  <c r="M2791" i="4" s="1"/>
  <c r="L2875" i="4"/>
  <c r="M2875" i="4" s="1"/>
  <c r="O2979" i="4"/>
  <c r="O3046" i="4"/>
  <c r="M3268" i="4"/>
  <c r="N3325" i="4"/>
  <c r="N3489" i="4"/>
  <c r="N3929" i="4"/>
  <c r="I4037" i="4"/>
  <c r="P4049" i="4"/>
  <c r="H4061" i="4"/>
  <c r="H4084" i="4"/>
  <c r="P4165" i="4"/>
  <c r="H4187" i="4"/>
  <c r="M4207" i="4"/>
  <c r="M4227" i="4"/>
  <c r="N4316" i="4"/>
  <c r="N4441" i="4"/>
  <c r="N4463" i="4"/>
  <c r="M4504" i="4"/>
  <c r="M4835" i="4"/>
  <c r="I5307" i="4"/>
  <c r="H5385" i="4"/>
  <c r="E5256" i="4"/>
  <c r="J5118" i="4"/>
  <c r="E2750" i="4"/>
  <c r="E2762" i="4"/>
  <c r="E5198" i="4"/>
  <c r="F5215" i="4"/>
  <c r="G5215" i="4" s="1"/>
  <c r="I5215" i="4" s="1"/>
  <c r="J5199" i="4"/>
  <c r="L5199" i="4" s="1"/>
  <c r="M5199" i="4" s="1"/>
  <c r="K5207" i="4"/>
  <c r="K5591" i="4" s="1"/>
  <c r="G5489" i="4"/>
  <c r="I5489" i="4" s="1"/>
  <c r="G5477" i="4"/>
  <c r="K5318" i="4"/>
  <c r="K5330" i="4"/>
  <c r="L5330" i="4" s="1"/>
  <c r="K5342" i="4"/>
  <c r="K5726" i="4" s="1"/>
  <c r="K5354" i="4"/>
  <c r="J5371" i="4"/>
  <c r="L5371" i="4" s="1"/>
  <c r="M5371" i="4" s="1"/>
  <c r="N579" i="4"/>
  <c r="G803" i="4"/>
  <c r="H803" i="4" s="1"/>
  <c r="G779" i="4"/>
  <c r="H779" i="4" s="1"/>
  <c r="I977" i="4"/>
  <c r="N1010" i="4"/>
  <c r="L2747" i="4"/>
  <c r="M2747" i="4" s="1"/>
  <c r="N3598" i="4"/>
  <c r="M3608" i="4"/>
  <c r="P4037" i="4"/>
  <c r="I4494" i="4"/>
  <c r="N4537" i="4"/>
  <c r="M5434" i="4"/>
  <c r="E5593" i="4"/>
  <c r="E5030" i="4"/>
  <c r="F5115" i="4"/>
  <c r="F5175" i="4"/>
  <c r="F5751" i="4" s="1"/>
  <c r="F5256" i="4"/>
  <c r="F5367" i="4"/>
  <c r="K5118" i="4"/>
  <c r="F5018" i="4"/>
  <c r="F5594" i="4" s="1"/>
  <c r="F5198" i="4"/>
  <c r="E5216" i="4"/>
  <c r="K5016" i="4"/>
  <c r="L5331" i="4"/>
  <c r="M5331" i="4" s="1"/>
  <c r="L5355" i="4"/>
  <c r="M5355" i="4" s="1"/>
  <c r="L5565" i="4"/>
  <c r="G802" i="4"/>
  <c r="H802" i="4" s="1"/>
  <c r="G778" i="4"/>
  <c r="H778" i="4" s="1"/>
  <c r="L798" i="4"/>
  <c r="M798" i="4" s="1"/>
  <c r="L1903" i="4"/>
  <c r="M1903" i="4" s="1"/>
  <c r="O1923" i="4"/>
  <c r="O1970" i="4"/>
  <c r="O2054" i="4"/>
  <c r="O2098" i="4"/>
  <c r="P2288" i="4"/>
  <c r="N2313" i="4"/>
  <c r="H2687" i="4"/>
  <c r="L2733" i="4"/>
  <c r="M2733" i="4" s="1"/>
  <c r="G2741" i="4"/>
  <c r="H2741" i="4" s="1"/>
  <c r="L2862" i="4"/>
  <c r="M2862" i="4" s="1"/>
  <c r="I2952" i="4"/>
  <c r="O3037" i="4"/>
  <c r="M3348" i="4"/>
  <c r="I3359" i="4"/>
  <c r="M3440" i="4"/>
  <c r="N3619" i="4"/>
  <c r="N3629" i="4"/>
  <c r="N3639" i="4"/>
  <c r="O3952" i="4"/>
  <c r="N3975" i="4"/>
  <c r="H3985" i="4"/>
  <c r="H4073" i="4"/>
  <c r="H4133" i="4"/>
  <c r="I4261" i="4"/>
  <c r="N4847" i="4"/>
  <c r="M4894" i="4"/>
  <c r="I4975" i="4"/>
  <c r="H5457" i="4"/>
  <c r="I5546" i="4"/>
  <c r="E5116" i="4"/>
  <c r="E5692" i="4" s="1"/>
  <c r="J5119" i="4"/>
  <c r="L5119" i="4" s="1"/>
  <c r="G2223" i="4"/>
  <c r="I2223" i="4" s="1"/>
  <c r="E5199" i="4"/>
  <c r="G5199" i="4" s="1"/>
  <c r="H5199" i="4" s="1"/>
  <c r="F5216" i="4"/>
  <c r="J4994" i="4"/>
  <c r="L4994" i="4" s="1"/>
  <c r="N4994" i="4" s="1"/>
  <c r="K5020" i="4"/>
  <c r="K5596" i="4" s="1"/>
  <c r="J5200" i="4"/>
  <c r="J5215" i="4"/>
  <c r="L5215" i="4" s="1"/>
  <c r="K5208" i="4"/>
  <c r="L5208" i="4" s="1"/>
  <c r="N5208" i="4" s="1"/>
  <c r="F5752" i="4"/>
  <c r="E5217" i="4"/>
  <c r="K5215" i="4"/>
  <c r="K5599" i="4" s="1"/>
  <c r="G4057" i="4"/>
  <c r="G4657" i="4"/>
  <c r="I4657" i="4" s="1"/>
  <c r="G4669" i="4"/>
  <c r="I4669" i="4" s="1"/>
  <c r="G4105" i="4"/>
  <c r="G4129" i="4"/>
  <c r="M2643" i="4"/>
  <c r="N2992" i="4"/>
  <c r="I3121" i="4"/>
  <c r="N3476" i="4"/>
  <c r="N3985" i="4"/>
  <c r="H4156" i="4"/>
  <c r="P4200" i="4"/>
  <c r="M4485" i="4"/>
  <c r="M4588" i="4"/>
  <c r="M4608" i="4"/>
  <c r="G4753" i="4"/>
  <c r="I4753" i="4" s="1"/>
  <c r="H4848" i="4"/>
  <c r="I5399" i="4"/>
  <c r="K5021" i="4"/>
  <c r="K5597" i="4" s="1"/>
  <c r="J5216" i="4"/>
  <c r="L5216" i="4" s="1"/>
  <c r="N5216" i="4" s="1"/>
  <c r="N3223" i="4"/>
  <c r="N3317" i="4"/>
  <c r="I3339" i="4"/>
  <c r="N3349" i="4"/>
  <c r="M3630" i="4"/>
  <c r="N4517" i="4"/>
  <c r="M4872" i="4"/>
  <c r="O4976" i="4"/>
  <c r="F5309" i="4"/>
  <c r="F5693" i="4" s="1"/>
  <c r="F5596" i="4"/>
  <c r="J5022" i="4"/>
  <c r="P2122" i="4"/>
  <c r="N2578" i="4"/>
  <c r="M2655" i="4"/>
  <c r="O2910" i="4"/>
  <c r="H2921" i="4"/>
  <c r="O2943" i="4"/>
  <c r="H3082" i="4"/>
  <c r="P3097" i="4"/>
  <c r="I3135" i="4"/>
  <c r="P3191" i="4"/>
  <c r="M3453" i="4"/>
  <c r="N3477" i="4"/>
  <c r="N3513" i="4"/>
  <c r="M3547" i="4"/>
  <c r="H3881" i="4"/>
  <c r="O3922" i="4"/>
  <c r="H3977" i="4"/>
  <c r="O3986" i="4"/>
  <c r="L4785" i="4"/>
  <c r="N4785" i="4" s="1"/>
  <c r="O4848" i="4"/>
  <c r="M4907" i="4"/>
  <c r="H4930" i="4"/>
  <c r="H4942" i="4"/>
  <c r="M4965" i="4"/>
  <c r="H5014" i="4"/>
  <c r="I5436" i="4"/>
  <c r="M5505" i="4"/>
  <c r="K5583" i="4"/>
  <c r="G5549" i="4"/>
  <c r="I5549" i="4" s="1"/>
  <c r="O2111" i="4"/>
  <c r="N2436" i="4"/>
  <c r="G2856" i="4"/>
  <c r="H2856" i="4" s="1"/>
  <c r="N3922" i="4"/>
  <c r="I4389" i="4"/>
  <c r="L4655" i="4"/>
  <c r="M4655" i="4" s="1"/>
  <c r="G4689" i="4"/>
  <c r="I4919" i="4"/>
  <c r="P5002" i="4"/>
  <c r="M5447" i="4"/>
  <c r="N5517" i="4"/>
  <c r="F5310" i="4"/>
  <c r="G5310" i="4" s="1"/>
  <c r="N2391" i="4"/>
  <c r="G2815" i="4"/>
  <c r="H2815" i="4" s="1"/>
  <c r="J5218" i="4"/>
  <c r="K5393" i="4"/>
  <c r="L5393" i="4" s="1"/>
  <c r="K4625" i="4"/>
  <c r="J4650" i="4"/>
  <c r="J4674" i="4"/>
  <c r="H3283" i="4"/>
  <c r="M3862" i="4"/>
  <c r="H3978" i="4"/>
  <c r="N4009" i="4"/>
  <c r="H4041" i="4"/>
  <c r="P4076" i="4"/>
  <c r="M4135" i="4"/>
  <c r="H4254" i="4"/>
  <c r="H4264" i="4"/>
  <c r="H4275" i="4"/>
  <c r="M4367" i="4"/>
  <c r="H4414" i="4"/>
  <c r="N4497" i="4"/>
  <c r="I4519" i="4"/>
  <c r="M4561" i="4"/>
  <c r="G4767" i="4"/>
  <c r="O4804" i="4"/>
  <c r="O4908" i="4"/>
  <c r="H4931" i="4"/>
  <c r="P5003" i="4"/>
  <c r="H5389" i="4"/>
  <c r="H5518" i="4"/>
  <c r="I5528" i="4"/>
  <c r="J5024" i="4"/>
  <c r="K5203" i="4"/>
  <c r="K5218" i="4"/>
  <c r="M2334" i="4"/>
  <c r="H2912" i="4"/>
  <c r="M3412" i="4"/>
  <c r="H3494" i="4"/>
  <c r="N3862" i="4"/>
  <c r="I3902" i="4"/>
  <c r="P4041" i="4"/>
  <c r="M4088" i="4"/>
  <c r="M4202" i="4"/>
  <c r="N4242" i="4"/>
  <c r="I4333" i="4"/>
  <c r="H4468" i="4"/>
  <c r="E5584" i="4"/>
  <c r="E5599" i="4"/>
  <c r="K5009" i="4"/>
  <c r="K5024" i="4"/>
  <c r="K5600" i="4" s="1"/>
  <c r="J5204" i="4"/>
  <c r="J5603" i="4"/>
  <c r="M2505" i="4"/>
  <c r="L2807" i="4"/>
  <c r="M2807" i="4" s="1"/>
  <c r="L2843" i="4"/>
  <c r="M2843" i="4" s="1"/>
  <c r="H3113" i="4"/>
  <c r="H3125" i="4"/>
  <c r="M3352" i="4"/>
  <c r="H3376" i="4"/>
  <c r="M3422" i="4"/>
  <c r="H3559" i="4"/>
  <c r="I4346" i="4"/>
  <c r="H4553" i="4"/>
  <c r="I4571" i="4"/>
  <c r="N4601" i="4"/>
  <c r="I5004" i="4"/>
  <c r="K5171" i="4"/>
  <c r="L5171" i="4" s="1"/>
  <c r="M5171" i="4" s="1"/>
  <c r="K5363" i="4"/>
  <c r="L5363" i="4" s="1"/>
  <c r="F5584" i="4"/>
  <c r="J5010" i="4"/>
  <c r="J5324" i="4"/>
  <c r="M424" i="4"/>
  <c r="P208" i="4"/>
  <c r="O1994" i="4"/>
  <c r="O2016" i="4"/>
  <c r="I2347" i="4"/>
  <c r="M2405" i="4"/>
  <c r="I2965" i="4"/>
  <c r="M3075" i="4"/>
  <c r="P3263" i="4"/>
  <c r="M3539" i="4"/>
  <c r="N3581" i="4"/>
  <c r="M3603" i="4"/>
  <c r="N3633" i="4"/>
  <c r="I3946" i="4"/>
  <c r="M4100" i="4"/>
  <c r="N4112" i="4"/>
  <c r="P4136" i="4"/>
  <c r="H4182" i="4"/>
  <c r="M4265" i="4"/>
  <c r="H4288" i="4"/>
  <c r="M4562" i="4"/>
  <c r="H4900" i="4"/>
  <c r="O4968" i="4"/>
  <c r="M5217" i="4"/>
  <c r="I5402" i="4"/>
  <c r="M5413" i="4"/>
  <c r="I5428" i="4"/>
  <c r="M5438" i="4"/>
  <c r="J5172" i="4"/>
  <c r="E5009" i="4"/>
  <c r="E5585" i="4" s="1"/>
  <c r="E5207" i="4"/>
  <c r="G5207" i="4" s="1"/>
  <c r="I5207" i="4" s="1"/>
  <c r="K5010" i="4"/>
  <c r="K5586" i="4" s="1"/>
  <c r="J5206" i="4"/>
  <c r="L5206" i="4" s="1"/>
  <c r="N5206" i="4" s="1"/>
  <c r="L4071" i="4"/>
  <c r="L4083" i="4"/>
  <c r="K4695" i="4"/>
  <c r="L4131" i="4"/>
  <c r="K4719" i="4"/>
  <c r="L4215" i="4"/>
  <c r="M4215" i="4" s="1"/>
  <c r="K5324" i="4"/>
  <c r="G898" i="4"/>
  <c r="H898" i="4" s="1"/>
  <c r="G791" i="4"/>
  <c r="H791" i="4" s="1"/>
  <c r="O2092" i="4"/>
  <c r="N2393" i="4"/>
  <c r="H2496" i="4"/>
  <c r="N2525" i="4"/>
  <c r="I2593" i="4"/>
  <c r="I2604" i="4"/>
  <c r="M2647" i="4"/>
  <c r="O2887" i="4"/>
  <c r="N2985" i="4"/>
  <c r="N3075" i="4"/>
  <c r="I3184" i="4"/>
  <c r="I3343" i="4"/>
  <c r="N3401" i="4"/>
  <c r="I3624" i="4"/>
  <c r="M3882" i="4"/>
  <c r="M4233" i="4"/>
  <c r="N4300" i="4"/>
  <c r="H4369" i="4"/>
  <c r="H4957" i="4"/>
  <c r="P5017" i="4"/>
  <c r="F5121" i="4"/>
  <c r="F5313" i="4"/>
  <c r="G5313" i="4" s="1"/>
  <c r="I5313" i="4" s="1"/>
  <c r="K5172" i="4"/>
  <c r="K5364" i="4"/>
  <c r="L5364" i="4" s="1"/>
  <c r="M5364" i="4" s="1"/>
  <c r="F5024" i="4"/>
  <c r="F5600" i="4" s="1"/>
  <c r="E5210" i="4"/>
  <c r="J5011" i="4"/>
  <c r="J5026" i="4"/>
  <c r="J5207" i="4"/>
  <c r="G790" i="4"/>
  <c r="M1039" i="4"/>
  <c r="L1912" i="4"/>
  <c r="M1912" i="4" s="1"/>
  <c r="G1839" i="4"/>
  <c r="H1839" i="4" s="1"/>
  <c r="M1974" i="4"/>
  <c r="O2006" i="4"/>
  <c r="O2027" i="4"/>
  <c r="O2060" i="4"/>
  <c r="M2178" i="4"/>
  <c r="L2780" i="4"/>
  <c r="M2780" i="4" s="1"/>
  <c r="L2816" i="4"/>
  <c r="M2816" i="4" s="1"/>
  <c r="M2887" i="4"/>
  <c r="P3184" i="4"/>
  <c r="P3227" i="4"/>
  <c r="M3252" i="4"/>
  <c r="M3274" i="4"/>
  <c r="N3413" i="4"/>
  <c r="I3550" i="4"/>
  <c r="G3715" i="4"/>
  <c r="H3715" i="4" s="1"/>
  <c r="G3760" i="4"/>
  <c r="H3760" i="4" s="1"/>
  <c r="H3980" i="4"/>
  <c r="I4043" i="4"/>
  <c r="H4101" i="4"/>
  <c r="H4161" i="4"/>
  <c r="H4193" i="4"/>
  <c r="M5402" i="4"/>
  <c r="E5122" i="4"/>
  <c r="J5173" i="4"/>
  <c r="F5210" i="4"/>
  <c r="G5210" i="4" s="1"/>
  <c r="I5210" i="4" s="1"/>
  <c r="K5011" i="4"/>
  <c r="K5026" i="4"/>
  <c r="J5221" i="4"/>
  <c r="H160" i="4"/>
  <c r="O160" i="4"/>
  <c r="M187" i="4"/>
  <c r="O187" i="4"/>
  <c r="H2" i="4"/>
  <c r="I16" i="4"/>
  <c r="O16" i="4"/>
  <c r="G182" i="4"/>
  <c r="H182" i="4" s="1"/>
  <c r="E4982" i="4"/>
  <c r="E950" i="4"/>
  <c r="O12" i="4"/>
  <c r="M156" i="4"/>
  <c r="O156" i="4"/>
  <c r="H89" i="4"/>
  <c r="O89" i="4"/>
  <c r="I635" i="4"/>
  <c r="H635" i="4"/>
  <c r="G183" i="4"/>
  <c r="I183" i="4" s="1"/>
  <c r="E4983" i="4"/>
  <c r="E5751" i="4" s="1"/>
  <c r="E951" i="4"/>
  <c r="G951" i="4" s="1"/>
  <c r="H951" i="4" s="1"/>
  <c r="G185" i="4"/>
  <c r="H185" i="4" s="1"/>
  <c r="E4985" i="4"/>
  <c r="E953" i="4"/>
  <c r="N186" i="4"/>
  <c r="M56" i="4"/>
  <c r="O56" i="4"/>
  <c r="I239" i="4"/>
  <c r="I251" i="4"/>
  <c r="I299" i="4"/>
  <c r="I368" i="4"/>
  <c r="F4985" i="4"/>
  <c r="F5753" i="4" s="1"/>
  <c r="F953" i="4"/>
  <c r="M154" i="4"/>
  <c r="O154" i="4"/>
  <c r="M88" i="4"/>
  <c r="O88" i="4"/>
  <c r="M168" i="4"/>
  <c r="O168" i="4"/>
  <c r="H132" i="4"/>
  <c r="O132" i="4"/>
  <c r="O6" i="4"/>
  <c r="M152" i="4"/>
  <c r="O152" i="4"/>
  <c r="O167" i="4"/>
  <c r="I137" i="4"/>
  <c r="O137" i="4"/>
  <c r="M104" i="4"/>
  <c r="O104" i="4"/>
  <c r="I155" i="4"/>
  <c r="O155" i="4"/>
  <c r="H131" i="4"/>
  <c r="O131" i="4"/>
  <c r="H83" i="4"/>
  <c r="O83" i="4"/>
  <c r="H59" i="4"/>
  <c r="O59" i="4"/>
  <c r="E4987" i="4"/>
  <c r="E955" i="4"/>
  <c r="G955" i="4" s="1"/>
  <c r="H955" i="4" s="1"/>
  <c r="O5" i="4"/>
  <c r="M5" i="4"/>
  <c r="M151" i="4"/>
  <c r="O151" i="4"/>
  <c r="M70" i="4"/>
  <c r="O70" i="4"/>
  <c r="N70" i="4"/>
  <c r="O143" i="4"/>
  <c r="I289" i="4"/>
  <c r="I683" i="4"/>
  <c r="H683" i="4"/>
  <c r="I113" i="4"/>
  <c r="O113" i="4"/>
  <c r="I13" i="4"/>
  <c r="I35" i="4"/>
  <c r="O35" i="4"/>
  <c r="F4987" i="4"/>
  <c r="F5755" i="4" s="1"/>
  <c r="F955" i="4"/>
  <c r="O4" i="4"/>
  <c r="M182" i="4"/>
  <c r="O182" i="4"/>
  <c r="N101" i="4"/>
  <c r="O101" i="4"/>
  <c r="N53" i="4"/>
  <c r="O53" i="4"/>
  <c r="M53" i="4"/>
  <c r="O119" i="4"/>
  <c r="O95" i="4"/>
  <c r="I323" i="4"/>
  <c r="I335" i="4"/>
  <c r="I359" i="4"/>
  <c r="O11" i="4"/>
  <c r="M11" i="4"/>
  <c r="I12" i="4"/>
  <c r="I11" i="4"/>
  <c r="M114" i="4"/>
  <c r="N114" i="4"/>
  <c r="O114" i="4"/>
  <c r="O15" i="4"/>
  <c r="O71" i="4"/>
  <c r="M82" i="4"/>
  <c r="O82" i="4"/>
  <c r="M51" i="4"/>
  <c r="O51" i="4"/>
  <c r="N51" i="4"/>
  <c r="F4989" i="4"/>
  <c r="M12" i="4"/>
  <c r="N165" i="4"/>
  <c r="O165" i="4"/>
  <c r="M130" i="4"/>
  <c r="O130" i="4"/>
  <c r="M112" i="4"/>
  <c r="O112" i="4"/>
  <c r="O98" i="4"/>
  <c r="M50" i="4"/>
  <c r="O50" i="4"/>
  <c r="N50" i="4"/>
  <c r="H133" i="4"/>
  <c r="O133" i="4"/>
  <c r="I10" i="4"/>
  <c r="M67" i="4"/>
  <c r="N67" i="4"/>
  <c r="O67" i="4"/>
  <c r="N11" i="4"/>
  <c r="M164" i="4"/>
  <c r="N164" i="4"/>
  <c r="O164" i="4"/>
  <c r="O23" i="4"/>
  <c r="I731" i="4"/>
  <c r="H731" i="4"/>
  <c r="H318" i="4"/>
  <c r="P318" i="4"/>
  <c r="I157" i="4"/>
  <c r="O157" i="4"/>
  <c r="H173" i="4"/>
  <c r="O173" i="4"/>
  <c r="E4990" i="4"/>
  <c r="E958" i="4"/>
  <c r="O179" i="4"/>
  <c r="M179" i="4"/>
  <c r="H172" i="4"/>
  <c r="O172" i="4"/>
  <c r="F4990" i="4"/>
  <c r="O129" i="4"/>
  <c r="H362" i="4"/>
  <c r="E4991" i="4"/>
  <c r="E959" i="4"/>
  <c r="M178" i="4"/>
  <c r="O178" i="4"/>
  <c r="M64" i="4"/>
  <c r="O64" i="4"/>
  <c r="E5555" i="4"/>
  <c r="G5555" i="4" s="1"/>
  <c r="I5555" i="4" s="1"/>
  <c r="G755" i="4"/>
  <c r="I755" i="4" s="1"/>
  <c r="H755" i="4"/>
  <c r="M162" i="4"/>
  <c r="N162" i="4"/>
  <c r="O162" i="4"/>
  <c r="O146" i="4"/>
  <c r="N127" i="4"/>
  <c r="O127" i="4"/>
  <c r="M127" i="4"/>
  <c r="M31" i="4"/>
  <c r="O31" i="4"/>
  <c r="N31" i="4"/>
  <c r="F5229" i="4"/>
  <c r="F5241" i="4"/>
  <c r="F5253" i="4"/>
  <c r="F5267" i="4"/>
  <c r="F5279" i="4"/>
  <c r="F5291" i="4"/>
  <c r="F5303" i="4"/>
  <c r="G5303" i="4" s="1"/>
  <c r="F5324" i="4"/>
  <c r="G5324" i="4" s="1"/>
  <c r="F5336" i="4"/>
  <c r="G5336" i="4" s="1"/>
  <c r="F5348" i="4"/>
  <c r="G5348" i="4" s="1"/>
  <c r="H5348" i="4" s="1"/>
  <c r="G548" i="4"/>
  <c r="H548" i="4" s="1"/>
  <c r="F5360" i="4"/>
  <c r="G5360" i="4" s="1"/>
  <c r="G184" i="4"/>
  <c r="H184" i="4" s="1"/>
  <c r="E4984" i="4"/>
  <c r="E952" i="4"/>
  <c r="G952" i="4" s="1"/>
  <c r="H952" i="4" s="1"/>
  <c r="M62" i="4"/>
  <c r="O62" i="4"/>
  <c r="F5034" i="4"/>
  <c r="F5610" i="4" s="1"/>
  <c r="F810" i="4"/>
  <c r="F5046" i="4"/>
  <c r="F5622" i="4" s="1"/>
  <c r="F822" i="4"/>
  <c r="F5058" i="4"/>
  <c r="F5634" i="4" s="1"/>
  <c r="F834" i="4"/>
  <c r="F5070" i="4"/>
  <c r="F5646" i="4" s="1"/>
  <c r="F846" i="4"/>
  <c r="F5082" i="4"/>
  <c r="F5658" i="4" s="1"/>
  <c r="F858" i="4"/>
  <c r="F5094" i="4"/>
  <c r="F5670" i="4" s="1"/>
  <c r="F870" i="4"/>
  <c r="F5106" i="4"/>
  <c r="F5682" i="4" s="1"/>
  <c r="F882" i="4"/>
  <c r="F5127" i="4"/>
  <c r="F903" i="4"/>
  <c r="F5139" i="4"/>
  <c r="F915" i="4"/>
  <c r="F5151" i="4"/>
  <c r="F927" i="4"/>
  <c r="F5163" i="4"/>
  <c r="F939" i="4"/>
  <c r="F5178" i="4"/>
  <c r="G5178" i="4" s="1"/>
  <c r="N672" i="4"/>
  <c r="M672" i="4"/>
  <c r="N608" i="4"/>
  <c r="M608" i="4"/>
  <c r="I587" i="4"/>
  <c r="H587" i="4"/>
  <c r="K5226" i="4"/>
  <c r="K5238" i="4"/>
  <c r="K5250" i="4"/>
  <c r="K5262" i="4"/>
  <c r="K5274" i="4"/>
  <c r="K5286" i="4"/>
  <c r="K5298" i="4"/>
  <c r="K5310" i="4"/>
  <c r="K894" i="4"/>
  <c r="K5322" i="4"/>
  <c r="K5334" i="4"/>
  <c r="K5346" i="4"/>
  <c r="K5358" i="4"/>
  <c r="L5358" i="4" s="1"/>
  <c r="K575" i="4"/>
  <c r="K5375" i="4" s="1"/>
  <c r="J5375" i="4"/>
  <c r="H65" i="4"/>
  <c r="O65" i="4"/>
  <c r="H147" i="4"/>
  <c r="O147" i="4"/>
  <c r="M175" i="4"/>
  <c r="O175" i="4"/>
  <c r="N125" i="4"/>
  <c r="O125" i="4"/>
  <c r="M125" i="4"/>
  <c r="I388" i="4"/>
  <c r="H388" i="4"/>
  <c r="H161" i="4"/>
  <c r="O161" i="4"/>
  <c r="N139" i="4"/>
  <c r="O139" i="4"/>
  <c r="O159" i="4"/>
  <c r="M124" i="4"/>
  <c r="O124" i="4"/>
  <c r="N124" i="4"/>
  <c r="G441" i="4"/>
  <c r="I441" i="4" s="1"/>
  <c r="O10" i="4"/>
  <c r="N10" i="4"/>
  <c r="I353" i="4"/>
  <c r="I17" i="4"/>
  <c r="O17" i="4"/>
  <c r="I192" i="4"/>
  <c r="H192" i="4"/>
  <c r="O123" i="4"/>
  <c r="M76" i="4"/>
  <c r="O76" i="4"/>
  <c r="N187" i="4"/>
  <c r="E4980" i="4"/>
  <c r="E948" i="4"/>
  <c r="G948" i="4" s="1"/>
  <c r="H948" i="4" s="1"/>
  <c r="N2" i="4"/>
  <c r="O2" i="4"/>
  <c r="O43" i="4"/>
  <c r="H273" i="4"/>
  <c r="I423" i="4"/>
  <c r="P210" i="4"/>
  <c r="I210" i="4"/>
  <c r="H210" i="4"/>
  <c r="E4979" i="4"/>
  <c r="E947" i="4"/>
  <c r="G947" i="4" s="1"/>
  <c r="H947" i="4" s="1"/>
  <c r="O107" i="4"/>
  <c r="H44" i="4"/>
  <c r="O44" i="4"/>
  <c r="E4981" i="4"/>
  <c r="E949" i="4"/>
  <c r="G949" i="4" s="1"/>
  <c r="O13" i="4"/>
  <c r="N13" i="4"/>
  <c r="N5" i="4"/>
  <c r="O75" i="4"/>
  <c r="I309" i="4"/>
  <c r="E4989" i="4"/>
  <c r="E957" i="4"/>
  <c r="N159" i="4"/>
  <c r="N146" i="4"/>
  <c r="N107" i="4"/>
  <c r="N15" i="4"/>
  <c r="O144" i="4"/>
  <c r="O120" i="4"/>
  <c r="O96" i="4"/>
  <c r="O72" i="4"/>
  <c r="O48" i="4"/>
  <c r="O24" i="4"/>
  <c r="E5034" i="4"/>
  <c r="E810" i="4"/>
  <c r="G810" i="4" s="1"/>
  <c r="H810" i="4" s="1"/>
  <c r="E5046" i="4"/>
  <c r="E822" i="4"/>
  <c r="E5634" i="4"/>
  <c r="G5058" i="4"/>
  <c r="I5058" i="4" s="1"/>
  <c r="E5070" i="4"/>
  <c r="G270" i="4"/>
  <c r="H270" i="4" s="1"/>
  <c r="E846" i="4"/>
  <c r="E5082" i="4"/>
  <c r="E858" i="4"/>
  <c r="E5094" i="4"/>
  <c r="E870" i="4"/>
  <c r="E5106" i="4"/>
  <c r="E882" i="4"/>
  <c r="E5127" i="4"/>
  <c r="E903" i="4"/>
  <c r="E5139" i="4"/>
  <c r="E915" i="4"/>
  <c r="E5151" i="4"/>
  <c r="E927" i="4"/>
  <c r="E5163" i="4"/>
  <c r="E939" i="4"/>
  <c r="G5229" i="4"/>
  <c r="H5229" i="4" s="1"/>
  <c r="G5241" i="4"/>
  <c r="I5241" i="4" s="1"/>
  <c r="G5253" i="4"/>
  <c r="H5253" i="4" s="1"/>
  <c r="G5267" i="4"/>
  <c r="I5267" i="4" s="1"/>
  <c r="G5279" i="4"/>
  <c r="I5279" i="4" s="1"/>
  <c r="G5291" i="4"/>
  <c r="I5291" i="4" s="1"/>
  <c r="F577" i="4"/>
  <c r="E5377" i="4"/>
  <c r="G558" i="4"/>
  <c r="H558" i="4" s="1"/>
  <c r="G476" i="4"/>
  <c r="H467" i="4"/>
  <c r="G450" i="4"/>
  <c r="G371" i="4"/>
  <c r="I371" i="4" s="1"/>
  <c r="I220" i="4"/>
  <c r="K5039" i="4"/>
  <c r="K5615" i="4" s="1"/>
  <c r="K815" i="4"/>
  <c r="K5051" i="4"/>
  <c r="K5627" i="4" s="1"/>
  <c r="K827" i="4"/>
  <c r="K5063" i="4"/>
  <c r="K5639" i="4" s="1"/>
  <c r="K839" i="4"/>
  <c r="P219" i="4"/>
  <c r="M69" i="4"/>
  <c r="M43" i="4"/>
  <c r="N30" i="4"/>
  <c r="O166" i="4"/>
  <c r="O142" i="4"/>
  <c r="O118" i="4"/>
  <c r="O94" i="4"/>
  <c r="O46" i="4"/>
  <c r="O22" i="4"/>
  <c r="E5035" i="4"/>
  <c r="E811" i="4"/>
  <c r="G235" i="4"/>
  <c r="I235" i="4" s="1"/>
  <c r="E5047" i="4"/>
  <c r="E823" i="4"/>
  <c r="E5059" i="4"/>
  <c r="E835" i="4"/>
  <c r="E5071" i="4"/>
  <c r="E847" i="4"/>
  <c r="E5083" i="4"/>
  <c r="E859" i="4"/>
  <c r="E5095" i="4"/>
  <c r="E871" i="4"/>
  <c r="E5107" i="4"/>
  <c r="E883" i="4"/>
  <c r="G883" i="4" s="1"/>
  <c r="H883" i="4" s="1"/>
  <c r="E5128" i="4"/>
  <c r="E904" i="4"/>
  <c r="E5140" i="4"/>
  <c r="E916" i="4"/>
  <c r="E5152" i="4"/>
  <c r="E928" i="4"/>
  <c r="E5164" i="4"/>
  <c r="E940" i="4"/>
  <c r="G5179" i="4"/>
  <c r="H5179" i="4" s="1"/>
  <c r="G5337" i="4"/>
  <c r="I5337" i="4" s="1"/>
  <c r="H5556" i="4"/>
  <c r="I5556" i="4"/>
  <c r="I634" i="4"/>
  <c r="G568" i="4"/>
  <c r="G539" i="4"/>
  <c r="H539" i="4" s="1"/>
  <c r="G530" i="4"/>
  <c r="H530" i="4" s="1"/>
  <c r="G521" i="4"/>
  <c r="H521" i="4" s="1"/>
  <c r="G502" i="4"/>
  <c r="H502" i="4" s="1"/>
  <c r="G493" i="4"/>
  <c r="H493" i="4" s="1"/>
  <c r="G484" i="4"/>
  <c r="H484" i="4" s="1"/>
  <c r="G458" i="4"/>
  <c r="H458" i="4" s="1"/>
  <c r="G432" i="4"/>
  <c r="H432" i="4" s="1"/>
  <c r="G379" i="4"/>
  <c r="H379" i="4" s="1"/>
  <c r="H370" i="4"/>
  <c r="H344" i="4"/>
  <c r="G327" i="4"/>
  <c r="H327" i="4" s="1"/>
  <c r="H300" i="4"/>
  <c r="G282" i="4"/>
  <c r="H282" i="4" s="1"/>
  <c r="H263" i="4"/>
  <c r="K5040" i="4"/>
  <c r="K816" i="4"/>
  <c r="K5052" i="4"/>
  <c r="K5628" i="4" s="1"/>
  <c r="K828" i="4"/>
  <c r="K5064" i="4"/>
  <c r="K840" i="4"/>
  <c r="K5088" i="4"/>
  <c r="K864" i="4"/>
  <c r="K5100" i="4"/>
  <c r="K5676" i="4" s="1"/>
  <c r="K876" i="4"/>
  <c r="K5112" i="4"/>
  <c r="K5688" i="4" s="1"/>
  <c r="K888" i="4"/>
  <c r="K5133" i="4"/>
  <c r="K5709" i="4" s="1"/>
  <c r="K909" i="4"/>
  <c r="K5145" i="4"/>
  <c r="K921" i="4"/>
  <c r="K5157" i="4"/>
  <c r="K5733" i="4" s="1"/>
  <c r="K933" i="4"/>
  <c r="K5169" i="4"/>
  <c r="K945" i="4"/>
  <c r="J5227" i="4"/>
  <c r="L5227" i="4" s="1"/>
  <c r="M5227" i="4" s="1"/>
  <c r="L427" i="4"/>
  <c r="M427" i="4" s="1"/>
  <c r="J5239" i="4"/>
  <c r="L5239" i="4" s="1"/>
  <c r="N5239" i="4" s="1"/>
  <c r="L439" i="4"/>
  <c r="M439" i="4" s="1"/>
  <c r="J5251" i="4"/>
  <c r="L451" i="4"/>
  <c r="M451" i="4" s="1"/>
  <c r="L949" i="4"/>
  <c r="N949" i="4" s="1"/>
  <c r="N158" i="4"/>
  <c r="N145" i="4"/>
  <c r="M129" i="4"/>
  <c r="M117" i="4"/>
  <c r="O141" i="4"/>
  <c r="O117" i="4"/>
  <c r="O93" i="4"/>
  <c r="O69" i="4"/>
  <c r="O45" i="4"/>
  <c r="O21" i="4"/>
  <c r="F5035" i="4"/>
  <c r="F5611" i="4" s="1"/>
  <c r="F811" i="4"/>
  <c r="F5047" i="4"/>
  <c r="F5623" i="4" s="1"/>
  <c r="F823" i="4"/>
  <c r="F5059" i="4"/>
  <c r="F5635" i="4" s="1"/>
  <c r="F835" i="4"/>
  <c r="F5071" i="4"/>
  <c r="F5647" i="4" s="1"/>
  <c r="F847" i="4"/>
  <c r="F5083" i="4"/>
  <c r="F5659" i="4" s="1"/>
  <c r="F859" i="4"/>
  <c r="F5095" i="4"/>
  <c r="F5671" i="4" s="1"/>
  <c r="F871" i="4"/>
  <c r="F5107" i="4"/>
  <c r="F5683" i="4" s="1"/>
  <c r="F883" i="4"/>
  <c r="F5128" i="4"/>
  <c r="F5704" i="4" s="1"/>
  <c r="F904" i="4"/>
  <c r="F5140" i="4"/>
  <c r="F916" i="4"/>
  <c r="F5152" i="4"/>
  <c r="F5728" i="4" s="1"/>
  <c r="F928" i="4"/>
  <c r="F5164" i="4"/>
  <c r="F5740" i="4" s="1"/>
  <c r="F940" i="4"/>
  <c r="I5230" i="4"/>
  <c r="I5242" i="4"/>
  <c r="I5254" i="4"/>
  <c r="H5557" i="4"/>
  <c r="I5557" i="4"/>
  <c r="G567" i="4"/>
  <c r="H567" i="4" s="1"/>
  <c r="G557" i="4"/>
  <c r="I557" i="4" s="1"/>
  <c r="I511" i="4"/>
  <c r="G475" i="4"/>
  <c r="I475" i="4" s="1"/>
  <c r="G449" i="4"/>
  <c r="I449" i="4" s="1"/>
  <c r="I431" i="4"/>
  <c r="H335" i="4"/>
  <c r="H317" i="4"/>
  <c r="H229" i="4"/>
  <c r="J5041" i="4"/>
  <c r="J817" i="4"/>
  <c r="L241" i="4"/>
  <c r="J5053" i="4"/>
  <c r="J829" i="4"/>
  <c r="L253" i="4"/>
  <c r="J5065" i="4"/>
  <c r="J841" i="4"/>
  <c r="L265" i="4"/>
  <c r="M265" i="4" s="1"/>
  <c r="J5077" i="4"/>
  <c r="J853" i="4"/>
  <c r="L277" i="4"/>
  <c r="J5089" i="4"/>
  <c r="J865" i="4"/>
  <c r="L289" i="4"/>
  <c r="P289" i="4" s="1"/>
  <c r="J5101" i="4"/>
  <c r="J877" i="4"/>
  <c r="L301" i="4"/>
  <c r="J5113" i="4"/>
  <c r="J889" i="4"/>
  <c r="L313" i="4"/>
  <c r="M313" i="4" s="1"/>
  <c r="J5134" i="4"/>
  <c r="J910" i="4"/>
  <c r="L334" i="4"/>
  <c r="P334" i="4" s="1"/>
  <c r="M334" i="4"/>
  <c r="J5146" i="4"/>
  <c r="J922" i="4"/>
  <c r="L346" i="4"/>
  <c r="M346" i="4" s="1"/>
  <c r="J5158" i="4"/>
  <c r="L358" i="4"/>
  <c r="P358" i="4" s="1"/>
  <c r="M358" i="4"/>
  <c r="J5170" i="4"/>
  <c r="L370" i="4"/>
  <c r="P370" i="4" s="1"/>
  <c r="J946" i="4"/>
  <c r="N5227" i="4"/>
  <c r="N640" i="4"/>
  <c r="M640" i="4"/>
  <c r="J4874" i="4"/>
  <c r="J842" i="4"/>
  <c r="O140" i="4"/>
  <c r="O116" i="4"/>
  <c r="O92" i="4"/>
  <c r="O68" i="4"/>
  <c r="O20" i="4"/>
  <c r="E5036" i="4"/>
  <c r="E812" i="4"/>
  <c r="E5048" i="4"/>
  <c r="E824" i="4"/>
  <c r="E5060" i="4"/>
  <c r="E836" i="4"/>
  <c r="E5072" i="4"/>
  <c r="E848" i="4"/>
  <c r="E5084" i="4"/>
  <c r="E860" i="4"/>
  <c r="E5096" i="4"/>
  <c r="E872" i="4"/>
  <c r="E5108" i="4"/>
  <c r="E884" i="4"/>
  <c r="E5129" i="4"/>
  <c r="E5705" i="4" s="1"/>
  <c r="E905" i="4"/>
  <c r="E5141" i="4"/>
  <c r="G5141" i="4" s="1"/>
  <c r="E917" i="4"/>
  <c r="E5153" i="4"/>
  <c r="E5729" i="4" s="1"/>
  <c r="E929" i="4"/>
  <c r="E5165" i="4"/>
  <c r="E5741" i="4" s="1"/>
  <c r="E941" i="4"/>
  <c r="F380" i="4"/>
  <c r="G380" i="4" s="1"/>
  <c r="H380" i="4" s="1"/>
  <c r="E5180" i="4"/>
  <c r="G5231" i="4"/>
  <c r="I5231" i="4" s="1"/>
  <c r="G5243" i="4"/>
  <c r="I5243" i="4" s="1"/>
  <c r="G5269" i="4"/>
  <c r="I5269" i="4" s="1"/>
  <c r="G5281" i="4"/>
  <c r="I5281" i="4" s="1"/>
  <c r="G5293" i="4"/>
  <c r="I5293" i="4" s="1"/>
  <c r="G5305" i="4"/>
  <c r="I5305" i="4" s="1"/>
  <c r="G5326" i="4"/>
  <c r="I5326" i="4" s="1"/>
  <c r="G5350" i="4"/>
  <c r="H5350" i="4" s="1"/>
  <c r="H5558" i="4"/>
  <c r="I5558" i="4"/>
  <c r="G758" i="4"/>
  <c r="H758" i="4" s="1"/>
  <c r="G566" i="4"/>
  <c r="H566" i="4" s="1"/>
  <c r="G466" i="4"/>
  <c r="I466" i="4" s="1"/>
  <c r="G440" i="4"/>
  <c r="I440" i="4" s="1"/>
  <c r="I369" i="4"/>
  <c r="H281" i="4"/>
  <c r="G272" i="4"/>
  <c r="H272" i="4" s="1"/>
  <c r="H251" i="4"/>
  <c r="K5041" i="4"/>
  <c r="K817" i="4"/>
  <c r="K5053" i="4"/>
  <c r="K829" i="4"/>
  <c r="K5065" i="4"/>
  <c r="K841" i="4"/>
  <c r="N265" i="4"/>
  <c r="K5077" i="4"/>
  <c r="K5653" i="4" s="1"/>
  <c r="K853" i="4"/>
  <c r="K5089" i="4"/>
  <c r="K865" i="4"/>
  <c r="K5101" i="4"/>
  <c r="K5677" i="4" s="1"/>
  <c r="K877" i="4"/>
  <c r="K5113" i="4"/>
  <c r="K5689" i="4" s="1"/>
  <c r="K889" i="4"/>
  <c r="K5134" i="4"/>
  <c r="K5710" i="4" s="1"/>
  <c r="N334" i="4"/>
  <c r="K910" i="4"/>
  <c r="K5146" i="4"/>
  <c r="K5722" i="4" s="1"/>
  <c r="K922" i="4"/>
  <c r="K5158" i="4"/>
  <c r="K5734" i="4" s="1"/>
  <c r="K934" i="4"/>
  <c r="K5170" i="4"/>
  <c r="K5746" i="4" s="1"/>
  <c r="K946" i="4"/>
  <c r="N370" i="4"/>
  <c r="J5228" i="4"/>
  <c r="L5228" i="4" s="1"/>
  <c r="N5228" i="4" s="1"/>
  <c r="L428" i="4"/>
  <c r="M428" i="4" s="1"/>
  <c r="J5240" i="4"/>
  <c r="L5240" i="4" s="1"/>
  <c r="N5240" i="4" s="1"/>
  <c r="L440" i="4"/>
  <c r="N440" i="4" s="1"/>
  <c r="J5252" i="4"/>
  <c r="L5252" i="4" s="1"/>
  <c r="N5252" i="4" s="1"/>
  <c r="L452" i="4"/>
  <c r="M452" i="4" s="1"/>
  <c r="E4992" i="4"/>
  <c r="E960" i="4"/>
  <c r="J4982" i="4"/>
  <c r="J950" i="4"/>
  <c r="L950" i="4" s="1"/>
  <c r="M950" i="4" s="1"/>
  <c r="O163" i="4"/>
  <c r="O115" i="4"/>
  <c r="O91" i="4"/>
  <c r="O19" i="4"/>
  <c r="F5036" i="4"/>
  <c r="F5612" i="4" s="1"/>
  <c r="F812" i="4"/>
  <c r="F5048" i="4"/>
  <c r="F5624" i="4" s="1"/>
  <c r="F824" i="4"/>
  <c r="F5060" i="4"/>
  <c r="F5636" i="4" s="1"/>
  <c r="F836" i="4"/>
  <c r="F5072" i="4"/>
  <c r="F5648" i="4" s="1"/>
  <c r="F848" i="4"/>
  <c r="F5084" i="4"/>
  <c r="F5660" i="4" s="1"/>
  <c r="F860" i="4"/>
  <c r="F5096" i="4"/>
  <c r="F5672" i="4" s="1"/>
  <c r="F872" i="4"/>
  <c r="F5108" i="4"/>
  <c r="F5684" i="4" s="1"/>
  <c r="F884" i="4"/>
  <c r="F5129" i="4"/>
  <c r="F5705" i="4" s="1"/>
  <c r="F905" i="4"/>
  <c r="F5141" i="4"/>
  <c r="F5717" i="4" s="1"/>
  <c r="F917" i="4"/>
  <c r="F5153" i="4"/>
  <c r="F5729" i="4" s="1"/>
  <c r="F929" i="4"/>
  <c r="F5165" i="4"/>
  <c r="F5741" i="4" s="1"/>
  <c r="F941" i="4"/>
  <c r="F381" i="4"/>
  <c r="E5181" i="4"/>
  <c r="G5257" i="4"/>
  <c r="I5257" i="4" s="1"/>
  <c r="I5350" i="4"/>
  <c r="I729" i="4"/>
  <c r="I709" i="4"/>
  <c r="I681" i="4"/>
  <c r="I661" i="4"/>
  <c r="I633" i="4"/>
  <c r="I613" i="4"/>
  <c r="I585" i="4"/>
  <c r="G547" i="4"/>
  <c r="I547" i="4" s="1"/>
  <c r="G538" i="4"/>
  <c r="H538" i="4" s="1"/>
  <c r="G529" i="4"/>
  <c r="H529" i="4" s="1"/>
  <c r="G520" i="4"/>
  <c r="H520" i="4" s="1"/>
  <c r="G501" i="4"/>
  <c r="H501" i="4" s="1"/>
  <c r="G492" i="4"/>
  <c r="H492" i="4" s="1"/>
  <c r="G483" i="4"/>
  <c r="H483" i="4" s="1"/>
  <c r="G457" i="4"/>
  <c r="I457" i="4" s="1"/>
  <c r="G431" i="4"/>
  <c r="H431" i="4" s="1"/>
  <c r="I412" i="4"/>
  <c r="I386" i="4"/>
  <c r="G378" i="4"/>
  <c r="I378" i="4" s="1"/>
  <c r="H369" i="4"/>
  <c r="G352" i="4"/>
  <c r="H352" i="4" s="1"/>
  <c r="H343" i="4"/>
  <c r="H325" i="4"/>
  <c r="I316" i="4"/>
  <c r="G308" i="4"/>
  <c r="I308" i="4" s="1"/>
  <c r="H299" i="4"/>
  <c r="I228" i="4"/>
  <c r="J5042" i="4"/>
  <c r="J818" i="4"/>
  <c r="L242" i="4"/>
  <c r="P242" i="4" s="1"/>
  <c r="J5054" i="4"/>
  <c r="J830" i="4"/>
  <c r="L830" i="4" s="1"/>
  <c r="M830" i="4" s="1"/>
  <c r="L254" i="4"/>
  <c r="J5066" i="4"/>
  <c r="L266" i="4"/>
  <c r="M266" i="4" s="1"/>
  <c r="J5078" i="4"/>
  <c r="J854" i="4"/>
  <c r="L278" i="4"/>
  <c r="P278" i="4" s="1"/>
  <c r="J5090" i="4"/>
  <c r="J866" i="4"/>
  <c r="L290" i="4"/>
  <c r="M290" i="4" s="1"/>
  <c r="J5102" i="4"/>
  <c r="J878" i="4"/>
  <c r="L302" i="4"/>
  <c r="N302" i="4" s="1"/>
  <c r="M302" i="4"/>
  <c r="J5123" i="4"/>
  <c r="J899" i="4"/>
  <c r="L323" i="4"/>
  <c r="P323" i="4" s="1"/>
  <c r="J5135" i="4"/>
  <c r="J911" i="4"/>
  <c r="L335" i="4"/>
  <c r="P335" i="4" s="1"/>
  <c r="J5147" i="4"/>
  <c r="J923" i="4"/>
  <c r="L347" i="4"/>
  <c r="M347" i="4" s="1"/>
  <c r="J5159" i="4"/>
  <c r="J935" i="4"/>
  <c r="L359" i="4"/>
  <c r="P359" i="4" s="1"/>
  <c r="J5174" i="4"/>
  <c r="L5174" i="4" s="1"/>
  <c r="P5174" i="4" s="1"/>
  <c r="L374" i="4"/>
  <c r="M374" i="4" s="1"/>
  <c r="E4993" i="4"/>
  <c r="E961" i="4"/>
  <c r="N41" i="4"/>
  <c r="M27" i="4"/>
  <c r="J4983" i="4"/>
  <c r="J951" i="4"/>
  <c r="O138" i="4"/>
  <c r="O90" i="4"/>
  <c r="O66" i="4"/>
  <c r="O42" i="4"/>
  <c r="O18" i="4"/>
  <c r="E5037" i="4"/>
  <c r="E813" i="4"/>
  <c r="E5049" i="4"/>
  <c r="E825" i="4"/>
  <c r="G249" i="4"/>
  <c r="H249" i="4" s="1"/>
  <c r="E5061" i="4"/>
  <c r="E837" i="4"/>
  <c r="H261" i="4"/>
  <c r="E5073" i="4"/>
  <c r="E849" i="4"/>
  <c r="E5085" i="4"/>
  <c r="E861" i="4"/>
  <c r="E5097" i="4"/>
  <c r="E873" i="4"/>
  <c r="E5109" i="4"/>
  <c r="E885" i="4"/>
  <c r="E5130" i="4"/>
  <c r="E906" i="4"/>
  <c r="E5142" i="4"/>
  <c r="E918" i="4"/>
  <c r="E5154" i="4"/>
  <c r="E930" i="4"/>
  <c r="E5166" i="4"/>
  <c r="E942" i="4"/>
  <c r="F382" i="4"/>
  <c r="F5182" i="4" s="1"/>
  <c r="E5182" i="4"/>
  <c r="G5232" i="4"/>
  <c r="I5232" i="4" s="1"/>
  <c r="G5244" i="4"/>
  <c r="I5244" i="4" s="1"/>
  <c r="G5258" i="4"/>
  <c r="I5258" i="4" s="1"/>
  <c r="G5270" i="4"/>
  <c r="H5270" i="4" s="1"/>
  <c r="G5282" i="4"/>
  <c r="I5282" i="4" s="1"/>
  <c r="G5294" i="4"/>
  <c r="H5294" i="4" s="1"/>
  <c r="G5315" i="4"/>
  <c r="I5315" i="4" s="1"/>
  <c r="G5327" i="4"/>
  <c r="I5327" i="4" s="1"/>
  <c r="G5339" i="4"/>
  <c r="I5339" i="4" s="1"/>
  <c r="G5351" i="4"/>
  <c r="H5351" i="4" s="1"/>
  <c r="H757" i="4"/>
  <c r="G556" i="4"/>
  <c r="I556" i="4" s="1"/>
  <c r="G474" i="4"/>
  <c r="I474" i="4" s="1"/>
  <c r="G448" i="4"/>
  <c r="H448" i="4" s="1"/>
  <c r="G430" i="4"/>
  <c r="H430" i="4" s="1"/>
  <c r="H360" i="4"/>
  <c r="H316" i="4"/>
  <c r="G290" i="4"/>
  <c r="I290" i="4" s="1"/>
  <c r="H250" i="4"/>
  <c r="H239" i="4"/>
  <c r="K5042" i="4"/>
  <c r="K5618" i="4" s="1"/>
  <c r="K818" i="4"/>
  <c r="K5054" i="4"/>
  <c r="K5630" i="4" s="1"/>
  <c r="K830" i="4"/>
  <c r="K5066" i="4"/>
  <c r="K5642" i="4" s="1"/>
  <c r="K842" i="4"/>
  <c r="K5078" i="4"/>
  <c r="K5654" i="4" s="1"/>
  <c r="K854" i="4"/>
  <c r="K5090" i="4"/>
  <c r="K5666" i="4" s="1"/>
  <c r="K866" i="4"/>
  <c r="K5102" i="4"/>
  <c r="K5678" i="4" s="1"/>
  <c r="K878" i="4"/>
  <c r="K5123" i="4"/>
  <c r="K5699" i="4" s="1"/>
  <c r="K899" i="4"/>
  <c r="K5135" i="4"/>
  <c r="K5711" i="4" s="1"/>
  <c r="K911" i="4"/>
  <c r="K5147" i="4"/>
  <c r="K923" i="4"/>
  <c r="L184" i="4"/>
  <c r="J4984" i="4"/>
  <c r="J952" i="4"/>
  <c r="L952" i="4" s="1"/>
  <c r="F5037" i="4"/>
  <c r="F5613" i="4" s="1"/>
  <c r="F813" i="4"/>
  <c r="F5049" i="4"/>
  <c r="F5625" i="4" s="1"/>
  <c r="F825" i="4"/>
  <c r="F5061" i="4"/>
  <c r="I261" i="4"/>
  <c r="F837" i="4"/>
  <c r="F5073" i="4"/>
  <c r="F849" i="4"/>
  <c r="F5085" i="4"/>
  <c r="F5661" i="4" s="1"/>
  <c r="F861" i="4"/>
  <c r="F5097" i="4"/>
  <c r="F5673" i="4" s="1"/>
  <c r="F873" i="4"/>
  <c r="F5109" i="4"/>
  <c r="F5685" i="4" s="1"/>
  <c r="F885" i="4"/>
  <c r="F5130" i="4"/>
  <c r="F5706" i="4" s="1"/>
  <c r="F906" i="4"/>
  <c r="F5142" i="4"/>
  <c r="F5718" i="4" s="1"/>
  <c r="F918" i="4"/>
  <c r="F5154" i="4"/>
  <c r="F5730" i="4" s="1"/>
  <c r="F930" i="4"/>
  <c r="F5166" i="4"/>
  <c r="F5742" i="4" s="1"/>
  <c r="F942" i="4"/>
  <c r="G565" i="4"/>
  <c r="I565" i="4" s="1"/>
  <c r="G519" i="4"/>
  <c r="H519" i="4" s="1"/>
  <c r="H491" i="4"/>
  <c r="G465" i="4"/>
  <c r="H465" i="4" s="1"/>
  <c r="G439" i="4"/>
  <c r="I439" i="4" s="1"/>
  <c r="G342" i="4"/>
  <c r="H342" i="4" s="1"/>
  <c r="H280" i="4"/>
  <c r="G271" i="4"/>
  <c r="I271" i="4" s="1"/>
  <c r="I197" i="4"/>
  <c r="P197" i="4"/>
  <c r="J5043" i="4"/>
  <c r="J5619" i="4" s="1"/>
  <c r="L5619" i="4" s="1"/>
  <c r="M5619" i="4" s="1"/>
  <c r="J819" i="4"/>
  <c r="L243" i="4"/>
  <c r="J5055" i="4"/>
  <c r="J831" i="4"/>
  <c r="L255" i="4"/>
  <c r="J5067" i="4"/>
  <c r="J5643" i="4" s="1"/>
  <c r="L5643" i="4" s="1"/>
  <c r="M5643" i="4" s="1"/>
  <c r="J843" i="4"/>
  <c r="M267" i="4"/>
  <c r="L267" i="4"/>
  <c r="P267" i="4" s="1"/>
  <c r="J5079" i="4"/>
  <c r="J855" i="4"/>
  <c r="L279" i="4"/>
  <c r="M279" i="4" s="1"/>
  <c r="J5091" i="4"/>
  <c r="J867" i="4"/>
  <c r="J5103" i="4"/>
  <c r="J879" i="4"/>
  <c r="L303" i="4"/>
  <c r="J5124" i="4"/>
  <c r="J900" i="4"/>
  <c r="L324" i="4"/>
  <c r="J5136" i="4"/>
  <c r="L336" i="4"/>
  <c r="P336" i="4" s="1"/>
  <c r="J5148" i="4"/>
  <c r="J924" i="4"/>
  <c r="L348" i="4"/>
  <c r="N348" i="4" s="1"/>
  <c r="J5160" i="4"/>
  <c r="J936" i="4"/>
  <c r="L360" i="4"/>
  <c r="P360" i="4" s="1"/>
  <c r="P319" i="4"/>
  <c r="F945" i="4"/>
  <c r="J934" i="4"/>
  <c r="L185" i="4"/>
  <c r="J4985" i="4"/>
  <c r="J953" i="4"/>
  <c r="O136" i="4"/>
  <c r="O40" i="4"/>
  <c r="E5038" i="4"/>
  <c r="E814" i="4"/>
  <c r="E5050" i="4"/>
  <c r="E826" i="4"/>
  <c r="E5062" i="4"/>
  <c r="G262" i="4"/>
  <c r="H262" i="4" s="1"/>
  <c r="E838" i="4"/>
  <c r="E5074" i="4"/>
  <c r="E850" i="4"/>
  <c r="E5086" i="4"/>
  <c r="E862" i="4"/>
  <c r="E5098" i="4"/>
  <c r="E874" i="4"/>
  <c r="E5110" i="4"/>
  <c r="E886" i="4"/>
  <c r="E5131" i="4"/>
  <c r="E907" i="4"/>
  <c r="E5143" i="4"/>
  <c r="E919" i="4"/>
  <c r="E5155" i="4"/>
  <c r="E931" i="4"/>
  <c r="E5167" i="4"/>
  <c r="E943" i="4"/>
  <c r="F383" i="4"/>
  <c r="G5245" i="4"/>
  <c r="I5245" i="4" s="1"/>
  <c r="G546" i="4"/>
  <c r="I546" i="4" s="1"/>
  <c r="G537" i="4"/>
  <c r="H537" i="4" s="1"/>
  <c r="G528" i="4"/>
  <c r="H528" i="4" s="1"/>
  <c r="G518" i="4"/>
  <c r="H518" i="4" s="1"/>
  <c r="G500" i="4"/>
  <c r="I500" i="4" s="1"/>
  <c r="G491" i="4"/>
  <c r="I491" i="4" s="1"/>
  <c r="G482" i="4"/>
  <c r="H482" i="4" s="1"/>
  <c r="G438" i="4"/>
  <c r="H438" i="4" s="1"/>
  <c r="G377" i="4"/>
  <c r="I377" i="4" s="1"/>
  <c r="H368" i="4"/>
  <c r="G351" i="4"/>
  <c r="I351" i="4" s="1"/>
  <c r="H324" i="4"/>
  <c r="G307" i="4"/>
  <c r="H307" i="4" s="1"/>
  <c r="H289" i="4"/>
  <c r="H269" i="4"/>
  <c r="G260" i="4"/>
  <c r="I260" i="4" s="1"/>
  <c r="K5043" i="4"/>
  <c r="K5619" i="4" s="1"/>
  <c r="K819" i="4"/>
  <c r="K5055" i="4"/>
  <c r="K5631" i="4" s="1"/>
  <c r="K831" i="4"/>
  <c r="K5067" i="4"/>
  <c r="K5643" i="4" s="1"/>
  <c r="K843" i="4"/>
  <c r="K5079" i="4"/>
  <c r="K855" i="4"/>
  <c r="K5091" i="4"/>
  <c r="K5667" i="4" s="1"/>
  <c r="K867" i="4"/>
  <c r="K5103" i="4"/>
  <c r="K5679" i="4" s="1"/>
  <c r="K879" i="4"/>
  <c r="K5124" i="4"/>
  <c r="K5700" i="4" s="1"/>
  <c r="K900" i="4"/>
  <c r="K5136" i="4"/>
  <c r="K5712" i="4" s="1"/>
  <c r="K912" i="4"/>
  <c r="K5148" i="4"/>
  <c r="K5724" i="4" s="1"/>
  <c r="K924" i="4"/>
  <c r="K5160" i="4"/>
  <c r="K5736" i="4" s="1"/>
  <c r="K936" i="4"/>
  <c r="J5177" i="4"/>
  <c r="L377" i="4"/>
  <c r="F914" i="4"/>
  <c r="J912" i="4"/>
  <c r="K4985" i="4"/>
  <c r="K5753" i="4" s="1"/>
  <c r="K953" i="4"/>
  <c r="O183" i="4"/>
  <c r="O135" i="4"/>
  <c r="O111" i="4"/>
  <c r="O87" i="4"/>
  <c r="O63" i="4"/>
  <c r="O39" i="4"/>
  <c r="F5038" i="4"/>
  <c r="F5614" i="4" s="1"/>
  <c r="F814" i="4"/>
  <c r="F5626" i="4"/>
  <c r="F5062" i="4"/>
  <c r="F838" i="4"/>
  <c r="F5074" i="4"/>
  <c r="F850" i="4"/>
  <c r="F5086" i="4"/>
  <c r="F5662" i="4" s="1"/>
  <c r="F862" i="4"/>
  <c r="F5098" i="4"/>
  <c r="F5674" i="4" s="1"/>
  <c r="F874" i="4"/>
  <c r="F5110" i="4"/>
  <c r="F5686" i="4" s="1"/>
  <c r="F886" i="4"/>
  <c r="F5131" i="4"/>
  <c r="F5707" i="4" s="1"/>
  <c r="F907" i="4"/>
  <c r="F5143" i="4"/>
  <c r="F5719" i="4" s="1"/>
  <c r="F919" i="4"/>
  <c r="F5155" i="4"/>
  <c r="F5731" i="4" s="1"/>
  <c r="F931" i="4"/>
  <c r="F5167" i="4"/>
  <c r="F5743" i="4" s="1"/>
  <c r="F943" i="4"/>
  <c r="F384" i="4"/>
  <c r="G384" i="4" s="1"/>
  <c r="H384" i="4" s="1"/>
  <c r="E5184" i="4"/>
  <c r="I5271" i="4"/>
  <c r="I5295" i="4"/>
  <c r="G5562" i="4"/>
  <c r="I5562" i="4" s="1"/>
  <c r="I737" i="4"/>
  <c r="I717" i="4"/>
  <c r="I689" i="4"/>
  <c r="I669" i="4"/>
  <c r="I641" i="4"/>
  <c r="I621" i="4"/>
  <c r="I593" i="4"/>
  <c r="G555" i="4"/>
  <c r="H555" i="4" s="1"/>
  <c r="I545" i="4"/>
  <c r="I508" i="4"/>
  <c r="G473" i="4"/>
  <c r="I473" i="4" s="1"/>
  <c r="G447" i="4"/>
  <c r="I447" i="4" s="1"/>
  <c r="G429" i="4"/>
  <c r="I429" i="4" s="1"/>
  <c r="H359" i="4"/>
  <c r="G298" i="4"/>
  <c r="H298" i="4" s="1"/>
  <c r="I259" i="4"/>
  <c r="G238" i="4"/>
  <c r="H238" i="4" s="1"/>
  <c r="H217" i="4"/>
  <c r="I217" i="4"/>
  <c r="P217" i="4"/>
  <c r="M325" i="4"/>
  <c r="P325" i="4"/>
  <c r="P198" i="4"/>
  <c r="H786" i="4"/>
  <c r="I786" i="4"/>
  <c r="J4986" i="4"/>
  <c r="J954" i="4"/>
  <c r="O158" i="4"/>
  <c r="O134" i="4"/>
  <c r="O110" i="4"/>
  <c r="O86" i="4"/>
  <c r="O38" i="4"/>
  <c r="O14" i="4"/>
  <c r="E5039" i="4"/>
  <c r="E815" i="4"/>
  <c r="E5051" i="4"/>
  <c r="E827" i="4"/>
  <c r="E5063" i="4"/>
  <c r="E839" i="4"/>
  <c r="E5075" i="4"/>
  <c r="E851" i="4"/>
  <c r="E5087" i="4"/>
  <c r="E863" i="4"/>
  <c r="E5099" i="4"/>
  <c r="E875" i="4"/>
  <c r="E5111" i="4"/>
  <c r="E887" i="4"/>
  <c r="E5132" i="4"/>
  <c r="E908" i="4"/>
  <c r="E5144" i="4"/>
  <c r="E920" i="4"/>
  <c r="E5156" i="4"/>
  <c r="E932" i="4"/>
  <c r="E5168" i="4"/>
  <c r="E944" i="4"/>
  <c r="F385" i="4"/>
  <c r="G385" i="4" s="1"/>
  <c r="H385" i="4" s="1"/>
  <c r="E5185" i="4"/>
  <c r="G5234" i="4"/>
  <c r="I5234" i="4" s="1"/>
  <c r="G5246" i="4"/>
  <c r="I5246" i="4" s="1"/>
  <c r="G5260" i="4"/>
  <c r="I5260" i="4" s="1"/>
  <c r="G5272" i="4"/>
  <c r="I5272" i="4" s="1"/>
  <c r="G5284" i="4"/>
  <c r="H5284" i="4" s="1"/>
  <c r="G5296" i="4"/>
  <c r="I5296" i="4" s="1"/>
  <c r="G5317" i="4"/>
  <c r="I5317" i="4" s="1"/>
  <c r="G5329" i="4"/>
  <c r="I5329" i="4" s="1"/>
  <c r="G5341" i="4"/>
  <c r="I5341" i="4" s="1"/>
  <c r="G5353" i="4"/>
  <c r="I5353" i="4" s="1"/>
  <c r="G5367" i="4"/>
  <c r="I5367" i="4" s="1"/>
  <c r="G756" i="4"/>
  <c r="I756" i="4" s="1"/>
  <c r="G564" i="4"/>
  <c r="I564" i="4" s="1"/>
  <c r="G527" i="4"/>
  <c r="H527" i="4" s="1"/>
  <c r="G464" i="4"/>
  <c r="I464" i="4" s="1"/>
  <c r="G446" i="4"/>
  <c r="H446" i="4" s="1"/>
  <c r="H437" i="4"/>
  <c r="I428" i="4"/>
  <c r="G341" i="4"/>
  <c r="I341" i="4" s="1"/>
  <c r="H216" i="4"/>
  <c r="N337" i="4"/>
  <c r="N361" i="4"/>
  <c r="I792" i="4"/>
  <c r="K852" i="4"/>
  <c r="N23" i="4"/>
  <c r="K4986" i="4"/>
  <c r="K954" i="4"/>
  <c r="O181" i="4"/>
  <c r="O109" i="4"/>
  <c r="O85" i="4"/>
  <c r="O61" i="4"/>
  <c r="O37" i="4"/>
  <c r="F5039" i="4"/>
  <c r="F5615" i="4" s="1"/>
  <c r="F815" i="4"/>
  <c r="F5051" i="4"/>
  <c r="F5627" i="4" s="1"/>
  <c r="F827" i="4"/>
  <c r="F5063" i="4"/>
  <c r="F839" i="4"/>
  <c r="F5075" i="4"/>
  <c r="F5651" i="4" s="1"/>
  <c r="F851" i="4"/>
  <c r="F5087" i="4"/>
  <c r="F863" i="4"/>
  <c r="F5099" i="4"/>
  <c r="F5675" i="4" s="1"/>
  <c r="F875" i="4"/>
  <c r="F5132" i="4"/>
  <c r="F5708" i="4" s="1"/>
  <c r="F908" i="4"/>
  <c r="F5144" i="4"/>
  <c r="F920" i="4"/>
  <c r="F5156" i="4"/>
  <c r="F932" i="4"/>
  <c r="F5168" i="4"/>
  <c r="F5744" i="4" s="1"/>
  <c r="F944" i="4"/>
  <c r="E5222" i="4"/>
  <c r="E806" i="4"/>
  <c r="I5284" i="4"/>
  <c r="I707" i="4"/>
  <c r="I659" i="4"/>
  <c r="I611" i="4"/>
  <c r="G545" i="4"/>
  <c r="H545" i="4" s="1"/>
  <c r="G536" i="4"/>
  <c r="I536" i="4" s="1"/>
  <c r="G526" i="4"/>
  <c r="H526" i="4" s="1"/>
  <c r="G517" i="4"/>
  <c r="I517" i="4" s="1"/>
  <c r="G499" i="4"/>
  <c r="I499" i="4" s="1"/>
  <c r="G490" i="4"/>
  <c r="I490" i="4" s="1"/>
  <c r="G481" i="4"/>
  <c r="H481" i="4" s="1"/>
  <c r="G455" i="4"/>
  <c r="I455" i="4" s="1"/>
  <c r="G437" i="4"/>
  <c r="I437" i="4" s="1"/>
  <c r="I410" i="4"/>
  <c r="G376" i="4"/>
  <c r="I376" i="4" s="1"/>
  <c r="H349" i="4"/>
  <c r="G332" i="4"/>
  <c r="I332" i="4" s="1"/>
  <c r="H323" i="4"/>
  <c r="I314" i="4"/>
  <c r="G306" i="4"/>
  <c r="H306" i="4" s="1"/>
  <c r="H268" i="4"/>
  <c r="G259" i="4"/>
  <c r="H259" i="4" s="1"/>
  <c r="G248" i="4"/>
  <c r="I248" i="4" s="1"/>
  <c r="G237" i="4"/>
  <c r="I237" i="4" s="1"/>
  <c r="H206" i="4"/>
  <c r="P206" i="4"/>
  <c r="P350" i="4"/>
  <c r="N726" i="4"/>
  <c r="M726" i="4"/>
  <c r="N682" i="4"/>
  <c r="M682" i="4"/>
  <c r="N586" i="4"/>
  <c r="M586" i="4"/>
  <c r="E866" i="4"/>
  <c r="N75" i="4"/>
  <c r="M37" i="4"/>
  <c r="J4987" i="4"/>
  <c r="J955" i="4"/>
  <c r="O180" i="4"/>
  <c r="O108" i="4"/>
  <c r="O84" i="4"/>
  <c r="O36" i="4"/>
  <c r="E5040" i="4"/>
  <c r="E816" i="4"/>
  <c r="G240" i="4"/>
  <c r="I240" i="4" s="1"/>
  <c r="E5052" i="4"/>
  <c r="E828" i="4"/>
  <c r="E5064" i="4"/>
  <c r="E840" i="4"/>
  <c r="E5076" i="4"/>
  <c r="E852" i="4"/>
  <c r="G852" i="4" s="1"/>
  <c r="H852" i="4" s="1"/>
  <c r="E5088" i="4"/>
  <c r="G288" i="4"/>
  <c r="H288" i="4" s="1"/>
  <c r="E864" i="4"/>
  <c r="E5100" i="4"/>
  <c r="E876" i="4"/>
  <c r="E5112" i="4"/>
  <c r="E888" i="4"/>
  <c r="E5133" i="4"/>
  <c r="E909" i="4"/>
  <c r="E5145" i="4"/>
  <c r="E921" i="4"/>
  <c r="E5157" i="4"/>
  <c r="E933" i="4"/>
  <c r="E5169" i="4"/>
  <c r="E945" i="4"/>
  <c r="F5222" i="4"/>
  <c r="F806" i="4"/>
  <c r="G5235" i="4"/>
  <c r="H5235" i="4" s="1"/>
  <c r="G5247" i="4"/>
  <c r="H5247" i="4" s="1"/>
  <c r="G5318" i="4"/>
  <c r="I5318" i="4" s="1"/>
  <c r="G5330" i="4"/>
  <c r="I5330" i="4" s="1"/>
  <c r="G5342" i="4"/>
  <c r="H5342" i="4" s="1"/>
  <c r="G5354" i="4"/>
  <c r="I5354" i="4" s="1"/>
  <c r="G5369" i="4"/>
  <c r="I5369" i="4" s="1"/>
  <c r="G554" i="4"/>
  <c r="H554" i="4" s="1"/>
  <c r="I516" i="4"/>
  <c r="G472" i="4"/>
  <c r="I472" i="4" s="1"/>
  <c r="G454" i="4"/>
  <c r="H454" i="4" s="1"/>
  <c r="G428" i="4"/>
  <c r="H428" i="4" s="1"/>
  <c r="G367" i="4"/>
  <c r="H367" i="4" s="1"/>
  <c r="I331" i="4"/>
  <c r="G297" i="4"/>
  <c r="H297" i="4" s="1"/>
  <c r="H205" i="4"/>
  <c r="K5033" i="4"/>
  <c r="K5609" i="4" s="1"/>
  <c r="L233" i="4"/>
  <c r="N233" i="4" s="1"/>
  <c r="K809" i="4"/>
  <c r="K5045" i="4"/>
  <c r="K5621" i="4" s="1"/>
  <c r="K821" i="4"/>
  <c r="L821" i="4" s="1"/>
  <c r="K5057" i="4"/>
  <c r="K5633" i="4" s="1"/>
  <c r="K833" i="4"/>
  <c r="K5069" i="4"/>
  <c r="K845" i="4"/>
  <c r="K5081" i="4"/>
  <c r="K5657" i="4" s="1"/>
  <c r="K857" i="4"/>
  <c r="E834" i="4"/>
  <c r="G834" i="4" s="1"/>
  <c r="H834" i="4" s="1"/>
  <c r="K4987" i="4"/>
  <c r="K955" i="4"/>
  <c r="F5040" i="4"/>
  <c r="F816" i="4"/>
  <c r="F5052" i="4"/>
  <c r="F5628" i="4" s="1"/>
  <c r="F828" i="4"/>
  <c r="F5064" i="4"/>
  <c r="F840" i="4"/>
  <c r="F5076" i="4"/>
  <c r="F852" i="4"/>
  <c r="F5088" i="4"/>
  <c r="F5664" i="4" s="1"/>
  <c r="F864" i="4"/>
  <c r="F5100" i="4"/>
  <c r="F5676" i="4" s="1"/>
  <c r="F876" i="4"/>
  <c r="F5112" i="4"/>
  <c r="F5688" i="4" s="1"/>
  <c r="F888" i="4"/>
  <c r="F5133" i="4"/>
  <c r="F909" i="4"/>
  <c r="F5145" i="4"/>
  <c r="F5721" i="4" s="1"/>
  <c r="F921" i="4"/>
  <c r="F5157" i="4"/>
  <c r="F5733" i="4" s="1"/>
  <c r="F933" i="4"/>
  <c r="E5223" i="4"/>
  <c r="E807" i="4"/>
  <c r="I5235" i="4"/>
  <c r="G563" i="4"/>
  <c r="I563" i="4" s="1"/>
  <c r="G535" i="4"/>
  <c r="H535" i="4" s="1"/>
  <c r="H516" i="4"/>
  <c r="H498" i="4"/>
  <c r="H489" i="4"/>
  <c r="G463" i="4"/>
  <c r="H463" i="4" s="1"/>
  <c r="G445" i="4"/>
  <c r="H445" i="4" s="1"/>
  <c r="G366" i="4"/>
  <c r="H366" i="4" s="1"/>
  <c r="G340" i="4"/>
  <c r="I340" i="4" s="1"/>
  <c r="H305" i="4"/>
  <c r="G287" i="4"/>
  <c r="I287" i="4" s="1"/>
  <c r="G258" i="4"/>
  <c r="I258" i="4" s="1"/>
  <c r="J5034" i="4"/>
  <c r="L234" i="4"/>
  <c r="M234" i="4" s="1"/>
  <c r="J810" i="4"/>
  <c r="J5046" i="4"/>
  <c r="J822" i="4"/>
  <c r="L246" i="4"/>
  <c r="M246" i="4" s="1"/>
  <c r="J5058" i="4"/>
  <c r="J834" i="4"/>
  <c r="L258" i="4"/>
  <c r="P258" i="4" s="1"/>
  <c r="J5070" i="4"/>
  <c r="L270" i="4"/>
  <c r="P270" i="4" s="1"/>
  <c r="J846" i="4"/>
  <c r="J5082" i="4"/>
  <c r="J858" i="4"/>
  <c r="L282" i="4"/>
  <c r="P282" i="4" s="1"/>
  <c r="J5094" i="4"/>
  <c r="L294" i="4"/>
  <c r="N294" i="4" s="1"/>
  <c r="J870" i="4"/>
  <c r="J5106" i="4"/>
  <c r="L306" i="4"/>
  <c r="N306" i="4" s="1"/>
  <c r="J5127" i="4"/>
  <c r="J903" i="4"/>
  <c r="L327" i="4"/>
  <c r="P327" i="4" s="1"/>
  <c r="J5139" i="4"/>
  <c r="L339" i="4"/>
  <c r="J915" i="4"/>
  <c r="K5232" i="4"/>
  <c r="K5256" i="4"/>
  <c r="L5256" i="4" s="1"/>
  <c r="N650" i="4"/>
  <c r="M650" i="4"/>
  <c r="N315" i="4"/>
  <c r="P315" i="4"/>
  <c r="M315" i="4"/>
  <c r="P224" i="4"/>
  <c r="N123" i="4"/>
  <c r="N111" i="4"/>
  <c r="N87" i="4"/>
  <c r="K188" i="4"/>
  <c r="J4988" i="4"/>
  <c r="J956" i="4"/>
  <c r="O106" i="4"/>
  <c r="O58" i="4"/>
  <c r="O34" i="4"/>
  <c r="E5041" i="4"/>
  <c r="E817" i="4"/>
  <c r="E5053" i="4"/>
  <c r="G253" i="4"/>
  <c r="I253" i="4" s="1"/>
  <c r="H253" i="4"/>
  <c r="E829" i="4"/>
  <c r="E5065" i="4"/>
  <c r="E841" i="4"/>
  <c r="E5077" i="4"/>
  <c r="E853" i="4"/>
  <c r="E5089" i="4"/>
  <c r="E865" i="4"/>
  <c r="E5101" i="4"/>
  <c r="E877" i="4"/>
  <c r="E5113" i="4"/>
  <c r="E889" i="4"/>
  <c r="E5134" i="4"/>
  <c r="E910" i="4"/>
  <c r="E5146" i="4"/>
  <c r="E922" i="4"/>
  <c r="G922" i="4" s="1"/>
  <c r="H922" i="4" s="1"/>
  <c r="E5158" i="4"/>
  <c r="E934" i="4"/>
  <c r="E5170" i="4"/>
  <c r="E946" i="4"/>
  <c r="F5223" i="4"/>
  <c r="F807" i="4"/>
  <c r="G5286" i="4"/>
  <c r="I5286" i="4" s="1"/>
  <c r="G5370" i="4"/>
  <c r="I5370" i="4" s="1"/>
  <c r="F764" i="4"/>
  <c r="G764" i="4" s="1"/>
  <c r="H764" i="4" s="1"/>
  <c r="I706" i="4"/>
  <c r="G544" i="4"/>
  <c r="I544" i="4" s="1"/>
  <c r="G534" i="4"/>
  <c r="H534" i="4" s="1"/>
  <c r="G525" i="4"/>
  <c r="I525" i="4" s="1"/>
  <c r="G516" i="4"/>
  <c r="G498" i="4"/>
  <c r="I498" i="4" s="1"/>
  <c r="G489" i="4"/>
  <c r="I489" i="4" s="1"/>
  <c r="G480" i="4"/>
  <c r="H480" i="4" s="1"/>
  <c r="G462" i="4"/>
  <c r="H462" i="4" s="1"/>
  <c r="G436" i="4"/>
  <c r="H436" i="4" s="1"/>
  <c r="I409" i="4"/>
  <c r="G375" i="4"/>
  <c r="I375" i="4" s="1"/>
  <c r="G357" i="4"/>
  <c r="I357" i="4" s="1"/>
  <c r="G331" i="4"/>
  <c r="H331" i="4" s="1"/>
  <c r="G296" i="4"/>
  <c r="H296" i="4" s="1"/>
  <c r="G286" i="4"/>
  <c r="H286" i="4" s="1"/>
  <c r="H267" i="4"/>
  <c r="H257" i="4"/>
  <c r="G247" i="4"/>
  <c r="I247" i="4" s="1"/>
  <c r="G236" i="4"/>
  <c r="I236" i="4" s="1"/>
  <c r="K5034" i="4"/>
  <c r="K5610" i="4" s="1"/>
  <c r="K810" i="4"/>
  <c r="K5046" i="4"/>
  <c r="K5622" i="4" s="1"/>
  <c r="K822" i="4"/>
  <c r="K5058" i="4"/>
  <c r="K5634" i="4" s="1"/>
  <c r="K834" i="4"/>
  <c r="L834" i="4" s="1"/>
  <c r="M834" i="4" s="1"/>
  <c r="K5070" i="4"/>
  <c r="K5646" i="4" s="1"/>
  <c r="K846" i="4"/>
  <c r="K5082" i="4"/>
  <c r="K5658" i="4" s="1"/>
  <c r="K858" i="4"/>
  <c r="K5094" i="4"/>
  <c r="K5670" i="4" s="1"/>
  <c r="K870" i="4"/>
  <c r="K5106" i="4"/>
  <c r="K5682" i="4" s="1"/>
  <c r="K882" i="4"/>
  <c r="L882" i="4" s="1"/>
  <c r="M882" i="4" s="1"/>
  <c r="K5127" i="4"/>
  <c r="K5703" i="4" s="1"/>
  <c r="K903" i="4"/>
  <c r="N327" i="4"/>
  <c r="K5139" i="4"/>
  <c r="K5715" i="4" s="1"/>
  <c r="K915" i="4"/>
  <c r="K5151" i="4"/>
  <c r="K5727" i="4" s="1"/>
  <c r="K927" i="4"/>
  <c r="K5163" i="4"/>
  <c r="K5739" i="4" s="1"/>
  <c r="K939" i="4"/>
  <c r="J5180" i="4"/>
  <c r="L5180" i="4" s="1"/>
  <c r="N5180" i="4" s="1"/>
  <c r="L380" i="4"/>
  <c r="J5233" i="4"/>
  <c r="L433" i="4"/>
  <c r="M433" i="4" s="1"/>
  <c r="J5245" i="4"/>
  <c r="L5245" i="4" s="1"/>
  <c r="L445" i="4"/>
  <c r="M445" i="4" s="1"/>
  <c r="J5257" i="4"/>
  <c r="L457" i="4"/>
  <c r="M457" i="4" s="1"/>
  <c r="J5269" i="4"/>
  <c r="L5269" i="4" s="1"/>
  <c r="M5269" i="4" s="1"/>
  <c r="L469" i="4"/>
  <c r="M469" i="4" s="1"/>
  <c r="J5281" i="4"/>
  <c r="L481" i="4"/>
  <c r="M481" i="4" s="1"/>
  <c r="L5293" i="4"/>
  <c r="M5293" i="4" s="1"/>
  <c r="P314" i="4"/>
  <c r="G805" i="4"/>
  <c r="H805" i="4"/>
  <c r="G781" i="4"/>
  <c r="H781" i="4" s="1"/>
  <c r="M123" i="4"/>
  <c r="M99" i="4"/>
  <c r="N74" i="4"/>
  <c r="J4989" i="4"/>
  <c r="J957" i="4"/>
  <c r="O177" i="4"/>
  <c r="O153" i="4"/>
  <c r="O105" i="4"/>
  <c r="O81" i="4"/>
  <c r="O57" i="4"/>
  <c r="O33" i="4"/>
  <c r="F5041" i="4"/>
  <c r="F817" i="4"/>
  <c r="F5053" i="4"/>
  <c r="F5629" i="4" s="1"/>
  <c r="F829" i="4"/>
  <c r="F5065" i="4"/>
  <c r="F5641" i="4" s="1"/>
  <c r="F841" i="4"/>
  <c r="F5077" i="4"/>
  <c r="F5653" i="4" s="1"/>
  <c r="F853" i="4"/>
  <c r="F5089" i="4"/>
  <c r="F865" i="4"/>
  <c r="F5101" i="4"/>
  <c r="F5677" i="4" s="1"/>
  <c r="F877" i="4"/>
  <c r="F5113" i="4"/>
  <c r="F5689" i="4" s="1"/>
  <c r="F889" i="4"/>
  <c r="F5134" i="4"/>
  <c r="F910" i="4"/>
  <c r="F5146" i="4"/>
  <c r="F5722" i="4" s="1"/>
  <c r="F922" i="4"/>
  <c r="F5158" i="4"/>
  <c r="F5734" i="4" s="1"/>
  <c r="F934" i="4"/>
  <c r="F5170" i="4"/>
  <c r="F5746" i="4" s="1"/>
  <c r="F946" i="4"/>
  <c r="F5224" i="4"/>
  <c r="F808" i="4"/>
  <c r="I5236" i="4"/>
  <c r="I5343" i="4"/>
  <c r="I5355" i="4"/>
  <c r="G553" i="4"/>
  <c r="I553" i="4" s="1"/>
  <c r="G471" i="4"/>
  <c r="H471" i="4" s="1"/>
  <c r="I461" i="4"/>
  <c r="G453" i="4"/>
  <c r="I453" i="4" s="1"/>
  <c r="G427" i="4"/>
  <c r="H427" i="4" s="1"/>
  <c r="G374" i="4"/>
  <c r="H374" i="4" s="1"/>
  <c r="G348" i="4"/>
  <c r="I348" i="4" s="1"/>
  <c r="J5035" i="4"/>
  <c r="J811" i="4"/>
  <c r="L235" i="4"/>
  <c r="P235" i="4" s="1"/>
  <c r="J5047" i="4"/>
  <c r="L247" i="4"/>
  <c r="M247" i="4" s="1"/>
  <c r="J5059" i="4"/>
  <c r="L259" i="4"/>
  <c r="P259" i="4" s="1"/>
  <c r="J835" i="4"/>
  <c r="J5071" i="4"/>
  <c r="L271" i="4"/>
  <c r="N271" i="4" s="1"/>
  <c r="J847" i="4"/>
  <c r="J5083" i="4"/>
  <c r="J859" i="4"/>
  <c r="L283" i="4"/>
  <c r="J5095" i="4"/>
  <c r="J871" i="4"/>
  <c r="L295" i="4"/>
  <c r="M295" i="4" s="1"/>
  <c r="J5107" i="4"/>
  <c r="J883" i="4"/>
  <c r="L307" i="4"/>
  <c r="J5128" i="4"/>
  <c r="J904" i="4"/>
  <c r="L328" i="4"/>
  <c r="M328" i="4" s="1"/>
  <c r="J5140" i="4"/>
  <c r="J916" i="4"/>
  <c r="L340" i="4"/>
  <c r="J5152" i="4"/>
  <c r="J928" i="4"/>
  <c r="L928" i="4" s="1"/>
  <c r="N928" i="4" s="1"/>
  <c r="L352" i="4"/>
  <c r="P352" i="4" s="1"/>
  <c r="J5164" i="4"/>
  <c r="L364" i="4"/>
  <c r="J940" i="4"/>
  <c r="K5233" i="4"/>
  <c r="K5257" i="4"/>
  <c r="N457" i="4"/>
  <c r="K5281" i="4"/>
  <c r="P304" i="4"/>
  <c r="J4990" i="4"/>
  <c r="J958" i="4"/>
  <c r="O176" i="4"/>
  <c r="O128" i="4"/>
  <c r="O80" i="4"/>
  <c r="E5042" i="4"/>
  <c r="E818" i="4"/>
  <c r="E5054" i="4"/>
  <c r="E830" i="4"/>
  <c r="E5066" i="4"/>
  <c r="E842" i="4"/>
  <c r="E5078" i="4"/>
  <c r="E854" i="4"/>
  <c r="E5666" i="4"/>
  <c r="G5666" i="4" s="1"/>
  <c r="E5102" i="4"/>
  <c r="E878" i="4"/>
  <c r="E5123" i="4"/>
  <c r="E899" i="4"/>
  <c r="E5135" i="4"/>
  <c r="E911" i="4"/>
  <c r="E5147" i="4"/>
  <c r="E923" i="4"/>
  <c r="E5159" i="4"/>
  <c r="E935" i="4"/>
  <c r="G5263" i="4"/>
  <c r="I5263" i="4" s="1"/>
  <c r="G5275" i="4"/>
  <c r="H5275" i="4" s="1"/>
  <c r="F765" i="4"/>
  <c r="G765" i="4" s="1"/>
  <c r="H765" i="4" s="1"/>
  <c r="G562" i="4"/>
  <c r="I562" i="4" s="1"/>
  <c r="G543" i="4"/>
  <c r="H543" i="4" s="1"/>
  <c r="H479" i="4"/>
  <c r="G470" i="4"/>
  <c r="H470" i="4" s="1"/>
  <c r="G444" i="4"/>
  <c r="I444" i="4" s="1"/>
  <c r="I426" i="4"/>
  <c r="G383" i="4"/>
  <c r="H383" i="4" s="1"/>
  <c r="G365" i="4"/>
  <c r="I365" i="4" s="1"/>
  <c r="G339" i="4"/>
  <c r="I339" i="4" s="1"/>
  <c r="G313" i="4"/>
  <c r="I313" i="4" s="1"/>
  <c r="H304" i="4"/>
  <c r="G276" i="4"/>
  <c r="I276" i="4" s="1"/>
  <c r="G246" i="4"/>
  <c r="H246" i="4" s="1"/>
  <c r="G234" i="4"/>
  <c r="I234" i="4" s="1"/>
  <c r="K5035" i="4"/>
  <c r="K5611" i="4" s="1"/>
  <c r="K811" i="4"/>
  <c r="K5047" i="4"/>
  <c r="K823" i="4"/>
  <c r="K5059" i="4"/>
  <c r="K835" i="4"/>
  <c r="K5071" i="4"/>
  <c r="K5647" i="4" s="1"/>
  <c r="K847" i="4"/>
  <c r="K5083" i="4"/>
  <c r="K859" i="4"/>
  <c r="N283" i="4"/>
  <c r="K5095" i="4"/>
  <c r="K5671" i="4" s="1"/>
  <c r="K871" i="4"/>
  <c r="K5107" i="4"/>
  <c r="K5683" i="4" s="1"/>
  <c r="K883" i="4"/>
  <c r="K5128" i="4"/>
  <c r="K5704" i="4" s="1"/>
  <c r="K904" i="4"/>
  <c r="N328" i="4"/>
  <c r="K5140" i="4"/>
  <c r="K916" i="4"/>
  <c r="K5152" i="4"/>
  <c r="K928" i="4"/>
  <c r="K5164" i="4"/>
  <c r="K5740" i="4" s="1"/>
  <c r="K940" i="4"/>
  <c r="J5181" i="4"/>
  <c r="J5234" i="4"/>
  <c r="L434" i="4"/>
  <c r="M434" i="4" s="1"/>
  <c r="J5246" i="4"/>
  <c r="L5246" i="4" s="1"/>
  <c r="N5246" i="4" s="1"/>
  <c r="L446" i="4"/>
  <c r="M446" i="4" s="1"/>
  <c r="J5258" i="4"/>
  <c r="L458" i="4"/>
  <c r="M458" i="4" s="1"/>
  <c r="J5270" i="4"/>
  <c r="L5270" i="4" s="1"/>
  <c r="N5270" i="4" s="1"/>
  <c r="L470" i="4"/>
  <c r="M470" i="4"/>
  <c r="N737" i="4"/>
  <c r="M737" i="4"/>
  <c r="L291" i="4"/>
  <c r="J4991" i="4"/>
  <c r="J959" i="4"/>
  <c r="O55" i="4"/>
  <c r="F5042" i="4"/>
  <c r="F5618" i="4" s="1"/>
  <c r="F818" i="4"/>
  <c r="F5054" i="4"/>
  <c r="F5630" i="4" s="1"/>
  <c r="F830" i="4"/>
  <c r="F5066" i="4"/>
  <c r="F5642" i="4" s="1"/>
  <c r="F842" i="4"/>
  <c r="F5078" i="4"/>
  <c r="F5654" i="4" s="1"/>
  <c r="F854" i="4"/>
  <c r="F5090" i="4"/>
  <c r="F5666" i="4" s="1"/>
  <c r="F866" i="4"/>
  <c r="F5102" i="4"/>
  <c r="F5678" i="4" s="1"/>
  <c r="F878" i="4"/>
  <c r="F5123" i="4"/>
  <c r="F5699" i="4" s="1"/>
  <c r="F899" i="4"/>
  <c r="F5135" i="4"/>
  <c r="F911" i="4"/>
  <c r="F5147" i="4"/>
  <c r="F923" i="4"/>
  <c r="F5159" i="4"/>
  <c r="F5735" i="4" s="1"/>
  <c r="F935" i="4"/>
  <c r="G5172" i="4"/>
  <c r="I5172" i="4" s="1"/>
  <c r="G763" i="4"/>
  <c r="I763" i="4" s="1"/>
  <c r="I753" i="4"/>
  <c r="G571" i="4"/>
  <c r="I571" i="4" s="1"/>
  <c r="G542" i="4"/>
  <c r="H542" i="4" s="1"/>
  <c r="G533" i="4"/>
  <c r="I533" i="4" s="1"/>
  <c r="G524" i="4"/>
  <c r="H524" i="4" s="1"/>
  <c r="G515" i="4"/>
  <c r="I515" i="4" s="1"/>
  <c r="G497" i="4"/>
  <c r="I497" i="4" s="1"/>
  <c r="G488" i="4"/>
  <c r="I488" i="4" s="1"/>
  <c r="G479" i="4"/>
  <c r="I479" i="4" s="1"/>
  <c r="G461" i="4"/>
  <c r="H461" i="4" s="1"/>
  <c r="G435" i="4"/>
  <c r="I435" i="4" s="1"/>
  <c r="I408" i="4"/>
  <c r="G382" i="4"/>
  <c r="H382" i="4" s="1"/>
  <c r="G356" i="4"/>
  <c r="I356" i="4" s="1"/>
  <c r="I338" i="4"/>
  <c r="G330" i="4"/>
  <c r="H330" i="4" s="1"/>
  <c r="G295" i="4"/>
  <c r="H295" i="4" s="1"/>
  <c r="G285" i="4"/>
  <c r="H285" i="4" s="1"/>
  <c r="H256" i="4"/>
  <c r="J5036" i="4"/>
  <c r="J812" i="4"/>
  <c r="L236" i="4"/>
  <c r="J5048" i="4"/>
  <c r="J824" i="4"/>
  <c r="L248" i="4"/>
  <c r="P248" i="4" s="1"/>
  <c r="J5060" i="4"/>
  <c r="J836" i="4"/>
  <c r="L260" i="4"/>
  <c r="J5072" i="4"/>
  <c r="J848" i="4"/>
  <c r="L272" i="4"/>
  <c r="J5084" i="4"/>
  <c r="J860" i="4"/>
  <c r="L284" i="4"/>
  <c r="J5096" i="4"/>
  <c r="L296" i="4"/>
  <c r="M296" i="4" s="1"/>
  <c r="J872" i="4"/>
  <c r="J5108" i="4"/>
  <c r="J884" i="4"/>
  <c r="L308" i="4"/>
  <c r="J5129" i="4"/>
  <c r="J905" i="4"/>
  <c r="L329" i="4"/>
  <c r="M329" i="4" s="1"/>
  <c r="J5141" i="4"/>
  <c r="J917" i="4"/>
  <c r="L341" i="4"/>
  <c r="J5153" i="4"/>
  <c r="L353" i="4"/>
  <c r="P353" i="4" s="1"/>
  <c r="J929" i="4"/>
  <c r="J5165" i="4"/>
  <c r="J941" i="4"/>
  <c r="L365" i="4"/>
  <c r="K381" i="4"/>
  <c r="K5181" i="4" s="1"/>
  <c r="P280" i="4"/>
  <c r="G186" i="4"/>
  <c r="I186" i="4" s="1"/>
  <c r="E4986" i="4"/>
  <c r="E954" i="4"/>
  <c r="N4" i="4"/>
  <c r="N148" i="4"/>
  <c r="N121" i="4"/>
  <c r="M98" i="4"/>
  <c r="M85" i="4"/>
  <c r="M73" i="4"/>
  <c r="K191" i="4"/>
  <c r="O174" i="4"/>
  <c r="O150" i="4"/>
  <c r="O126" i="4"/>
  <c r="O102" i="4"/>
  <c r="O78" i="4"/>
  <c r="O54" i="4"/>
  <c r="O30" i="4"/>
  <c r="E5043" i="4"/>
  <c r="E819" i="4"/>
  <c r="E5055" i="4"/>
  <c r="E831" i="4"/>
  <c r="E5067" i="4"/>
  <c r="E843" i="4"/>
  <c r="E5079" i="4"/>
  <c r="G5079" i="4" s="1"/>
  <c r="H5079" i="4" s="1"/>
  <c r="G279" i="4"/>
  <c r="H279" i="4" s="1"/>
  <c r="E855" i="4"/>
  <c r="E5091" i="4"/>
  <c r="E5667" i="4" s="1"/>
  <c r="E867" i="4"/>
  <c r="G867" i="4" s="1"/>
  <c r="H867" i="4" s="1"/>
  <c r="E5103" i="4"/>
  <c r="E5679" i="4" s="1"/>
  <c r="E879" i="4"/>
  <c r="E5124" i="4"/>
  <c r="E900" i="4"/>
  <c r="E5136" i="4"/>
  <c r="E912" i="4"/>
  <c r="E5724" i="4"/>
  <c r="E5160" i="4"/>
  <c r="E936" i="4"/>
  <c r="G5276" i="4"/>
  <c r="H5276" i="4" s="1"/>
  <c r="F572" i="4"/>
  <c r="E5372" i="4"/>
  <c r="F766" i="4"/>
  <c r="G552" i="4"/>
  <c r="I552" i="4" s="1"/>
  <c r="I496" i="4"/>
  <c r="G478" i="4"/>
  <c r="H478" i="4" s="1"/>
  <c r="G452" i="4"/>
  <c r="H452" i="4" s="1"/>
  <c r="G426" i="4"/>
  <c r="H426" i="4" s="1"/>
  <c r="G373" i="4"/>
  <c r="I373" i="4" s="1"/>
  <c r="G347" i="4"/>
  <c r="I347" i="4" s="1"/>
  <c r="H338" i="4"/>
  <c r="G294" i="4"/>
  <c r="H294" i="4" s="1"/>
  <c r="G266" i="4"/>
  <c r="I266" i="4" s="1"/>
  <c r="H245" i="4"/>
  <c r="H233" i="4"/>
  <c r="K5036" i="4"/>
  <c r="K812" i="4"/>
  <c r="K5048" i="4"/>
  <c r="K5624" i="4" s="1"/>
  <c r="K824" i="4"/>
  <c r="K5060" i="4"/>
  <c r="K5636" i="4" s="1"/>
  <c r="K836" i="4"/>
  <c r="K5072" i="4"/>
  <c r="K5648" i="4" s="1"/>
  <c r="K848" i="4"/>
  <c r="K5084" i="4"/>
  <c r="K5660" i="4" s="1"/>
  <c r="K860" i="4"/>
  <c r="K5096" i="4"/>
  <c r="K5672" i="4" s="1"/>
  <c r="K872" i="4"/>
  <c r="K5108" i="4"/>
  <c r="K5684" i="4" s="1"/>
  <c r="K884" i="4"/>
  <c r="K5129" i="4"/>
  <c r="K905" i="4"/>
  <c r="K5141" i="4"/>
  <c r="K5717" i="4" s="1"/>
  <c r="K917" i="4"/>
  <c r="K5153" i="4"/>
  <c r="K5729" i="4" s="1"/>
  <c r="K929" i="4"/>
  <c r="K5165" i="4"/>
  <c r="K941" i="4"/>
  <c r="F887" i="4"/>
  <c r="F4986" i="4"/>
  <c r="F954" i="4"/>
  <c r="M4" i="4"/>
  <c r="M148" i="4"/>
  <c r="M121" i="4"/>
  <c r="M109" i="4"/>
  <c r="N59" i="4"/>
  <c r="N34" i="4"/>
  <c r="K192" i="4"/>
  <c r="J4992" i="4"/>
  <c r="J960" i="4"/>
  <c r="O149" i="4"/>
  <c r="O77" i="4"/>
  <c r="O29" i="4"/>
  <c r="F5043" i="4"/>
  <c r="F5619" i="4" s="1"/>
  <c r="F819" i="4"/>
  <c r="F5055" i="4"/>
  <c r="F831" i="4"/>
  <c r="F5067" i="4"/>
  <c r="F843" i="4"/>
  <c r="F5091" i="4"/>
  <c r="F867" i="4"/>
  <c r="F5103" i="4"/>
  <c r="F5679" i="4" s="1"/>
  <c r="F879" i="4"/>
  <c r="F5124" i="4"/>
  <c r="F5700" i="4" s="1"/>
  <c r="F900" i="4"/>
  <c r="F5136" i="4"/>
  <c r="F5712" i="4" s="1"/>
  <c r="F912" i="4"/>
  <c r="F5148" i="4"/>
  <c r="F5724" i="4" s="1"/>
  <c r="F924" i="4"/>
  <c r="G924" i="4" s="1"/>
  <c r="H924" i="4" s="1"/>
  <c r="F5160" i="4"/>
  <c r="F5736" i="4" s="1"/>
  <c r="F936" i="4"/>
  <c r="I5226" i="4"/>
  <c r="F573" i="4"/>
  <c r="G573" i="4" s="1"/>
  <c r="H573" i="4" s="1"/>
  <c r="E5373" i="4"/>
  <c r="F767" i="4"/>
  <c r="E5567" i="4"/>
  <c r="I723" i="4"/>
  <c r="I675" i="4"/>
  <c r="I627" i="4"/>
  <c r="I579" i="4"/>
  <c r="G561" i="4"/>
  <c r="H561" i="4" s="1"/>
  <c r="G551" i="4"/>
  <c r="H551" i="4" s="1"/>
  <c r="G487" i="4"/>
  <c r="H487" i="4" s="1"/>
  <c r="G469" i="4"/>
  <c r="I469" i="4" s="1"/>
  <c r="G443" i="4"/>
  <c r="H443" i="4" s="1"/>
  <c r="I416" i="4"/>
  <c r="G364" i="4"/>
  <c r="I364" i="4" s="1"/>
  <c r="I320" i="4"/>
  <c r="G312" i="4"/>
  <c r="H312" i="4" s="1"/>
  <c r="G275" i="4"/>
  <c r="H275" i="4" s="1"/>
  <c r="I223" i="4"/>
  <c r="J5037" i="4"/>
  <c r="J813" i="4"/>
  <c r="L237" i="4"/>
  <c r="N237" i="4" s="1"/>
  <c r="J5049" i="4"/>
  <c r="J825" i="4"/>
  <c r="L825" i="4" s="1"/>
  <c r="M825" i="4" s="1"/>
  <c r="L249" i="4"/>
  <c r="P249" i="4" s="1"/>
  <c r="J5061" i="4"/>
  <c r="J837" i="4"/>
  <c r="L261" i="4"/>
  <c r="J5073" i="4"/>
  <c r="L273" i="4"/>
  <c r="P273" i="4" s="1"/>
  <c r="J849" i="4"/>
  <c r="J5085" i="4"/>
  <c r="J861" i="4"/>
  <c r="L861" i="4" s="1"/>
  <c r="L285" i="4"/>
  <c r="J5097" i="4"/>
  <c r="J873" i="4"/>
  <c r="L297" i="4"/>
  <c r="J5109" i="4"/>
  <c r="J885" i="4"/>
  <c r="L309" i="4"/>
  <c r="J5130" i="4"/>
  <c r="L330" i="4"/>
  <c r="N330" i="4" s="1"/>
  <c r="J906" i="4"/>
  <c r="J5142" i="4"/>
  <c r="L342" i="4"/>
  <c r="P342" i="4" s="1"/>
  <c r="J918" i="4"/>
  <c r="J5154" i="4"/>
  <c r="L354" i="4"/>
  <c r="M354" i="4" s="1"/>
  <c r="J930" i="4"/>
  <c r="P371" i="4"/>
  <c r="N255" i="4"/>
  <c r="F855" i="4"/>
  <c r="N134" i="4"/>
  <c r="N97" i="4"/>
  <c r="N84" i="4"/>
  <c r="N46" i="4"/>
  <c r="N18" i="4"/>
  <c r="J4993" i="4"/>
  <c r="J961" i="4"/>
  <c r="O100" i="4"/>
  <c r="O52" i="4"/>
  <c r="O28" i="4"/>
  <c r="E5044" i="4"/>
  <c r="G244" i="4"/>
  <c r="H244" i="4" s="1"/>
  <c r="E820" i="4"/>
  <c r="E5056" i="4"/>
  <c r="E832" i="4"/>
  <c r="E5068" i="4"/>
  <c r="E844" i="4"/>
  <c r="G844" i="4" s="1"/>
  <c r="H844" i="4" s="1"/>
  <c r="E5080" i="4"/>
  <c r="E856" i="4"/>
  <c r="E5092" i="4"/>
  <c r="E868" i="4"/>
  <c r="E5104" i="4"/>
  <c r="E880" i="4"/>
  <c r="E5125" i="4"/>
  <c r="E901" i="4"/>
  <c r="E5137" i="4"/>
  <c r="E913" i="4"/>
  <c r="E5149" i="4"/>
  <c r="E925" i="4"/>
  <c r="E5161" i="4"/>
  <c r="E937" i="4"/>
  <c r="G5227" i="4"/>
  <c r="I5227" i="4" s="1"/>
  <c r="G5239" i="4"/>
  <c r="I5239" i="4" s="1"/>
  <c r="G5251" i="4"/>
  <c r="I5251" i="4" s="1"/>
  <c r="G5265" i="4"/>
  <c r="I5265" i="4" s="1"/>
  <c r="G5277" i="4"/>
  <c r="I5277" i="4" s="1"/>
  <c r="G5289" i="4"/>
  <c r="I5289" i="4" s="1"/>
  <c r="G5301" i="4"/>
  <c r="I5301" i="4" s="1"/>
  <c r="G5322" i="4"/>
  <c r="I5322" i="4" s="1"/>
  <c r="G5334" i="4"/>
  <c r="H5334" i="4" s="1"/>
  <c r="G5346" i="4"/>
  <c r="I5346" i="4" s="1"/>
  <c r="G5358" i="4"/>
  <c r="H5358" i="4" s="1"/>
  <c r="F574" i="4"/>
  <c r="F5374" i="4" s="1"/>
  <c r="E5374" i="4"/>
  <c r="F768" i="4"/>
  <c r="E5568" i="4"/>
  <c r="G762" i="4"/>
  <c r="I762" i="4" s="1"/>
  <c r="G570" i="4"/>
  <c r="I570" i="4" s="1"/>
  <c r="G550" i="4"/>
  <c r="H550" i="4" s="1"/>
  <c r="G541" i="4"/>
  <c r="I541" i="4" s="1"/>
  <c r="G532" i="4"/>
  <c r="I532" i="4" s="1"/>
  <c r="G523" i="4"/>
  <c r="I523" i="4" s="1"/>
  <c r="G505" i="4"/>
  <c r="H505" i="4" s="1"/>
  <c r="G496" i="4"/>
  <c r="H496" i="4" s="1"/>
  <c r="G486" i="4"/>
  <c r="H486" i="4" s="1"/>
  <c r="G460" i="4"/>
  <c r="H460" i="4" s="1"/>
  <c r="G434" i="4"/>
  <c r="I434" i="4" s="1"/>
  <c r="G381" i="4"/>
  <c r="H381" i="4" s="1"/>
  <c r="G355" i="4"/>
  <c r="H355" i="4" s="1"/>
  <c r="G329" i="4"/>
  <c r="H329" i="4" s="1"/>
  <c r="G303" i="4"/>
  <c r="I303" i="4" s="1"/>
  <c r="H293" i="4"/>
  <c r="G284" i="4"/>
  <c r="I284" i="4" s="1"/>
  <c r="H223" i="4"/>
  <c r="K5037" i="4"/>
  <c r="K5613" i="4" s="1"/>
  <c r="K813" i="4"/>
  <c r="K5049" i="4"/>
  <c r="K825" i="4"/>
  <c r="K5061" i="4"/>
  <c r="K5637" i="4" s="1"/>
  <c r="K837" i="4"/>
  <c r="K5073" i="4"/>
  <c r="K5649" i="4" s="1"/>
  <c r="K849" i="4"/>
  <c r="K5085" i="4"/>
  <c r="K5661" i="4" s="1"/>
  <c r="K861" i="4"/>
  <c r="K5097" i="4"/>
  <c r="K5673" i="4" s="1"/>
  <c r="K873" i="4"/>
  <c r="K5109" i="4"/>
  <c r="K5685" i="4" s="1"/>
  <c r="K885" i="4"/>
  <c r="K930" i="4"/>
  <c r="L930" i="4" s="1"/>
  <c r="M930" i="4" s="1"/>
  <c r="P362" i="4"/>
  <c r="F826" i="4"/>
  <c r="K4993" i="4"/>
  <c r="O171" i="4"/>
  <c r="O99" i="4"/>
  <c r="O27" i="4"/>
  <c r="F5044" i="4"/>
  <c r="F5620" i="4" s="1"/>
  <c r="F820" i="4"/>
  <c r="F5056" i="4"/>
  <c r="F5632" i="4" s="1"/>
  <c r="F832" i="4"/>
  <c r="F5068" i="4"/>
  <c r="F5644" i="4" s="1"/>
  <c r="F844" i="4"/>
  <c r="F5080" i="4"/>
  <c r="F5656" i="4" s="1"/>
  <c r="F856" i="4"/>
  <c r="F5092" i="4"/>
  <c r="F868" i="4"/>
  <c r="F5104" i="4"/>
  <c r="F5680" i="4" s="1"/>
  <c r="F880" i="4"/>
  <c r="F5125" i="4"/>
  <c r="F5701" i="4" s="1"/>
  <c r="F901" i="4"/>
  <c r="F5137" i="4"/>
  <c r="F5713" i="4" s="1"/>
  <c r="F913" i="4"/>
  <c r="F5149" i="4"/>
  <c r="F925" i="4"/>
  <c r="F5161" i="4"/>
  <c r="F937" i="4"/>
  <c r="G5176" i="4"/>
  <c r="I5176" i="4" s="1"/>
  <c r="I5358" i="4"/>
  <c r="F575" i="4"/>
  <c r="F5375" i="4" s="1"/>
  <c r="E5375" i="4"/>
  <c r="F769" i="4"/>
  <c r="E5569" i="4"/>
  <c r="I549" i="4"/>
  <c r="G477" i="4"/>
  <c r="I477" i="4" s="1"/>
  <c r="G451" i="4"/>
  <c r="I451" i="4" s="1"/>
  <c r="H442" i="4"/>
  <c r="G425" i="4"/>
  <c r="I425" i="4" s="1"/>
  <c r="G372" i="4"/>
  <c r="I372" i="4" s="1"/>
  <c r="G346" i="4"/>
  <c r="H346" i="4" s="1"/>
  <c r="G302" i="4"/>
  <c r="H302" i="4" s="1"/>
  <c r="G265" i="4"/>
  <c r="H265" i="4" s="1"/>
  <c r="G255" i="4"/>
  <c r="H255" i="4" s="1"/>
  <c r="P238" i="4"/>
  <c r="M350" i="4"/>
  <c r="I805" i="4"/>
  <c r="G188" i="4"/>
  <c r="H188" i="4" s="1"/>
  <c r="E4988" i="4"/>
  <c r="E956" i="4"/>
  <c r="O170" i="4"/>
  <c r="O122" i="4"/>
  <c r="O74" i="4"/>
  <c r="O26" i="4"/>
  <c r="E5033" i="4"/>
  <c r="E5609" i="4" s="1"/>
  <c r="E809" i="4"/>
  <c r="E5045" i="4"/>
  <c r="E821" i="4"/>
  <c r="E5057" i="4"/>
  <c r="E5633" i="4" s="1"/>
  <c r="E833" i="4"/>
  <c r="E5069" i="4"/>
  <c r="E845" i="4"/>
  <c r="E5081" i="4"/>
  <c r="E5657" i="4" s="1"/>
  <c r="E857" i="4"/>
  <c r="E5093" i="4"/>
  <c r="E5669" i="4" s="1"/>
  <c r="E869" i="4"/>
  <c r="E5105" i="4"/>
  <c r="E881" i="4"/>
  <c r="E5126" i="4"/>
  <c r="E902" i="4"/>
  <c r="E5138" i="4"/>
  <c r="E914" i="4"/>
  <c r="G914" i="4" s="1"/>
  <c r="H914" i="4" s="1"/>
  <c r="E5150" i="4"/>
  <c r="E926" i="4"/>
  <c r="E5162" i="4"/>
  <c r="E938" i="4"/>
  <c r="E5753" i="4"/>
  <c r="G5753" i="4" s="1"/>
  <c r="H5753" i="4" s="1"/>
  <c r="G5290" i="4"/>
  <c r="H5290" i="4" s="1"/>
  <c r="G5347" i="4"/>
  <c r="I5347" i="4" s="1"/>
  <c r="G560" i="4"/>
  <c r="H560" i="4" s="1"/>
  <c r="H549" i="4"/>
  <c r="G495" i="4"/>
  <c r="H495" i="4" s="1"/>
  <c r="I476" i="4"/>
  <c r="G468" i="4"/>
  <c r="I468" i="4" s="1"/>
  <c r="I450" i="4"/>
  <c r="G442" i="4"/>
  <c r="I442" i="4" s="1"/>
  <c r="I424" i="4"/>
  <c r="G363" i="4"/>
  <c r="H363" i="4" s="1"/>
  <c r="H354" i="4"/>
  <c r="I345" i="4"/>
  <c r="G337" i="4"/>
  <c r="I337" i="4" s="1"/>
  <c r="G311" i="4"/>
  <c r="I311" i="4" s="1"/>
  <c r="I301" i="4"/>
  <c r="I292" i="4"/>
  <c r="G274" i="4"/>
  <c r="H274" i="4" s="1"/>
  <c r="I254" i="4"/>
  <c r="G243" i="4"/>
  <c r="H243" i="4" s="1"/>
  <c r="N238" i="4"/>
  <c r="N262" i="4"/>
  <c r="N747" i="4"/>
  <c r="M747" i="4"/>
  <c r="P338" i="4"/>
  <c r="F4988" i="4"/>
  <c r="L193" i="4"/>
  <c r="N57" i="4"/>
  <c r="N44" i="4"/>
  <c r="O145" i="4"/>
  <c r="O97" i="4"/>
  <c r="O49" i="4"/>
  <c r="O25" i="4"/>
  <c r="F5033" i="4"/>
  <c r="F5609" i="4" s="1"/>
  <c r="F809" i="4"/>
  <c r="F5045" i="4"/>
  <c r="F5621" i="4" s="1"/>
  <c r="F821" i="4"/>
  <c r="F5057" i="4"/>
  <c r="F5633" i="4" s="1"/>
  <c r="F833" i="4"/>
  <c r="I257" i="4"/>
  <c r="F5069" i="4"/>
  <c r="F5645" i="4" s="1"/>
  <c r="I269" i="4"/>
  <c r="F845" i="4"/>
  <c r="F5081" i="4"/>
  <c r="F5657" i="4" s="1"/>
  <c r="F857" i="4"/>
  <c r="F5093" i="4"/>
  <c r="F5669" i="4" s="1"/>
  <c r="F869" i="4"/>
  <c r="F5105" i="4"/>
  <c r="F5681" i="4" s="1"/>
  <c r="F881" i="4"/>
  <c r="F5126" i="4"/>
  <c r="F5702" i="4" s="1"/>
  <c r="F902" i="4"/>
  <c r="F5714" i="4"/>
  <c r="F5150" i="4"/>
  <c r="F5726" i="4" s="1"/>
  <c r="F926" i="4"/>
  <c r="F5162" i="4"/>
  <c r="F5738" i="4" s="1"/>
  <c r="F938" i="4"/>
  <c r="I5240" i="4"/>
  <c r="I5290" i="4"/>
  <c r="I5335" i="4"/>
  <c r="F576" i="4"/>
  <c r="G761" i="4"/>
  <c r="I761" i="4" s="1"/>
  <c r="G569" i="4"/>
  <c r="I569" i="4" s="1"/>
  <c r="G559" i="4"/>
  <c r="H559" i="4" s="1"/>
  <c r="G549" i="4"/>
  <c r="G540" i="4"/>
  <c r="I540" i="4" s="1"/>
  <c r="G531" i="4"/>
  <c r="I531" i="4" s="1"/>
  <c r="G522" i="4"/>
  <c r="I522" i="4" s="1"/>
  <c r="G504" i="4"/>
  <c r="I504" i="4" s="1"/>
  <c r="G494" i="4"/>
  <c r="H494" i="4" s="1"/>
  <c r="G485" i="4"/>
  <c r="H485" i="4" s="1"/>
  <c r="H476" i="4"/>
  <c r="G459" i="4"/>
  <c r="H459" i="4" s="1"/>
  <c r="H450" i="4"/>
  <c r="G433" i="4"/>
  <c r="I433" i="4" s="1"/>
  <c r="H371" i="4"/>
  <c r="I362" i="4"/>
  <c r="G354" i="4"/>
  <c r="I354" i="4" s="1"/>
  <c r="H345" i="4"/>
  <c r="I336" i="4"/>
  <c r="G328" i="4"/>
  <c r="I328" i="4" s="1"/>
  <c r="G310" i="4"/>
  <c r="H310" i="4" s="1"/>
  <c r="H301" i="4"/>
  <c r="H292" i="4"/>
  <c r="G283" i="4"/>
  <c r="I283" i="4" s="1"/>
  <c r="I273" i="4"/>
  <c r="G254" i="4"/>
  <c r="H254" i="4" s="1"/>
  <c r="H242" i="4"/>
  <c r="I221" i="4"/>
  <c r="P221" i="4"/>
  <c r="H221" i="4"/>
  <c r="L239" i="4"/>
  <c r="P239" i="4" s="1"/>
  <c r="L251" i="4"/>
  <c r="P251" i="4" s="1"/>
  <c r="L263" i="4"/>
  <c r="P263" i="4" s="1"/>
  <c r="P287" i="4"/>
  <c r="P299" i="4"/>
  <c r="M332" i="4"/>
  <c r="M356" i="4"/>
  <c r="N704" i="4"/>
  <c r="M704" i="4"/>
  <c r="P326" i="4"/>
  <c r="J5040" i="4"/>
  <c r="L240" i="4"/>
  <c r="P240" i="4" s="1"/>
  <c r="J816" i="4"/>
  <c r="J5052" i="4"/>
  <c r="J828" i="4"/>
  <c r="J5064" i="4"/>
  <c r="J840" i="4"/>
  <c r="L840" i="4" s="1"/>
  <c r="J5652" i="4"/>
  <c r="L5076" i="4"/>
  <c r="J5088" i="4"/>
  <c r="J864" i="4"/>
  <c r="L864" i="4" s="1"/>
  <c r="L288" i="4"/>
  <c r="P288" i="4" s="1"/>
  <c r="J5100" i="4"/>
  <c r="J876" i="4"/>
  <c r="J5112" i="4"/>
  <c r="J888" i="4"/>
  <c r="L888" i="4" s="1"/>
  <c r="J5133" i="4"/>
  <c r="J909" i="4"/>
  <c r="J5145" i="4"/>
  <c r="J921" i="4"/>
  <c r="L921" i="4" s="1"/>
  <c r="M921" i="4" s="1"/>
  <c r="J5157" i="4"/>
  <c r="J933" i="4"/>
  <c r="L933" i="4" s="1"/>
  <c r="J5169" i="4"/>
  <c r="J945" i="4"/>
  <c r="L945" i="4" s="1"/>
  <c r="M945" i="4" s="1"/>
  <c r="L5226" i="4"/>
  <c r="N5226" i="4" s="1"/>
  <c r="J5238" i="4"/>
  <c r="L5238" i="4" s="1"/>
  <c r="M5238" i="4" s="1"/>
  <c r="L438" i="4"/>
  <c r="N438" i="4" s="1"/>
  <c r="L5250" i="4"/>
  <c r="N5250" i="4" s="1"/>
  <c r="J5262" i="4"/>
  <c r="L5262" i="4" s="1"/>
  <c r="N5262" i="4" s="1"/>
  <c r="L462" i="4"/>
  <c r="M462" i="4" s="1"/>
  <c r="L5274" i="4"/>
  <c r="M5274" i="4" s="1"/>
  <c r="J5286" i="4"/>
  <c r="L5286" i="4" s="1"/>
  <c r="N5286" i="4" s="1"/>
  <c r="L486" i="4"/>
  <c r="N486" i="4" s="1"/>
  <c r="L5298" i="4"/>
  <c r="N5298" i="4" s="1"/>
  <c r="J5310" i="4"/>
  <c r="J894" i="4"/>
  <c r="J5322" i="4"/>
  <c r="L5322" i="4" s="1"/>
  <c r="N5322" i="4" s="1"/>
  <c r="L5334" i="4"/>
  <c r="N5334" i="4" s="1"/>
  <c r="L5346" i="4"/>
  <c r="N5346" i="4" s="1"/>
  <c r="M618" i="4"/>
  <c r="M554" i="4"/>
  <c r="M542" i="4"/>
  <c r="L530" i="4"/>
  <c r="L505" i="4"/>
  <c r="M505" i="4" s="1"/>
  <c r="N465" i="4"/>
  <c r="N454" i="4"/>
  <c r="L430" i="4"/>
  <c r="N430" i="4" s="1"/>
  <c r="N408" i="4"/>
  <c r="M408" i="4"/>
  <c r="N350" i="4"/>
  <c r="M304" i="4"/>
  <c r="M280" i="4"/>
  <c r="N209" i="4"/>
  <c r="P205" i="4"/>
  <c r="G782" i="4"/>
  <c r="H782" i="4" s="1"/>
  <c r="G798" i="4"/>
  <c r="H798" i="4" s="1"/>
  <c r="K886" i="4"/>
  <c r="J5275" i="4"/>
  <c r="J5311" i="4"/>
  <c r="J895" i="4"/>
  <c r="K576" i="4"/>
  <c r="J5376" i="4"/>
  <c r="N649" i="4"/>
  <c r="N627" i="4"/>
  <c r="N617" i="4"/>
  <c r="N595" i="4"/>
  <c r="N585" i="4"/>
  <c r="N563" i="4"/>
  <c r="L541" i="4"/>
  <c r="M541" i="4" s="1"/>
  <c r="L516" i="4"/>
  <c r="M516" i="4" s="1"/>
  <c r="L478" i="4"/>
  <c r="M478" i="4" s="1"/>
  <c r="L465" i="4"/>
  <c r="M465" i="4" s="1"/>
  <c r="L454" i="4"/>
  <c r="M454" i="4" s="1"/>
  <c r="N314" i="4"/>
  <c r="M198" i="4"/>
  <c r="G894" i="4"/>
  <c r="I894" i="4" s="1"/>
  <c r="N948" i="4"/>
  <c r="K881" i="4"/>
  <c r="J852" i="4"/>
  <c r="K5251" i="4"/>
  <c r="K5275" i="4"/>
  <c r="K5311" i="4"/>
  <c r="K5695" i="4" s="1"/>
  <c r="K895" i="4"/>
  <c r="K5347" i="4"/>
  <c r="L5347" i="4" s="1"/>
  <c r="K577" i="4"/>
  <c r="J5377" i="4"/>
  <c r="L540" i="4"/>
  <c r="M540" i="4" s="1"/>
  <c r="L529" i="4"/>
  <c r="N529" i="4" s="1"/>
  <c r="L504" i="4"/>
  <c r="N504" i="4" s="1"/>
  <c r="L477" i="4"/>
  <c r="M477" i="4" s="1"/>
  <c r="L453" i="4"/>
  <c r="M453" i="4" s="1"/>
  <c r="N427" i="4"/>
  <c r="M361" i="4"/>
  <c r="L349" i="4"/>
  <c r="M337" i="4"/>
  <c r="M314" i="4"/>
  <c r="P200" i="4"/>
  <c r="J881" i="4"/>
  <c r="K851" i="4"/>
  <c r="J5312" i="4"/>
  <c r="J896" i="4"/>
  <c r="J5348" i="4"/>
  <c r="L5348" i="4" s="1"/>
  <c r="L548" i="4"/>
  <c r="M548" i="4" s="1"/>
  <c r="L5418" i="4"/>
  <c r="N5418" i="4" s="1"/>
  <c r="L553" i="4"/>
  <c r="M553" i="4" s="1"/>
  <c r="L503" i="4"/>
  <c r="M503" i="4" s="1"/>
  <c r="L489" i="4"/>
  <c r="M489" i="4" s="1"/>
  <c r="L476" i="4"/>
  <c r="M476" i="4" s="1"/>
  <c r="M464" i="4"/>
  <c r="N439" i="4"/>
  <c r="P199" i="4"/>
  <c r="J880" i="4"/>
  <c r="J820" i="4"/>
  <c r="M802" i="4"/>
  <c r="N802" i="4"/>
  <c r="O1077" i="4"/>
  <c r="N1077" i="4"/>
  <c r="M1077" i="4"/>
  <c r="J5175" i="4"/>
  <c r="L5175" i="4" s="1"/>
  <c r="N5175" i="4" s="1"/>
  <c r="L375" i="4"/>
  <c r="M375" i="4" s="1"/>
  <c r="K5312" i="4"/>
  <c r="K896" i="4"/>
  <c r="L5426" i="4"/>
  <c r="M5426" i="4" s="1"/>
  <c r="N755" i="4"/>
  <c r="N745" i="4"/>
  <c r="N690" i="4"/>
  <c r="N680" i="4"/>
  <c r="N658" i="4"/>
  <c r="N648" i="4"/>
  <c r="N616" i="4"/>
  <c r="N594" i="4"/>
  <c r="N584" i="4"/>
  <c r="L574" i="4"/>
  <c r="M574" i="4" s="1"/>
  <c r="L515" i="4"/>
  <c r="N515" i="4" s="1"/>
  <c r="L475" i="4"/>
  <c r="N475" i="4" s="1"/>
  <c r="L464" i="4"/>
  <c r="N464" i="4" s="1"/>
  <c r="N371" i="4"/>
  <c r="N218" i="4"/>
  <c r="I793" i="4"/>
  <c r="L770" i="4"/>
  <c r="N770" i="4" s="1"/>
  <c r="O998" i="4"/>
  <c r="H998" i="4"/>
  <c r="L5229" i="4"/>
  <c r="N5229" i="4" s="1"/>
  <c r="J5241" i="4"/>
  <c r="M441" i="4"/>
  <c r="L5253" i="4"/>
  <c r="M5253" i="4" s="1"/>
  <c r="L5265" i="4"/>
  <c r="M5265" i="4" s="1"/>
  <c r="L5277" i="4"/>
  <c r="M5277" i="4" s="1"/>
  <c r="L5289" i="4"/>
  <c r="M5289" i="4" s="1"/>
  <c r="J5301" i="4"/>
  <c r="L5301" i="4" s="1"/>
  <c r="M5301" i="4" s="1"/>
  <c r="L501" i="4"/>
  <c r="M501" i="4" s="1"/>
  <c r="J5313" i="4"/>
  <c r="J897" i="4"/>
  <c r="L513" i="4"/>
  <c r="M513" i="4" s="1"/>
  <c r="L5325" i="4"/>
  <c r="N5325" i="4" s="1"/>
  <c r="L5349" i="4"/>
  <c r="N5349" i="4" s="1"/>
  <c r="L5361" i="4"/>
  <c r="M5361" i="4" s="1"/>
  <c r="L5444" i="4"/>
  <c r="N5444" i="4" s="1"/>
  <c r="L573" i="4"/>
  <c r="M573" i="4" s="1"/>
  <c r="L539" i="4"/>
  <c r="M539" i="4" s="1"/>
  <c r="L527" i="4"/>
  <c r="N527" i="4" s="1"/>
  <c r="L500" i="4"/>
  <c r="M500" i="4" s="1"/>
  <c r="L426" i="4"/>
  <c r="N426" i="4" s="1"/>
  <c r="M371" i="4"/>
  <c r="L276" i="4"/>
  <c r="L252" i="4"/>
  <c r="I890" i="4"/>
  <c r="K5241" i="4"/>
  <c r="K5625" i="4" s="1"/>
  <c r="N441" i="4"/>
  <c r="N5277" i="4"/>
  <c r="N5301" i="4"/>
  <c r="K5337" i="4"/>
  <c r="L5337" i="4" s="1"/>
  <c r="L626" i="4"/>
  <c r="M626" i="4" s="1"/>
  <c r="L572" i="4"/>
  <c r="M572" i="4" s="1"/>
  <c r="L562" i="4"/>
  <c r="N562" i="4" s="1"/>
  <c r="L552" i="4"/>
  <c r="N552" i="4" s="1"/>
  <c r="L488" i="4"/>
  <c r="N488" i="4" s="1"/>
  <c r="L450" i="4"/>
  <c r="N450" i="4" s="1"/>
  <c r="N425" i="4"/>
  <c r="L300" i="4"/>
  <c r="N275" i="4"/>
  <c r="L264" i="4"/>
  <c r="K906" i="4"/>
  <c r="L906" i="4" s="1"/>
  <c r="M906" i="4" s="1"/>
  <c r="H231" i="4"/>
  <c r="I222" i="4"/>
  <c r="H213" i="4"/>
  <c r="I204" i="4"/>
  <c r="I195" i="4"/>
  <c r="J5056" i="4"/>
  <c r="J832" i="4"/>
  <c r="J5068" i="4"/>
  <c r="J844" i="4"/>
  <c r="L268" i="4"/>
  <c r="J5092" i="4"/>
  <c r="J868" i="4"/>
  <c r="J5680" i="4"/>
  <c r="J5125" i="4"/>
  <c r="J901" i="4"/>
  <c r="J5137" i="4"/>
  <c r="J913" i="4"/>
  <c r="L5149" i="4"/>
  <c r="J5725" i="4"/>
  <c r="L5725" i="4" s="1"/>
  <c r="M5725" i="4" s="1"/>
  <c r="J5161" i="4"/>
  <c r="J937" i="4"/>
  <c r="J5242" i="4"/>
  <c r="L5242" i="4" s="1"/>
  <c r="N5242" i="4" s="1"/>
  <c r="L442" i="4"/>
  <c r="M442" i="4" s="1"/>
  <c r="L5254" i="4"/>
  <c r="J5266" i="4"/>
  <c r="L5266" i="4" s="1"/>
  <c r="N5266" i="4" s="1"/>
  <c r="L466" i="4"/>
  <c r="M466" i="4" s="1"/>
  <c r="L5278" i="4"/>
  <c r="J5290" i="4"/>
  <c r="M490" i="4"/>
  <c r="J5302" i="4"/>
  <c r="L5302" i="4" s="1"/>
  <c r="M5302" i="4" s="1"/>
  <c r="L502" i="4"/>
  <c r="N502" i="4" s="1"/>
  <c r="J5314" i="4"/>
  <c r="J898" i="4"/>
  <c r="L5326" i="4"/>
  <c r="N5326" i="4" s="1"/>
  <c r="J5338" i="4"/>
  <c r="L538" i="4"/>
  <c r="M538" i="4" s="1"/>
  <c r="L5350" i="4"/>
  <c r="N5350" i="4" s="1"/>
  <c r="L5362" i="4"/>
  <c r="N5362" i="4" s="1"/>
  <c r="L5558" i="4"/>
  <c r="N5558" i="4" s="1"/>
  <c r="L766" i="4"/>
  <c r="L551" i="4"/>
  <c r="M551" i="4" s="1"/>
  <c r="L514" i="4"/>
  <c r="M514" i="4" s="1"/>
  <c r="L487" i="4"/>
  <c r="M487" i="4" s="1"/>
  <c r="L474" i="4"/>
  <c r="M474" i="4" s="1"/>
  <c r="L463" i="4"/>
  <c r="N463" i="4" s="1"/>
  <c r="M425" i="4"/>
  <c r="L312" i="4"/>
  <c r="M275" i="4"/>
  <c r="P232" i="4"/>
  <c r="G774" i="4"/>
  <c r="H774" i="4" s="1"/>
  <c r="I790" i="4"/>
  <c r="K926" i="4"/>
  <c r="H195" i="4"/>
  <c r="K5044" i="4"/>
  <c r="K5620" i="4" s="1"/>
  <c r="K820" i="4"/>
  <c r="K5056" i="4"/>
  <c r="K5632" i="4" s="1"/>
  <c r="K832" i="4"/>
  <c r="K5068" i="4"/>
  <c r="K5644" i="4" s="1"/>
  <c r="K844" i="4"/>
  <c r="K5092" i="4"/>
  <c r="K5668" i="4" s="1"/>
  <c r="K868" i="4"/>
  <c r="K5104" i="4"/>
  <c r="K880" i="4"/>
  <c r="K5125" i="4"/>
  <c r="K901" i="4"/>
  <c r="K5137" i="4"/>
  <c r="K5713" i="4" s="1"/>
  <c r="K913" i="4"/>
  <c r="K5725" i="4"/>
  <c r="K5161" i="4"/>
  <c r="K937" i="4"/>
  <c r="K5290" i="4"/>
  <c r="N490" i="4"/>
  <c r="K5314" i="4"/>
  <c r="K5698" i="4" s="1"/>
  <c r="K898" i="4"/>
  <c r="L765" i="4"/>
  <c r="M765" i="4" s="1"/>
  <c r="N678" i="4"/>
  <c r="N646" i="4"/>
  <c r="N614" i="4"/>
  <c r="N582" i="4"/>
  <c r="L526" i="4"/>
  <c r="M526" i="4" s="1"/>
  <c r="L499" i="4"/>
  <c r="M499" i="4" s="1"/>
  <c r="M449" i="4"/>
  <c r="L436" i="4"/>
  <c r="M436" i="4" s="1"/>
  <c r="M393" i="4"/>
  <c r="N393" i="4"/>
  <c r="P322" i="4"/>
  <c r="M299" i="4"/>
  <c r="M287" i="4"/>
  <c r="G797" i="4"/>
  <c r="H797" i="4" s="1"/>
  <c r="G773" i="4"/>
  <c r="I773" i="4" s="1"/>
  <c r="J5045" i="4"/>
  <c r="L245" i="4"/>
  <c r="J5057" i="4"/>
  <c r="J833" i="4"/>
  <c r="L833" i="4" s="1"/>
  <c r="M833" i="4" s="1"/>
  <c r="J5069" i="4"/>
  <c r="L269" i="4"/>
  <c r="J845" i="4"/>
  <c r="L845" i="4" s="1"/>
  <c r="J5081" i="4"/>
  <c r="J857" i="4"/>
  <c r="L857" i="4" s="1"/>
  <c r="M857" i="4" s="1"/>
  <c r="J5093" i="4"/>
  <c r="J869" i="4"/>
  <c r="L293" i="4"/>
  <c r="L5105" i="4"/>
  <c r="J5126" i="4"/>
  <c r="J902" i="4"/>
  <c r="J5138" i="4"/>
  <c r="J914" i="4"/>
  <c r="J5150" i="4"/>
  <c r="J926" i="4"/>
  <c r="J5162" i="4"/>
  <c r="J938" i="4"/>
  <c r="L5231" i="4"/>
  <c r="N5231" i="4" s="1"/>
  <c r="L5243" i="4"/>
  <c r="N5243" i="4" s="1"/>
  <c r="L5255" i="4"/>
  <c r="M5255" i="4" s="1"/>
  <c r="L5267" i="4"/>
  <c r="M5267" i="4" s="1"/>
  <c r="L5279" i="4"/>
  <c r="M5279" i="4" s="1"/>
  <c r="J5291" i="4"/>
  <c r="L5291" i="4" s="1"/>
  <c r="M5291" i="4" s="1"/>
  <c r="L491" i="4"/>
  <c r="M491" i="4" s="1"/>
  <c r="L5303" i="4"/>
  <c r="M5303" i="4" s="1"/>
  <c r="L5315" i="4"/>
  <c r="M5315" i="4" s="1"/>
  <c r="L5327" i="4"/>
  <c r="M5327" i="4" s="1"/>
  <c r="L5339" i="4"/>
  <c r="M5339" i="4" s="1"/>
  <c r="L5351" i="4"/>
  <c r="M5351" i="4" s="1"/>
  <c r="L5560" i="4"/>
  <c r="N5560" i="4" s="1"/>
  <c r="L764" i="4"/>
  <c r="M764" i="4" s="1"/>
  <c r="N721" i="4"/>
  <c r="M710" i="4"/>
  <c r="L571" i="4"/>
  <c r="N571" i="4" s="1"/>
  <c r="L561" i="4"/>
  <c r="M561" i="4" s="1"/>
  <c r="L537" i="4"/>
  <c r="M537" i="4" s="1"/>
  <c r="L525" i="4"/>
  <c r="M525" i="4" s="1"/>
  <c r="L485" i="4"/>
  <c r="M485" i="4" s="1"/>
  <c r="L460" i="4"/>
  <c r="M460" i="4" s="1"/>
  <c r="L449" i="4"/>
  <c r="N449" i="4" s="1"/>
  <c r="L345" i="4"/>
  <c r="P345" i="4" s="1"/>
  <c r="P194" i="4"/>
  <c r="P320" i="4"/>
  <c r="P230" i="4"/>
  <c r="G796" i="4"/>
  <c r="H796" i="4" s="1"/>
  <c r="K925" i="4"/>
  <c r="K5126" i="4"/>
  <c r="K902" i="4"/>
  <c r="N326" i="4"/>
  <c r="K5138" i="4"/>
  <c r="K5714" i="4" s="1"/>
  <c r="K914" i="4"/>
  <c r="K5162" i="4"/>
  <c r="K5738" i="4" s="1"/>
  <c r="K938" i="4"/>
  <c r="J5179" i="4"/>
  <c r="L379" i="4"/>
  <c r="P379" i="4" s="1"/>
  <c r="N753" i="4"/>
  <c r="N731" i="4"/>
  <c r="N698" i="4"/>
  <c r="N688" i="4"/>
  <c r="N666" i="4"/>
  <c r="N656" i="4"/>
  <c r="N634" i="4"/>
  <c r="N624" i="4"/>
  <c r="N602" i="4"/>
  <c r="N592" i="4"/>
  <c r="L550" i="4"/>
  <c r="M550" i="4" s="1"/>
  <c r="L524" i="4"/>
  <c r="M524" i="4" s="1"/>
  <c r="L512" i="4"/>
  <c r="M512" i="4" s="1"/>
  <c r="L484" i="4"/>
  <c r="M484" i="4" s="1"/>
  <c r="L473" i="4"/>
  <c r="M473" i="4" s="1"/>
  <c r="L369" i="4"/>
  <c r="P369" i="4" s="1"/>
  <c r="L333" i="4"/>
  <c r="P321" i="4"/>
  <c r="N321" i="4"/>
  <c r="L311" i="4"/>
  <c r="P311" i="4" s="1"/>
  <c r="M238" i="4"/>
  <c r="N216" i="4"/>
  <c r="P216" i="4"/>
  <c r="M216" i="4"/>
  <c r="P229" i="4"/>
  <c r="G795" i="4"/>
  <c r="H795" i="4" s="1"/>
  <c r="K944" i="4"/>
  <c r="J925" i="4"/>
  <c r="J5151" i="4"/>
  <c r="J927" i="4"/>
  <c r="L351" i="4"/>
  <c r="J5232" i="4"/>
  <c r="L432" i="4"/>
  <c r="N432" i="4" s="1"/>
  <c r="L5244" i="4"/>
  <c r="L5268" i="4"/>
  <c r="J5280" i="4"/>
  <c r="L5292" i="4"/>
  <c r="L5304" i="4"/>
  <c r="L5316" i="4"/>
  <c r="J5328" i="4"/>
  <c r="L5328" i="4" s="1"/>
  <c r="M528" i="4"/>
  <c r="L528" i="4"/>
  <c r="N528" i="4" s="1"/>
  <c r="L5340" i="4"/>
  <c r="M5340" i="4" s="1"/>
  <c r="L5352" i="4"/>
  <c r="N5561" i="4"/>
  <c r="N742" i="4"/>
  <c r="L549" i="4"/>
  <c r="M549" i="4" s="1"/>
  <c r="N523" i="4"/>
  <c r="L511" i="4"/>
  <c r="M511" i="4" s="1"/>
  <c r="L498" i="4"/>
  <c r="N498" i="4" s="1"/>
  <c r="M459" i="4"/>
  <c r="L435" i="4"/>
  <c r="M435" i="4" s="1"/>
  <c r="M402" i="4"/>
  <c r="L357" i="4"/>
  <c r="N320" i="4"/>
  <c r="N310" i="4"/>
  <c r="M262" i="4"/>
  <c r="P226" i="4"/>
  <c r="N215" i="4"/>
  <c r="M204" i="4"/>
  <c r="P204" i="4"/>
  <c r="P228" i="4"/>
  <c r="G794" i="4"/>
  <c r="H794" i="4" s="1"/>
  <c r="J944" i="4"/>
  <c r="K5280" i="4"/>
  <c r="M5369" i="4"/>
  <c r="L5369" i="4"/>
  <c r="L5562" i="4"/>
  <c r="N5562" i="4" s="1"/>
  <c r="L763" i="4"/>
  <c r="M763" i="4" s="1"/>
  <c r="L644" i="4"/>
  <c r="M644" i="4" s="1"/>
  <c r="L570" i="4"/>
  <c r="N570" i="4" s="1"/>
  <c r="L560" i="4"/>
  <c r="N560" i="4" s="1"/>
  <c r="M547" i="4"/>
  <c r="L536" i="4"/>
  <c r="N536" i="4" s="1"/>
  <c r="L459" i="4"/>
  <c r="N459" i="4" s="1"/>
  <c r="L448" i="4"/>
  <c r="N448" i="4" s="1"/>
  <c r="L344" i="4"/>
  <c r="P344" i="4" s="1"/>
  <c r="M310" i="4"/>
  <c r="L286" i="4"/>
  <c r="P286" i="4" s="1"/>
  <c r="N203" i="4"/>
  <c r="H793" i="4"/>
  <c r="I784" i="4"/>
  <c r="K869" i="4"/>
  <c r="L5305" i="4"/>
  <c r="M5305" i="4" s="1"/>
  <c r="L5317" i="4"/>
  <c r="N5317" i="4" s="1"/>
  <c r="L5329" i="4"/>
  <c r="N5329" i="4" s="1"/>
  <c r="L5341" i="4"/>
  <c r="M5341" i="4" s="1"/>
  <c r="L5353" i="4"/>
  <c r="N5353" i="4" s="1"/>
  <c r="N5369" i="4"/>
  <c r="L559" i="4"/>
  <c r="M559" i="4" s="1"/>
  <c r="L547" i="4"/>
  <c r="N547" i="4" s="1"/>
  <c r="L523" i="4"/>
  <c r="M523" i="4" s="1"/>
  <c r="M510" i="4"/>
  <c r="L483" i="4"/>
  <c r="N483" i="4" s="1"/>
  <c r="L472" i="4"/>
  <c r="N472" i="4" s="1"/>
  <c r="N458" i="4"/>
  <c r="N446" i="4"/>
  <c r="L368" i="4"/>
  <c r="P368" i="4" s="1"/>
  <c r="P225" i="4"/>
  <c r="N225" i="4"/>
  <c r="P215" i="4"/>
  <c r="K897" i="4"/>
  <c r="N5305" i="4"/>
  <c r="L535" i="4"/>
  <c r="N535" i="4" s="1"/>
  <c r="L522" i="4"/>
  <c r="N522" i="4" s="1"/>
  <c r="L510" i="4"/>
  <c r="N510" i="4" s="1"/>
  <c r="N470" i="4"/>
  <c r="P203" i="4"/>
  <c r="J939" i="4"/>
  <c r="L939" i="4" s="1"/>
  <c r="L807" i="4"/>
  <c r="N807" i="4" s="1"/>
  <c r="J5306" i="4"/>
  <c r="J890" i="4"/>
  <c r="J5318" i="4"/>
  <c r="L518" i="4"/>
  <c r="M518" i="4" s="1"/>
  <c r="L762" i="4"/>
  <c r="M762" i="4" s="1"/>
  <c r="L569" i="4"/>
  <c r="M569" i="4" s="1"/>
  <c r="M558" i="4"/>
  <c r="M546" i="4"/>
  <c r="L496" i="4"/>
  <c r="M496" i="4" s="1"/>
  <c r="M367" i="4"/>
  <c r="L343" i="4"/>
  <c r="P343" i="4" s="1"/>
  <c r="P213" i="4"/>
  <c r="P222" i="4"/>
  <c r="H790" i="4"/>
  <c r="K920" i="4"/>
  <c r="K5306" i="4"/>
  <c r="K5690" i="4" s="1"/>
  <c r="K890" i="4"/>
  <c r="M718" i="4"/>
  <c r="N578" i="4"/>
  <c r="L558" i="4"/>
  <c r="N558" i="4" s="1"/>
  <c r="L546" i="4"/>
  <c r="N546" i="4" s="1"/>
  <c r="L495" i="4"/>
  <c r="M495" i="4" s="1"/>
  <c r="L482" i="4"/>
  <c r="M482" i="4" s="1"/>
  <c r="L378" i="4"/>
  <c r="P378" i="4" s="1"/>
  <c r="P214" i="4"/>
  <c r="P212" i="4"/>
  <c r="P373" i="4"/>
  <c r="I781" i="4"/>
  <c r="J920" i="4"/>
  <c r="K891" i="4"/>
  <c r="J862" i="4"/>
  <c r="J5166" i="4"/>
  <c r="J942" i="4"/>
  <c r="L366" i="4"/>
  <c r="K382" i="4"/>
  <c r="J5247" i="4"/>
  <c r="J5631" i="4" s="1"/>
  <c r="L5631" i="4" s="1"/>
  <c r="M5631" i="4" s="1"/>
  <c r="L447" i="4"/>
  <c r="N447" i="4" s="1"/>
  <c r="J5271" i="4"/>
  <c r="L471" i="4"/>
  <c r="M471" i="4" s="1"/>
  <c r="J5307" i="4"/>
  <c r="L5307" i="4" s="1"/>
  <c r="L507" i="4"/>
  <c r="M507" i="4" s="1"/>
  <c r="J5343" i="4"/>
  <c r="L5343" i="4" s="1"/>
  <c r="L543" i="4"/>
  <c r="M543" i="4" s="1"/>
  <c r="M5565" i="4"/>
  <c r="N5565" i="4"/>
  <c r="L557" i="4"/>
  <c r="M557" i="4" s="1"/>
  <c r="L534" i="4"/>
  <c r="M534" i="4" s="1"/>
  <c r="L521" i="4"/>
  <c r="N521" i="4" s="1"/>
  <c r="N494" i="4"/>
  <c r="L444" i="4"/>
  <c r="M444" i="4" s="1"/>
  <c r="N377" i="4"/>
  <c r="P372" i="4"/>
  <c r="J891" i="4"/>
  <c r="K5706" i="4"/>
  <c r="K5142" i="4"/>
  <c r="K5718" i="4" s="1"/>
  <c r="K918" i="4"/>
  <c r="K5154" i="4"/>
  <c r="K5730" i="4" s="1"/>
  <c r="K5166" i="4"/>
  <c r="K942" i="4"/>
  <c r="K383" i="4"/>
  <c r="L383" i="4" s="1"/>
  <c r="J5183" i="4"/>
  <c r="K5271" i="4"/>
  <c r="L674" i="4"/>
  <c r="M674" i="4" s="1"/>
  <c r="L568" i="4"/>
  <c r="N568" i="4" s="1"/>
  <c r="L556" i="4"/>
  <c r="M556" i="4" s="1"/>
  <c r="L468" i="4"/>
  <c r="M468" i="4" s="1"/>
  <c r="M201" i="4"/>
  <c r="N201" i="4"/>
  <c r="I893" i="4"/>
  <c r="I779" i="4"/>
  <c r="I777" i="4"/>
  <c r="K919" i="4"/>
  <c r="J5038" i="4"/>
  <c r="J814" i="4"/>
  <c r="J5050" i="4"/>
  <c r="J826" i="4"/>
  <c r="L250" i="4"/>
  <c r="P250" i="4" s="1"/>
  <c r="J5062" i="4"/>
  <c r="J838" i="4"/>
  <c r="J5074" i="4"/>
  <c r="J850" i="4"/>
  <c r="L274" i="4"/>
  <c r="J5662" i="4"/>
  <c r="J5098" i="4"/>
  <c r="J874" i="4"/>
  <c r="L298" i="4"/>
  <c r="P298" i="4" s="1"/>
  <c r="J5110" i="4"/>
  <c r="J886" i="4"/>
  <c r="J5131" i="4"/>
  <c r="L331" i="4"/>
  <c r="P331" i="4" s="1"/>
  <c r="J5719" i="4"/>
  <c r="L5143" i="4"/>
  <c r="N5143" i="4" s="1"/>
  <c r="J5155" i="4"/>
  <c r="L355" i="4"/>
  <c r="P355" i="4" s="1"/>
  <c r="J5167" i="4"/>
  <c r="J943" i="4"/>
  <c r="K384" i="4"/>
  <c r="J5184" i="4"/>
  <c r="L384" i="4"/>
  <c r="M384" i="4"/>
  <c r="J5308" i="4"/>
  <c r="J892" i="4"/>
  <c r="L5320" i="4"/>
  <c r="J5332" i="4"/>
  <c r="L5332" i="4" s="1"/>
  <c r="L532" i="4"/>
  <c r="M532" i="4" s="1"/>
  <c r="J5344" i="4"/>
  <c r="L5344" i="4" s="1"/>
  <c r="L544" i="4"/>
  <c r="L5356" i="4"/>
  <c r="K767" i="4"/>
  <c r="J5567" i="4"/>
  <c r="L567" i="4"/>
  <c r="M567" i="4" s="1"/>
  <c r="L545" i="4"/>
  <c r="M545" i="4" s="1"/>
  <c r="L494" i="4"/>
  <c r="M494" i="4" s="1"/>
  <c r="L480" i="4"/>
  <c r="N480" i="4" s="1"/>
  <c r="N467" i="4"/>
  <c r="L456" i="4"/>
  <c r="M456" i="4" s="1"/>
  <c r="N200" i="4"/>
  <c r="I802" i="4"/>
  <c r="I897" i="4"/>
  <c r="J919" i="4"/>
  <c r="K5038" i="4"/>
  <c r="K5614" i="4" s="1"/>
  <c r="K814" i="4"/>
  <c r="K5050" i="4"/>
  <c r="K5626" i="4" s="1"/>
  <c r="K826" i="4"/>
  <c r="K5062" i="4"/>
  <c r="K5638" i="4" s="1"/>
  <c r="K838" i="4"/>
  <c r="K5074" i="4"/>
  <c r="K5650" i="4" s="1"/>
  <c r="K850" i="4"/>
  <c r="K5086" i="4"/>
  <c r="K5662" i="4" s="1"/>
  <c r="K862" i="4"/>
  <c r="K5098" i="4"/>
  <c r="K5674" i="4" s="1"/>
  <c r="K874" i="4"/>
  <c r="K5131" i="4"/>
  <c r="K5707" i="4" s="1"/>
  <c r="K907" i="4"/>
  <c r="L907" i="4" s="1"/>
  <c r="K5719" i="4"/>
  <c r="K5155" i="4"/>
  <c r="K5731" i="4" s="1"/>
  <c r="K931" i="4"/>
  <c r="L931" i="4" s="1"/>
  <c r="M931" i="4" s="1"/>
  <c r="K5167" i="4"/>
  <c r="K5743" i="4" s="1"/>
  <c r="K943" i="4"/>
  <c r="K385" i="4"/>
  <c r="J5185" i="4"/>
  <c r="K5296" i="4"/>
  <c r="L5296" i="4" s="1"/>
  <c r="N496" i="4"/>
  <c r="K5308" i="4"/>
  <c r="K892" i="4"/>
  <c r="K768" i="4"/>
  <c r="J5568" i="4"/>
  <c r="N715" i="4"/>
  <c r="N694" i="4"/>
  <c r="N662" i="4"/>
  <c r="N630" i="4"/>
  <c r="N598" i="4"/>
  <c r="N544" i="4"/>
  <c r="L531" i="4"/>
  <c r="N531" i="4" s="1"/>
  <c r="L520" i="4"/>
  <c r="N520" i="4" s="1"/>
  <c r="L506" i="4"/>
  <c r="N506" i="4" s="1"/>
  <c r="L493" i="4"/>
  <c r="M493" i="4" s="1"/>
  <c r="L443" i="4"/>
  <c r="M443" i="4" s="1"/>
  <c r="L431" i="4"/>
  <c r="N431" i="4" s="1"/>
  <c r="N409" i="4"/>
  <c r="N387" i="4"/>
  <c r="L257" i="4"/>
  <c r="P257" i="4" s="1"/>
  <c r="L244" i="4"/>
  <c r="G785" i="4"/>
  <c r="I785" i="4" s="1"/>
  <c r="G801" i="4"/>
  <c r="H801" i="4" s="1"/>
  <c r="J5039" i="4"/>
  <c r="J815" i="4"/>
  <c r="L815" i="4" s="1"/>
  <c r="M815" i="4" s="1"/>
  <c r="J5051" i="4"/>
  <c r="J827" i="4"/>
  <c r="L827" i="4" s="1"/>
  <c r="M827" i="4" s="1"/>
  <c r="J5063" i="4"/>
  <c r="J839" i="4"/>
  <c r="L839" i="4" s="1"/>
  <c r="M839" i="4" s="1"/>
  <c r="J5075" i="4"/>
  <c r="J851" i="4"/>
  <c r="J5087" i="4"/>
  <c r="J863" i="4"/>
  <c r="L863" i="4" s="1"/>
  <c r="M863" i="4" s="1"/>
  <c r="J5099" i="4"/>
  <c r="J875" i="4"/>
  <c r="J5687" i="4"/>
  <c r="L5111" i="4"/>
  <c r="N5111" i="4" s="1"/>
  <c r="J5132" i="4"/>
  <c r="J908" i="4"/>
  <c r="L5144" i="4"/>
  <c r="J5720" i="4"/>
  <c r="J5156" i="4"/>
  <c r="J932" i="4"/>
  <c r="J5744" i="4"/>
  <c r="L5168" i="4"/>
  <c r="M5168" i="4" s="1"/>
  <c r="J5225" i="4"/>
  <c r="L5225" i="4" s="1"/>
  <c r="N5225" i="4" s="1"/>
  <c r="J809" i="4"/>
  <c r="L809" i="4" s="1"/>
  <c r="M809" i="4" s="1"/>
  <c r="J5237" i="4"/>
  <c r="L5237" i="4" s="1"/>
  <c r="M5237" i="4" s="1"/>
  <c r="L437" i="4"/>
  <c r="M437" i="4" s="1"/>
  <c r="L5249" i="4"/>
  <c r="M5249" i="4" s="1"/>
  <c r="J5261" i="4"/>
  <c r="L5261" i="4" s="1"/>
  <c r="M5261" i="4" s="1"/>
  <c r="L461" i="4"/>
  <c r="M461" i="4" s="1"/>
  <c r="L5273" i="4"/>
  <c r="M5273" i="4" s="1"/>
  <c r="L5285" i="4"/>
  <c r="M5285" i="4" s="1"/>
  <c r="J5297" i="4"/>
  <c r="L5297" i="4" s="1"/>
  <c r="M5297" i="4" s="1"/>
  <c r="L497" i="4"/>
  <c r="M497" i="4" s="1"/>
  <c r="J5309" i="4"/>
  <c r="J893" i="4"/>
  <c r="L5321" i="4"/>
  <c r="N5321" i="4" s="1"/>
  <c r="J5333" i="4"/>
  <c r="L533" i="4"/>
  <c r="M533" i="4" s="1"/>
  <c r="L5345" i="4"/>
  <c r="N5345" i="4" s="1"/>
  <c r="L5357" i="4"/>
  <c r="M5357" i="4" s="1"/>
  <c r="N5373" i="4"/>
  <c r="K769" i="4"/>
  <c r="J5569" i="4"/>
  <c r="L760" i="4"/>
  <c r="N760" i="4" s="1"/>
  <c r="L577" i="4"/>
  <c r="M577" i="4" s="1"/>
  <c r="L555" i="4"/>
  <c r="N555" i="4" s="1"/>
  <c r="M544" i="4"/>
  <c r="N530" i="4"/>
  <c r="N505" i="4"/>
  <c r="L492" i="4"/>
  <c r="M492" i="4" s="1"/>
  <c r="L467" i="4"/>
  <c r="M467" i="4" s="1"/>
  <c r="N442" i="4"/>
  <c r="N398" i="4"/>
  <c r="L363" i="4"/>
  <c r="P363" i="4" s="1"/>
  <c r="L305" i="4"/>
  <c r="P305" i="4" s="1"/>
  <c r="L292" i="4"/>
  <c r="N292" i="4" s="1"/>
  <c r="L281" i="4"/>
  <c r="P281" i="4" s="1"/>
  <c r="M210" i="4"/>
  <c r="N199" i="4"/>
  <c r="G808" i="4"/>
  <c r="H808" i="4" s="1"/>
  <c r="I776" i="4"/>
  <c r="K935" i="4"/>
  <c r="K887" i="4"/>
  <c r="K856" i="4"/>
  <c r="K5087" i="4"/>
  <c r="K863" i="4"/>
  <c r="K5099" i="4"/>
  <c r="K5675" i="4" s="1"/>
  <c r="K875" i="4"/>
  <c r="K5687" i="4"/>
  <c r="K5132" i="4"/>
  <c r="K908" i="4"/>
  <c r="K5156" i="4"/>
  <c r="K5732" i="4" s="1"/>
  <c r="K932" i="4"/>
  <c r="K5744" i="4"/>
  <c r="K5309" i="4"/>
  <c r="K893" i="4"/>
  <c r="N5357" i="4"/>
  <c r="L5374" i="4"/>
  <c r="N5374" i="4" s="1"/>
  <c r="L566" i="4"/>
  <c r="N566" i="4" s="1"/>
  <c r="N554" i="4"/>
  <c r="N542" i="4"/>
  <c r="M530" i="4"/>
  <c r="L519" i="4"/>
  <c r="N519" i="4" s="1"/>
  <c r="L479" i="4"/>
  <c r="M479" i="4" s="1"/>
  <c r="N466" i="4"/>
  <c r="L455" i="4"/>
  <c r="M455" i="4" s="1"/>
  <c r="M430" i="4"/>
  <c r="L376" i="4"/>
  <c r="M376" i="4" s="1"/>
  <c r="N362" i="4"/>
  <c r="N338" i="4"/>
  <c r="N304" i="4"/>
  <c r="N280" i="4"/>
  <c r="I947" i="4"/>
  <c r="I896" i="4"/>
  <c r="J887" i="4"/>
  <c r="J856" i="4"/>
  <c r="G789" i="4"/>
  <c r="I789" i="4" s="1"/>
  <c r="N2308" i="4"/>
  <c r="M2308" i="4"/>
  <c r="I787" i="4"/>
  <c r="M1099" i="4"/>
  <c r="N1099" i="4"/>
  <c r="O1956" i="4"/>
  <c r="N1956" i="4"/>
  <c r="M2083" i="4"/>
  <c r="N2083" i="4"/>
  <c r="H3459" i="4"/>
  <c r="I3459" i="4"/>
  <c r="I800" i="4"/>
  <c r="N806" i="4"/>
  <c r="N787" i="4"/>
  <c r="H1088" i="4"/>
  <c r="I3055" i="4"/>
  <c r="H3055" i="4"/>
  <c r="H2052" i="4"/>
  <c r="I2052" i="4"/>
  <c r="N3312" i="4"/>
  <c r="M3312" i="4"/>
  <c r="N777" i="4"/>
  <c r="N2618" i="4"/>
  <c r="M2618" i="4"/>
  <c r="N3129" i="4"/>
  <c r="M3129" i="4"/>
  <c r="I1605" i="4"/>
  <c r="H1605" i="4"/>
  <c r="H3534" i="4"/>
  <c r="I3534" i="4"/>
  <c r="M2642" i="4"/>
  <c r="N2642" i="4"/>
  <c r="I2892" i="4"/>
  <c r="H2892" i="4"/>
  <c r="N775" i="4"/>
  <c r="I1990" i="4"/>
  <c r="H1990" i="4"/>
  <c r="I3108" i="4"/>
  <c r="H3108" i="4"/>
  <c r="N3429" i="4"/>
  <c r="M3429" i="4"/>
  <c r="L951" i="4"/>
  <c r="N803" i="4"/>
  <c r="O2034" i="4"/>
  <c r="M2034" i="4"/>
  <c r="N2066" i="4"/>
  <c r="O2066" i="4"/>
  <c r="N2365" i="4"/>
  <c r="M2365" i="4"/>
  <c r="N2515" i="4"/>
  <c r="M2515" i="4"/>
  <c r="O2883" i="4"/>
  <c r="M2883" i="4"/>
  <c r="N2099" i="4"/>
  <c r="M2099" i="4"/>
  <c r="N950" i="4"/>
  <c r="N782" i="4"/>
  <c r="I1710" i="4"/>
  <c r="H1710" i="4"/>
  <c r="H2482" i="4"/>
  <c r="I2482" i="4"/>
  <c r="I3350" i="4"/>
  <c r="H3350" i="4"/>
  <c r="L793" i="4"/>
  <c r="M793" i="4" s="1"/>
  <c r="I971" i="4"/>
  <c r="N993" i="4"/>
  <c r="N781" i="4"/>
  <c r="L772" i="4"/>
  <c r="M772" i="4" s="1"/>
  <c r="N4111" i="4"/>
  <c r="M4111" i="4"/>
  <c r="M781" i="4"/>
  <c r="I2603" i="4"/>
  <c r="H2603" i="4"/>
  <c r="I3613" i="4"/>
  <c r="H3613" i="4"/>
  <c r="N1051" i="4"/>
  <c r="M1051" i="4"/>
  <c r="N2945" i="4"/>
  <c r="O2945" i="4"/>
  <c r="I2670" i="4"/>
  <c r="H2670" i="4"/>
  <c r="L808" i="4"/>
  <c r="L800" i="4"/>
  <c r="M800" i="4" s="1"/>
  <c r="L790" i="4"/>
  <c r="M1656" i="4"/>
  <c r="N1656" i="4"/>
  <c r="N947" i="4"/>
  <c r="L799" i="4"/>
  <c r="M799" i="4" s="1"/>
  <c r="I2462" i="4"/>
  <c r="H2462" i="4"/>
  <c r="H2507" i="4"/>
  <c r="I2507" i="4"/>
  <c r="H1034" i="4"/>
  <c r="I1077" i="4"/>
  <c r="I1098" i="4"/>
  <c r="H1159" i="4"/>
  <c r="L1786" i="4"/>
  <c r="M1786" i="4" s="1"/>
  <c r="N1386" i="4"/>
  <c r="I1633" i="4"/>
  <c r="I2016" i="4"/>
  <c r="H2034" i="4"/>
  <c r="I2066" i="4"/>
  <c r="H2083" i="4"/>
  <c r="O2107" i="4"/>
  <c r="P2216" i="4"/>
  <c r="N2392" i="4"/>
  <c r="N2425" i="4"/>
  <c r="M2434" i="4"/>
  <c r="M2490" i="4"/>
  <c r="N2514" i="4"/>
  <c r="H2610" i="4"/>
  <c r="I2625" i="4"/>
  <c r="I2633" i="4"/>
  <c r="M2659" i="4"/>
  <c r="G2849" i="4"/>
  <c r="H2849" i="4" s="1"/>
  <c r="L2876" i="4"/>
  <c r="M2876" i="4" s="1"/>
  <c r="O2891" i="4"/>
  <c r="I2906" i="4"/>
  <c r="N2915" i="4"/>
  <c r="H2945" i="4"/>
  <c r="O2969" i="4"/>
  <c r="H3045" i="4"/>
  <c r="O3064" i="4"/>
  <c r="P3107" i="4"/>
  <c r="P3156" i="4"/>
  <c r="N3184" i="4"/>
  <c r="I3303" i="4"/>
  <c r="H3303" i="4"/>
  <c r="N3340" i="4"/>
  <c r="H3632" i="4"/>
  <c r="I3632" i="4"/>
  <c r="O3871" i="4"/>
  <c r="M3871" i="4"/>
  <c r="P1171" i="4"/>
  <c r="P2230" i="4"/>
  <c r="O2926" i="4"/>
  <c r="O2954" i="4"/>
  <c r="P3195" i="4"/>
  <c r="N4435" i="4"/>
  <c r="M4435" i="4"/>
  <c r="M1429" i="4"/>
  <c r="N1573" i="4"/>
  <c r="I1923" i="4"/>
  <c r="H2017" i="4"/>
  <c r="O2052" i="4"/>
  <c r="I2092" i="4"/>
  <c r="M2339" i="4"/>
  <c r="M2401" i="4"/>
  <c r="N2426" i="4"/>
  <c r="N2470" i="4"/>
  <c r="M2530" i="4"/>
  <c r="I2577" i="4"/>
  <c r="N3253" i="4"/>
  <c r="P3253" i="4"/>
  <c r="N3321" i="4"/>
  <c r="N3341" i="4"/>
  <c r="M3421" i="4"/>
  <c r="N3448" i="4"/>
  <c r="M3448" i="4"/>
  <c r="M3613" i="4"/>
  <c r="N3613" i="4"/>
  <c r="H1110" i="4"/>
  <c r="H1191" i="4"/>
  <c r="M1625" i="4"/>
  <c r="H1933" i="4"/>
  <c r="N1947" i="4"/>
  <c r="H1999" i="4"/>
  <c r="O2017" i="4"/>
  <c r="M2154" i="4"/>
  <c r="H2309" i="4"/>
  <c r="I2330" i="4"/>
  <c r="I2444" i="4"/>
  <c r="M2500" i="4"/>
  <c r="M2507" i="4"/>
  <c r="M2539" i="4"/>
  <c r="N2586" i="4"/>
  <c r="M2603" i="4"/>
  <c r="M2611" i="4"/>
  <c r="N2626" i="4"/>
  <c r="M2634" i="4"/>
  <c r="H2643" i="4"/>
  <c r="N3017" i="4"/>
  <c r="H3130" i="4"/>
  <c r="N3157" i="4"/>
  <c r="M3176" i="4"/>
  <c r="H3224" i="4"/>
  <c r="N3285" i="4"/>
  <c r="M3285" i="4"/>
  <c r="H3313" i="4"/>
  <c r="I3342" i="4"/>
  <c r="H3342" i="4"/>
  <c r="M3402" i="4"/>
  <c r="N3852" i="4"/>
  <c r="M3852" i="4"/>
  <c r="N4171" i="4"/>
  <c r="P4171" i="4"/>
  <c r="N4415" i="4"/>
  <c r="M4415" i="4"/>
  <c r="L789" i="4"/>
  <c r="O1014" i="4"/>
  <c r="O1110" i="4"/>
  <c r="H1183" i="4"/>
  <c r="M1541" i="4"/>
  <c r="M1923" i="4"/>
  <c r="O1933" i="4"/>
  <c r="O1981" i="4"/>
  <c r="H2053" i="4"/>
  <c r="N2061" i="4"/>
  <c r="N2067" i="4"/>
  <c r="O2085" i="4"/>
  <c r="N2092" i="4"/>
  <c r="H2100" i="4"/>
  <c r="I2180" i="4"/>
  <c r="M2358" i="4"/>
  <c r="M2366" i="4"/>
  <c r="I2402" i="4"/>
  <c r="N2418" i="4"/>
  <c r="I2463" i="4"/>
  <c r="I2471" i="4"/>
  <c r="I2483" i="4"/>
  <c r="H2619" i="4"/>
  <c r="O2884" i="4"/>
  <c r="M2927" i="4"/>
  <c r="O2962" i="4"/>
  <c r="N2971" i="4"/>
  <c r="I2989" i="4"/>
  <c r="O3047" i="4"/>
  <c r="H3167" i="4"/>
  <c r="M3244" i="4"/>
  <c r="H3255" i="4"/>
  <c r="I3255" i="4"/>
  <c r="H3371" i="4"/>
  <c r="M3392" i="4"/>
  <c r="N3430" i="4"/>
  <c r="M3430" i="4"/>
  <c r="N3460" i="4"/>
  <c r="M3460" i="4"/>
  <c r="L788" i="4"/>
  <c r="N983" i="4"/>
  <c r="H1432" i="4"/>
  <c r="M1711" i="4"/>
  <c r="H1723" i="4"/>
  <c r="I2036" i="4"/>
  <c r="O2061" i="4"/>
  <c r="O2100" i="4"/>
  <c r="N2340" i="4"/>
  <c r="I2378" i="4"/>
  <c r="N2444" i="4"/>
  <c r="M2531" i="4"/>
  <c r="H2587" i="4"/>
  <c r="I2612" i="4"/>
  <c r="H2627" i="4"/>
  <c r="I3008" i="4"/>
  <c r="I3027" i="4"/>
  <c r="N3076" i="4"/>
  <c r="P3167" i="4"/>
  <c r="P3177" i="4"/>
  <c r="M3286" i="4"/>
  <c r="I3305" i="4"/>
  <c r="H3361" i="4"/>
  <c r="I3403" i="4"/>
  <c r="H3431" i="4"/>
  <c r="I3431" i="4"/>
  <c r="M3564" i="4"/>
  <c r="M3574" i="4"/>
  <c r="M3634" i="4"/>
  <c r="N3634" i="4"/>
  <c r="L1884" i="4"/>
  <c r="M1884" i="4" s="1"/>
  <c r="N1723" i="4"/>
  <c r="H2077" i="4"/>
  <c r="N2085" i="4"/>
  <c r="H2093" i="4"/>
  <c r="M2100" i="4"/>
  <c r="M3018" i="4"/>
  <c r="P3076" i="4"/>
  <c r="N3109" i="4"/>
  <c r="H3131" i="4"/>
  <c r="I3393" i="4"/>
  <c r="H3527" i="4"/>
  <c r="H3584" i="4"/>
  <c r="I3584" i="4"/>
  <c r="N3595" i="4"/>
  <c r="H3854" i="4"/>
  <c r="I3854" i="4"/>
  <c r="I4573" i="4"/>
  <c r="H4573" i="4"/>
  <c r="E5708" i="4"/>
  <c r="M2181" i="4"/>
  <c r="M2194" i="4"/>
  <c r="P2262" i="4"/>
  <c r="H2350" i="4"/>
  <c r="M2359" i="4"/>
  <c r="N2378" i="4"/>
  <c r="I2403" i="4"/>
  <c r="N2501" i="4"/>
  <c r="M2508" i="4"/>
  <c r="N2672" i="4"/>
  <c r="H2919" i="4"/>
  <c r="N2947" i="4"/>
  <c r="M2981" i="4"/>
  <c r="O3068" i="4"/>
  <c r="H3085" i="4"/>
  <c r="P3121" i="4"/>
  <c r="N3150" i="4"/>
  <c r="H3168" i="4"/>
  <c r="M3225" i="4"/>
  <c r="H3256" i="4"/>
  <c r="N3314" i="4"/>
  <c r="N3324" i="4"/>
  <c r="M3324" i="4"/>
  <c r="M3403" i="4"/>
  <c r="H3486" i="4"/>
  <c r="N3496" i="4"/>
  <c r="M3496" i="4"/>
  <c r="M3565" i="4"/>
  <c r="N3565" i="4"/>
  <c r="H4470" i="4"/>
  <c r="I4470" i="4"/>
  <c r="H4995" i="4"/>
  <c r="I4995" i="4"/>
  <c r="M1174" i="4"/>
  <c r="I1983" i="4"/>
  <c r="H1993" i="4"/>
  <c r="M2062" i="4"/>
  <c r="O2086" i="4"/>
  <c r="M2093" i="4"/>
  <c r="M2170" i="4"/>
  <c r="H2220" i="4"/>
  <c r="M2310" i="4"/>
  <c r="M2317" i="4"/>
  <c r="M2341" i="4"/>
  <c r="M2367" i="4"/>
  <c r="H2388" i="4"/>
  <c r="H2412" i="4"/>
  <c r="M2464" i="4"/>
  <c r="M2532" i="4"/>
  <c r="H2644" i="4"/>
  <c r="P3256" i="4"/>
  <c r="M3296" i="4"/>
  <c r="I3315" i="4"/>
  <c r="H3315" i="4"/>
  <c r="H3362" i="4"/>
  <c r="N3372" i="4"/>
  <c r="N3423" i="4"/>
  <c r="M3423" i="4"/>
  <c r="M3517" i="4"/>
  <c r="M4336" i="4"/>
  <c r="N4336" i="4"/>
  <c r="I4948" i="4"/>
  <c r="H4948" i="4"/>
  <c r="N1123" i="4"/>
  <c r="M1184" i="4"/>
  <c r="I1529" i="4"/>
  <c r="H1566" i="4"/>
  <c r="H1975" i="4"/>
  <c r="N2001" i="4"/>
  <c r="H2078" i="4"/>
  <c r="M2420" i="4"/>
  <c r="H2456" i="4"/>
  <c r="I2495" i="4"/>
  <c r="M2524" i="4"/>
  <c r="N2596" i="4"/>
  <c r="I2605" i="4"/>
  <c r="I2637" i="4"/>
  <c r="H2948" i="4"/>
  <c r="M2956" i="4"/>
  <c r="H2982" i="4"/>
  <c r="O3019" i="4"/>
  <c r="O3039" i="4"/>
  <c r="N3077" i="4"/>
  <c r="P3085" i="4"/>
  <c r="I3179" i="4"/>
  <c r="H3216" i="4"/>
  <c r="H3236" i="4"/>
  <c r="I3236" i="4"/>
  <c r="M3287" i="4"/>
  <c r="M3306" i="4"/>
  <c r="H3344" i="4"/>
  <c r="M3432" i="4"/>
  <c r="M3441" i="4"/>
  <c r="M3473" i="4"/>
  <c r="M3596" i="4"/>
  <c r="H3626" i="4"/>
  <c r="I3626" i="4"/>
  <c r="I3845" i="4"/>
  <c r="H3845" i="4"/>
  <c r="L796" i="4"/>
  <c r="M796" i="4" s="1"/>
  <c r="H975" i="4"/>
  <c r="O1123" i="4"/>
  <c r="M1379" i="4"/>
  <c r="N1434" i="4"/>
  <c r="H1609" i="4"/>
  <c r="M1672" i="4"/>
  <c r="M1692" i="4"/>
  <c r="N1713" i="4"/>
  <c r="O1950" i="4"/>
  <c r="O1969" i="4"/>
  <c r="O1983" i="4"/>
  <c r="I2038" i="4"/>
  <c r="H2070" i="4"/>
  <c r="O2087" i="4"/>
  <c r="I2112" i="4"/>
  <c r="I2351" i="4"/>
  <c r="I2431" i="4"/>
  <c r="M2485" i="4"/>
  <c r="M2502" i="4"/>
  <c r="M2509" i="4"/>
  <c r="I2562" i="4"/>
  <c r="I2589" i="4"/>
  <c r="H2614" i="4"/>
  <c r="N2628" i="4"/>
  <c r="M2663" i="4"/>
  <c r="O2896" i="4"/>
  <c r="O2940" i="4"/>
  <c r="O2982" i="4"/>
  <c r="M3049" i="4"/>
  <c r="P3102" i="4"/>
  <c r="P3179" i="4"/>
  <c r="H3268" i="4"/>
  <c r="H3336" i="4"/>
  <c r="N3353" i="4"/>
  <c r="M3384" i="4"/>
  <c r="N3384" i="4"/>
  <c r="H3405" i="4"/>
  <c r="I3405" i="4"/>
  <c r="I3463" i="4"/>
  <c r="I3498" i="4"/>
  <c r="H3498" i="4"/>
  <c r="N4513" i="4"/>
  <c r="M4513" i="4"/>
  <c r="N785" i="4"/>
  <c r="O997" i="4"/>
  <c r="H1029" i="4"/>
  <c r="M1049" i="4"/>
  <c r="M1113" i="4"/>
  <c r="L1905" i="4"/>
  <c r="M1905" i="4" s="1"/>
  <c r="I1629" i="4"/>
  <c r="N1926" i="4"/>
  <c r="M1960" i="4"/>
  <c r="O1975" i="4"/>
  <c r="I2030" i="4"/>
  <c r="M2087" i="4"/>
  <c r="N2144" i="4"/>
  <c r="M2277" i="4"/>
  <c r="M2318" i="4"/>
  <c r="H2342" i="4"/>
  <c r="I2368" i="4"/>
  <c r="I2380" i="4"/>
  <c r="M2438" i="4"/>
  <c r="N2542" i="4"/>
  <c r="H2655" i="4"/>
  <c r="H2684" i="4"/>
  <c r="L2802" i="4"/>
  <c r="M2802" i="4" s="1"/>
  <c r="G2852" i="4"/>
  <c r="I2852" i="4" s="1"/>
  <c r="H3001" i="4"/>
  <c r="N3895" i="4"/>
  <c r="O3895" i="4"/>
  <c r="H4226" i="4"/>
  <c r="I4226" i="4"/>
  <c r="I4557" i="4"/>
  <c r="H4557" i="4"/>
  <c r="L2698" i="4"/>
  <c r="L2737" i="4"/>
  <c r="M2737" i="4" s="1"/>
  <c r="G2880" i="4"/>
  <c r="H2880" i="4" s="1"/>
  <c r="M3364" i="4"/>
  <c r="N3364" i="4"/>
  <c r="M3617" i="4"/>
  <c r="N3617" i="4"/>
  <c r="O4025" i="4"/>
  <c r="N4025" i="4"/>
  <c r="I4882" i="4"/>
  <c r="H4882" i="4"/>
  <c r="H4938" i="4"/>
  <c r="I4938" i="4"/>
  <c r="M1629" i="4"/>
  <c r="O1961" i="4"/>
  <c r="I2039" i="4"/>
  <c r="I2071" i="4"/>
  <c r="O2079" i="4"/>
  <c r="H2088" i="4"/>
  <c r="O2113" i="4"/>
  <c r="N2124" i="4"/>
  <c r="I2172" i="4"/>
  <c r="I2291" i="4"/>
  <c r="I2304" i="4"/>
  <c r="H2312" i="4"/>
  <c r="N2342" i="4"/>
  <c r="M2380" i="4"/>
  <c r="M2406" i="4"/>
  <c r="H2432" i="4"/>
  <c r="H3219" i="4"/>
  <c r="I3219" i="4"/>
  <c r="M3509" i="4"/>
  <c r="N3509" i="4"/>
  <c r="M1347" i="4"/>
  <c r="N1393" i="4"/>
  <c r="M1557" i="4"/>
  <c r="H2048" i="4"/>
  <c r="M2055" i="4"/>
  <c r="O2071" i="4"/>
  <c r="I2390" i="4"/>
  <c r="N2503" i="4"/>
  <c r="I2572" i="4"/>
  <c r="M2598" i="4"/>
  <c r="I2615" i="4"/>
  <c r="H2630" i="4"/>
  <c r="H2646" i="4"/>
  <c r="I2942" i="4"/>
  <c r="O2993" i="4"/>
  <c r="N3021" i="4"/>
  <c r="M3143" i="4"/>
  <c r="N3162" i="4"/>
  <c r="M3180" i="4"/>
  <c r="H3190" i="4"/>
  <c r="P3219" i="4"/>
  <c r="H3238" i="4"/>
  <c r="H3355" i="4"/>
  <c r="M3406" i="4"/>
  <c r="M3435" i="4"/>
  <c r="M3464" i="4"/>
  <c r="H3578" i="4"/>
  <c r="M1590" i="4"/>
  <c r="I1995" i="4"/>
  <c r="H2064" i="4"/>
  <c r="I2080" i="4"/>
  <c r="O2088" i="4"/>
  <c r="I2279" i="4"/>
  <c r="H2320" i="4"/>
  <c r="M2397" i="4"/>
  <c r="H2423" i="4"/>
  <c r="N2448" i="4"/>
  <c r="I2544" i="4"/>
  <c r="H2591" i="4"/>
  <c r="H2639" i="4"/>
  <c r="N2898" i="4"/>
  <c r="N2912" i="4"/>
  <c r="N2984" i="4"/>
  <c r="I3061" i="4"/>
  <c r="P3079" i="4"/>
  <c r="P3125" i="4"/>
  <c r="I3201" i="4"/>
  <c r="I3228" i="4"/>
  <c r="P3238" i="4"/>
  <c r="N3337" i="4"/>
  <c r="N3396" i="4"/>
  <c r="I3530" i="4"/>
  <c r="H3887" i="4"/>
  <c r="I3887" i="4"/>
  <c r="N4927" i="4"/>
  <c r="M4927" i="4"/>
  <c r="O977" i="4"/>
  <c r="P1178" i="4"/>
  <c r="M1186" i="4"/>
  <c r="M1371" i="4"/>
  <c r="N1449" i="4"/>
  <c r="I1611" i="4"/>
  <c r="M1630" i="4"/>
  <c r="M1706" i="4"/>
  <c r="H1971" i="4"/>
  <c r="H2014" i="4"/>
  <c r="I2022" i="4"/>
  <c r="H2032" i="4"/>
  <c r="I2040" i="4"/>
  <c r="O2048" i="4"/>
  <c r="H2056" i="4"/>
  <c r="O2080" i="4"/>
  <c r="M2088" i="4"/>
  <c r="O2105" i="4"/>
  <c r="I2161" i="4"/>
  <c r="M2266" i="4"/>
  <c r="M2312" i="4"/>
  <c r="M2343" i="4"/>
  <c r="M2407" i="4"/>
  <c r="M2414" i="4"/>
  <c r="M2432" i="4"/>
  <c r="I2467" i="4"/>
  <c r="N2511" i="4"/>
  <c r="M2535" i="4"/>
  <c r="I2599" i="4"/>
  <c r="M2615" i="4"/>
  <c r="M2630" i="4"/>
  <c r="I2666" i="4"/>
  <c r="N2958" i="4"/>
  <c r="I3013" i="4"/>
  <c r="O3022" i="4"/>
  <c r="I3089" i="4"/>
  <c r="H3154" i="4"/>
  <c r="P3181" i="4"/>
  <c r="P3190" i="4"/>
  <c r="P3220" i="4"/>
  <c r="H3328" i="4"/>
  <c r="I3356" i="4"/>
  <c r="H3356" i="4"/>
  <c r="H3366" i="4"/>
  <c r="I3407" i="4"/>
  <c r="N3417" i="4"/>
  <c r="M3426" i="4"/>
  <c r="N3500" i="4"/>
  <c r="M3500" i="4"/>
  <c r="H1010" i="4"/>
  <c r="M1041" i="4"/>
  <c r="N1569" i="4"/>
  <c r="N1601" i="4"/>
  <c r="H1929" i="4"/>
  <c r="H1963" i="4"/>
  <c r="M1995" i="4"/>
  <c r="O2004" i="4"/>
  <c r="O2022" i="4"/>
  <c r="O2040" i="4"/>
  <c r="M2048" i="4"/>
  <c r="O2056" i="4"/>
  <c r="O2064" i="4"/>
  <c r="O2097" i="4"/>
  <c r="M2105" i="4"/>
  <c r="I2391" i="4"/>
  <c r="N2459" i="4"/>
  <c r="M2497" i="4"/>
  <c r="M2544" i="4"/>
  <c r="M2555" i="4"/>
  <c r="I2565" i="4"/>
  <c r="M2676" i="4"/>
  <c r="O2889" i="4"/>
  <c r="I2913" i="4"/>
  <c r="H2985" i="4"/>
  <c r="O2994" i="4"/>
  <c r="O3013" i="4"/>
  <c r="M3022" i="4"/>
  <c r="H3126" i="4"/>
  <c r="P3210" i="4"/>
  <c r="M3290" i="4"/>
  <c r="H3319" i="4"/>
  <c r="M3328" i="4"/>
  <c r="N3328" i="4"/>
  <c r="N3376" i="4"/>
  <c r="M3388" i="4"/>
  <c r="M3559" i="4"/>
  <c r="M3609" i="4"/>
  <c r="N3609" i="4"/>
  <c r="N4061" i="4"/>
  <c r="P4061" i="4"/>
  <c r="M4061" i="4"/>
  <c r="H1157" i="4"/>
  <c r="I1987" i="4"/>
  <c r="M2004" i="4"/>
  <c r="N2014" i="4"/>
  <c r="M2064" i="4"/>
  <c r="M2097" i="4"/>
  <c r="I2344" i="4"/>
  <c r="N2449" i="4"/>
  <c r="M2583" i="4"/>
  <c r="M2591" i="4"/>
  <c r="I2616" i="4"/>
  <c r="M2623" i="4"/>
  <c r="G2783" i="4"/>
  <c r="H2783" i="4" s="1"/>
  <c r="O2913" i="4"/>
  <c r="O3004" i="4"/>
  <c r="H3033" i="4"/>
  <c r="N3073" i="4"/>
  <c r="H3229" i="4"/>
  <c r="M3270" i="4"/>
  <c r="N3300" i="4"/>
  <c r="H3310" i="4"/>
  <c r="H3329" i="4"/>
  <c r="I3329" i="4"/>
  <c r="N3356" i="4"/>
  <c r="N3466" i="4"/>
  <c r="M3466" i="4"/>
  <c r="M3521" i="4"/>
  <c r="H3531" i="4"/>
  <c r="I2255" i="4"/>
  <c r="H3023" i="4"/>
  <c r="H3053" i="4"/>
  <c r="H3081" i="4"/>
  <c r="H3155" i="4"/>
  <c r="I3174" i="4"/>
  <c r="I3211" i="4"/>
  <c r="I3221" i="4"/>
  <c r="P3261" i="4"/>
  <c r="M3445" i="4"/>
  <c r="M3551" i="4"/>
  <c r="I3560" i="4"/>
  <c r="M3600" i="4"/>
  <c r="H1180" i="4"/>
  <c r="N1676" i="4"/>
  <c r="O1996" i="4"/>
  <c r="M2337" i="4"/>
  <c r="H2364" i="4"/>
  <c r="H2399" i="4"/>
  <c r="M2408" i="4"/>
  <c r="M2415" i="4"/>
  <c r="H2434" i="4"/>
  <c r="I2450" i="4"/>
  <c r="H2566" i="4"/>
  <c r="I2584" i="4"/>
  <c r="H2592" i="4"/>
  <c r="N2616" i="4"/>
  <c r="I2624" i="4"/>
  <c r="M2640" i="4"/>
  <c r="N2658" i="4"/>
  <c r="O2952" i="4"/>
  <c r="M3004" i="4"/>
  <c r="O3044" i="4"/>
  <c r="M3164" i="4"/>
  <c r="P3229" i="4"/>
  <c r="P3251" i="4"/>
  <c r="H3271" i="4"/>
  <c r="M3310" i="4"/>
  <c r="M3437" i="4"/>
  <c r="M3478" i="4"/>
  <c r="H3543" i="4"/>
  <c r="I3543" i="4"/>
  <c r="H4589" i="4"/>
  <c r="I4589" i="4"/>
  <c r="N1687" i="4"/>
  <c r="N1708" i="4"/>
  <c r="H1972" i="4"/>
  <c r="N2033" i="4"/>
  <c r="M2074" i="4"/>
  <c r="I2228" i="4"/>
  <c r="I2307" i="4"/>
  <c r="H2322" i="4"/>
  <c r="M2384" i="4"/>
  <c r="H2442" i="4"/>
  <c r="M2513" i="4"/>
  <c r="H2557" i="4"/>
  <c r="I2575" i="4"/>
  <c r="N2632" i="4"/>
  <c r="H2935" i="4"/>
  <c r="N2944" i="4"/>
  <c r="H2986" i="4"/>
  <c r="I2996" i="4"/>
  <c r="H3015" i="4"/>
  <c r="O3034" i="4"/>
  <c r="O3053" i="4"/>
  <c r="M3081" i="4"/>
  <c r="H3117" i="4"/>
  <c r="H3137" i="4"/>
  <c r="P3164" i="4"/>
  <c r="M3292" i="4"/>
  <c r="H3311" i="4"/>
  <c r="I3311" i="4"/>
  <c r="N3389" i="4"/>
  <c r="M3400" i="4"/>
  <c r="N3400" i="4"/>
  <c r="M3428" i="4"/>
  <c r="I3513" i="4"/>
  <c r="N3611" i="4"/>
  <c r="M3611" i="4"/>
  <c r="O3870" i="4"/>
  <c r="M3870" i="4"/>
  <c r="M4252" i="4"/>
  <c r="N4252" i="4"/>
  <c r="N4319" i="4"/>
  <c r="M4319" i="4"/>
  <c r="L792" i="4"/>
  <c r="H1023" i="4"/>
  <c r="O1043" i="4"/>
  <c r="I1065" i="4"/>
  <c r="O1086" i="4"/>
  <c r="I1561" i="4"/>
  <c r="M1613" i="4"/>
  <c r="O1955" i="4"/>
  <c r="O1972" i="4"/>
  <c r="M2098" i="4"/>
  <c r="M2314" i="4"/>
  <c r="I2356" i="4"/>
  <c r="I2416" i="4"/>
  <c r="I2506" i="4"/>
  <c r="N2537" i="4"/>
  <c r="M2546" i="4"/>
  <c r="N2584" i="4"/>
  <c r="L2813" i="4"/>
  <c r="N2882" i="4"/>
  <c r="H2891" i="4"/>
  <c r="I2953" i="4"/>
  <c r="I2969" i="4"/>
  <c r="O3015" i="4"/>
  <c r="H3064" i="4"/>
  <c r="I3107" i="4"/>
  <c r="P3117" i="4"/>
  <c r="P3147" i="4"/>
  <c r="H3156" i="4"/>
  <c r="M3184" i="4"/>
  <c r="P3193" i="4"/>
  <c r="P3222" i="4"/>
  <c r="M3271" i="4"/>
  <c r="N3368" i="4"/>
  <c r="H3482" i="4"/>
  <c r="M3492" i="4"/>
  <c r="I3552" i="4"/>
  <c r="M3631" i="4"/>
  <c r="N3631" i="4"/>
  <c r="H3901" i="4"/>
  <c r="I3901" i="4"/>
  <c r="N4052" i="4"/>
  <c r="M4052" i="4"/>
  <c r="L3717" i="4"/>
  <c r="M3717" i="4" s="1"/>
  <c r="L3768" i="4"/>
  <c r="M3768" i="4" s="1"/>
  <c r="L3801" i="4"/>
  <c r="M3801" i="4" s="1"/>
  <c r="G3833" i="4"/>
  <c r="H3833" i="4" s="1"/>
  <c r="O3845" i="4"/>
  <c r="H3871" i="4"/>
  <c r="O3955" i="4"/>
  <c r="I4006" i="4"/>
  <c r="P4052" i="4"/>
  <c r="M4080" i="4"/>
  <c r="I4252" i="4"/>
  <c r="N4364" i="4"/>
  <c r="M4478" i="4"/>
  <c r="I4495" i="4"/>
  <c r="I4539" i="4"/>
  <c r="L4712" i="4"/>
  <c r="M4712" i="4" s="1"/>
  <c r="G4757" i="4"/>
  <c r="H4757" i="4" s="1"/>
  <c r="G4789" i="4"/>
  <c r="I4789" i="4" s="1"/>
  <c r="G4798" i="4"/>
  <c r="H4798" i="4" s="1"/>
  <c r="K5692" i="4"/>
  <c r="F5650" i="4"/>
  <c r="O3946" i="4"/>
  <c r="P4072" i="4"/>
  <c r="N4161" i="4"/>
  <c r="P4189" i="4"/>
  <c r="O4917" i="4"/>
  <c r="I5413" i="4"/>
  <c r="H5413" i="4"/>
  <c r="K5693" i="4"/>
  <c r="K5645" i="4"/>
  <c r="M3456" i="4"/>
  <c r="M3505" i="4"/>
  <c r="N3549" i="4"/>
  <c r="O3854" i="4"/>
  <c r="H3923" i="4"/>
  <c r="O4007" i="4"/>
  <c r="O4016" i="4"/>
  <c r="H4310" i="4"/>
  <c r="N4328" i="4"/>
  <c r="N4365" i="4"/>
  <c r="N4374" i="4"/>
  <c r="N4384" i="4"/>
  <c r="N4479" i="4"/>
  <c r="H4488" i="4"/>
  <c r="M4505" i="4"/>
  <c r="I4550" i="4"/>
  <c r="H4607" i="4"/>
  <c r="M4830" i="4"/>
  <c r="N4871" i="4"/>
  <c r="O4882" i="4"/>
  <c r="H4901" i="4"/>
  <c r="O4938" i="4"/>
  <c r="N4957" i="4"/>
  <c r="H5003" i="4"/>
  <c r="N3465" i="4"/>
  <c r="M3514" i="4"/>
  <c r="M3531" i="4"/>
  <c r="I3618" i="4"/>
  <c r="M3642" i="4"/>
  <c r="H3896" i="4"/>
  <c r="M3930" i="4"/>
  <c r="I3939" i="4"/>
  <c r="I3947" i="4"/>
  <c r="M3968" i="4"/>
  <c r="I4102" i="4"/>
  <c r="M4226" i="4"/>
  <c r="N4244" i="4"/>
  <c r="H4253" i="4"/>
  <c r="I4273" i="4"/>
  <c r="I4282" i="4"/>
  <c r="I4337" i="4"/>
  <c r="M4407" i="4"/>
  <c r="M4453" i="4"/>
  <c r="N4540" i="4"/>
  <c r="H4600" i="4"/>
  <c r="O4948" i="4"/>
  <c r="N5195" i="4"/>
  <c r="H5472" i="4"/>
  <c r="I5472" i="4"/>
  <c r="N3557" i="4"/>
  <c r="N3593" i="4"/>
  <c r="N3625" i="4"/>
  <c r="G3700" i="4"/>
  <c r="H3700" i="4" s="1"/>
  <c r="L3731" i="4"/>
  <c r="O3847" i="4"/>
  <c r="O3855" i="4"/>
  <c r="N3872" i="4"/>
  <c r="H3888" i="4"/>
  <c r="O3914" i="4"/>
  <c r="O3923" i="4"/>
  <c r="O3939" i="4"/>
  <c r="N3968" i="4"/>
  <c r="O4017" i="4"/>
  <c r="N4044" i="4"/>
  <c r="P4062" i="4"/>
  <c r="P4102" i="4"/>
  <c r="N4208" i="4"/>
  <c r="M4235" i="4"/>
  <c r="N4436" i="4"/>
  <c r="N4488" i="4"/>
  <c r="H4514" i="4"/>
  <c r="I4532" i="4"/>
  <c r="G4614" i="4"/>
  <c r="H4614" i="4" s="1"/>
  <c r="G4746" i="4"/>
  <c r="H4746" i="4" s="1"/>
  <c r="L4777" i="4"/>
  <c r="M4777" i="4" s="1"/>
  <c r="G4784" i="4"/>
  <c r="H4784" i="4" s="1"/>
  <c r="O4810" i="4"/>
  <c r="O4883" i="4"/>
  <c r="O4892" i="4"/>
  <c r="O4901" i="4"/>
  <c r="M4908" i="4"/>
  <c r="O4969" i="4"/>
  <c r="M5363" i="4"/>
  <c r="N5363" i="4"/>
  <c r="I5438" i="4"/>
  <c r="H5438" i="4"/>
  <c r="G5414" i="4"/>
  <c r="H5414" i="4" s="1"/>
  <c r="P3174" i="4"/>
  <c r="L3700" i="4"/>
  <c r="M3700" i="4" s="1"/>
  <c r="L3706" i="4"/>
  <c r="N3706" i="4" s="1"/>
  <c r="L3713" i="4"/>
  <c r="M3713" i="4" s="1"/>
  <c r="L3757" i="4"/>
  <c r="M3757" i="4" s="1"/>
  <c r="G3777" i="4"/>
  <c r="I3777" i="4" s="1"/>
  <c r="H3856" i="4"/>
  <c r="O3888" i="4"/>
  <c r="N3896" i="4"/>
  <c r="O3904" i="4"/>
  <c r="H3924" i="4"/>
  <c r="M3931" i="4"/>
  <c r="O3940" i="4"/>
  <c r="O3959" i="4"/>
  <c r="O3969" i="4"/>
  <c r="N4017" i="4"/>
  <c r="H4045" i="4"/>
  <c r="M4154" i="4"/>
  <c r="M4182" i="4"/>
  <c r="H4209" i="4"/>
  <c r="I4283" i="4"/>
  <c r="H4321" i="4"/>
  <c r="H4339" i="4"/>
  <c r="N4348" i="4"/>
  <c r="M4397" i="4"/>
  <c r="M4445" i="4"/>
  <c r="M4506" i="4"/>
  <c r="M4514" i="4"/>
  <c r="H4524" i="4"/>
  <c r="H4584" i="4"/>
  <c r="I4608" i="4"/>
  <c r="L4784" i="4"/>
  <c r="M4784" i="4" s="1"/>
  <c r="I4823" i="4"/>
  <c r="H4832" i="4"/>
  <c r="O4841" i="4"/>
  <c r="O4884" i="4"/>
  <c r="I4893" i="4"/>
  <c r="H4902" i="4"/>
  <c r="M4939" i="4"/>
  <c r="I5186" i="4"/>
  <c r="M5429" i="4"/>
  <c r="M5518" i="4"/>
  <c r="N5518" i="4"/>
  <c r="G3694" i="4"/>
  <c r="I3694" i="4" s="1"/>
  <c r="L3764" i="4"/>
  <c r="M3764" i="4" s="1"/>
  <c r="L3797" i="4"/>
  <c r="M3797" i="4" s="1"/>
  <c r="L3803" i="4"/>
  <c r="M3803" i="4" s="1"/>
  <c r="G3835" i="4"/>
  <c r="H3835" i="4" s="1"/>
  <c r="G3841" i="4"/>
  <c r="H3841" i="4" s="1"/>
  <c r="O3882" i="4"/>
  <c r="O3889" i="4"/>
  <c r="N3931" i="4"/>
  <c r="O3941" i="4"/>
  <c r="I4045" i="4"/>
  <c r="P4074" i="4"/>
  <c r="P4209" i="4"/>
  <c r="L4765" i="4"/>
  <c r="M4765" i="4" s="1"/>
  <c r="G4792" i="4"/>
  <c r="O4823" i="4"/>
  <c r="O4853" i="4"/>
  <c r="O4893" i="4"/>
  <c r="F5608" i="4"/>
  <c r="G5608" i="4" s="1"/>
  <c r="N5462" i="4"/>
  <c r="M5462" i="4"/>
  <c r="H3627" i="4"/>
  <c r="N3635" i="4"/>
  <c r="L3732" i="4"/>
  <c r="M3732" i="4" s="1"/>
  <c r="L3745" i="4"/>
  <c r="M3745" i="4" s="1"/>
  <c r="G3791" i="4"/>
  <c r="H3791" i="4" s="1"/>
  <c r="O3857" i="4"/>
  <c r="M3874" i="4"/>
  <c r="N3897" i="4"/>
  <c r="N4037" i="4"/>
  <c r="M4045" i="4"/>
  <c r="N4055" i="4"/>
  <c r="I4125" i="4"/>
  <c r="H4304" i="4"/>
  <c r="M4377" i="4"/>
  <c r="N4398" i="4"/>
  <c r="H4438" i="4"/>
  <c r="I4465" i="4"/>
  <c r="H4482" i="4"/>
  <c r="M4524" i="4"/>
  <c r="N4552" i="4"/>
  <c r="G4779" i="4"/>
  <c r="H4824" i="4"/>
  <c r="M4930" i="4"/>
  <c r="M4980" i="4"/>
  <c r="M4998" i="4"/>
  <c r="K5697" i="4"/>
  <c r="L5121" i="4"/>
  <c r="F5582" i="4"/>
  <c r="M4001" i="4"/>
  <c r="M4010" i="4"/>
  <c r="H4085" i="4"/>
  <c r="P4125" i="4"/>
  <c r="H4147" i="4"/>
  <c r="N4165" i="4"/>
  <c r="N4183" i="4"/>
  <c r="P4193" i="4"/>
  <c r="H4203" i="4"/>
  <c r="M4228" i="4"/>
  <c r="N4237" i="4"/>
  <c r="N4295" i="4"/>
  <c r="N4313" i="4"/>
  <c r="H4332" i="4"/>
  <c r="N4340" i="4"/>
  <c r="N4360" i="4"/>
  <c r="G4649" i="4"/>
  <c r="H4649" i="4" s="1"/>
  <c r="N4930" i="4"/>
  <c r="N5198" i="4"/>
  <c r="N5509" i="4"/>
  <c r="M5509" i="4"/>
  <c r="N5393" i="4"/>
  <c r="M5393" i="4"/>
  <c r="N3645" i="4"/>
  <c r="G3708" i="4"/>
  <c r="H3708" i="4" s="1"/>
  <c r="O3890" i="4"/>
  <c r="O3898" i="4"/>
  <c r="O3917" i="4"/>
  <c r="H3926" i="4"/>
  <c r="H3933" i="4"/>
  <c r="H3942" i="4"/>
  <c r="M3991" i="4"/>
  <c r="H4038" i="4"/>
  <c r="I4076" i="4"/>
  <c r="P4203" i="4"/>
  <c r="H4248" i="4"/>
  <c r="H4276" i="4"/>
  <c r="H4285" i="4"/>
  <c r="L4779" i="4"/>
  <c r="M4779" i="4" s="1"/>
  <c r="N4885" i="4"/>
  <c r="I4903" i="4"/>
  <c r="M4972" i="4"/>
  <c r="P4999" i="4"/>
  <c r="H5016" i="4"/>
  <c r="I5308" i="4"/>
  <c r="H5308" i="4"/>
  <c r="K5602" i="4"/>
  <c r="L5218" i="4"/>
  <c r="N5218" i="4" s="1"/>
  <c r="H3842" i="4"/>
  <c r="H3850" i="4"/>
  <c r="N3898" i="4"/>
  <c r="P4166" i="4"/>
  <c r="H4323" i="4"/>
  <c r="N4332" i="4"/>
  <c r="N4350" i="4"/>
  <c r="H4361" i="4"/>
  <c r="N4378" i="4"/>
  <c r="M4447" i="4"/>
  <c r="H4466" i="4"/>
  <c r="N4525" i="4"/>
  <c r="N4534" i="4"/>
  <c r="H4825" i="4"/>
  <c r="I5543" i="4"/>
  <c r="H5543" i="4"/>
  <c r="H4086" i="4"/>
  <c r="H4137" i="4"/>
  <c r="M4176" i="4"/>
  <c r="H4211" i="4"/>
  <c r="N4229" i="4"/>
  <c r="N4238" i="4"/>
  <c r="N4248" i="4"/>
  <c r="N4276" i="4"/>
  <c r="N4285" i="4"/>
  <c r="M4341" i="4"/>
  <c r="N4439" i="4"/>
  <c r="M4457" i="4"/>
  <c r="I4545" i="4"/>
  <c r="M4553" i="4"/>
  <c r="M4594" i="4"/>
  <c r="H4877" i="4"/>
  <c r="H3470" i="4"/>
  <c r="I3528" i="4"/>
  <c r="H3546" i="4"/>
  <c r="M3552" i="4"/>
  <c r="M3571" i="4"/>
  <c r="M3587" i="4"/>
  <c r="N3605" i="4"/>
  <c r="H3622" i="4"/>
  <c r="M3850" i="4"/>
  <c r="H4077" i="4"/>
  <c r="P4086" i="4"/>
  <c r="H4108" i="4"/>
  <c r="P4211" i="4"/>
  <c r="H4297" i="4"/>
  <c r="I4306" i="4"/>
  <c r="M4315" i="4"/>
  <c r="N4400" i="4"/>
  <c r="N4411" i="4"/>
  <c r="N4501" i="4"/>
  <c r="M4509" i="4"/>
  <c r="H4577" i="4"/>
  <c r="L4748" i="4"/>
  <c r="M4748" i="4" s="1"/>
  <c r="M4886" i="4"/>
  <c r="H4904" i="4"/>
  <c r="M5202" i="4"/>
  <c r="N5202" i="4"/>
  <c r="N5385" i="4"/>
  <c r="M3452" i="4"/>
  <c r="N3850" i="4"/>
  <c r="O3868" i="4"/>
  <c r="M3884" i="4"/>
  <c r="O3892" i="4"/>
  <c r="M3899" i="4"/>
  <c r="H3919" i="4"/>
  <c r="O3927" i="4"/>
  <c r="M3973" i="4"/>
  <c r="I4205" i="4"/>
  <c r="N4268" i="4"/>
  <c r="I4286" i="4"/>
  <c r="M4379" i="4"/>
  <c r="H4586" i="4"/>
  <c r="H4603" i="4"/>
  <c r="M4867" i="4"/>
  <c r="I4964" i="4"/>
  <c r="I5386" i="4"/>
  <c r="H5386" i="4"/>
  <c r="M5574" i="4"/>
  <c r="L5433" i="4"/>
  <c r="M5433" i="4" s="1"/>
  <c r="P3197" i="4"/>
  <c r="M3443" i="4"/>
  <c r="M3493" i="4"/>
  <c r="M3510" i="4"/>
  <c r="M3528" i="4"/>
  <c r="N3579" i="4"/>
  <c r="H3598" i="4"/>
  <c r="N3647" i="4"/>
  <c r="O3843" i="4"/>
  <c r="N3899" i="4"/>
  <c r="O3909" i="4"/>
  <c r="I3919" i="4"/>
  <c r="M3927" i="4"/>
  <c r="H3935" i="4"/>
  <c r="H4049" i="4"/>
  <c r="P4116" i="4"/>
  <c r="P4212" i="4"/>
  <c r="M4306" i="4"/>
  <c r="N4324" i="4"/>
  <c r="I4362" i="4"/>
  <c r="M4484" i="4"/>
  <c r="I4493" i="4"/>
  <c r="N4835" i="4"/>
  <c r="I4857" i="4"/>
  <c r="H4888" i="4"/>
  <c r="O4964" i="4"/>
  <c r="M4974" i="4"/>
  <c r="I5008" i="4"/>
  <c r="H5028" i="4"/>
  <c r="I5311" i="4"/>
  <c r="H5311" i="4"/>
  <c r="H3178" i="4"/>
  <c r="M3197" i="4"/>
  <c r="H3214" i="4"/>
  <c r="I3223" i="4"/>
  <c r="H3251" i="4"/>
  <c r="P3259" i="4"/>
  <c r="H3307" i="4"/>
  <c r="H3360" i="4"/>
  <c r="H3380" i="4"/>
  <c r="M3427" i="4"/>
  <c r="N3553" i="4"/>
  <c r="M3622" i="4"/>
  <c r="M3860" i="4"/>
  <c r="H3878" i="4"/>
  <c r="H3885" i="4"/>
  <c r="N4032" i="4"/>
  <c r="N4040" i="4"/>
  <c r="I4049" i="4"/>
  <c r="H4099" i="4"/>
  <c r="I4150" i="4"/>
  <c r="M4250" i="4"/>
  <c r="H4269" i="4"/>
  <c r="H4278" i="4"/>
  <c r="H4334" i="4"/>
  <c r="M4449" i="4"/>
  <c r="N4510" i="4"/>
  <c r="M4554" i="4"/>
  <c r="H4570" i="4"/>
  <c r="O4857" i="4"/>
  <c r="H5001" i="4"/>
  <c r="I5120" i="4"/>
  <c r="M5445" i="4"/>
  <c r="N3197" i="4"/>
  <c r="N3231" i="4"/>
  <c r="I3520" i="4"/>
  <c r="G3729" i="4"/>
  <c r="O3878" i="4"/>
  <c r="I3900" i="4"/>
  <c r="I4068" i="4"/>
  <c r="P4099" i="4"/>
  <c r="I4109" i="4"/>
  <c r="H4169" i="4"/>
  <c r="I4353" i="4"/>
  <c r="I4371" i="4"/>
  <c r="N4432" i="4"/>
  <c r="N4459" i="4"/>
  <c r="N4493" i="4"/>
  <c r="I4503" i="4"/>
  <c r="N4586" i="4"/>
  <c r="O4829" i="4"/>
  <c r="N4857" i="4"/>
  <c r="M4905" i="4"/>
  <c r="I4965" i="4"/>
  <c r="F5692" i="4"/>
  <c r="I5692" i="4" s="1"/>
  <c r="G3697" i="4"/>
  <c r="H3697" i="4" s="1"/>
  <c r="G3736" i="4"/>
  <c r="L3780" i="4"/>
  <c r="M3780" i="4" s="1"/>
  <c r="L3819" i="4"/>
  <c r="O3852" i="4"/>
  <c r="I5212" i="4"/>
  <c r="I3717" i="4"/>
  <c r="G3762" i="4"/>
  <c r="H3762" i="4" s="1"/>
  <c r="G3801" i="4"/>
  <c r="I3801" i="4" s="1"/>
  <c r="O3879" i="4"/>
  <c r="N3945" i="4"/>
  <c r="H3955" i="4"/>
  <c r="O4014" i="4"/>
  <c r="O4033" i="4"/>
  <c r="I4080" i="4"/>
  <c r="P4089" i="4"/>
  <c r="H4132" i="4"/>
  <c r="I4198" i="4"/>
  <c r="M4251" i="4"/>
  <c r="H4326" i="4"/>
  <c r="I4335" i="4"/>
  <c r="N4460" i="4"/>
  <c r="H4512" i="4"/>
  <c r="M4529" i="4"/>
  <c r="I4580" i="4"/>
  <c r="G4738" i="4"/>
  <c r="H4738" i="4" s="1"/>
  <c r="L4756" i="4"/>
  <c r="M4829" i="4"/>
  <c r="O4837" i="4"/>
  <c r="N4858" i="4"/>
  <c r="H4870" i="4"/>
  <c r="M4880" i="4"/>
  <c r="M4916" i="4"/>
  <c r="M4926" i="4"/>
  <c r="N4975" i="4"/>
  <c r="K5691" i="4"/>
  <c r="K5601" i="4"/>
  <c r="L5601" i="4" s="1"/>
  <c r="O3901" i="4"/>
  <c r="P4170" i="4"/>
  <c r="O4870" i="4"/>
  <c r="H4890" i="4"/>
  <c r="H4907" i="4"/>
  <c r="I4946" i="4"/>
  <c r="H5194" i="4"/>
  <c r="M5206" i="4"/>
  <c r="F5649" i="4"/>
  <c r="I5452" i="4"/>
  <c r="M5525" i="4"/>
  <c r="F5364" i="4"/>
  <c r="F5748" i="4" s="1"/>
  <c r="E5727" i="4"/>
  <c r="F5023" i="4"/>
  <c r="G1274" i="4"/>
  <c r="H1274" i="4" s="1"/>
  <c r="E5114" i="4"/>
  <c r="E1766" i="4"/>
  <c r="E1838" i="4"/>
  <c r="G1466" i="4"/>
  <c r="H1466" i="4" s="1"/>
  <c r="E5306" i="4"/>
  <c r="J5033" i="4"/>
  <c r="J5117" i="4"/>
  <c r="E5024" i="4"/>
  <c r="L5575" i="4"/>
  <c r="M5575" i="4" s="1"/>
  <c r="F1787" i="4"/>
  <c r="F1799" i="4"/>
  <c r="F5255" i="4"/>
  <c r="F1826" i="4"/>
  <c r="F1838" i="4"/>
  <c r="F1850" i="4"/>
  <c r="F1874" i="4"/>
  <c r="F1886" i="4"/>
  <c r="F1898" i="4"/>
  <c r="F1910" i="4"/>
  <c r="F5009" i="4"/>
  <c r="H5188" i="4"/>
  <c r="I5482" i="4"/>
  <c r="G5581" i="4"/>
  <c r="H5581" i="4" s="1"/>
  <c r="E5010" i="4"/>
  <c r="G5570" i="4"/>
  <c r="H5570" i="4" s="1"/>
  <c r="F2721" i="4"/>
  <c r="F5025" i="4"/>
  <c r="F2853" i="4"/>
  <c r="G2853" i="4" s="1"/>
  <c r="H2853" i="4" s="1"/>
  <c r="F2877" i="4"/>
  <c r="E2715" i="4"/>
  <c r="E5211" i="4"/>
  <c r="E5595" i="4" s="1"/>
  <c r="N5405" i="4"/>
  <c r="M5455" i="4"/>
  <c r="N5473" i="4"/>
  <c r="H5483" i="4"/>
  <c r="M5510" i="4"/>
  <c r="M5519" i="4"/>
  <c r="M5528" i="4"/>
  <c r="F2513" i="4"/>
  <c r="M5422" i="4"/>
  <c r="I5439" i="4"/>
  <c r="I5447" i="4"/>
  <c r="I5538" i="4"/>
  <c r="N5553" i="4"/>
  <c r="G5117" i="4"/>
  <c r="J5120" i="4"/>
  <c r="F2514" i="4"/>
  <c r="F5394" i="4" s="1"/>
  <c r="F5586" i="4" s="1"/>
  <c r="E5394" i="4"/>
  <c r="I5199" i="4"/>
  <c r="H5398" i="4"/>
  <c r="H5406" i="4"/>
  <c r="I5456" i="4"/>
  <c r="M5483" i="4"/>
  <c r="H5493" i="4"/>
  <c r="I5504" i="4"/>
  <c r="H5529" i="4"/>
  <c r="L1280" i="4"/>
  <c r="N1280" i="4" s="1"/>
  <c r="K5120" i="4"/>
  <c r="F2515" i="4"/>
  <c r="F5395" i="4" s="1"/>
  <c r="F5587" i="4" s="1"/>
  <c r="E5395" i="4"/>
  <c r="L5211" i="4"/>
  <c r="M5211" i="4" s="1"/>
  <c r="I5432" i="4"/>
  <c r="I5440" i="4"/>
  <c r="M5545" i="4"/>
  <c r="F5306" i="4"/>
  <c r="F5690" i="4" s="1"/>
  <c r="M5456" i="4"/>
  <c r="H5475" i="4"/>
  <c r="M5504" i="4"/>
  <c r="M5529" i="4"/>
  <c r="H5539" i="4"/>
  <c r="M5554" i="4"/>
  <c r="G1206" i="4"/>
  <c r="F1794" i="4"/>
  <c r="G1278" i="4"/>
  <c r="F5118" i="4"/>
  <c r="K5029" i="4"/>
  <c r="M5414" i="4"/>
  <c r="I5424" i="4"/>
  <c r="I5448" i="4"/>
  <c r="M5467" i="4"/>
  <c r="G5590" i="4"/>
  <c r="H5590" i="4" s="1"/>
  <c r="E5119" i="4"/>
  <c r="F5030" i="4"/>
  <c r="F5119" i="4"/>
  <c r="K2774" i="4"/>
  <c r="K2822" i="4"/>
  <c r="L2822" i="4" s="1"/>
  <c r="M2822" i="4" s="1"/>
  <c r="J2729" i="4"/>
  <c r="H5415" i="4"/>
  <c r="M5476" i="4"/>
  <c r="H5495" i="4"/>
  <c r="I5505" i="4"/>
  <c r="I5540" i="4"/>
  <c r="E2714" i="4"/>
  <c r="E5018" i="4"/>
  <c r="F5595" i="4"/>
  <c r="F5583" i="4"/>
  <c r="I5425" i="4"/>
  <c r="M5546" i="4"/>
  <c r="F2834" i="4"/>
  <c r="G2834" i="4" s="1"/>
  <c r="H2834" i="4" s="1"/>
  <c r="F5607" i="4"/>
  <c r="N5449" i="4"/>
  <c r="I5469" i="4"/>
  <c r="M5578" i="4"/>
  <c r="G2235" i="4"/>
  <c r="I2235" i="4" s="1"/>
  <c r="G2283" i="4"/>
  <c r="I2283" i="4" s="1"/>
  <c r="J5020" i="4"/>
  <c r="E5607" i="4"/>
  <c r="G5607" i="4" s="1"/>
  <c r="N5578" i="4"/>
  <c r="G3086" i="4"/>
  <c r="I3086" i="4" s="1"/>
  <c r="G4863" i="4"/>
  <c r="H4863" i="4" s="1"/>
  <c r="H5401" i="4"/>
  <c r="H5409" i="4"/>
  <c r="M5417" i="4"/>
  <c r="I5450" i="4"/>
  <c r="M5469" i="4"/>
  <c r="M5541" i="4"/>
  <c r="J5021" i="4"/>
  <c r="E5643" i="4"/>
  <c r="E5619" i="4"/>
  <c r="I5444" i="4"/>
  <c r="I5488" i="4"/>
  <c r="H5506" i="4"/>
  <c r="I5548" i="4"/>
  <c r="K5365" i="4"/>
  <c r="K2702" i="4"/>
  <c r="K5006" i="4"/>
  <c r="J2705" i="4"/>
  <c r="J5201" i="4"/>
  <c r="L5201" i="4" s="1"/>
  <c r="N5201" i="4" s="1"/>
  <c r="F5703" i="4"/>
  <c r="F5366" i="4"/>
  <c r="F5750" i="4" s="1"/>
  <c r="M5194" i="4"/>
  <c r="I5460" i="4"/>
  <c r="M5497" i="4"/>
  <c r="I5524" i="4"/>
  <c r="J2703" i="4"/>
  <c r="J5007" i="4"/>
  <c r="E5703" i="4"/>
  <c r="E5655" i="4"/>
  <c r="I5427" i="4"/>
  <c r="H5451" i="4"/>
  <c r="M5533" i="4"/>
  <c r="I5542" i="4"/>
  <c r="N5557" i="4"/>
  <c r="K1766" i="4"/>
  <c r="K5222" i="4"/>
  <c r="K1814" i="4"/>
  <c r="K1850" i="4"/>
  <c r="K1874" i="4"/>
  <c r="K1886" i="4"/>
  <c r="K1898" i="4"/>
  <c r="L1526" i="4"/>
  <c r="K5366" i="4"/>
  <c r="K5750" i="4" s="1"/>
  <c r="L5031" i="4"/>
  <c r="P5031" i="4" s="1"/>
  <c r="J1851" i="4"/>
  <c r="J5115" i="4"/>
  <c r="J5691" i="4" s="1"/>
  <c r="L5691" i="4" s="1"/>
  <c r="L1383" i="4"/>
  <c r="N1383" i="4" s="1"/>
  <c r="J5223" i="4"/>
  <c r="L1467" i="4"/>
  <c r="M1467" i="4" s="1"/>
  <c r="L1479" i="4"/>
  <c r="M1479" i="4" s="1"/>
  <c r="L1491" i="4"/>
  <c r="M1491" i="4" s="1"/>
  <c r="L1515" i="4"/>
  <c r="M1515" i="4" s="1"/>
  <c r="L1527" i="4"/>
  <c r="N1527" i="4" s="1"/>
  <c r="J3663" i="4"/>
  <c r="L3663" i="4" s="1"/>
  <c r="M3663" i="4" s="1"/>
  <c r="J3675" i="4"/>
  <c r="K3687" i="4"/>
  <c r="L3315" i="4"/>
  <c r="M3315" i="4" s="1"/>
  <c r="K3711" i="4"/>
  <c r="L3711" i="4" s="1"/>
  <c r="M3711" i="4" s="1"/>
  <c r="K3723" i="4"/>
  <c r="L3351" i="4"/>
  <c r="N3351" i="4" s="1"/>
  <c r="K3747" i="4"/>
  <c r="L3375" i="4"/>
  <c r="N3375" i="4" s="1"/>
  <c r="K3771" i="4"/>
  <c r="L3399" i="4"/>
  <c r="N3399" i="4" s="1"/>
  <c r="L3411" i="4"/>
  <c r="N3411" i="4" s="1"/>
  <c r="F5739" i="4"/>
  <c r="F5727" i="4"/>
  <c r="E5583" i="4"/>
  <c r="G5583" i="4" s="1"/>
  <c r="L5535" i="4"/>
  <c r="N5535" i="4" s="1"/>
  <c r="L5439" i="4"/>
  <c r="N5439" i="4" s="1"/>
  <c r="L5415" i="4"/>
  <c r="N5415" i="4" s="1"/>
  <c r="L5403" i="4"/>
  <c r="N5403" i="4" s="1"/>
  <c r="L5379" i="4"/>
  <c r="L5187" i="4"/>
  <c r="J5571" i="4"/>
  <c r="L5571" i="4" s="1"/>
  <c r="M5571" i="4" s="1"/>
  <c r="L4971" i="4"/>
  <c r="M4971" i="4" s="1"/>
  <c r="J5715" i="4"/>
  <c r="L5715" i="4" s="1"/>
  <c r="N5715" i="4" s="1"/>
  <c r="L4935" i="4"/>
  <c r="M4935" i="4" s="1"/>
  <c r="J5667" i="4"/>
  <c r="L4887" i="4"/>
  <c r="N4887" i="4" s="1"/>
  <c r="L4827" i="4"/>
  <c r="M4827" i="4" s="1"/>
  <c r="K3662" i="4"/>
  <c r="L4253" i="4"/>
  <c r="N4253" i="4" s="1"/>
  <c r="L4278" i="4"/>
  <c r="N4278" i="4" s="1"/>
  <c r="L4302" i="4"/>
  <c r="N4302" i="4" s="1"/>
  <c r="J4698" i="4"/>
  <c r="L4698" i="4" s="1"/>
  <c r="N4698" i="4" s="1"/>
  <c r="J4722" i="4"/>
  <c r="J4753" i="4"/>
  <c r="P4046" i="4"/>
  <c r="P4082" i="4"/>
  <c r="J4734" i="4"/>
  <c r="L4734" i="4" s="1"/>
  <c r="M4734" i="4" s="1"/>
  <c r="P4071" i="4"/>
  <c r="K2729" i="4"/>
  <c r="K2812" i="4"/>
  <c r="K2836" i="4"/>
  <c r="K2860" i="4"/>
  <c r="G3388" i="4"/>
  <c r="I3388" i="4" s="1"/>
  <c r="G3400" i="4"/>
  <c r="I3400" i="4" s="1"/>
  <c r="G3412" i="4"/>
  <c r="I3412" i="4" s="1"/>
  <c r="F3819" i="4"/>
  <c r="G3819" i="4" s="1"/>
  <c r="H3819" i="4" s="1"/>
  <c r="G5465" i="4"/>
  <c r="I5465" i="4" s="1"/>
  <c r="H5381" i="4"/>
  <c r="E5573" i="4"/>
  <c r="G5573" i="4" s="1"/>
  <c r="F4645" i="4"/>
  <c r="K3674" i="4"/>
  <c r="K3806" i="4"/>
  <c r="L3806" i="4" s="1"/>
  <c r="F4634" i="4"/>
  <c r="M5343" i="4"/>
  <c r="N5343" i="4"/>
  <c r="M5307" i="4"/>
  <c r="N5307" i="4"/>
  <c r="M5259" i="4"/>
  <c r="N5259" i="4"/>
  <c r="M5319" i="4"/>
  <c r="N5319" i="4"/>
  <c r="M5283" i="4"/>
  <c r="N5283" i="4"/>
  <c r="O4820" i="4"/>
  <c r="L4851" i="4"/>
  <c r="M4820" i="4"/>
  <c r="M4877" i="4"/>
  <c r="M4891" i="4"/>
  <c r="L4899" i="4"/>
  <c r="M4899" i="4" s="1"/>
  <c r="M4942" i="4"/>
  <c r="M4949" i="4"/>
  <c r="L4995" i="4"/>
  <c r="N4995" i="4" s="1"/>
  <c r="M5192" i="4"/>
  <c r="N5359" i="4"/>
  <c r="L5427" i="4"/>
  <c r="N5427" i="4" s="1"/>
  <c r="M5453" i="4"/>
  <c r="M5488" i="4"/>
  <c r="M5551" i="4"/>
  <c r="J5739" i="4"/>
  <c r="L5739" i="4" s="1"/>
  <c r="M4804" i="4"/>
  <c r="M4811" i="4"/>
  <c r="M4828" i="4"/>
  <c r="O4844" i="4"/>
  <c r="O4860" i="4"/>
  <c r="O4913" i="4"/>
  <c r="N4942" i="4"/>
  <c r="N4949" i="4"/>
  <c r="M4956" i="4"/>
  <c r="O4974" i="4"/>
  <c r="M5032" i="4"/>
  <c r="N5265" i="4"/>
  <c r="N5273" i="4"/>
  <c r="N5297" i="4"/>
  <c r="L5523" i="4"/>
  <c r="N5523" i="4" s="1"/>
  <c r="N4804" i="4"/>
  <c r="N5249" i="4"/>
  <c r="M5345" i="4"/>
  <c r="M5421" i="4"/>
  <c r="M5440" i="4"/>
  <c r="M5468" i="4"/>
  <c r="M5495" i="4"/>
  <c r="M5503" i="4"/>
  <c r="M5566" i="4"/>
  <c r="M4937" i="4"/>
  <c r="M5406" i="4"/>
  <c r="L5475" i="4"/>
  <c r="N5475" i="4" s="1"/>
  <c r="M5482" i="4"/>
  <c r="M5489" i="4"/>
  <c r="M5552" i="4"/>
  <c r="J5595" i="4"/>
  <c r="O4805" i="4"/>
  <c r="O4822" i="4"/>
  <c r="M4844" i="4"/>
  <c r="N4870" i="4"/>
  <c r="M4878" i="4"/>
  <c r="O4886" i="4"/>
  <c r="M4900" i="4"/>
  <c r="N4943" i="4"/>
  <c r="M4950" i="4"/>
  <c r="L4983" i="4"/>
  <c r="N4983" i="4" s="1"/>
  <c r="M5002" i="4"/>
  <c r="M5176" i="4"/>
  <c r="M5266" i="4"/>
  <c r="N5274" i="4"/>
  <c r="M5282" i="4"/>
  <c r="M5298" i="4"/>
  <c r="M5441" i="4"/>
  <c r="M5454" i="4"/>
  <c r="M5461" i="4"/>
  <c r="L5559" i="4"/>
  <c r="N5559" i="4" s="1"/>
  <c r="O4854" i="4"/>
  <c r="M4996" i="4"/>
  <c r="N5002" i="4"/>
  <c r="N5116" i="4"/>
  <c r="N5176" i="4"/>
  <c r="N5428" i="4"/>
  <c r="M5435" i="4"/>
  <c r="M5496" i="4"/>
  <c r="M4957" i="4"/>
  <c r="L5067" i="4"/>
  <c r="L5163" i="4"/>
  <c r="M5163" i="4" s="1"/>
  <c r="M5524" i="4"/>
  <c r="J5679" i="4"/>
  <c r="L5679" i="4" s="1"/>
  <c r="M5679" i="4" s="1"/>
  <c r="M4805" i="4"/>
  <c r="M4854" i="4"/>
  <c r="L4923" i="4"/>
  <c r="N4923" i="4" s="1"/>
  <c r="L5511" i="4"/>
  <c r="N5511" i="4" s="1"/>
  <c r="O4830" i="4"/>
  <c r="L4863" i="4"/>
  <c r="O4872" i="4"/>
  <c r="N4915" i="4"/>
  <c r="M4938" i="4"/>
  <c r="M4951" i="4"/>
  <c r="L5547" i="4"/>
  <c r="N5547" i="4" s="1"/>
  <c r="O4806" i="4"/>
  <c r="N4823" i="4"/>
  <c r="M4901" i="4"/>
  <c r="N4938" i="4"/>
  <c r="P4998" i="4"/>
  <c r="M5003" i="4"/>
  <c r="O4939" i="4"/>
  <c r="O4952" i="4"/>
  <c r="L4959" i="4"/>
  <c r="O4959" i="4" s="1"/>
  <c r="L5019" i="4"/>
  <c r="M5019" i="4" s="1"/>
  <c r="M4806" i="4"/>
  <c r="L4815" i="4"/>
  <c r="N4815" i="4" s="1"/>
  <c r="M4855" i="4"/>
  <c r="L5103" i="4"/>
  <c r="M5220" i="4"/>
  <c r="L5463" i="4"/>
  <c r="N5463" i="4" s="1"/>
  <c r="J5655" i="4"/>
  <c r="L4839" i="4"/>
  <c r="N4839" i="4" s="1"/>
  <c r="O4855" i="4"/>
  <c r="O4894" i="4"/>
  <c r="M4946" i="4"/>
  <c r="M5325" i="4"/>
  <c r="M5394" i="4"/>
  <c r="M5409" i="4"/>
  <c r="M5424" i="4"/>
  <c r="N5430" i="4"/>
  <c r="M5485" i="4"/>
  <c r="M5513" i="4"/>
  <c r="O4816" i="4"/>
  <c r="M4824" i="4"/>
  <c r="O4888" i="4"/>
  <c r="N4946" i="4"/>
  <c r="M4952" i="4"/>
  <c r="M5437" i="4"/>
  <c r="M5478" i="4"/>
  <c r="L5499" i="4"/>
  <c r="N5499" i="4" s="1"/>
  <c r="M5548" i="4"/>
  <c r="O4824" i="4"/>
  <c r="L4947" i="4"/>
  <c r="N4947" i="4" s="1"/>
  <c r="M5149" i="4"/>
  <c r="N5253" i="4"/>
  <c r="N5269" i="4"/>
  <c r="N5293" i="4"/>
  <c r="N5302" i="4"/>
  <c r="M5317" i="4"/>
  <c r="M5520" i="4"/>
  <c r="M5527" i="4"/>
  <c r="M5555" i="4"/>
  <c r="M5562" i="4"/>
  <c r="N5580" i="4"/>
  <c r="M4999" i="4"/>
  <c r="M5213" i="4"/>
  <c r="N5237" i="4"/>
  <c r="M5349" i="4"/>
  <c r="N5431" i="4"/>
  <c r="M5457" i="4"/>
  <c r="M5471" i="4"/>
  <c r="M5492" i="4"/>
  <c r="J5703" i="4"/>
  <c r="L5703" i="4" s="1"/>
  <c r="O4867" i="4"/>
  <c r="M4889" i="4"/>
  <c r="M4917" i="4"/>
  <c r="M4940" i="4"/>
  <c r="N4961" i="4"/>
  <c r="M5188" i="4"/>
  <c r="M5196" i="4"/>
  <c r="M5410" i="4"/>
  <c r="M5425" i="4"/>
  <c r="L5451" i="4"/>
  <c r="N5451" i="4" s="1"/>
  <c r="M5465" i="4"/>
  <c r="N5486" i="4"/>
  <c r="M5506" i="4"/>
  <c r="M5514" i="4"/>
  <c r="M5549" i="4"/>
  <c r="L5576" i="4"/>
  <c r="M5576" i="4" s="1"/>
  <c r="N4848" i="4"/>
  <c r="L4875" i="4"/>
  <c r="M4875" i="4" s="1"/>
  <c r="M4882" i="4"/>
  <c r="O4897" i="4"/>
  <c r="O4940" i="4"/>
  <c r="M5479" i="4"/>
  <c r="N5500" i="4"/>
  <c r="O4858" i="4"/>
  <c r="M4903" i="4"/>
  <c r="M4979" i="4"/>
  <c r="N5327" i="4"/>
  <c r="M5381" i="4"/>
  <c r="M5397" i="4"/>
  <c r="L5487" i="4"/>
  <c r="N5487" i="4" s="1"/>
  <c r="M5493" i="4"/>
  <c r="M5501" i="4"/>
  <c r="M5515" i="4"/>
  <c r="N4841" i="4"/>
  <c r="M4897" i="4"/>
  <c r="N4903" i="4"/>
  <c r="L4911" i="4"/>
  <c r="N4911" i="4" s="1"/>
  <c r="O4927" i="4"/>
  <c r="N4934" i="4"/>
  <c r="M4954" i="4"/>
  <c r="L5247" i="4"/>
  <c r="N5247" i="4" s="1"/>
  <c r="N5263" i="4"/>
  <c r="M5389" i="4"/>
  <c r="M5466" i="4"/>
  <c r="M5507" i="4"/>
  <c r="M5564" i="4"/>
  <c r="M4868" i="4"/>
  <c r="M5231" i="4"/>
  <c r="M5459" i="4"/>
  <c r="H5477" i="4"/>
  <c r="I5477" i="4"/>
  <c r="H5453" i="4"/>
  <c r="I5453" i="4"/>
  <c r="I5117" i="4"/>
  <c r="G5165" i="4"/>
  <c r="G5417" i="4"/>
  <c r="I5417" i="4" s="1"/>
  <c r="G5537" i="4"/>
  <c r="I5537" i="4" s="1"/>
  <c r="G5561" i="4"/>
  <c r="I5561" i="4" s="1"/>
  <c r="E5621" i="4"/>
  <c r="H5266" i="4"/>
  <c r="H5302" i="4"/>
  <c r="H5319" i="4"/>
  <c r="H5330" i="4"/>
  <c r="H5370" i="4"/>
  <c r="H5382" i="4"/>
  <c r="H5411" i="4"/>
  <c r="H5422" i="4"/>
  <c r="I5434" i="4"/>
  <c r="I5463" i="4"/>
  <c r="H5511" i="4"/>
  <c r="I4998" i="4"/>
  <c r="G5057" i="4"/>
  <c r="I5057" i="4" s="1"/>
  <c r="I5190" i="4"/>
  <c r="H5197" i="4"/>
  <c r="H5241" i="4"/>
  <c r="H5260" i="4"/>
  <c r="I5278" i="4"/>
  <c r="G5285" i="4"/>
  <c r="I5285" i="4" s="1"/>
  <c r="H5359" i="4"/>
  <c r="H5365" i="4"/>
  <c r="I5500" i="4"/>
  <c r="G5177" i="4"/>
  <c r="I5177" i="4" s="1"/>
  <c r="G5273" i="4"/>
  <c r="I5273" i="4" s="1"/>
  <c r="G5297" i="4"/>
  <c r="I5297" i="4" s="1"/>
  <c r="G5605" i="4"/>
  <c r="I5605" i="4" s="1"/>
  <c r="G5692" i="4"/>
  <c r="H5692" i="4" s="1"/>
  <c r="G5153" i="4"/>
  <c r="I5153" i="4" s="1"/>
  <c r="H5205" i="4"/>
  <c r="G5261" i="4"/>
  <c r="I5261" i="4" s="1"/>
  <c r="H5279" i="4"/>
  <c r="H5314" i="4"/>
  <c r="H5383" i="4"/>
  <c r="I5464" i="4"/>
  <c r="H5470" i="4"/>
  <c r="I5476" i="4"/>
  <c r="G5501" i="4"/>
  <c r="I5501" i="4" s="1"/>
  <c r="I5512" i="4"/>
  <c r="E5717" i="4"/>
  <c r="G5717" i="4" s="1"/>
  <c r="H5717" i="4" s="1"/>
  <c r="G5249" i="4"/>
  <c r="I5249" i="4" s="1"/>
  <c r="H5267" i="4"/>
  <c r="H5291" i="4"/>
  <c r="G5309" i="4"/>
  <c r="I5309" i="4" s="1"/>
  <c r="H5331" i="4"/>
  <c r="H5354" i="4"/>
  <c r="H5418" i="4"/>
  <c r="H5423" i="4"/>
  <c r="H5435" i="4"/>
  <c r="I5032" i="4"/>
  <c r="G5321" i="4"/>
  <c r="I5321" i="4" s="1"/>
  <c r="G5525" i="4"/>
  <c r="I5525" i="4" s="1"/>
  <c r="E5693" i="4"/>
  <c r="P5004" i="4"/>
  <c r="H5219" i="4"/>
  <c r="I5274" i="4"/>
  <c r="H5298" i="4"/>
  <c r="H5315" i="4"/>
  <c r="H5378" i="4"/>
  <c r="H5390" i="4"/>
  <c r="I5532" i="4"/>
  <c r="E5597" i="4"/>
  <c r="G5597" i="4" s="1"/>
  <c r="H5597" i="4" s="1"/>
  <c r="P5000" i="4"/>
  <c r="P5005" i="4"/>
  <c r="G5033" i="4"/>
  <c r="I5033" i="4" s="1"/>
  <c r="G5213" i="4"/>
  <c r="I5213" i="4" s="1"/>
  <c r="G5225" i="4"/>
  <c r="I5225" i="4" s="1"/>
  <c r="G5237" i="4"/>
  <c r="I5237" i="4" s="1"/>
  <c r="H5268" i="4"/>
  <c r="H5292" i="4"/>
  <c r="H5304" i="4"/>
  <c r="G5333" i="4"/>
  <c r="I5333" i="4" s="1"/>
  <c r="H5006" i="4"/>
  <c r="H5207" i="4"/>
  <c r="H5287" i="4"/>
  <c r="H5327" i="4"/>
  <c r="H5397" i="4"/>
  <c r="I5442" i="4"/>
  <c r="I5466" i="4"/>
  <c r="I5484" i="4"/>
  <c r="I5496" i="4"/>
  <c r="I5508" i="4"/>
  <c r="I5514" i="4"/>
  <c r="I5520" i="4"/>
  <c r="I5552" i="4"/>
  <c r="G5576" i="4"/>
  <c r="I5576" i="4" s="1"/>
  <c r="G5345" i="4"/>
  <c r="I5345" i="4" s="1"/>
  <c r="H5251" i="4"/>
  <c r="H5299" i="4"/>
  <c r="H5449" i="4"/>
  <c r="I5461" i="4"/>
  <c r="H5220" i="4"/>
  <c r="H5317" i="4"/>
  <c r="H5339" i="4"/>
  <c r="G5357" i="4"/>
  <c r="I5357" i="4" s="1"/>
  <c r="H5362" i="4"/>
  <c r="H5403" i="4"/>
  <c r="H5420" i="4"/>
  <c r="I5437" i="4"/>
  <c r="H5509" i="4"/>
  <c r="H4996" i="4"/>
  <c r="G5021" i="4"/>
  <c r="I5021" i="4" s="1"/>
  <c r="G5201" i="4"/>
  <c r="I5201" i="4" s="1"/>
  <c r="H5232" i="4"/>
  <c r="I5455" i="4"/>
  <c r="H5473" i="4"/>
  <c r="H5497" i="4"/>
  <c r="H5515" i="4"/>
  <c r="H5527" i="4"/>
  <c r="H5547" i="4"/>
  <c r="G5577" i="4"/>
  <c r="G4997" i="4"/>
  <c r="H5215" i="4"/>
  <c r="H5221" i="4"/>
  <c r="H5233" i="4"/>
  <c r="H5239" i="4"/>
  <c r="H5252" i="4"/>
  <c r="H5283" i="4"/>
  <c r="H5329" i="4"/>
  <c r="H5363" i="4"/>
  <c r="H5421" i="4"/>
  <c r="H5462" i="4"/>
  <c r="I5468" i="4"/>
  <c r="H5486" i="4"/>
  <c r="H5209" i="4"/>
  <c r="H5227" i="4"/>
  <c r="H5265" i="4"/>
  <c r="H5323" i="4"/>
  <c r="H5346" i="4"/>
  <c r="G5405" i="4"/>
  <c r="I5405" i="4" s="1"/>
  <c r="H5410" i="4"/>
  <c r="G5593" i="4"/>
  <c r="H5593" i="4" s="1"/>
  <c r="G5189" i="4"/>
  <c r="I5189" i="4" s="1"/>
  <c r="H5259" i="4"/>
  <c r="H5277" i="4"/>
  <c r="H5318" i="4"/>
  <c r="H5341" i="4"/>
  <c r="H5387" i="4"/>
  <c r="I5474" i="4"/>
  <c r="I5480" i="4"/>
  <c r="H5510" i="4"/>
  <c r="I5536" i="4"/>
  <c r="I5560" i="4"/>
  <c r="H4994" i="4"/>
  <c r="H4812" i="4"/>
  <c r="H4826" i="4"/>
  <c r="O4831" i="4"/>
  <c r="I4905" i="4"/>
  <c r="I4937" i="4"/>
  <c r="I4971" i="4"/>
  <c r="O4978" i="4"/>
  <c r="H4806" i="4"/>
  <c r="O4812" i="4"/>
  <c r="I4820" i="4"/>
  <c r="I4838" i="4"/>
  <c r="H4845" i="4"/>
  <c r="O4865" i="4"/>
  <c r="H4872" i="4"/>
  <c r="H4895" i="4"/>
  <c r="H4924" i="4"/>
  <c r="F5631" i="4"/>
  <c r="O4826" i="4"/>
  <c r="O4924" i="4"/>
  <c r="G5589" i="4"/>
  <c r="I5589" i="4" s="1"/>
  <c r="F5655" i="4"/>
  <c r="G5655" i="4" s="1"/>
  <c r="H5655" i="4" s="1"/>
  <c r="H4852" i="4"/>
  <c r="I4858" i="4"/>
  <c r="I4866" i="4"/>
  <c r="H4885" i="4"/>
  <c r="I4972" i="4"/>
  <c r="O4813" i="4"/>
  <c r="G4827" i="4"/>
  <c r="O4827" i="4" s="1"/>
  <c r="O4838" i="4"/>
  <c r="O4937" i="4"/>
  <c r="H4953" i="4"/>
  <c r="H4958" i="4"/>
  <c r="O4807" i="4"/>
  <c r="O4832" i="4"/>
  <c r="G4839" i="4"/>
  <c r="O4873" i="4"/>
  <c r="O4896" i="4"/>
  <c r="O4906" i="4"/>
  <c r="H4912" i="4"/>
  <c r="O4925" i="4"/>
  <c r="O4931" i="4"/>
  <c r="H4943" i="4"/>
  <c r="O4965" i="4"/>
  <c r="I4814" i="4"/>
  <c r="H4821" i="4"/>
  <c r="I4847" i="4"/>
  <c r="O4866" i="4"/>
  <c r="O4879" i="4"/>
  <c r="I4891" i="4"/>
  <c r="G4959" i="4"/>
  <c r="I4959" i="4" s="1"/>
  <c r="O4972" i="4"/>
  <c r="G5572" i="4"/>
  <c r="H5572" i="4" s="1"/>
  <c r="O4966" i="4"/>
  <c r="E5739" i="4"/>
  <c r="H4808" i="4"/>
  <c r="H4833" i="4"/>
  <c r="I4854" i="4"/>
  <c r="H4859" i="4"/>
  <c r="H4874" i="4"/>
  <c r="I4880" i="4"/>
  <c r="H4886" i="4"/>
  <c r="I4897" i="4"/>
  <c r="I4902" i="4"/>
  <c r="H4920" i="4"/>
  <c r="O4932" i="4"/>
  <c r="H4954" i="4"/>
  <c r="O4973" i="4"/>
  <c r="O4814" i="4"/>
  <c r="I4828" i="4"/>
  <c r="O4833" i="4"/>
  <c r="O4847" i="4"/>
  <c r="O4907" i="4"/>
  <c r="H4944" i="4"/>
  <c r="H4960" i="4"/>
  <c r="I5590" i="4"/>
  <c r="E5691" i="4"/>
  <c r="O4808" i="4"/>
  <c r="G4815" i="4"/>
  <c r="O4891" i="4"/>
  <c r="O4920" i="4"/>
  <c r="O4933" i="4"/>
  <c r="I4960" i="4"/>
  <c r="F5691" i="4"/>
  <c r="E5715" i="4"/>
  <c r="O4880" i="4"/>
  <c r="O4926" i="4"/>
  <c r="O4954" i="4"/>
  <c r="F5715" i="4"/>
  <c r="G4875" i="4"/>
  <c r="H4875" i="4" s="1"/>
  <c r="O4945" i="4"/>
  <c r="H4950" i="4"/>
  <c r="G5634" i="4"/>
  <c r="H5634" i="4" s="1"/>
  <c r="H4809" i="4"/>
  <c r="O4828" i="4"/>
  <c r="H4855" i="4"/>
  <c r="H4898" i="4"/>
  <c r="H4908" i="4"/>
  <c r="H4915" i="4"/>
  <c r="H4921" i="4"/>
  <c r="H4934" i="4"/>
  <c r="H4955" i="4"/>
  <c r="F5643" i="4"/>
  <c r="F5667" i="4"/>
  <c r="I4804" i="4"/>
  <c r="O4809" i="4"/>
  <c r="H4835" i="4"/>
  <c r="O4861" i="4"/>
  <c r="O4869" i="4"/>
  <c r="O4921" i="4"/>
  <c r="H4969" i="4"/>
  <c r="G4983" i="4"/>
  <c r="I4983" i="4" s="1"/>
  <c r="G5578" i="4"/>
  <c r="H5578" i="4" s="1"/>
  <c r="G4899" i="4"/>
  <c r="H4899" i="4" s="1"/>
  <c r="G5741" i="4"/>
  <c r="H5741" i="4" s="1"/>
  <c r="H4817" i="4"/>
  <c r="O4842" i="4"/>
  <c r="H4862" i="4"/>
  <c r="O4922" i="4"/>
  <c r="G4935" i="4"/>
  <c r="I4951" i="4"/>
  <c r="H4956" i="4"/>
  <c r="O4817" i="4"/>
  <c r="O4843" i="4"/>
  <c r="O4850" i="4"/>
  <c r="H4856" i="4"/>
  <c r="O4862" i="4"/>
  <c r="O4876" i="4"/>
  <c r="H4909" i="4"/>
  <c r="O4916" i="4"/>
  <c r="G4923" i="4"/>
  <c r="I4923" i="4" s="1"/>
  <c r="H4929" i="4"/>
  <c r="H4811" i="4"/>
  <c r="H4836" i="4"/>
  <c r="G4851" i="4"/>
  <c r="O4909" i="4"/>
  <c r="H4941" i="4"/>
  <c r="G4947" i="4"/>
  <c r="O4956" i="4"/>
  <c r="O4962" i="4"/>
  <c r="H4970" i="4"/>
  <c r="G5598" i="4"/>
  <c r="H5598" i="4" s="1"/>
  <c r="I5717" i="4"/>
  <c r="O4811" i="4"/>
  <c r="O4836" i="4"/>
  <c r="O4856" i="4"/>
  <c r="H4889" i="4"/>
  <c r="H4894" i="4"/>
  <c r="O4929" i="4"/>
  <c r="O4970" i="4"/>
  <c r="O4818" i="4"/>
  <c r="H4871" i="4"/>
  <c r="O4877" i="4"/>
  <c r="O4904" i="4"/>
  <c r="O4910" i="4"/>
  <c r="O4941" i="4"/>
  <c r="O4951" i="4"/>
  <c r="O4963" i="4"/>
  <c r="G5584" i="4"/>
  <c r="H5584" i="4" s="1"/>
  <c r="O4825" i="4"/>
  <c r="H4884" i="4"/>
  <c r="O4889" i="4"/>
  <c r="O4900" i="4"/>
  <c r="G4911" i="4"/>
  <c r="G5575" i="4"/>
  <c r="I5575" i="4" s="1"/>
  <c r="I5579" i="4"/>
  <c r="H4803" i="4"/>
  <c r="O4803" i="4"/>
  <c r="H4802" i="4"/>
  <c r="O4802" i="4"/>
  <c r="M4433" i="4"/>
  <c r="N4440" i="4"/>
  <c r="M4455" i="4"/>
  <c r="M4500" i="4"/>
  <c r="N4530" i="4"/>
  <c r="N4597" i="4"/>
  <c r="N4515" i="4"/>
  <c r="N4448" i="4"/>
  <c r="M4576" i="4"/>
  <c r="M4589" i="4"/>
  <c r="M4569" i="4"/>
  <c r="N4548" i="4"/>
  <c r="M4532" i="4"/>
  <c r="M4549" i="4"/>
  <c r="M4577" i="4"/>
  <c r="N4420" i="4"/>
  <c r="N4428" i="4"/>
  <c r="M4465" i="4"/>
  <c r="N4480" i="4"/>
  <c r="N4494" i="4"/>
  <c r="N4541" i="4"/>
  <c r="L4738" i="4"/>
  <c r="M4738" i="4" s="1"/>
  <c r="N4503" i="4"/>
  <c r="M4585" i="4"/>
  <c r="M4429" i="4"/>
  <c r="M4451" i="4"/>
  <c r="M4473" i="4"/>
  <c r="N4578" i="4"/>
  <c r="M4526" i="4"/>
  <c r="M4557" i="4"/>
  <c r="N4593" i="4"/>
  <c r="N4444" i="4"/>
  <c r="L4746" i="4"/>
  <c r="M4746" i="4" s="1"/>
  <c r="M4423" i="4"/>
  <c r="N4452" i="4"/>
  <c r="N4527" i="4"/>
  <c r="L4615" i="4"/>
  <c r="M4615" i="4" s="1"/>
  <c r="M4490" i="4"/>
  <c r="M4545" i="4"/>
  <c r="M4566" i="4"/>
  <c r="N4609" i="4"/>
  <c r="L4772" i="4"/>
  <c r="N4424" i="4"/>
  <c r="M4476" i="4"/>
  <c r="N4483" i="4"/>
  <c r="M4521" i="4"/>
  <c r="M4581" i="4"/>
  <c r="M4602" i="4"/>
  <c r="L4610" i="4"/>
  <c r="M4610" i="4" s="1"/>
  <c r="L4616" i="4"/>
  <c r="M4616" i="4" s="1"/>
  <c r="L4636" i="4"/>
  <c r="L4696" i="4"/>
  <c r="L4754" i="4"/>
  <c r="L4760" i="4"/>
  <c r="M4760" i="4" s="1"/>
  <c r="M4356" i="4"/>
  <c r="N4356" i="4"/>
  <c r="L4705" i="4"/>
  <c r="M4705" i="4" s="1"/>
  <c r="L4724" i="4"/>
  <c r="M4724" i="4" s="1"/>
  <c r="L4266" i="4"/>
  <c r="N4266" i="4" s="1"/>
  <c r="N4273" i="4"/>
  <c r="M4281" i="4"/>
  <c r="M4289" i="4"/>
  <c r="N4304" i="4"/>
  <c r="N4342" i="4"/>
  <c r="M4359" i="4"/>
  <c r="M4399" i="4"/>
  <c r="J4686" i="4"/>
  <c r="L4686" i="4" s="1"/>
  <c r="M4686" i="4" s="1"/>
  <c r="L4762" i="4"/>
  <c r="M4762" i="4" s="1"/>
  <c r="N4241" i="4"/>
  <c r="N4312" i="4"/>
  <c r="M4351" i="4"/>
  <c r="N4366" i="4"/>
  <c r="M4381" i="4"/>
  <c r="L4773" i="4"/>
  <c r="N4773" i="4" s="1"/>
  <c r="N4234" i="4"/>
  <c r="L4290" i="4"/>
  <c r="M4297" i="4"/>
  <c r="N4320" i="4"/>
  <c r="L4382" i="4"/>
  <c r="M4382" i="4" s="1"/>
  <c r="N4416" i="4"/>
  <c r="L4667" i="4"/>
  <c r="M4667" i="4" s="1"/>
  <c r="L4695" i="4"/>
  <c r="M4695" i="4" s="1"/>
  <c r="L4700" i="4"/>
  <c r="M4700" i="4" s="1"/>
  <c r="N4298" i="4"/>
  <c r="N4344" i="4"/>
  <c r="N4352" i="4"/>
  <c r="N4392" i="4"/>
  <c r="M4275" i="4"/>
  <c r="L4314" i="4"/>
  <c r="N4314" i="4" s="1"/>
  <c r="N4329" i="4"/>
  <c r="M4243" i="4"/>
  <c r="N4260" i="4"/>
  <c r="M4291" i="4"/>
  <c r="N4368" i="4"/>
  <c r="N4417" i="4"/>
  <c r="L4649" i="4"/>
  <c r="J4662" i="4"/>
  <c r="L4662" i="4" s="1"/>
  <c r="N4662" i="4" s="1"/>
  <c r="L4338" i="4"/>
  <c r="L4394" i="4"/>
  <c r="M4394" i="4" s="1"/>
  <c r="L4688" i="4"/>
  <c r="M4688" i="4" s="1"/>
  <c r="L4701" i="4"/>
  <c r="M4701" i="4" s="1"/>
  <c r="L4708" i="4"/>
  <c r="N4708" i="4" s="1"/>
  <c r="N4376" i="4"/>
  <c r="L4617" i="4"/>
  <c r="N4617" i="4" s="1"/>
  <c r="J4740" i="4"/>
  <c r="L4740" i="4" s="1"/>
  <c r="L4643" i="4"/>
  <c r="M4643" i="4" s="1"/>
  <c r="L4727" i="4"/>
  <c r="M4727" i="4" s="1"/>
  <c r="N4331" i="4"/>
  <c r="L4369" i="4"/>
  <c r="N4369" i="4" s="1"/>
  <c r="M4403" i="4"/>
  <c r="K4637" i="4"/>
  <c r="L4637" i="4" s="1"/>
  <c r="M4637" i="4" s="1"/>
  <c r="N4362" i="4"/>
  <c r="K4790" i="4"/>
  <c r="L4790" i="4" s="1"/>
  <c r="N4230" i="4"/>
  <c r="N4245" i="4"/>
  <c r="M4262" i="4"/>
  <c r="N4293" i="4"/>
  <c r="N4308" i="4"/>
  <c r="M4339" i="4"/>
  <c r="N4386" i="4"/>
  <c r="N4412" i="4"/>
  <c r="N4404" i="4"/>
  <c r="L4625" i="4"/>
  <c r="M4625" i="4" s="1"/>
  <c r="L4766" i="4"/>
  <c r="M4231" i="4"/>
  <c r="M4263" i="4"/>
  <c r="M4294" i="4"/>
  <c r="M4309" i="4"/>
  <c r="N4387" i="4"/>
  <c r="L4664" i="4"/>
  <c r="M4664" i="4" s="1"/>
  <c r="L4703" i="4"/>
  <c r="M4703" i="4" s="1"/>
  <c r="J4710" i="4"/>
  <c r="L4710" i="4" s="1"/>
  <c r="M4710" i="4" s="1"/>
  <c r="L4716" i="4"/>
  <c r="N4716" i="4" s="1"/>
  <c r="M4287" i="4"/>
  <c r="M4239" i="4"/>
  <c r="N4247" i="4"/>
  <c r="L4406" i="4"/>
  <c r="M4406" i="4" s="1"/>
  <c r="M4232" i="4"/>
  <c r="N4318" i="4"/>
  <c r="N4388" i="4"/>
  <c r="L4672" i="4"/>
  <c r="L4326" i="4"/>
  <c r="N4326" i="4" s="1"/>
  <c r="N4414" i="4"/>
  <c r="L4691" i="4"/>
  <c r="M4691" i="4" s="1"/>
  <c r="M4240" i="4"/>
  <c r="N4288" i="4"/>
  <c r="M4358" i="4"/>
  <c r="N4372" i="4"/>
  <c r="N4380" i="4"/>
  <c r="L4217" i="4"/>
  <c r="K4793" i="4"/>
  <c r="L4793" i="4" s="1"/>
  <c r="L4218" i="4"/>
  <c r="N4218" i="4" s="1"/>
  <c r="K4794" i="4"/>
  <c r="L4219" i="4"/>
  <c r="N4219" i="4" s="1"/>
  <c r="K4795" i="4"/>
  <c r="K4796" i="4"/>
  <c r="L4796" i="4" s="1"/>
  <c r="M4796" i="4" s="1"/>
  <c r="L4220" i="4"/>
  <c r="P4220" i="4" s="1"/>
  <c r="K4797" i="4"/>
  <c r="L4221" i="4"/>
  <c r="M4221" i="4" s="1"/>
  <c r="K4798" i="4"/>
  <c r="L4798" i="4" s="1"/>
  <c r="M4798" i="4" s="1"/>
  <c r="L4222" i="4"/>
  <c r="P4222" i="4" s="1"/>
  <c r="K4799" i="4"/>
  <c r="L4223" i="4"/>
  <c r="K4800" i="4"/>
  <c r="L4800" i="4" s="1"/>
  <c r="M4800" i="4" s="1"/>
  <c r="L4224" i="4"/>
  <c r="M4224" i="4" s="1"/>
  <c r="K4801" i="4"/>
  <c r="L4801" i="4" s="1"/>
  <c r="L4225" i="4"/>
  <c r="M4225" i="4" s="1"/>
  <c r="N4048" i="4"/>
  <c r="N4087" i="4"/>
  <c r="P4111" i="4"/>
  <c r="L4118" i="4"/>
  <c r="P4118" i="4" s="1"/>
  <c r="L4652" i="4"/>
  <c r="M4652" i="4" s="1"/>
  <c r="K4658" i="4"/>
  <c r="J4736" i="4"/>
  <c r="L4736" i="4" s="1"/>
  <c r="M4736" i="4" s="1"/>
  <c r="M4104" i="4"/>
  <c r="L4119" i="4"/>
  <c r="M4119" i="4" s="1"/>
  <c r="M4128" i="4"/>
  <c r="L4143" i="4"/>
  <c r="P4143" i="4" s="1"/>
  <c r="M4158" i="4"/>
  <c r="M4188" i="4"/>
  <c r="L4197" i="4"/>
  <c r="P4197" i="4" s="1"/>
  <c r="K4634" i="4"/>
  <c r="L4634" i="4" s="1"/>
  <c r="L4670" i="4"/>
  <c r="L4676" i="4"/>
  <c r="M4676" i="4" s="1"/>
  <c r="K4706" i="4"/>
  <c r="L4706" i="4" s="1"/>
  <c r="M4706" i="4" s="1"/>
  <c r="L4718" i="4"/>
  <c r="M4718" i="4" s="1"/>
  <c r="N4057" i="4"/>
  <c r="M4159" i="4"/>
  <c r="P4182" i="4"/>
  <c r="K4622" i="4"/>
  <c r="L4628" i="4"/>
  <c r="M4628" i="4" s="1"/>
  <c r="L4653" i="4"/>
  <c r="M4653" i="4" s="1"/>
  <c r="K4791" i="4"/>
  <c r="P4044" i="4"/>
  <c r="P4050" i="4"/>
  <c r="M4064" i="4"/>
  <c r="N4105" i="4"/>
  <c r="N4129" i="4"/>
  <c r="M4136" i="4"/>
  <c r="M4152" i="4"/>
  <c r="P4183" i="4"/>
  <c r="N4189" i="4"/>
  <c r="L4641" i="4"/>
  <c r="M4641" i="4" s="1"/>
  <c r="K4647" i="4"/>
  <c r="L4647" i="4" s="1"/>
  <c r="M4647" i="4" s="1"/>
  <c r="L4713" i="4"/>
  <c r="N4713" i="4" s="1"/>
  <c r="L4725" i="4"/>
  <c r="L4737" i="4"/>
  <c r="N4737" i="4" s="1"/>
  <c r="N4081" i="4"/>
  <c r="N4136" i="4"/>
  <c r="P4206" i="4"/>
  <c r="K4707" i="4"/>
  <c r="L4707" i="4" s="1"/>
  <c r="M4707" i="4" s="1"/>
  <c r="L4767" i="4"/>
  <c r="M4767" i="4" s="1"/>
  <c r="M4037" i="4"/>
  <c r="P4065" i="4"/>
  <c r="L4106" i="4"/>
  <c r="L4130" i="4"/>
  <c r="M4130" i="4" s="1"/>
  <c r="L4160" i="4"/>
  <c r="N4160" i="4" s="1"/>
  <c r="K4635" i="4"/>
  <c r="L4635" i="4" s="1"/>
  <c r="M4635" i="4" s="1"/>
  <c r="K4659" i="4"/>
  <c r="L4659" i="4" s="1"/>
  <c r="M4659" i="4" s="1"/>
  <c r="K4671" i="4"/>
  <c r="L4671" i="4" s="1"/>
  <c r="M4671" i="4" s="1"/>
  <c r="K4683" i="4"/>
  <c r="L4683" i="4" s="1"/>
  <c r="M4683" i="4" s="1"/>
  <c r="L4059" i="4"/>
  <c r="L4199" i="4"/>
  <c r="K4623" i="4"/>
  <c r="L4623" i="4" s="1"/>
  <c r="L4648" i="4"/>
  <c r="L4677" i="4"/>
  <c r="M4677" i="4" s="1"/>
  <c r="L4749" i="4"/>
  <c r="N4749" i="4" s="1"/>
  <c r="N4051" i="4"/>
  <c r="N4065" i="4"/>
  <c r="L4720" i="4"/>
  <c r="N4720" i="4" s="1"/>
  <c r="L4780" i="4"/>
  <c r="P4146" i="4"/>
  <c r="P4153" i="4"/>
  <c r="M4206" i="4"/>
  <c r="M4212" i="4"/>
  <c r="N4099" i="4"/>
  <c r="N4113" i="4"/>
  <c r="M4137" i="4"/>
  <c r="N4177" i="4"/>
  <c r="M4200" i="4"/>
  <c r="P4207" i="4"/>
  <c r="L4666" i="4"/>
  <c r="N4666" i="4" s="1"/>
  <c r="L4702" i="4"/>
  <c r="N4702" i="4" s="1"/>
  <c r="P4100" i="4"/>
  <c r="L4107" i="4"/>
  <c r="N4107" i="4" s="1"/>
  <c r="P4177" i="4"/>
  <c r="M4184" i="4"/>
  <c r="L4750" i="4"/>
  <c r="P4178" i="4"/>
  <c r="L4697" i="4"/>
  <c r="L4715" i="4"/>
  <c r="L4739" i="4"/>
  <c r="M4739" i="4" s="1"/>
  <c r="L4781" i="4"/>
  <c r="M4781" i="4" s="1"/>
  <c r="M4039" i="4"/>
  <c r="P4092" i="4"/>
  <c r="N4201" i="4"/>
  <c r="M4124" i="4"/>
  <c r="M4148" i="4"/>
  <c r="P4202" i="4"/>
  <c r="L4614" i="4"/>
  <c r="M4614" i="4" s="1"/>
  <c r="N4625" i="4"/>
  <c r="L4679" i="4"/>
  <c r="M4679" i="4" s="1"/>
  <c r="L4722" i="4"/>
  <c r="N4722" i="4" s="1"/>
  <c r="P4148" i="4"/>
  <c r="M4162" i="4"/>
  <c r="P4057" i="4"/>
  <c r="L4047" i="4"/>
  <c r="N4047" i="4" s="1"/>
  <c r="M4069" i="4"/>
  <c r="M4078" i="4"/>
  <c r="M4208" i="4"/>
  <c r="L4620" i="4"/>
  <c r="M4172" i="4"/>
  <c r="L4626" i="4"/>
  <c r="N4626" i="4" s="1"/>
  <c r="L4632" i="4"/>
  <c r="M4632" i="4" s="1"/>
  <c r="L4645" i="4"/>
  <c r="M4645" i="4" s="1"/>
  <c r="P4048" i="4"/>
  <c r="L4095" i="4"/>
  <c r="M4095" i="4" s="1"/>
  <c r="P4110" i="4"/>
  <c r="M4134" i="4"/>
  <c r="P4172" i="4"/>
  <c r="L4783" i="4"/>
  <c r="M4783" i="4" s="1"/>
  <c r="M4164" i="4"/>
  <c r="M4196" i="4"/>
  <c r="P4056" i="4"/>
  <c r="M4110" i="4"/>
  <c r="P4135" i="4"/>
  <c r="L4753" i="4"/>
  <c r="M4753" i="4" s="1"/>
  <c r="O3873" i="4"/>
  <c r="M3908" i="4"/>
  <c r="N3937" i="4"/>
  <c r="M3944" i="4"/>
  <c r="N3950" i="4"/>
  <c r="M3983" i="4"/>
  <c r="N4014" i="4"/>
  <c r="L4673" i="4"/>
  <c r="M4673" i="4" s="1"/>
  <c r="L4776" i="4"/>
  <c r="M4776" i="4" s="1"/>
  <c r="L4786" i="4"/>
  <c r="M4786" i="4" s="1"/>
  <c r="O3950" i="4"/>
  <c r="M3959" i="4"/>
  <c r="M4031" i="4"/>
  <c r="L4642" i="4"/>
  <c r="N4642" i="4" s="1"/>
  <c r="L4755" i="4"/>
  <c r="M4755" i="4" s="1"/>
  <c r="M3845" i="4"/>
  <c r="M3867" i="4"/>
  <c r="O3874" i="4"/>
  <c r="O3945" i="4"/>
  <c r="N4031" i="4"/>
  <c r="L4745" i="4"/>
  <c r="N4745" i="4" s="1"/>
  <c r="L4782" i="4"/>
  <c r="M4782" i="4" s="1"/>
  <c r="N3845" i="4"/>
  <c r="O4008" i="4"/>
  <c r="L4627" i="4"/>
  <c r="M4627" i="4" s="1"/>
  <c r="L4668" i="4"/>
  <c r="L4709" i="4"/>
  <c r="M4709" i="4" s="1"/>
  <c r="M3951" i="4"/>
  <c r="M3960" i="4"/>
  <c r="M3984" i="4"/>
  <c r="M3992" i="4"/>
  <c r="O4032" i="4"/>
  <c r="L4613" i="4"/>
  <c r="M4613" i="4" s="1"/>
  <c r="O3926" i="4"/>
  <c r="M4016" i="4"/>
  <c r="L4638" i="4"/>
  <c r="M4638" i="4" s="1"/>
  <c r="L4669" i="4"/>
  <c r="M4669" i="4" s="1"/>
  <c r="L4694" i="4"/>
  <c r="N4694" i="4" s="1"/>
  <c r="L4719" i="4"/>
  <c r="M4719" i="4" s="1"/>
  <c r="M3868" i="4"/>
  <c r="L4633" i="4"/>
  <c r="M4633" i="4" s="1"/>
  <c r="L4674" i="4"/>
  <c r="N4674" i="4" s="1"/>
  <c r="L4684" i="4"/>
  <c r="N4684" i="4" s="1"/>
  <c r="L4704" i="4"/>
  <c r="L4714" i="4"/>
  <c r="O3853" i="4"/>
  <c r="N3868" i="4"/>
  <c r="N3961" i="4"/>
  <c r="L4768" i="4"/>
  <c r="N4768" i="4" s="1"/>
  <c r="L4778" i="4"/>
  <c r="O3869" i="4"/>
  <c r="O3912" i="4"/>
  <c r="N3952" i="4"/>
  <c r="O3961" i="4"/>
  <c r="O3994" i="4"/>
  <c r="M4025" i="4"/>
  <c r="L4618" i="4"/>
  <c r="M4618" i="4" s="1"/>
  <c r="L4689" i="4"/>
  <c r="M4689" i="4" s="1"/>
  <c r="L4730" i="4"/>
  <c r="M4730" i="4" s="1"/>
  <c r="N4751" i="4"/>
  <c r="M3876" i="4"/>
  <c r="L4624" i="4"/>
  <c r="M4624" i="4" s="1"/>
  <c r="M3896" i="4"/>
  <c r="O3920" i="4"/>
  <c r="N3994" i="4"/>
  <c r="O4026" i="4"/>
  <c r="L4644" i="4"/>
  <c r="L4685" i="4"/>
  <c r="N4685" i="4" s="1"/>
  <c r="L4741" i="4"/>
  <c r="M4741" i="4" s="1"/>
  <c r="M3869" i="4"/>
  <c r="N3883" i="4"/>
  <c r="L4660" i="4"/>
  <c r="N4660" i="4" s="1"/>
  <c r="L4769" i="4"/>
  <c r="N4769" i="4" s="1"/>
  <c r="O3883" i="4"/>
  <c r="M3920" i="4"/>
  <c r="N3927" i="4"/>
  <c r="M3986" i="4"/>
  <c r="M4003" i="4"/>
  <c r="L4680" i="4"/>
  <c r="N4695" i="4"/>
  <c r="L4721" i="4"/>
  <c r="L4752" i="4"/>
  <c r="L4789" i="4"/>
  <c r="M4789" i="4" s="1"/>
  <c r="M3855" i="4"/>
  <c r="M3980" i="4"/>
  <c r="N3986" i="4"/>
  <c r="M4011" i="4"/>
  <c r="L4650" i="4"/>
  <c r="N4650" i="4" s="1"/>
  <c r="L4665" i="4"/>
  <c r="M4665" i="4" s="1"/>
  <c r="O3849" i="4"/>
  <c r="N3855" i="4"/>
  <c r="O3891" i="4"/>
  <c r="O3905" i="4"/>
  <c r="N3913" i="4"/>
  <c r="N3980" i="4"/>
  <c r="O4028" i="4"/>
  <c r="L4629" i="4"/>
  <c r="N4629" i="4" s="1"/>
  <c r="N4655" i="4"/>
  <c r="L4681" i="4"/>
  <c r="M4681" i="4" s="1"/>
  <c r="L4726" i="4"/>
  <c r="L4731" i="4"/>
  <c r="M4731" i="4" s="1"/>
  <c r="L4742" i="4"/>
  <c r="L4758" i="4"/>
  <c r="N4758" i="4" s="1"/>
  <c r="L4764" i="4"/>
  <c r="L4774" i="4"/>
  <c r="M4774" i="4" s="1"/>
  <c r="M3891" i="4"/>
  <c r="M3905" i="4"/>
  <c r="N3935" i="4"/>
  <c r="N3942" i="4"/>
  <c r="O3948" i="4"/>
  <c r="L4661" i="4"/>
  <c r="M4661" i="4" s="1"/>
  <c r="O3885" i="4"/>
  <c r="O3935" i="4"/>
  <c r="O3942" i="4"/>
  <c r="L4717" i="4"/>
  <c r="M4717" i="4" s="1"/>
  <c r="L4770" i="4"/>
  <c r="M4770" i="4" s="1"/>
  <c r="M3898" i="4"/>
  <c r="N3914" i="4"/>
  <c r="M3922" i="4"/>
  <c r="O3966" i="4"/>
  <c r="M3974" i="4"/>
  <c r="O3998" i="4"/>
  <c r="M4020" i="4"/>
  <c r="L4646" i="4"/>
  <c r="N4646" i="4" s="1"/>
  <c r="L4656" i="4"/>
  <c r="L4732" i="4"/>
  <c r="O3872" i="4"/>
  <c r="N3936" i="4"/>
  <c r="N3943" i="4"/>
  <c r="N3949" i="4"/>
  <c r="M3966" i="4"/>
  <c r="M3998" i="4"/>
  <c r="N4013" i="4"/>
  <c r="L4682" i="4"/>
  <c r="N4682" i="4" s="1"/>
  <c r="M3915" i="4"/>
  <c r="O3936" i="4"/>
  <c r="O3943" i="4"/>
  <c r="O3949" i="4"/>
  <c r="N3982" i="4"/>
  <c r="L4692" i="4"/>
  <c r="N4692" i="4" s="1"/>
  <c r="O3859" i="4"/>
  <c r="O3937" i="4"/>
  <c r="O3944" i="4"/>
  <c r="O3983" i="4"/>
  <c r="L4612" i="4"/>
  <c r="L4728" i="4"/>
  <c r="L4733" i="4"/>
  <c r="L4744" i="4"/>
  <c r="N4744" i="4" s="1"/>
  <c r="L4792" i="4"/>
  <c r="H4529" i="4"/>
  <c r="H4579" i="4"/>
  <c r="H4590" i="4"/>
  <c r="G4628" i="4"/>
  <c r="H4628" i="4" s="1"/>
  <c r="H4497" i="4"/>
  <c r="I4523" i="4"/>
  <c r="H4542" i="4"/>
  <c r="H4567" i="4"/>
  <c r="G4768" i="4"/>
  <c r="G4783" i="4"/>
  <c r="H4783" i="4" s="1"/>
  <c r="H4517" i="4"/>
  <c r="H4535" i="4"/>
  <c r="I4457" i="4"/>
  <c r="H4491" i="4"/>
  <c r="G4650" i="4"/>
  <c r="H4650" i="4" s="1"/>
  <c r="H4536" i="4"/>
  <c r="H4556" i="4"/>
  <c r="H4592" i="4"/>
  <c r="H4598" i="4"/>
  <c r="G4706" i="4"/>
  <c r="H4706" i="4" s="1"/>
  <c r="G4769" i="4"/>
  <c r="H4769" i="4" s="1"/>
  <c r="H4422" i="4"/>
  <c r="H4492" i="4"/>
  <c r="H4544" i="4"/>
  <c r="I4498" i="4"/>
  <c r="H4551" i="4"/>
  <c r="I4518" i="4"/>
  <c r="H4604" i="4"/>
  <c r="G4661" i="4"/>
  <c r="H4513" i="4"/>
  <c r="I4593" i="4"/>
  <c r="G4770" i="4"/>
  <c r="H4770" i="4" s="1"/>
  <c r="H4576" i="4"/>
  <c r="H4587" i="4"/>
  <c r="H4599" i="4"/>
  <c r="I4453" i="4"/>
  <c r="H4467" i="4"/>
  <c r="I4473" i="4"/>
  <c r="I4526" i="4"/>
  <c r="H4564" i="4"/>
  <c r="H4583" i="4"/>
  <c r="H4588" i="4"/>
  <c r="H4594" i="4"/>
  <c r="G4765" i="4"/>
  <c r="I4765" i="4" s="1"/>
  <c r="I4501" i="4"/>
  <c r="I4507" i="4"/>
  <c r="I4558" i="4"/>
  <c r="H4606" i="4"/>
  <c r="H4527" i="4"/>
  <c r="H4533" i="4"/>
  <c r="H4540" i="4"/>
  <c r="G4713" i="4"/>
  <c r="H4418" i="4"/>
  <c r="H4433" i="4"/>
  <c r="H4489" i="4"/>
  <c r="H4515" i="4"/>
  <c r="H4572" i="4"/>
  <c r="H4469" i="4"/>
  <c r="H4596" i="4"/>
  <c r="G4663" i="4"/>
  <c r="I4663" i="4" s="1"/>
  <c r="I4462" i="4"/>
  <c r="H4522" i="4"/>
  <c r="I4528" i="4"/>
  <c r="H4554" i="4"/>
  <c r="H4566" i="4"/>
  <c r="I4476" i="4"/>
  <c r="H4534" i="4"/>
  <c r="G4756" i="4"/>
  <c r="H4309" i="4"/>
  <c r="F4722" i="4"/>
  <c r="H4324" i="4"/>
  <c r="G4404" i="4"/>
  <c r="I4404" i="4" s="1"/>
  <c r="G4647" i="4"/>
  <c r="G4707" i="4"/>
  <c r="G4732" i="4"/>
  <c r="H4345" i="4"/>
  <c r="G4780" i="4"/>
  <c r="H4780" i="4" s="1"/>
  <c r="G4687" i="4"/>
  <c r="H4687" i="4" s="1"/>
  <c r="G4718" i="4"/>
  <c r="H4718" i="4" s="1"/>
  <c r="I4367" i="4"/>
  <c r="G4728" i="4"/>
  <c r="H4728" i="4" s="1"/>
  <c r="F4790" i="4"/>
  <c r="G4790" i="4" s="1"/>
  <c r="H4790" i="4" s="1"/>
  <c r="I4255" i="4"/>
  <c r="I4311" i="4"/>
  <c r="H4319" i="4"/>
  <c r="G4678" i="4"/>
  <c r="H4678" i="4" s="1"/>
  <c r="G4683" i="4"/>
  <c r="G4771" i="4"/>
  <c r="H4771" i="4" s="1"/>
  <c r="I4234" i="4"/>
  <c r="H4263" i="4"/>
  <c r="H4277" i="4"/>
  <c r="H4340" i="4"/>
  <c r="H4347" i="4"/>
  <c r="H4354" i="4"/>
  <c r="H4383" i="4"/>
  <c r="H4391" i="4"/>
  <c r="G4250" i="4"/>
  <c r="H4256" i="4"/>
  <c r="G4755" i="4"/>
  <c r="G4719" i="4"/>
  <c r="G4257" i="4"/>
  <c r="H4257" i="4" s="1"/>
  <c r="H4355" i="4"/>
  <c r="H4327" i="4"/>
  <c r="H4341" i="4"/>
  <c r="H4300" i="4"/>
  <c r="G4740" i="4"/>
  <c r="G4685" i="4"/>
  <c r="G4725" i="4"/>
  <c r="I4725" i="4" s="1"/>
  <c r="G4751" i="4"/>
  <c r="H4751" i="4" s="1"/>
  <c r="G4394" i="4"/>
  <c r="H4394" i="4" s="1"/>
  <c r="G4695" i="4"/>
  <c r="I4695" i="4" s="1"/>
  <c r="G4287" i="4"/>
  <c r="I4287" i="4" s="1"/>
  <c r="I4378" i="4"/>
  <c r="I4386" i="4"/>
  <c r="H4401" i="4"/>
  <c r="H4409" i="4"/>
  <c r="G4778" i="4"/>
  <c r="H4778" i="4" s="1"/>
  <c r="H4294" i="4"/>
  <c r="H4336" i="4"/>
  <c r="G4621" i="4"/>
  <c r="G4773" i="4"/>
  <c r="I4773" i="4" s="1"/>
  <c r="I4230" i="4"/>
  <c r="I4280" i="4"/>
  <c r="I4308" i="4"/>
  <c r="I4322" i="4"/>
  <c r="G4676" i="4"/>
  <c r="H4676" i="4" s="1"/>
  <c r="G4686" i="4"/>
  <c r="H4686" i="4" s="1"/>
  <c r="H4387" i="4"/>
  <c r="I4105" i="4"/>
  <c r="P4105" i="4"/>
  <c r="G4693" i="4"/>
  <c r="I4693" i="4" s="1"/>
  <c r="I4129" i="4"/>
  <c r="P4129" i="4"/>
  <c r="G4645" i="4"/>
  <c r="G4217" i="4"/>
  <c r="F4793" i="4"/>
  <c r="G4793" i="4" s="1"/>
  <c r="F4795" i="4"/>
  <c r="G4795" i="4" s="1"/>
  <c r="G4219" i="4"/>
  <c r="F4797" i="4"/>
  <c r="G4797" i="4" s="1"/>
  <c r="G4221" i="4"/>
  <c r="H4221" i="4" s="1"/>
  <c r="F4800" i="4"/>
  <c r="G4800" i="4" s="1"/>
  <c r="H4800" i="4" s="1"/>
  <c r="G4224" i="4"/>
  <c r="P4224" i="4" s="1"/>
  <c r="G4225" i="4"/>
  <c r="H4225" i="4" s="1"/>
  <c r="F4801" i="4"/>
  <c r="G4801" i="4" s="1"/>
  <c r="G4617" i="4"/>
  <c r="I4617" i="4" s="1"/>
  <c r="G4631" i="4"/>
  <c r="H4631" i="4" s="1"/>
  <c r="G4641" i="4"/>
  <c r="I4641" i="4" s="1"/>
  <c r="G4698" i="4"/>
  <c r="H4698" i="4" s="1"/>
  <c r="E4717" i="4"/>
  <c r="G4717" i="4" s="1"/>
  <c r="I4717" i="4" s="1"/>
  <c r="G4742" i="4"/>
  <c r="H4742" i="4" s="1"/>
  <c r="P4054" i="4"/>
  <c r="H4103" i="4"/>
  <c r="P4108" i="4"/>
  <c r="P4122" i="4"/>
  <c r="G4141" i="4"/>
  <c r="I4141" i="4" s="1"/>
  <c r="H4149" i="4"/>
  <c r="H4155" i="4"/>
  <c r="H4175" i="4"/>
  <c r="I4181" i="4"/>
  <c r="I4186" i="4"/>
  <c r="G4623" i="4"/>
  <c r="I4623" i="4" s="1"/>
  <c r="G4627" i="4"/>
  <c r="I4627" i="4" s="1"/>
  <c r="H4135" i="4"/>
  <c r="P4181" i="4"/>
  <c r="P4186" i="4"/>
  <c r="P4194" i="4"/>
  <c r="H4212" i="4"/>
  <c r="G4656" i="4"/>
  <c r="I4656" i="4" s="1"/>
  <c r="I4748" i="4"/>
  <c r="H4082" i="4"/>
  <c r="P4088" i="4"/>
  <c r="P4096" i="4"/>
  <c r="P4149" i="4"/>
  <c r="P4175" i="4"/>
  <c r="P4201" i="4"/>
  <c r="G4733" i="4"/>
  <c r="H4733" i="4" s="1"/>
  <c r="G4652" i="4"/>
  <c r="H4652" i="4" s="1"/>
  <c r="P4055" i="4"/>
  <c r="G4069" i="4"/>
  <c r="P4069" i="4" s="1"/>
  <c r="P4097" i="4"/>
  <c r="P4156" i="4"/>
  <c r="P4169" i="4"/>
  <c r="P4187" i="4"/>
  <c r="P4213" i="4"/>
  <c r="G4704" i="4"/>
  <c r="H4110" i="4"/>
  <c r="G4709" i="4"/>
  <c r="H4709" i="4" s="1"/>
  <c r="P4196" i="4"/>
  <c r="G4214" i="4"/>
  <c r="I4214" i="4" s="1"/>
  <c r="G4610" i="4"/>
  <c r="H4610" i="4" s="1"/>
  <c r="E4633" i="4"/>
  <c r="G4633" i="4" s="1"/>
  <c r="I4633" i="4" s="1"/>
  <c r="E4681" i="4"/>
  <c r="G4681" i="4" s="1"/>
  <c r="I4681" i="4" s="1"/>
  <c r="G4690" i="4"/>
  <c r="H4690" i="4" s="1"/>
  <c r="E4734" i="4"/>
  <c r="G4734" i="4" s="1"/>
  <c r="I4054" i="4"/>
  <c r="I4078" i="4"/>
  <c r="G4117" i="4"/>
  <c r="I4117" i="4" s="1"/>
  <c r="H4131" i="4"/>
  <c r="I4162" i="4"/>
  <c r="I4222" i="4"/>
  <c r="G4625" i="4"/>
  <c r="H4625" i="4" s="1"/>
  <c r="G4648" i="4"/>
  <c r="H4648" i="4" s="1"/>
  <c r="G4700" i="4"/>
  <c r="E4705" i="4"/>
  <c r="G4705" i="4" s="1"/>
  <c r="I4705" i="4" s="1"/>
  <c r="G4729" i="4"/>
  <c r="I4729" i="4" s="1"/>
  <c r="G4760" i="4"/>
  <c r="H4760" i="4" s="1"/>
  <c r="H4091" i="4"/>
  <c r="G4158" i="4"/>
  <c r="H4158" i="4" s="1"/>
  <c r="G4215" i="4"/>
  <c r="G4672" i="4"/>
  <c r="H4039" i="4"/>
  <c r="P4051" i="4"/>
  <c r="P4063" i="4"/>
  <c r="P4078" i="4"/>
  <c r="I4126" i="4"/>
  <c r="P4137" i="4"/>
  <c r="P4163" i="4"/>
  <c r="H4204" i="4"/>
  <c r="G4611" i="4"/>
  <c r="H4611" i="4" s="1"/>
  <c r="G4615" i="4"/>
  <c r="H4615" i="4" s="1"/>
  <c r="G4720" i="4"/>
  <c r="P4075" i="4"/>
  <c r="P4085" i="4"/>
  <c r="P4132" i="4"/>
  <c r="G4668" i="4"/>
  <c r="I4668" i="4" s="1"/>
  <c r="P4079" i="4"/>
  <c r="P4126" i="4"/>
  <c r="H4164" i="4"/>
  <c r="P4190" i="4"/>
  <c r="P4204" i="4"/>
  <c r="G4673" i="4"/>
  <c r="H4673" i="4" s="1"/>
  <c r="E4735" i="4"/>
  <c r="G4735" i="4" s="1"/>
  <c r="E4761" i="4"/>
  <c r="G4761" i="4" s="1"/>
  <c r="I4761" i="4" s="1"/>
  <c r="P4058" i="4"/>
  <c r="G4093" i="4"/>
  <c r="P4093" i="4" s="1"/>
  <c r="G4626" i="4"/>
  <c r="H4626" i="4" s="1"/>
  <c r="G4654" i="4"/>
  <c r="H4654" i="4" s="1"/>
  <c r="G4782" i="4"/>
  <c r="H4782" i="4" s="1"/>
  <c r="P4039" i="4"/>
  <c r="H4127" i="4"/>
  <c r="I4138" i="4"/>
  <c r="G4159" i="4"/>
  <c r="P4159" i="4" s="1"/>
  <c r="H4179" i="4"/>
  <c r="P4191" i="4"/>
  <c r="G4612" i="4"/>
  <c r="H4612" i="4" s="1"/>
  <c r="G4616" i="4"/>
  <c r="I4616" i="4" s="1"/>
  <c r="G4664" i="4"/>
  <c r="H4664" i="4" s="1"/>
  <c r="G4721" i="4"/>
  <c r="G4791" i="4"/>
  <c r="P4138" i="4"/>
  <c r="H4173" i="4"/>
  <c r="P4179" i="4"/>
  <c r="P4184" i="4"/>
  <c r="I4664" i="4"/>
  <c r="H4053" i="4"/>
  <c r="H4107" i="4"/>
  <c r="P4112" i="4"/>
  <c r="G4185" i="4"/>
  <c r="I4185" i="4" s="1"/>
  <c r="P4199" i="4"/>
  <c r="P4205" i="4"/>
  <c r="I4210" i="4"/>
  <c r="G4716" i="4"/>
  <c r="I4716" i="4" s="1"/>
  <c r="G4726" i="4"/>
  <c r="H4726" i="4" s="1"/>
  <c r="G4736" i="4"/>
  <c r="H4736" i="4" s="1"/>
  <c r="G4777" i="4"/>
  <c r="I4777" i="4" s="1"/>
  <c r="P4167" i="4"/>
  <c r="I4035" i="4"/>
  <c r="H4134" i="4"/>
  <c r="P4173" i="4"/>
  <c r="H4180" i="4"/>
  <c r="P4192" i="4"/>
  <c r="P4210" i="4"/>
  <c r="G4655" i="4"/>
  <c r="H4655" i="4" s="1"/>
  <c r="P4035" i="4"/>
  <c r="H4113" i="4"/>
  <c r="H4121" i="4"/>
  <c r="P4139" i="4"/>
  <c r="P4218" i="4"/>
  <c r="G4613" i="4"/>
  <c r="H4613" i="4" s="1"/>
  <c r="G4660" i="4"/>
  <c r="H4660" i="4" s="1"/>
  <c r="G4688" i="4"/>
  <c r="H4688" i="4" s="1"/>
  <c r="G4712" i="4"/>
  <c r="H4712" i="4" s="1"/>
  <c r="I4724" i="4"/>
  <c r="I4689" i="4"/>
  <c r="H4689" i="4"/>
  <c r="I4736" i="4"/>
  <c r="O3848" i="4"/>
  <c r="I4007" i="4"/>
  <c r="G4619" i="4"/>
  <c r="H4619" i="4" s="1"/>
  <c r="G4710" i="4"/>
  <c r="H4710" i="4" s="1"/>
  <c r="H3849" i="4"/>
  <c r="H3893" i="4"/>
  <c r="H3963" i="4"/>
  <c r="I3970" i="4"/>
  <c r="O3977" i="4"/>
  <c r="H3989" i="4"/>
  <c r="I4002" i="4"/>
  <c r="G4692" i="4"/>
  <c r="G4714" i="4"/>
  <c r="H4714" i="4" s="1"/>
  <c r="I4766" i="4"/>
  <c r="I3849" i="4"/>
  <c r="H3932" i="4"/>
  <c r="O3938" i="4"/>
  <c r="O3963" i="4"/>
  <c r="O3970" i="4"/>
  <c r="H3996" i="4"/>
  <c r="O4021" i="4"/>
  <c r="H4029" i="4"/>
  <c r="G4646" i="4"/>
  <c r="H4646" i="4" s="1"/>
  <c r="G4701" i="4"/>
  <c r="I4701" i="4" s="1"/>
  <c r="G4775" i="4"/>
  <c r="H4775" i="4" s="1"/>
  <c r="O3893" i="4"/>
  <c r="O3989" i="4"/>
  <c r="O4002" i="4"/>
  <c r="G4697" i="4"/>
  <c r="H4697" i="4" s="1"/>
  <c r="G4737" i="4"/>
  <c r="I4737" i="4" s="1"/>
  <c r="O3863" i="4"/>
  <c r="I3869" i="4"/>
  <c r="O3887" i="4"/>
  <c r="H3899" i="4"/>
  <c r="O3932" i="4"/>
  <c r="I3956" i="4"/>
  <c r="H3964" i="4"/>
  <c r="H3984" i="4"/>
  <c r="O3996" i="4"/>
  <c r="I4022" i="4"/>
  <c r="O4029" i="4"/>
  <c r="G4620" i="4"/>
  <c r="H4620" i="4" s="1"/>
  <c r="O3956" i="4"/>
  <c r="O3964" i="4"/>
  <c r="I3984" i="4"/>
  <c r="H3990" i="4"/>
  <c r="H4003" i="4"/>
  <c r="O4022" i="4"/>
  <c r="G4638" i="4"/>
  <c r="H4638" i="4" s="1"/>
  <c r="G4715" i="4"/>
  <c r="H4715" i="4" s="1"/>
  <c r="H3972" i="4"/>
  <c r="H3979" i="4"/>
  <c r="I4003" i="4"/>
  <c r="H3864" i="4"/>
  <c r="O3928" i="4"/>
  <c r="I3945" i="4"/>
  <c r="H3965" i="4"/>
  <c r="O3990" i="4"/>
  <c r="O4023" i="4"/>
  <c r="I4030" i="4"/>
  <c r="H4629" i="4"/>
  <c r="G4651" i="4"/>
  <c r="H4651" i="4" s="1"/>
  <c r="I4659" i="4"/>
  <c r="H4680" i="4"/>
  <c r="G4711" i="4"/>
  <c r="I4711" i="4" s="1"/>
  <c r="G4743" i="4"/>
  <c r="I4743" i="4" s="1"/>
  <c r="G4758" i="4"/>
  <c r="H4758" i="4" s="1"/>
  <c r="G4762" i="4"/>
  <c r="H4762" i="4" s="1"/>
  <c r="G4772" i="4"/>
  <c r="H4772" i="4" s="1"/>
  <c r="O3856" i="4"/>
  <c r="O3864" i="4"/>
  <c r="O3921" i="4"/>
  <c r="O3933" i="4"/>
  <c r="I3940" i="4"/>
  <c r="O3957" i="4"/>
  <c r="O3972" i="4"/>
  <c r="O3979" i="4"/>
  <c r="O3997" i="4"/>
  <c r="H4010" i="4"/>
  <c r="O4030" i="4"/>
  <c r="O3876" i="4"/>
  <c r="O3965" i="4"/>
  <c r="H3991" i="4"/>
  <c r="H4024" i="4"/>
  <c r="G4694" i="4"/>
  <c r="H4694" i="4" s="1"/>
  <c r="I4702" i="4"/>
  <c r="I4738" i="4"/>
  <c r="I3934" i="4"/>
  <c r="O3958" i="4"/>
  <c r="O3991" i="4"/>
  <c r="O4010" i="4"/>
  <c r="G4730" i="4"/>
  <c r="H4730" i="4" s="1"/>
  <c r="G4744" i="4"/>
  <c r="H4744" i="4" s="1"/>
  <c r="G4786" i="4"/>
  <c r="H4786" i="4" s="1"/>
  <c r="O3877" i="4"/>
  <c r="H3889" i="4"/>
  <c r="O3900" i="4"/>
  <c r="O3908" i="4"/>
  <c r="G4622" i="4"/>
  <c r="H4622" i="4" s="1"/>
  <c r="I3889" i="4"/>
  <c r="I3941" i="4"/>
  <c r="H4004" i="4"/>
  <c r="G4643" i="4"/>
  <c r="H4643" i="4" s="1"/>
  <c r="G4677" i="4"/>
  <c r="I4677" i="4" s="1"/>
  <c r="G4703" i="4"/>
  <c r="H4703" i="4" s="1"/>
  <c r="O3846" i="4"/>
  <c r="O3915" i="4"/>
  <c r="G4708" i="4"/>
  <c r="H4708" i="4" s="1"/>
  <c r="O3929" i="4"/>
  <c r="O3967" i="4"/>
  <c r="O4004" i="4"/>
  <c r="O4011" i="4"/>
  <c r="G4754" i="4"/>
  <c r="H4754" i="4" s="1"/>
  <c r="G4759" i="4"/>
  <c r="H4759" i="4" s="1"/>
  <c r="I3859" i="4"/>
  <c r="H3909" i="4"/>
  <c r="O3916" i="4"/>
  <c r="O3981" i="4"/>
  <c r="G4665" i="4"/>
  <c r="I4665" i="4" s="1"/>
  <c r="I4745" i="4"/>
  <c r="H3902" i="4"/>
  <c r="O3999" i="4"/>
  <c r="G4674" i="4"/>
  <c r="H4674" i="4" s="1"/>
  <c r="G4682" i="4"/>
  <c r="H4682" i="4" s="1"/>
  <c r="H4749" i="4"/>
  <c r="G4764" i="4"/>
  <c r="H4018" i="4"/>
  <c r="G4635" i="4"/>
  <c r="H4635" i="4" s="1"/>
  <c r="G4787" i="4"/>
  <c r="H4787" i="4" s="1"/>
  <c r="H3917" i="4"/>
  <c r="O4000" i="4"/>
  <c r="O4005" i="4"/>
  <c r="O4018" i="4"/>
  <c r="G4644" i="4"/>
  <c r="H4644" i="4" s="1"/>
  <c r="I4649" i="4"/>
  <c r="I4709" i="4"/>
  <c r="I3848" i="4"/>
  <c r="O3910" i="4"/>
  <c r="O3924" i="4"/>
  <c r="H3931" i="4"/>
  <c r="O3947" i="4"/>
  <c r="O3953" i="4"/>
  <c r="O3975" i="4"/>
  <c r="I3982" i="4"/>
  <c r="I3987" i="4"/>
  <c r="O3993" i="4"/>
  <c r="G4624" i="4"/>
  <c r="H4624" i="4" s="1"/>
  <c r="I4662" i="4"/>
  <c r="O3861" i="4"/>
  <c r="H3873" i="4"/>
  <c r="H3903" i="4"/>
  <c r="O3911" i="4"/>
  <c r="O3925" i="4"/>
  <c r="H3948" i="4"/>
  <c r="I3954" i="4"/>
  <c r="O3976" i="4"/>
  <c r="O4001" i="4"/>
  <c r="H4013" i="4"/>
  <c r="H4033" i="4"/>
  <c r="G4636" i="4"/>
  <c r="H4636" i="4" s="1"/>
  <c r="G4653" i="4"/>
  <c r="I4653" i="4" s="1"/>
  <c r="G4658" i="4"/>
  <c r="H4658" i="4" s="1"/>
  <c r="G4696" i="4"/>
  <c r="H4696" i="4" s="1"/>
  <c r="I4750" i="4"/>
  <c r="O3842" i="4"/>
  <c r="H3868" i="4"/>
  <c r="I3873" i="4"/>
  <c r="O3880" i="4"/>
  <c r="O3897" i="4"/>
  <c r="O3903" i="4"/>
  <c r="O3918" i="4"/>
  <c r="O3962" i="4"/>
  <c r="I3969" i="4"/>
  <c r="O3982" i="4"/>
  <c r="I3988" i="4"/>
  <c r="O4020" i="4"/>
  <c r="O4027" i="4"/>
  <c r="G4666" i="4"/>
  <c r="H4666" i="4" s="1"/>
  <c r="M3468" i="4"/>
  <c r="M3484" i="4"/>
  <c r="M3519" i="4"/>
  <c r="M3567" i="4"/>
  <c r="N3637" i="4"/>
  <c r="L3750" i="4"/>
  <c r="M3750" i="4" s="1"/>
  <c r="M3461" i="4"/>
  <c r="M3588" i="4"/>
  <c r="L3652" i="4"/>
  <c r="N3652" i="4" s="1"/>
  <c r="L3658" i="4"/>
  <c r="M3658" i="4" s="1"/>
  <c r="L3840" i="4"/>
  <c r="M3840" i="4" s="1"/>
  <c r="M3469" i="4"/>
  <c r="M3485" i="4"/>
  <c r="M3527" i="4"/>
  <c r="M3533" i="4"/>
  <c r="M3560" i="4"/>
  <c r="M3568" i="4"/>
  <c r="M3462" i="4"/>
  <c r="N3541" i="4"/>
  <c r="N3589" i="4"/>
  <c r="N3597" i="4"/>
  <c r="N3561" i="4"/>
  <c r="M3612" i="4"/>
  <c r="M3632" i="4"/>
  <c r="N3569" i="4"/>
  <c r="L3823" i="4"/>
  <c r="N3823" i="4" s="1"/>
  <c r="L3829" i="4"/>
  <c r="M3829" i="4" s="1"/>
  <c r="M3470" i="4"/>
  <c r="M3486" i="4"/>
  <c r="M3515" i="4"/>
  <c r="M3555" i="4"/>
  <c r="M3576" i="4"/>
  <c r="M3591" i="4"/>
  <c r="M3626" i="4"/>
  <c r="L3695" i="4"/>
  <c r="M3695" i="4" s="1"/>
  <c r="L3708" i="4"/>
  <c r="M3708" i="4" s="1"/>
  <c r="L3811" i="4"/>
  <c r="N3501" i="4"/>
  <c r="N3522" i="4"/>
  <c r="M3535" i="4"/>
  <c r="M3543" i="4"/>
  <c r="N3606" i="4"/>
  <c r="L3753" i="4"/>
  <c r="M3753" i="4" s="1"/>
  <c r="M3494" i="4"/>
  <c r="M3563" i="4"/>
  <c r="N3621" i="4"/>
  <c r="L3773" i="4"/>
  <c r="M3773" i="4" s="1"/>
  <c r="L3779" i="4"/>
  <c r="M3779" i="4" s="1"/>
  <c r="L3786" i="4"/>
  <c r="M3786" i="4" s="1"/>
  <c r="L3792" i="4"/>
  <c r="M3792" i="4" s="1"/>
  <c r="M3599" i="4"/>
  <c r="N3641" i="4"/>
  <c r="M3472" i="4"/>
  <c r="M3488" i="4"/>
  <c r="M3502" i="4"/>
  <c r="M3523" i="4"/>
  <c r="M3550" i="4"/>
  <c r="N3577" i="4"/>
  <c r="M3584" i="4"/>
  <c r="N3592" i="4"/>
  <c r="M3607" i="4"/>
  <c r="M3627" i="4"/>
  <c r="M3458" i="4"/>
  <c r="N3649" i="4"/>
  <c r="M3530" i="4"/>
  <c r="N3537" i="4"/>
  <c r="M3572" i="4"/>
  <c r="N3585" i="4"/>
  <c r="L3691" i="4"/>
  <c r="M3482" i="4"/>
  <c r="M3511" i="4"/>
  <c r="N3545" i="4"/>
  <c r="N3558" i="4"/>
  <c r="L3749" i="4"/>
  <c r="M3749" i="4" s="1"/>
  <c r="L3755" i="4"/>
  <c r="M3518" i="4"/>
  <c r="M3525" i="4"/>
  <c r="N3538" i="4"/>
  <c r="M3643" i="4"/>
  <c r="M3497" i="4"/>
  <c r="N3573" i="4"/>
  <c r="N3601" i="4"/>
  <c r="M3623" i="4"/>
  <c r="N3636" i="4"/>
  <c r="M3474" i="4"/>
  <c r="M3490" i="4"/>
  <c r="L3657" i="4"/>
  <c r="L3808" i="4"/>
  <c r="M3808" i="4" s="1"/>
  <c r="L3839" i="4"/>
  <c r="M3839" i="4" s="1"/>
  <c r="M3399" i="4"/>
  <c r="N3434" i="4"/>
  <c r="M3434" i="4"/>
  <c r="N3278" i="4"/>
  <c r="M3302" i="4"/>
  <c r="N3315" i="4"/>
  <c r="N3345" i="4"/>
  <c r="M3407" i="4"/>
  <c r="M3442" i="4"/>
  <c r="M3449" i="4"/>
  <c r="L3775" i="4"/>
  <c r="L3279" i="4"/>
  <c r="N3361" i="4"/>
  <c r="N3369" i="4"/>
  <c r="N3377" i="4"/>
  <c r="N3385" i="4"/>
  <c r="M3457" i="4"/>
  <c r="L3654" i="4"/>
  <c r="N3654" i="4" s="1"/>
  <c r="L3676" i="4"/>
  <c r="M3676" i="4" s="1"/>
  <c r="L3682" i="4"/>
  <c r="N3682" i="4" s="1"/>
  <c r="L3694" i="4"/>
  <c r="N3694" i="4" s="1"/>
  <c r="L3707" i="4"/>
  <c r="M3707" i="4" s="1"/>
  <c r="L3744" i="4"/>
  <c r="M3744" i="4" s="1"/>
  <c r="L3807" i="4"/>
  <c r="M3807" i="4" s="1"/>
  <c r="L3813" i="4"/>
  <c r="M3813" i="4" s="1"/>
  <c r="L3303" i="4"/>
  <c r="N3303" i="4" s="1"/>
  <c r="M3316" i="4"/>
  <c r="L3339" i="4"/>
  <c r="M3408" i="4"/>
  <c r="L3832" i="4"/>
  <c r="M3832" i="4" s="1"/>
  <c r="M3394" i="4"/>
  <c r="M3416" i="4"/>
  <c r="M3450" i="4"/>
  <c r="M3272" i="4"/>
  <c r="M3332" i="4"/>
  <c r="M3386" i="4"/>
  <c r="K3795" i="4"/>
  <c r="L3795" i="4" s="1"/>
  <c r="L3363" i="4"/>
  <c r="N3363" i="4" s="1"/>
  <c r="L3387" i="4"/>
  <c r="N3387" i="4" s="1"/>
  <c r="M3395" i="4"/>
  <c r="N3409" i="4"/>
  <c r="M3311" i="4"/>
  <c r="L3715" i="4"/>
  <c r="N3715" i="4" s="1"/>
  <c r="K3783" i="4"/>
  <c r="L3783" i="4" s="1"/>
  <c r="L3656" i="4"/>
  <c r="M3656" i="4" s="1"/>
  <c r="L3696" i="4"/>
  <c r="M3696" i="4" s="1"/>
  <c r="L3771" i="4"/>
  <c r="M3771" i="4" s="1"/>
  <c r="M3289" i="4"/>
  <c r="M3410" i="4"/>
  <c r="M3431" i="4"/>
  <c r="L3684" i="4"/>
  <c r="M3684" i="4" s="1"/>
  <c r="L3784" i="4"/>
  <c r="M3784" i="4" s="1"/>
  <c r="L3815" i="4"/>
  <c r="M3815" i="4" s="1"/>
  <c r="N3267" i="4"/>
  <c r="M3298" i="4"/>
  <c r="M3334" i="4"/>
  <c r="N3357" i="4"/>
  <c r="M3404" i="4"/>
  <c r="M3418" i="4"/>
  <c r="M3425" i="4"/>
  <c r="K3759" i="4"/>
  <c r="L3759" i="4" s="1"/>
  <c r="M3319" i="4"/>
  <c r="L3327" i="4"/>
  <c r="N3327" i="4" s="1"/>
  <c r="N3365" i="4"/>
  <c r="N3373" i="4"/>
  <c r="N3381" i="4"/>
  <c r="N3397" i="4"/>
  <c r="M3446" i="4"/>
  <c r="L3741" i="4"/>
  <c r="M3741" i="4" s="1"/>
  <c r="M3816" i="4"/>
  <c r="L3822" i="4"/>
  <c r="N3822" i="4" s="1"/>
  <c r="L3291" i="4"/>
  <c r="N3299" i="4"/>
  <c r="L3704" i="4"/>
  <c r="M3704" i="4" s="1"/>
  <c r="K3735" i="4"/>
  <c r="L3735" i="4" s="1"/>
  <c r="L3835" i="4"/>
  <c r="L3841" i="4"/>
  <c r="M3841" i="4" s="1"/>
  <c r="M3276" i="4"/>
  <c r="M3284" i="4"/>
  <c r="M3382" i="4"/>
  <c r="M3398" i="4"/>
  <c r="N3405" i="4"/>
  <c r="M3433" i="4"/>
  <c r="M3447" i="4"/>
  <c r="M3454" i="4"/>
  <c r="M3307" i="4"/>
  <c r="L3665" i="4"/>
  <c r="N3665" i="4" s="1"/>
  <c r="L3767" i="4"/>
  <c r="L3799" i="4"/>
  <c r="K3699" i="4"/>
  <c r="L3699" i="4" s="1"/>
  <c r="N3277" i="4"/>
  <c r="M3308" i="4"/>
  <c r="M3360" i="4"/>
  <c r="L3653" i="4"/>
  <c r="M3653" i="4" s="1"/>
  <c r="K3818" i="4"/>
  <c r="L3818" i="4" s="1"/>
  <c r="K3830" i="4"/>
  <c r="L3830" i="4" s="1"/>
  <c r="M3830" i="4" s="1"/>
  <c r="M3414" i="4"/>
  <c r="L3681" i="4"/>
  <c r="M3681" i="4" s="1"/>
  <c r="L3812" i="4"/>
  <c r="M3812" i="4" s="1"/>
  <c r="N3786" i="4"/>
  <c r="L3098" i="4"/>
  <c r="N3098" i="4" s="1"/>
  <c r="M3159" i="4"/>
  <c r="M3187" i="4"/>
  <c r="N3251" i="4"/>
  <c r="L3712" i="4"/>
  <c r="M3712" i="4" s="1"/>
  <c r="L3724" i="4"/>
  <c r="M3724" i="4" s="1"/>
  <c r="L3796" i="4"/>
  <c r="M3796" i="4" s="1"/>
  <c r="L3825" i="4"/>
  <c r="M3825" i="4" s="1"/>
  <c r="M3208" i="4"/>
  <c r="L3683" i="4"/>
  <c r="M3683" i="4" s="1"/>
  <c r="L3748" i="4"/>
  <c r="M3748" i="4" s="1"/>
  <c r="L3760" i="4"/>
  <c r="M3760" i="4" s="1"/>
  <c r="L3146" i="4"/>
  <c r="P3146" i="4" s="1"/>
  <c r="M3174" i="4"/>
  <c r="M3181" i="4"/>
  <c r="M3196" i="4"/>
  <c r="L3725" i="4"/>
  <c r="M3725" i="4" s="1"/>
  <c r="L3182" i="4"/>
  <c r="M3182" i="4" s="1"/>
  <c r="M3188" i="4"/>
  <c r="N3215" i="4"/>
  <c r="L3230" i="4"/>
  <c r="M3230" i="4" s="1"/>
  <c r="N3237" i="4"/>
  <c r="L3737" i="4"/>
  <c r="M3737" i="4" s="1"/>
  <c r="P3109" i="4"/>
  <c r="P3132" i="4"/>
  <c r="N3147" i="4"/>
  <c r="P3162" i="4"/>
  <c r="N3155" i="4"/>
  <c r="P3247" i="4"/>
  <c r="N3690" i="4"/>
  <c r="L3714" i="4"/>
  <c r="N3714" i="4" s="1"/>
  <c r="P3077" i="4"/>
  <c r="L3110" i="4"/>
  <c r="M3110" i="4" s="1"/>
  <c r="M3117" i="4"/>
  <c r="M3133" i="4"/>
  <c r="N3148" i="4"/>
  <c r="P3155" i="4"/>
  <c r="M3216" i="4"/>
  <c r="L3720" i="4"/>
  <c r="L3827" i="4"/>
  <c r="M3827" i="4" s="1"/>
  <c r="N3117" i="4"/>
  <c r="L3798" i="4"/>
  <c r="N3798" i="4" s="1"/>
  <c r="L3804" i="4"/>
  <c r="M3804" i="4" s="1"/>
  <c r="M3126" i="4"/>
  <c r="L3134" i="4"/>
  <c r="M3141" i="4"/>
  <c r="L3170" i="4"/>
  <c r="N3247" i="4"/>
  <c r="L3254" i="4"/>
  <c r="M3254" i="4" s="1"/>
  <c r="M3190" i="4"/>
  <c r="M3204" i="4"/>
  <c r="N3217" i="4"/>
  <c r="N3118" i="4"/>
  <c r="L3218" i="4"/>
  <c r="M3218" i="4" s="1"/>
  <c r="L3739" i="4"/>
  <c r="M3739" i="4" s="1"/>
  <c r="M3111" i="4"/>
  <c r="P3118" i="4"/>
  <c r="M3211" i="4"/>
  <c r="N3263" i="4"/>
  <c r="L3751" i="4"/>
  <c r="N3751" i="4" s="1"/>
  <c r="L3787" i="4"/>
  <c r="L3793" i="4"/>
  <c r="M3793" i="4" s="1"/>
  <c r="M3095" i="4"/>
  <c r="N3104" i="4"/>
  <c r="N3111" i="4"/>
  <c r="P3226" i="4"/>
  <c r="L3686" i="4"/>
  <c r="M3686" i="4" s="1"/>
  <c r="P3104" i="4"/>
  <c r="L3710" i="4"/>
  <c r="M3710" i="4" s="1"/>
  <c r="L3716" i="4"/>
  <c r="M3716" i="4" s="1"/>
  <c r="L3722" i="4"/>
  <c r="M3722" i="4" s="1"/>
  <c r="L3728" i="4"/>
  <c r="M3728" i="4" s="1"/>
  <c r="M3078" i="4"/>
  <c r="L3086" i="4"/>
  <c r="M3086" i="4" s="1"/>
  <c r="L3206" i="4"/>
  <c r="M3206" i="4" s="1"/>
  <c r="L3242" i="4"/>
  <c r="N3255" i="4"/>
  <c r="K3782" i="4"/>
  <c r="L3782" i="4" s="1"/>
  <c r="L3794" i="4"/>
  <c r="M3794" i="4" s="1"/>
  <c r="L3158" i="4"/>
  <c r="M3158" i="4" s="1"/>
  <c r="K3698" i="4"/>
  <c r="L3698" i="4" s="1"/>
  <c r="K3734" i="4"/>
  <c r="L3734" i="4" s="1"/>
  <c r="L3746" i="4"/>
  <c r="M3746" i="4" s="1"/>
  <c r="K3770" i="4"/>
  <c r="L3770" i="4" s="1"/>
  <c r="M3770" i="4" s="1"/>
  <c r="M3105" i="4"/>
  <c r="M3172" i="4"/>
  <c r="P3201" i="4"/>
  <c r="N3219" i="4"/>
  <c r="N3265" i="4"/>
  <c r="P3074" i="4"/>
  <c r="P3080" i="4"/>
  <c r="P3105" i="4"/>
  <c r="N3151" i="4"/>
  <c r="M3179" i="4"/>
  <c r="M3186" i="4"/>
  <c r="N3193" i="4"/>
  <c r="L3729" i="4"/>
  <c r="M3729" i="4" s="1"/>
  <c r="L3777" i="4"/>
  <c r="M3777" i="4" s="1"/>
  <c r="M3097" i="4"/>
  <c r="M3165" i="4"/>
  <c r="L3194" i="4"/>
  <c r="M3194" i="4" s="1"/>
  <c r="M3227" i="4"/>
  <c r="M3235" i="4"/>
  <c r="M3243" i="4"/>
  <c r="M3080" i="4"/>
  <c r="N3097" i="4"/>
  <c r="M3121" i="4"/>
  <c r="N3207" i="4"/>
  <c r="M3173" i="4"/>
  <c r="N3201" i="4"/>
  <c r="P3208" i="4"/>
  <c r="L3688" i="4"/>
  <c r="M3688" i="4" s="1"/>
  <c r="O2975" i="4"/>
  <c r="O2908" i="4"/>
  <c r="O2932" i="4"/>
  <c r="O2997" i="4"/>
  <c r="O3038" i="4"/>
  <c r="O3069" i="4"/>
  <c r="L3674" i="4"/>
  <c r="M3674" i="4" s="1"/>
  <c r="L3701" i="4"/>
  <c r="M3701" i="4" s="1"/>
  <c r="L3733" i="4"/>
  <c r="M3733" i="4" s="1"/>
  <c r="N3744" i="4"/>
  <c r="L3761" i="4"/>
  <c r="M3761" i="4" s="1"/>
  <c r="N2908" i="4"/>
  <c r="N2932" i="4"/>
  <c r="M2968" i="4"/>
  <c r="N2997" i="4"/>
  <c r="N3045" i="4"/>
  <c r="M3052" i="4"/>
  <c r="L3680" i="4"/>
  <c r="M3680" i="4" s="1"/>
  <c r="N3006" i="4"/>
  <c r="M3015" i="4"/>
  <c r="N3052" i="4"/>
  <c r="L3675" i="4"/>
  <c r="M3675" i="4" s="1"/>
  <c r="L3685" i="4"/>
  <c r="M3685" i="4" s="1"/>
  <c r="L3817" i="4"/>
  <c r="M3817" i="4" s="1"/>
  <c r="L3828" i="4"/>
  <c r="M3828" i="4" s="1"/>
  <c r="M2917" i="4"/>
  <c r="N2925" i="4"/>
  <c r="N2962" i="4"/>
  <c r="M2982" i="4"/>
  <c r="N3015" i="4"/>
  <c r="N3756" i="4"/>
  <c r="L3834" i="4"/>
  <c r="M3834" i="4" s="1"/>
  <c r="O2925" i="4"/>
  <c r="N2982" i="4"/>
  <c r="O2999" i="4"/>
  <c r="N3046" i="4"/>
  <c r="L3702" i="4"/>
  <c r="M3702" i="4" s="1"/>
  <c r="N3713" i="4"/>
  <c r="L3718" i="4"/>
  <c r="N3718" i="4" s="1"/>
  <c r="L3762" i="4"/>
  <c r="M3762" i="4" s="1"/>
  <c r="L3664" i="4"/>
  <c r="M3664" i="4" s="1"/>
  <c r="N3785" i="4"/>
  <c r="M2963" i="4"/>
  <c r="O3016" i="4"/>
  <c r="M3071" i="4"/>
  <c r="N3681" i="4"/>
  <c r="M2891" i="4"/>
  <c r="M2918" i="4"/>
  <c r="M2926" i="4"/>
  <c r="N2963" i="4"/>
  <c r="N2977" i="4"/>
  <c r="O2991" i="4"/>
  <c r="M3040" i="4"/>
  <c r="M3047" i="4"/>
  <c r="N3071" i="4"/>
  <c r="L3697" i="4"/>
  <c r="M3697" i="4" s="1"/>
  <c r="L3774" i="4"/>
  <c r="M3774" i="4" s="1"/>
  <c r="N2891" i="4"/>
  <c r="N2970" i="4"/>
  <c r="O2977" i="4"/>
  <c r="M3033" i="4"/>
  <c r="N3047" i="4"/>
  <c r="M2940" i="4"/>
  <c r="N2884" i="4"/>
  <c r="O2912" i="4"/>
  <c r="M2950" i="4"/>
  <c r="O2970" i="4"/>
  <c r="L3687" i="4"/>
  <c r="M3687" i="4" s="1"/>
  <c r="L3703" i="4"/>
  <c r="N3703" i="4" s="1"/>
  <c r="L3719" i="4"/>
  <c r="M3719" i="4" s="1"/>
  <c r="L3736" i="4"/>
  <c r="M3736" i="4" s="1"/>
  <c r="L3752" i="4"/>
  <c r="M3752" i="4" s="1"/>
  <c r="L3763" i="4"/>
  <c r="M3763" i="4" s="1"/>
  <c r="N2924" i="4"/>
  <c r="N3069" i="4"/>
  <c r="O2936" i="4"/>
  <c r="O2951" i="4"/>
  <c r="L3747" i="4"/>
  <c r="M3747" i="4" s="1"/>
  <c r="L3758" i="4"/>
  <c r="M3758" i="4" s="1"/>
  <c r="N3780" i="4"/>
  <c r="L3800" i="4"/>
  <c r="M3800" i="4" s="1"/>
  <c r="M2978" i="4"/>
  <c r="O3073" i="4"/>
  <c r="L3769" i="4"/>
  <c r="M3769" i="4" s="1"/>
  <c r="N2951" i="4"/>
  <c r="L3693" i="4"/>
  <c r="M3693" i="4" s="1"/>
  <c r="L3709" i="4"/>
  <c r="M3709" i="4" s="1"/>
  <c r="N3803" i="4"/>
  <c r="L3809" i="4"/>
  <c r="M3809" i="4" s="1"/>
  <c r="L3820" i="4"/>
  <c r="M3820" i="4" s="1"/>
  <c r="O2929" i="4"/>
  <c r="O2886" i="4"/>
  <c r="N2893" i="4"/>
  <c r="M2937" i="4"/>
  <c r="L3660" i="4"/>
  <c r="M3660" i="4" s="1"/>
  <c r="L3726" i="4"/>
  <c r="M3726" i="4" s="1"/>
  <c r="L3781" i="4"/>
  <c r="M3781" i="4" s="1"/>
  <c r="L3836" i="4"/>
  <c r="M3836" i="4" s="1"/>
  <c r="N2905" i="4"/>
  <c r="N2965" i="4"/>
  <c r="N2994" i="4"/>
  <c r="M3036" i="4"/>
  <c r="M3043" i="4"/>
  <c r="M3056" i="4"/>
  <c r="L3666" i="4"/>
  <c r="M3666" i="4" s="1"/>
  <c r="L3678" i="4"/>
  <c r="M3678" i="4" s="1"/>
  <c r="L3776" i="4"/>
  <c r="M3776" i="4" s="1"/>
  <c r="L3821" i="4"/>
  <c r="M3821" i="4" s="1"/>
  <c r="M2894" i="4"/>
  <c r="O2914" i="4"/>
  <c r="N2938" i="4"/>
  <c r="O2965" i="4"/>
  <c r="O2980" i="4"/>
  <c r="O3028" i="4"/>
  <c r="O3043" i="4"/>
  <c r="L3689" i="4"/>
  <c r="M3689" i="4" s="1"/>
  <c r="L3705" i="4"/>
  <c r="M3705" i="4" s="1"/>
  <c r="L3721" i="4"/>
  <c r="M3721" i="4" s="1"/>
  <c r="N3732" i="4"/>
  <c r="M2930" i="4"/>
  <c r="O2938" i="4"/>
  <c r="N3765" i="4"/>
  <c r="L3810" i="4"/>
  <c r="M3810" i="4" s="1"/>
  <c r="N2887" i="4"/>
  <c r="O2953" i="4"/>
  <c r="M2980" i="4"/>
  <c r="M3020" i="4"/>
  <c r="M3028" i="4"/>
  <c r="M3057" i="4"/>
  <c r="L3738" i="4"/>
  <c r="M3738" i="4" s="1"/>
  <c r="L3788" i="4"/>
  <c r="M3788" i="4" s="1"/>
  <c r="O2907" i="4"/>
  <c r="M3037" i="4"/>
  <c r="M3044" i="4"/>
  <c r="N3050" i="4"/>
  <c r="N2931" i="4"/>
  <c r="M2961" i="4"/>
  <c r="O3014" i="4"/>
  <c r="L3667" i="4"/>
  <c r="L3772" i="4"/>
  <c r="M3772" i="4" s="1"/>
  <c r="L3805" i="4"/>
  <c r="M3805" i="4" s="1"/>
  <c r="N3816" i="4"/>
  <c r="L3833" i="4"/>
  <c r="M3833" i="4" s="1"/>
  <c r="I3510" i="4"/>
  <c r="I3594" i="4"/>
  <c r="I3600" i="4"/>
  <c r="H3607" i="4"/>
  <c r="H3458" i="4"/>
  <c r="H3523" i="4"/>
  <c r="H3549" i="4"/>
  <c r="H3621" i="4"/>
  <c r="H3511" i="4"/>
  <c r="H3615" i="4"/>
  <c r="I3562" i="4"/>
  <c r="H3569" i="4"/>
  <c r="I3536" i="4"/>
  <c r="I3640" i="4"/>
  <c r="G3840" i="4"/>
  <c r="H3840" i="4" s="1"/>
  <c r="H3506" i="4"/>
  <c r="H3518" i="4"/>
  <c r="H3602" i="4"/>
  <c r="I3648" i="4"/>
  <c r="H3466" i="4"/>
  <c r="H3537" i="4"/>
  <c r="I3570" i="4"/>
  <c r="I3576" i="4"/>
  <c r="H3583" i="4"/>
  <c r="H3597" i="4"/>
  <c r="H3591" i="4"/>
  <c r="I3610" i="4"/>
  <c r="H3617" i="4"/>
  <c r="I3642" i="4"/>
  <c r="G3775" i="4"/>
  <c r="H3775" i="4" s="1"/>
  <c r="H3474" i="4"/>
  <c r="H3502" i="4"/>
  <c r="G3781" i="4"/>
  <c r="H3781" i="4" s="1"/>
  <c r="H3630" i="4"/>
  <c r="G3787" i="4"/>
  <c r="H3787" i="4" s="1"/>
  <c r="G3743" i="4"/>
  <c r="H3743" i="4" s="1"/>
  <c r="G3804" i="4"/>
  <c r="H3804" i="4" s="1"/>
  <c r="H3462" i="4"/>
  <c r="H3503" i="4"/>
  <c r="H3515" i="4"/>
  <c r="I3540" i="4"/>
  <c r="H3567" i="4"/>
  <c r="H3593" i="4"/>
  <c r="H3631" i="4"/>
  <c r="H3490" i="4"/>
  <c r="I3586" i="4"/>
  <c r="G3657" i="4"/>
  <c r="H3657" i="4" s="1"/>
  <c r="G3811" i="4"/>
  <c r="H3811" i="4" s="1"/>
  <c r="I3267" i="4"/>
  <c r="H3386" i="4"/>
  <c r="I3413" i="4"/>
  <c r="G3733" i="4"/>
  <c r="H3733" i="4" s="1"/>
  <c r="G3750" i="4"/>
  <c r="H3750" i="4" s="1"/>
  <c r="E3772" i="4"/>
  <c r="G3772" i="4" s="1"/>
  <c r="G3832" i="4"/>
  <c r="H3832" i="4" s="1"/>
  <c r="H3340" i="4"/>
  <c r="H3346" i="4"/>
  <c r="H3373" i="4"/>
  <c r="I3451" i="4"/>
  <c r="G3658" i="4"/>
  <c r="G3675" i="4"/>
  <c r="H3675" i="4" s="1"/>
  <c r="G3739" i="4"/>
  <c r="H3739" i="4" s="1"/>
  <c r="G3816" i="4"/>
  <c r="H3816" i="4" s="1"/>
  <c r="G3827" i="4"/>
  <c r="H3827" i="4" s="1"/>
  <c r="E3707" i="4"/>
  <c r="G3707" i="4" s="1"/>
  <c r="G3805" i="4"/>
  <c r="H3805" i="4" s="1"/>
  <c r="I3301" i="4"/>
  <c r="H3308" i="4"/>
  <c r="H3367" i="4"/>
  <c r="G3664" i="4"/>
  <c r="H3664" i="4" s="1"/>
  <c r="E3784" i="4"/>
  <c r="G3784" i="4" s="1"/>
  <c r="I3784" i="4" s="1"/>
  <c r="I3395" i="4"/>
  <c r="I3439" i="4"/>
  <c r="H3374" i="4"/>
  <c r="H3282" i="4"/>
  <c r="I3295" i="4"/>
  <c r="H3341" i="4"/>
  <c r="H3348" i="4"/>
  <c r="H3368" i="4"/>
  <c r="I3415" i="4"/>
  <c r="I3427" i="4"/>
  <c r="G3659" i="4"/>
  <c r="H3659" i="4" s="1"/>
  <c r="G3735" i="4"/>
  <c r="H3735" i="4" s="1"/>
  <c r="G3751" i="4"/>
  <c r="H3751" i="4" s="1"/>
  <c r="G3790" i="4"/>
  <c r="I3790" i="4" s="1"/>
  <c r="E3796" i="4"/>
  <c r="G3796" i="4" s="1"/>
  <c r="I3796" i="4" s="1"/>
  <c r="G3839" i="4"/>
  <c r="H3839" i="4" s="1"/>
  <c r="H3269" i="4"/>
  <c r="I3335" i="4"/>
  <c r="I3375" i="4"/>
  <c r="H3382" i="4"/>
  <c r="I3409" i="4"/>
  <c r="G3687" i="4"/>
  <c r="H3687" i="4" s="1"/>
  <c r="G3725" i="4"/>
  <c r="H3725" i="4" s="1"/>
  <c r="H3422" i="4"/>
  <c r="I3447" i="4"/>
  <c r="G3797" i="4"/>
  <c r="H3797" i="4" s="1"/>
  <c r="H3270" i="4"/>
  <c r="H3289" i="4"/>
  <c r="H3316" i="4"/>
  <c r="I3383" i="4"/>
  <c r="H3390" i="4"/>
  <c r="I3397" i="4"/>
  <c r="G3435" i="4"/>
  <c r="G3704" i="4"/>
  <c r="H3704" i="4" s="1"/>
  <c r="G3709" i="4"/>
  <c r="H3709" i="4" s="1"/>
  <c r="G3720" i="4"/>
  <c r="H3720" i="4" s="1"/>
  <c r="G3742" i="4"/>
  <c r="I3742" i="4" s="1"/>
  <c r="I3297" i="4"/>
  <c r="I3417" i="4"/>
  <c r="I3423" i="4"/>
  <c r="H3384" i="4"/>
  <c r="I3411" i="4"/>
  <c r="I3455" i="4"/>
  <c r="H3330" i="4"/>
  <c r="H3357" i="4"/>
  <c r="H3364" i="4"/>
  <c r="H3317" i="4"/>
  <c r="H3324" i="4"/>
  <c r="H3351" i="4"/>
  <c r="H3430" i="4"/>
  <c r="G3656" i="4"/>
  <c r="I3656" i="4" s="1"/>
  <c r="F3818" i="4"/>
  <c r="H3266" i="4"/>
  <c r="H3312" i="4"/>
  <c r="H3378" i="4"/>
  <c r="I3399" i="4"/>
  <c r="I3443" i="4"/>
  <c r="I3279" i="4"/>
  <c r="H3358" i="4"/>
  <c r="H3372" i="4"/>
  <c r="H3272" i="4"/>
  <c r="H3318" i="4"/>
  <c r="H3332" i="4"/>
  <c r="H3345" i="4"/>
  <c r="H3352" i="4"/>
  <c r="I3419" i="4"/>
  <c r="I3425" i="4"/>
  <c r="G3652" i="4"/>
  <c r="H3652" i="4" s="1"/>
  <c r="H3717" i="4"/>
  <c r="G3744" i="4"/>
  <c r="H3744" i="4" s="1"/>
  <c r="G3766" i="4"/>
  <c r="H3766" i="4" s="1"/>
  <c r="I3120" i="4"/>
  <c r="G3134" i="4"/>
  <c r="H3134" i="4" s="1"/>
  <c r="I3158" i="4"/>
  <c r="G3170" i="4"/>
  <c r="I3181" i="4"/>
  <c r="G3194" i="4"/>
  <c r="I3222" i="4"/>
  <c r="P3235" i="4"/>
  <c r="G3242" i="4"/>
  <c r="E3662" i="4"/>
  <c r="G3667" i="4"/>
  <c r="H3667" i="4" s="1"/>
  <c r="G3684" i="4"/>
  <c r="H3684" i="4" s="1"/>
  <c r="G3768" i="4"/>
  <c r="H3768" i="4" s="1"/>
  <c r="H3080" i="4"/>
  <c r="H3101" i="4"/>
  <c r="H3153" i="4"/>
  <c r="H3205" i="4"/>
  <c r="H3114" i="4"/>
  <c r="P3153" i="4"/>
  <c r="G3182" i="4"/>
  <c r="H3248" i="4"/>
  <c r="G3254" i="4"/>
  <c r="H3254" i="4" s="1"/>
  <c r="H3260" i="4"/>
  <c r="P3205" i="4"/>
  <c r="P3211" i="4"/>
  <c r="G3230" i="4"/>
  <c r="G3663" i="4"/>
  <c r="H3801" i="4"/>
  <c r="P3129" i="4"/>
  <c r="I3230" i="4"/>
  <c r="P3248" i="4"/>
  <c r="G3769" i="4"/>
  <c r="H3769" i="4" s="1"/>
  <c r="G3780" i="4"/>
  <c r="H3780" i="4" s="1"/>
  <c r="H3102" i="4"/>
  <c r="H3115" i="4"/>
  <c r="H3177" i="4"/>
  <c r="G3206" i="4"/>
  <c r="I3206" i="4" s="1"/>
  <c r="P3217" i="4"/>
  <c r="P3236" i="4"/>
  <c r="G3721" i="4"/>
  <c r="H3721" i="4" s="1"/>
  <c r="I3102" i="4"/>
  <c r="G3122" i="4"/>
  <c r="G3218" i="4"/>
  <c r="P3135" i="4"/>
  <c r="H3149" i="4"/>
  <c r="P3165" i="4"/>
  <c r="P3171" i="4"/>
  <c r="H3212" i="4"/>
  <c r="P3249" i="4"/>
  <c r="P3149" i="4"/>
  <c r="P3224" i="4"/>
  <c r="H3262" i="4"/>
  <c r="G3110" i="4"/>
  <c r="P3143" i="4"/>
  <c r="P3160" i="4"/>
  <c r="I3166" i="4"/>
  <c r="H3183" i="4"/>
  <c r="P3189" i="4"/>
  <c r="H3202" i="4"/>
  <c r="P3212" i="4"/>
  <c r="I3244" i="4"/>
  <c r="G3702" i="4"/>
  <c r="E3722" i="4"/>
  <c r="G3754" i="4"/>
  <c r="H3754" i="4" s="1"/>
  <c r="P3081" i="4"/>
  <c r="P3166" i="4"/>
  <c r="P3178" i="4"/>
  <c r="P3196" i="4"/>
  <c r="P3202" i="4"/>
  <c r="I3207" i="4"/>
  <c r="G3802" i="4"/>
  <c r="H3802" i="4" s="1"/>
  <c r="P3088" i="4"/>
  <c r="P3231" i="4"/>
  <c r="G3776" i="4"/>
  <c r="I3197" i="4"/>
  <c r="P3213" i="4"/>
  <c r="G3808" i="4"/>
  <c r="H3808" i="4" s="1"/>
  <c r="P3244" i="4"/>
  <c r="I3263" i="4"/>
  <c r="G3677" i="4"/>
  <c r="H3677" i="4" s="1"/>
  <c r="G3755" i="4"/>
  <c r="H3755" i="4" s="1"/>
  <c r="G3824" i="4"/>
  <c r="I3220" i="4"/>
  <c r="P3245" i="4"/>
  <c r="H3257" i="4"/>
  <c r="G3718" i="4"/>
  <c r="H3083" i="4"/>
  <c r="P3090" i="4"/>
  <c r="H3132" i="4"/>
  <c r="I3151" i="4"/>
  <c r="G3666" i="4"/>
  <c r="H3666" i="4" s="1"/>
  <c r="G3830" i="4"/>
  <c r="H3830" i="4" s="1"/>
  <c r="H3198" i="4"/>
  <c r="I3233" i="4"/>
  <c r="H3246" i="4"/>
  <c r="F3734" i="4"/>
  <c r="P3083" i="4"/>
  <c r="H3145" i="4"/>
  <c r="H3240" i="4"/>
  <c r="G3756" i="4"/>
  <c r="H3756" i="4" s="1"/>
  <c r="G3799" i="4"/>
  <c r="H3799" i="4" s="1"/>
  <c r="G3820" i="4"/>
  <c r="H3820" i="4" s="1"/>
  <c r="H3099" i="4"/>
  <c r="H3139" i="4"/>
  <c r="P3151" i="4"/>
  <c r="H3163" i="4"/>
  <c r="P3198" i="4"/>
  <c r="H3258" i="4"/>
  <c r="G3794" i="4"/>
  <c r="H3794" i="4" s="1"/>
  <c r="H3084" i="4"/>
  <c r="I3106" i="4"/>
  <c r="P3145" i="4"/>
  <c r="P3163" i="4"/>
  <c r="H3169" i="4"/>
  <c r="I3204" i="4"/>
  <c r="P3234" i="4"/>
  <c r="P3106" i="4"/>
  <c r="P3119" i="4"/>
  <c r="P3139" i="4"/>
  <c r="I3152" i="4"/>
  <c r="P3157" i="4"/>
  <c r="I3175" i="4"/>
  <c r="P3204" i="4"/>
  <c r="P3258" i="4"/>
  <c r="I3079" i="4"/>
  <c r="P3126" i="4"/>
  <c r="P3152" i="4"/>
  <c r="H3235" i="4"/>
  <c r="P3241" i="4"/>
  <c r="I3247" i="4"/>
  <c r="I3765" i="4"/>
  <c r="H3765" i="4"/>
  <c r="H3655" i="4"/>
  <c r="I3729" i="4"/>
  <c r="H3729" i="4"/>
  <c r="H3777" i="4"/>
  <c r="I2988" i="4"/>
  <c r="I3003" i="4"/>
  <c r="O3009" i="4"/>
  <c r="H3029" i="4"/>
  <c r="I3042" i="4"/>
  <c r="H3060" i="4"/>
  <c r="G3695" i="4"/>
  <c r="G3705" i="4"/>
  <c r="H3705" i="4" s="1"/>
  <c r="I3750" i="4"/>
  <c r="G3786" i="4"/>
  <c r="H3786" i="4" s="1"/>
  <c r="G3829" i="4"/>
  <c r="H3829" i="4" s="1"/>
  <c r="O2988" i="4"/>
  <c r="O3003" i="4"/>
  <c r="O3042" i="4"/>
  <c r="O2893" i="4"/>
  <c r="I2928" i="4"/>
  <c r="H2941" i="4"/>
  <c r="H2971" i="4"/>
  <c r="O2996" i="4"/>
  <c r="I3010" i="4"/>
  <c r="O3023" i="4"/>
  <c r="O3029" i="4"/>
  <c r="H3054" i="4"/>
  <c r="O3060" i="4"/>
  <c r="G3825" i="4"/>
  <c r="I3825" i="4" s="1"/>
  <c r="O2921" i="4"/>
  <c r="O2928" i="4"/>
  <c r="O2941" i="4"/>
  <c r="O2971" i="4"/>
  <c r="H3004" i="4"/>
  <c r="O3010" i="4"/>
  <c r="G3653" i="4"/>
  <c r="H3653" i="4" s="1"/>
  <c r="G3681" i="4"/>
  <c r="I3681" i="4" s="1"/>
  <c r="G3701" i="4"/>
  <c r="H3701" i="4" s="1"/>
  <c r="G3726" i="4"/>
  <c r="H3726" i="4" s="1"/>
  <c r="G3745" i="4"/>
  <c r="H3745" i="4" s="1"/>
  <c r="G3761" i="4"/>
  <c r="H3761" i="4" s="1"/>
  <c r="O3054" i="4"/>
  <c r="H2888" i="4"/>
  <c r="I2922" i="4"/>
  <c r="H2929" i="4"/>
  <c r="O2935" i="4"/>
  <c r="O2948" i="4"/>
  <c r="I2966" i="4"/>
  <c r="H2978" i="4"/>
  <c r="I2983" i="4"/>
  <c r="O2989" i="4"/>
  <c r="O3011" i="4"/>
  <c r="I3018" i="4"/>
  <c r="I3024" i="4"/>
  <c r="H3049" i="4"/>
  <c r="O3061" i="4"/>
  <c r="I3070" i="4"/>
  <c r="G3691" i="4"/>
  <c r="H3691" i="4" s="1"/>
  <c r="G3696" i="4"/>
  <c r="H3696" i="4" s="1"/>
  <c r="G3706" i="4"/>
  <c r="H3706" i="4" s="1"/>
  <c r="G3716" i="4"/>
  <c r="I3716" i="4" s="1"/>
  <c r="G3731" i="4"/>
  <c r="H3731" i="4" s="1"/>
  <c r="G3821" i="4"/>
  <c r="H3821" i="4" s="1"/>
  <c r="O2978" i="4"/>
  <c r="O3070" i="4"/>
  <c r="I3731" i="4"/>
  <c r="O2888" i="4"/>
  <c r="H2895" i="4"/>
  <c r="H2909" i="4"/>
  <c r="H2936" i="4"/>
  <c r="H2955" i="4"/>
  <c r="H2972" i="4"/>
  <c r="O3012" i="4"/>
  <c r="H3038" i="4"/>
  <c r="H3044" i="4"/>
  <c r="O3049" i="4"/>
  <c r="G3741" i="4"/>
  <c r="H3741" i="4" s="1"/>
  <c r="I2916" i="4"/>
  <c r="O2923" i="4"/>
  <c r="I2936" i="4"/>
  <c r="H2967" i="4"/>
  <c r="I2998" i="4"/>
  <c r="H3005" i="4"/>
  <c r="H3025" i="4"/>
  <c r="H3032" i="4"/>
  <c r="I3038" i="4"/>
  <c r="I3762" i="4"/>
  <c r="G3767" i="4"/>
  <c r="H3767" i="4" s="1"/>
  <c r="G3782" i="4"/>
  <c r="H3782" i="4" s="1"/>
  <c r="I3787" i="4"/>
  <c r="G3812" i="4"/>
  <c r="I3812" i="4" s="1"/>
  <c r="G3826" i="4"/>
  <c r="I3826" i="4" s="1"/>
  <c r="G3836" i="4"/>
  <c r="I3836" i="4" s="1"/>
  <c r="O2882" i="4"/>
  <c r="O2895" i="4"/>
  <c r="O2909" i="4"/>
  <c r="O2916" i="4"/>
  <c r="I2943" i="4"/>
  <c r="O2955" i="4"/>
  <c r="O2972" i="4"/>
  <c r="H2991" i="4"/>
  <c r="O2998" i="4"/>
  <c r="O3018" i="4"/>
  <c r="O3063" i="4"/>
  <c r="G3682" i="4"/>
  <c r="G3692" i="4"/>
  <c r="I3692" i="4" s="1"/>
  <c r="G3792" i="4"/>
  <c r="H3792" i="4" s="1"/>
  <c r="I3831" i="4"/>
  <c r="O2967" i="4"/>
  <c r="O2984" i="4"/>
  <c r="O3005" i="4"/>
  <c r="O3025" i="4"/>
  <c r="O3032" i="4"/>
  <c r="G3678" i="4"/>
  <c r="H3678" i="4" s="1"/>
  <c r="G3712" i="4"/>
  <c r="H3712" i="4" s="1"/>
  <c r="G3727" i="4"/>
  <c r="H3727" i="4" s="1"/>
  <c r="G3732" i="4"/>
  <c r="H3732" i="4" s="1"/>
  <c r="G3737" i="4"/>
  <c r="H3737" i="4" s="1"/>
  <c r="G3752" i="4"/>
  <c r="I3752" i="4" s="1"/>
  <c r="G3773" i="4"/>
  <c r="H3773" i="4" s="1"/>
  <c r="G3798" i="4"/>
  <c r="H3798" i="4" s="1"/>
  <c r="G3757" i="4"/>
  <c r="H3757" i="4" s="1"/>
  <c r="G3788" i="4"/>
  <c r="H3788" i="4" s="1"/>
  <c r="O2890" i="4"/>
  <c r="O2924" i="4"/>
  <c r="O2944" i="4"/>
  <c r="H2951" i="4"/>
  <c r="H2968" i="4"/>
  <c r="I2974" i="4"/>
  <c r="O2985" i="4"/>
  <c r="H3014" i="4"/>
  <c r="H3026" i="4"/>
  <c r="I3057" i="4"/>
  <c r="G3778" i="4"/>
  <c r="I3778" i="4" s="1"/>
  <c r="H2884" i="4"/>
  <c r="I2897" i="4"/>
  <c r="I2911" i="4"/>
  <c r="O2917" i="4"/>
  <c r="I2951" i="4"/>
  <c r="O2974" i="4"/>
  <c r="O3006" i="4"/>
  <c r="I3065" i="4"/>
  <c r="G3683" i="4"/>
  <c r="H3683" i="4" s="1"/>
  <c r="G3688" i="4"/>
  <c r="G3703" i="4"/>
  <c r="H3703" i="4" s="1"/>
  <c r="G3713" i="4"/>
  <c r="H3713" i="4" s="1"/>
  <c r="G3728" i="4"/>
  <c r="G3738" i="4"/>
  <c r="H3738" i="4" s="1"/>
  <c r="G3763" i="4"/>
  <c r="H3763" i="4" s="1"/>
  <c r="G3774" i="4"/>
  <c r="H3774" i="4" s="1"/>
  <c r="G3793" i="4"/>
  <c r="H3793" i="4" s="1"/>
  <c r="G3813" i="4"/>
  <c r="I3813" i="4" s="1"/>
  <c r="O2897" i="4"/>
  <c r="O2911" i="4"/>
  <c r="O2931" i="4"/>
  <c r="O2956" i="4"/>
  <c r="O2992" i="4"/>
  <c r="O3026" i="4"/>
  <c r="O3045" i="4"/>
  <c r="G3693" i="4"/>
  <c r="I3693" i="4" s="1"/>
  <c r="G3837" i="4"/>
  <c r="I3837" i="4" s="1"/>
  <c r="O3020" i="4"/>
  <c r="O3033" i="4"/>
  <c r="H3073" i="4"/>
  <c r="I3650" i="4"/>
  <c r="G3655" i="4"/>
  <c r="I3655" i="4" s="1"/>
  <c r="G3660" i="4"/>
  <c r="H3660" i="4" s="1"/>
  <c r="G3753" i="4"/>
  <c r="H3753" i="4" s="1"/>
  <c r="G3823" i="4"/>
  <c r="H3823" i="4" s="1"/>
  <c r="I2898" i="4"/>
  <c r="O2968" i="4"/>
  <c r="I3046" i="4"/>
  <c r="O3057" i="4"/>
  <c r="I3066" i="4"/>
  <c r="I3073" i="4"/>
  <c r="G3665" i="4"/>
  <c r="H3665" i="4" s="1"/>
  <c r="G3679" i="4"/>
  <c r="H3679" i="4" s="1"/>
  <c r="I3733" i="4"/>
  <c r="I3743" i="4"/>
  <c r="G3789" i="4"/>
  <c r="I3789" i="4" s="1"/>
  <c r="G3809" i="4"/>
  <c r="H3809" i="4" s="1"/>
  <c r="H2981" i="4"/>
  <c r="O3066" i="4"/>
  <c r="G3689" i="4"/>
  <c r="H3689" i="4" s="1"/>
  <c r="O2986" i="4"/>
  <c r="O3001" i="4"/>
  <c r="O3040" i="4"/>
  <c r="I3058" i="4"/>
  <c r="H2958" i="4"/>
  <c r="O2964" i="4"/>
  <c r="O3021" i="4"/>
  <c r="G3719" i="4"/>
  <c r="H3719" i="4" s="1"/>
  <c r="G3785" i="4"/>
  <c r="H3785" i="4" s="1"/>
  <c r="G3814" i="4"/>
  <c r="H3814" i="4" s="1"/>
  <c r="O2885" i="4"/>
  <c r="I2899" i="4"/>
  <c r="O2919" i="4"/>
  <c r="H2933" i="4"/>
  <c r="O2939" i="4"/>
  <c r="O2958" i="4"/>
  <c r="O2976" i="4"/>
  <c r="O2987" i="4"/>
  <c r="O3008" i="4"/>
  <c r="H3016" i="4"/>
  <c r="O3035" i="4"/>
  <c r="G3680" i="4"/>
  <c r="I3680" i="4" s="1"/>
  <c r="G3838" i="4"/>
  <c r="I3838" i="4" s="1"/>
  <c r="O2892" i="4"/>
  <c r="O2899" i="4"/>
  <c r="H2927" i="4"/>
  <c r="G3661" i="4"/>
  <c r="H3661" i="4" s="1"/>
  <c r="G3690" i="4"/>
  <c r="H3690" i="4" s="1"/>
  <c r="L2784" i="4"/>
  <c r="L2855" i="4"/>
  <c r="M2855" i="4" s="1"/>
  <c r="L2742" i="4"/>
  <c r="M2742" i="4" s="1"/>
  <c r="L2849" i="4"/>
  <c r="M2849" i="4" s="1"/>
  <c r="L2863" i="4"/>
  <c r="M2863" i="4" s="1"/>
  <c r="M2526" i="4"/>
  <c r="M2533" i="4"/>
  <c r="M2599" i="4"/>
  <c r="M2606" i="4"/>
  <c r="N2620" i="4"/>
  <c r="M2627" i="4"/>
  <c r="M2648" i="4"/>
  <c r="N2664" i="4"/>
  <c r="M2682" i="4"/>
  <c r="L2728" i="4"/>
  <c r="M2728" i="4" s="1"/>
  <c r="M2541" i="4"/>
  <c r="M2559" i="4"/>
  <c r="N2567" i="4"/>
  <c r="N2600" i="4"/>
  <c r="M2614" i="4"/>
  <c r="M2635" i="4"/>
  <c r="L2691" i="4"/>
  <c r="N2691" i="4" s="1"/>
  <c r="L2697" i="4"/>
  <c r="M2697" i="4" s="1"/>
  <c r="L2722" i="4"/>
  <c r="M2722" i="4" s="1"/>
  <c r="L2857" i="4"/>
  <c r="M2857" i="4" s="1"/>
  <c r="M2607" i="4"/>
  <c r="M2622" i="4"/>
  <c r="M2650" i="4"/>
  <c r="M2666" i="4"/>
  <c r="L2759" i="4"/>
  <c r="M2759" i="4" s="1"/>
  <c r="L2773" i="4"/>
  <c r="M2773" i="4" s="1"/>
  <c r="M2512" i="4"/>
  <c r="N2594" i="4"/>
  <c r="M2602" i="4"/>
  <c r="M2579" i="4"/>
  <c r="M2587" i="4"/>
  <c r="M2529" i="4"/>
  <c r="N2554" i="4"/>
  <c r="M2651" i="4"/>
  <c r="M2660" i="4"/>
  <c r="M2523" i="4"/>
  <c r="N2588" i="4"/>
  <c r="M2638" i="4"/>
  <c r="N2652" i="4"/>
  <c r="M2678" i="4"/>
  <c r="N2610" i="4"/>
  <c r="M2631" i="4"/>
  <c r="L2740" i="4"/>
  <c r="M2740" i="4" s="1"/>
  <c r="M2582" i="4"/>
  <c r="L2700" i="4"/>
  <c r="N2700" i="4" s="1"/>
  <c r="L2755" i="4"/>
  <c r="M2755" i="4" s="1"/>
  <c r="M2639" i="4"/>
  <c r="M2646" i="4"/>
  <c r="M2662" i="4"/>
  <c r="M2688" i="4"/>
  <c r="L2805" i="4"/>
  <c r="M2805" i="4" s="1"/>
  <c r="L2841" i="4"/>
  <c r="M2841" i="4" s="1"/>
  <c r="K2705" i="4"/>
  <c r="L2827" i="4"/>
  <c r="M2827" i="4" s="1"/>
  <c r="L2729" i="4"/>
  <c r="N2729" i="4" s="1"/>
  <c r="M2370" i="4"/>
  <c r="N2370" i="4"/>
  <c r="N2382" i="4"/>
  <c r="M2382" i="4"/>
  <c r="M2352" i="4"/>
  <c r="N2486" i="4"/>
  <c r="N2493" i="4"/>
  <c r="J2717" i="4"/>
  <c r="L2868" i="4"/>
  <c r="N2868" i="4" s="1"/>
  <c r="N2309" i="4"/>
  <c r="N2321" i="4"/>
  <c r="M2338" i="4"/>
  <c r="L2345" i="4"/>
  <c r="M2345" i="4" s="1"/>
  <c r="N2373" i="4"/>
  <c r="N2402" i="4"/>
  <c r="M2487" i="4"/>
  <c r="L2694" i="4"/>
  <c r="M2694" i="4" s="1"/>
  <c r="M2316" i="4"/>
  <c r="M2360" i="4"/>
  <c r="M2381" i="4"/>
  <c r="M2395" i="4"/>
  <c r="M2417" i="4"/>
  <c r="M2437" i="4"/>
  <c r="L2452" i="4"/>
  <c r="N2452" i="4" s="1"/>
  <c r="M2465" i="4"/>
  <c r="N2471" i="4"/>
  <c r="N2480" i="4"/>
  <c r="K2766" i="4"/>
  <c r="L2766" i="4" s="1"/>
  <c r="K2787" i="4"/>
  <c r="M2361" i="4"/>
  <c r="L2404" i="4"/>
  <c r="M2404" i="4" s="1"/>
  <c r="M2445" i="4"/>
  <c r="M2453" i="4"/>
  <c r="M2481" i="4"/>
  <c r="N2488" i="4"/>
  <c r="K2788" i="4"/>
  <c r="L2788" i="4" s="1"/>
  <c r="M2788" i="4" s="1"/>
  <c r="N2331" i="4"/>
  <c r="L2333" i="4"/>
  <c r="N2333" i="4" s="1"/>
  <c r="M2354" i="4"/>
  <c r="K2753" i="4"/>
  <c r="L2753" i="4" s="1"/>
  <c r="N2753" i="4" s="1"/>
  <c r="K2767" i="4"/>
  <c r="L2767" i="4" s="1"/>
  <c r="M2767" i="4" s="1"/>
  <c r="M2466" i="4"/>
  <c r="M2473" i="4"/>
  <c r="L2837" i="4"/>
  <c r="N2837" i="4" s="1"/>
  <c r="L2864" i="4"/>
  <c r="M2864" i="4" s="1"/>
  <c r="L2383" i="4"/>
  <c r="M2383" i="4" s="1"/>
  <c r="L2789" i="4"/>
  <c r="L2369" i="4"/>
  <c r="M2369" i="4" s="1"/>
  <c r="M2377" i="4"/>
  <c r="M2419" i="4"/>
  <c r="M2446" i="4"/>
  <c r="N2454" i="4"/>
  <c r="M2496" i="4"/>
  <c r="J2754" i="4"/>
  <c r="L2754" i="4" s="1"/>
  <c r="L2427" i="4"/>
  <c r="M2427" i="4" s="1"/>
  <c r="M2433" i="4"/>
  <c r="N2439" i="4"/>
  <c r="L2475" i="4"/>
  <c r="N2475" i="4" s="1"/>
  <c r="M2482" i="4"/>
  <c r="L2690" i="4"/>
  <c r="M2690" i="4" s="1"/>
  <c r="M2461" i="4"/>
  <c r="J2741" i="4"/>
  <c r="M2451" i="4"/>
  <c r="K2741" i="4"/>
  <c r="L2831" i="4"/>
  <c r="M2831" i="4" s="1"/>
  <c r="M2349" i="4"/>
  <c r="L2428" i="4"/>
  <c r="M2428" i="4" s="1"/>
  <c r="L2476" i="4"/>
  <c r="N2476" i="4" s="1"/>
  <c r="M2321" i="4"/>
  <c r="L2357" i="4"/>
  <c r="N2357" i="4" s="1"/>
  <c r="L2783" i="4"/>
  <c r="M2783" i="4" s="1"/>
  <c r="N2428" i="4"/>
  <c r="M2491" i="4"/>
  <c r="M2421" i="4"/>
  <c r="M2462" i="4"/>
  <c r="M2477" i="4"/>
  <c r="M2336" i="4"/>
  <c r="M2371" i="4"/>
  <c r="M2379" i="4"/>
  <c r="M2429" i="4"/>
  <c r="N2456" i="4"/>
  <c r="M2469" i="4"/>
  <c r="L2692" i="4"/>
  <c r="M2692" i="4" s="1"/>
  <c r="K2834" i="4"/>
  <c r="L2834" i="4" s="1"/>
  <c r="M2834" i="4" s="1"/>
  <c r="K2858" i="4"/>
  <c r="L2858" i="4" s="1"/>
  <c r="M2858" i="4" s="1"/>
  <c r="L2739" i="4"/>
  <c r="L2751" i="4"/>
  <c r="M2751" i="4" s="1"/>
  <c r="L2775" i="4"/>
  <c r="L2811" i="4"/>
  <c r="M2811" i="4" s="1"/>
  <c r="L2823" i="4"/>
  <c r="M2823" i="4" s="1"/>
  <c r="L2859" i="4"/>
  <c r="M2859" i="4" s="1"/>
  <c r="M2320" i="4"/>
  <c r="M2372" i="4"/>
  <c r="M2457" i="4"/>
  <c r="M2478" i="4"/>
  <c r="L2757" i="4"/>
  <c r="M2757" i="4" s="1"/>
  <c r="M2458" i="4"/>
  <c r="M2187" i="4"/>
  <c r="N2187" i="4"/>
  <c r="M2211" i="4"/>
  <c r="N2211" i="4"/>
  <c r="N2861" i="4"/>
  <c r="M2861" i="4"/>
  <c r="L2235" i="4"/>
  <c r="P2235" i="4" s="1"/>
  <c r="L2720" i="4"/>
  <c r="M2720" i="4" s="1"/>
  <c r="J2727" i="4"/>
  <c r="L2727" i="4" s="1"/>
  <c r="N2727" i="4" s="1"/>
  <c r="L2752" i="4"/>
  <c r="M2752" i="4" s="1"/>
  <c r="L2804" i="4"/>
  <c r="M2804" i="4" s="1"/>
  <c r="L2856" i="4"/>
  <c r="M2130" i="4"/>
  <c r="P2161" i="4"/>
  <c r="L2246" i="4"/>
  <c r="N2264" i="4"/>
  <c r="M2290" i="4"/>
  <c r="K2798" i="4"/>
  <c r="L2798" i="4" s="1"/>
  <c r="M2798" i="4" s="1"/>
  <c r="M2122" i="4"/>
  <c r="L2162" i="4"/>
  <c r="M2199" i="4"/>
  <c r="M2218" i="4"/>
  <c r="N2227" i="4"/>
  <c r="L2282" i="4"/>
  <c r="N2282" i="4" s="1"/>
  <c r="K2714" i="4"/>
  <c r="N2122" i="4"/>
  <c r="L2247" i="4"/>
  <c r="N2247" i="4" s="1"/>
  <c r="J2715" i="4"/>
  <c r="L2715" i="4" s="1"/>
  <c r="N2715" i="4" s="1"/>
  <c r="J2799" i="4"/>
  <c r="L2799" i="4" s="1"/>
  <c r="M2799" i="4" s="1"/>
  <c r="L2163" i="4"/>
  <c r="N2163" i="4" s="1"/>
  <c r="L2760" i="4"/>
  <c r="N2760" i="4" s="1"/>
  <c r="K2786" i="4"/>
  <c r="L2786" i="4" s="1"/>
  <c r="L2851" i="4"/>
  <c r="M2851" i="4" s="1"/>
  <c r="K2870" i="4"/>
  <c r="L2283" i="4"/>
  <c r="N2283" i="4" s="1"/>
  <c r="P2228" i="4"/>
  <c r="L2258" i="4"/>
  <c r="M2258" i="4" s="1"/>
  <c r="M2291" i="4"/>
  <c r="L2774" i="4"/>
  <c r="M2774" i="4" s="1"/>
  <c r="J2787" i="4"/>
  <c r="J2871" i="4"/>
  <c r="L2871" i="4" s="1"/>
  <c r="N2871" i="4" s="1"/>
  <c r="P2302" i="4"/>
  <c r="K2846" i="4"/>
  <c r="L2846" i="4" s="1"/>
  <c r="M2846" i="4" s="1"/>
  <c r="M2192" i="4"/>
  <c r="M2201" i="4"/>
  <c r="M2229" i="4"/>
  <c r="N2258" i="4"/>
  <c r="L2761" i="4"/>
  <c r="M2761" i="4" s="1"/>
  <c r="L2820" i="4"/>
  <c r="L2833" i="4"/>
  <c r="M2833" i="4" s="1"/>
  <c r="L2840" i="4"/>
  <c r="M2840" i="4" s="1"/>
  <c r="L2852" i="4"/>
  <c r="M2852" i="4" s="1"/>
  <c r="P2146" i="4"/>
  <c r="L2174" i="4"/>
  <c r="N2174" i="4" s="1"/>
  <c r="L2259" i="4"/>
  <c r="M2302" i="4"/>
  <c r="J2847" i="4"/>
  <c r="L2847" i="4" s="1"/>
  <c r="M2847" i="4" s="1"/>
  <c r="L2175" i="4"/>
  <c r="N2175" i="4" s="1"/>
  <c r="M2267" i="4"/>
  <c r="P2229" i="4"/>
  <c r="M2146" i="4"/>
  <c r="M2165" i="4"/>
  <c r="P2276" i="4"/>
  <c r="K2762" i="4"/>
  <c r="N2184" i="4"/>
  <c r="N2230" i="4"/>
  <c r="N2240" i="4"/>
  <c r="L2736" i="4"/>
  <c r="N2736" i="4" s="1"/>
  <c r="L2860" i="4"/>
  <c r="M2860" i="4" s="1"/>
  <c r="L2126" i="4"/>
  <c r="P2147" i="4"/>
  <c r="L2294" i="4"/>
  <c r="M2294" i="4" s="1"/>
  <c r="J2763" i="4"/>
  <c r="L2763" i="4" s="1"/>
  <c r="M2763" i="4" s="1"/>
  <c r="L2848" i="4"/>
  <c r="M2848" i="4" s="1"/>
  <c r="L2866" i="4"/>
  <c r="M2866" i="4" s="1"/>
  <c r="L2127" i="4"/>
  <c r="N2127" i="4" s="1"/>
  <c r="L2138" i="4"/>
  <c r="N2138" i="4" s="1"/>
  <c r="L2223" i="4"/>
  <c r="P2223" i="4" s="1"/>
  <c r="L2695" i="4"/>
  <c r="M2695" i="4" s="1"/>
  <c r="L2701" i="4"/>
  <c r="M2701" i="4" s="1"/>
  <c r="L2718" i="4"/>
  <c r="N2718" i="4" s="1"/>
  <c r="L2139" i="4"/>
  <c r="N2139" i="4" s="1"/>
  <c r="M2242" i="4"/>
  <c r="M2278" i="4"/>
  <c r="L2295" i="4"/>
  <c r="N2295" i="4" s="1"/>
  <c r="L2750" i="4"/>
  <c r="M2750" i="4" s="1"/>
  <c r="L2796" i="4"/>
  <c r="L2829" i="4"/>
  <c r="M2829" i="4" s="1"/>
  <c r="M2214" i="4"/>
  <c r="L2270" i="4"/>
  <c r="M2270" i="4" s="1"/>
  <c r="M2159" i="4"/>
  <c r="N2205" i="4"/>
  <c r="M2262" i="4"/>
  <c r="L2738" i="4"/>
  <c r="M2738" i="4" s="1"/>
  <c r="L2150" i="4"/>
  <c r="M2150" i="4" s="1"/>
  <c r="L2234" i="4"/>
  <c r="M2234" i="4" s="1"/>
  <c r="M2254" i="4"/>
  <c r="L2271" i="4"/>
  <c r="N2288" i="4"/>
  <c r="L2726" i="4"/>
  <c r="M2726" i="4" s="1"/>
  <c r="L2771" i="4"/>
  <c r="M2771" i="4" s="1"/>
  <c r="L2797" i="4"/>
  <c r="M2797" i="4" s="1"/>
  <c r="L2817" i="4"/>
  <c r="M2817" i="4" s="1"/>
  <c r="N2120" i="4"/>
  <c r="M2129" i="4"/>
  <c r="N2196" i="4"/>
  <c r="N2263" i="4"/>
  <c r="K2810" i="4"/>
  <c r="L2810" i="4" s="1"/>
  <c r="N2216" i="4"/>
  <c r="P2264" i="4"/>
  <c r="M1956" i="4"/>
  <c r="O1978" i="4"/>
  <c r="M2008" i="4"/>
  <c r="N2022" i="4"/>
  <c r="M2058" i="4"/>
  <c r="M2092" i="4"/>
  <c r="L2756" i="4"/>
  <c r="M2756" i="4" s="1"/>
  <c r="L2769" i="4"/>
  <c r="M2769" i="4" s="1"/>
  <c r="N2751" i="4"/>
  <c r="M1949" i="4"/>
  <c r="M1978" i="4"/>
  <c r="M2017" i="4"/>
  <c r="M2030" i="4"/>
  <c r="N2052" i="4"/>
  <c r="M2072" i="4"/>
  <c r="L2745" i="4"/>
  <c r="M2745" i="4" s="1"/>
  <c r="L2825" i="4"/>
  <c r="N2825" i="4" s="1"/>
  <c r="L2873" i="4"/>
  <c r="M2873" i="4" s="1"/>
  <c r="M1924" i="4"/>
  <c r="M2023" i="4"/>
  <c r="L2819" i="4"/>
  <c r="M2819" i="4" s="1"/>
  <c r="L2867" i="4"/>
  <c r="M2867" i="4" s="1"/>
  <c r="O1958" i="4"/>
  <c r="M2107" i="4"/>
  <c r="L2734" i="4"/>
  <c r="M2734" i="4" s="1"/>
  <c r="L2838" i="4"/>
  <c r="M2838" i="4" s="1"/>
  <c r="L2844" i="4"/>
  <c r="L2850" i="4"/>
  <c r="M2850" i="4" s="1"/>
  <c r="N2087" i="4"/>
  <c r="N2107" i="4"/>
  <c r="L2795" i="4"/>
  <c r="M2795" i="4" s="1"/>
  <c r="M1925" i="4"/>
  <c r="M1932" i="4"/>
  <c r="M1950" i="4"/>
  <c r="O1966" i="4"/>
  <c r="O1988" i="4"/>
  <c r="O2002" i="4"/>
  <c r="M2066" i="4"/>
  <c r="N2080" i="4"/>
  <c r="L2801" i="4"/>
  <c r="N2801" i="4" s="1"/>
  <c r="L2814" i="4"/>
  <c r="M2814" i="4" s="1"/>
  <c r="N1925" i="4"/>
  <c r="N1950" i="4"/>
  <c r="L2826" i="4"/>
  <c r="N2826" i="4" s="1"/>
  <c r="O2012" i="4"/>
  <c r="L2730" i="4"/>
  <c r="N2730" i="4" s="1"/>
  <c r="L2777" i="4"/>
  <c r="N2777" i="4" s="1"/>
  <c r="L2790" i="4"/>
  <c r="M2790" i="4" s="1"/>
  <c r="L2832" i="4"/>
  <c r="L2839" i="4"/>
  <c r="M2839" i="4" s="1"/>
  <c r="L2845" i="4"/>
  <c r="M2845" i="4" s="1"/>
  <c r="O1959" i="4"/>
  <c r="M2019" i="4"/>
  <c r="O2081" i="4"/>
  <c r="L2699" i="4"/>
  <c r="N2699" i="4" s="1"/>
  <c r="L2874" i="4"/>
  <c r="N2874" i="4" s="1"/>
  <c r="L2879" i="4"/>
  <c r="M2879" i="4" s="1"/>
  <c r="N2019" i="4"/>
  <c r="N2025" i="4"/>
  <c r="O2055" i="4"/>
  <c r="L2706" i="4"/>
  <c r="N2706" i="4" s="1"/>
  <c r="L2765" i="4"/>
  <c r="N2765" i="4" s="1"/>
  <c r="L2808" i="4"/>
  <c r="M2808" i="4" s="1"/>
  <c r="L2815" i="4"/>
  <c r="M2815" i="4" s="1"/>
  <c r="O1934" i="4"/>
  <c r="M1996" i="4"/>
  <c r="O2026" i="4"/>
  <c r="N2088" i="4"/>
  <c r="O2109" i="4"/>
  <c r="L2778" i="4"/>
  <c r="M2778" i="4" s="1"/>
  <c r="L2821" i="4"/>
  <c r="M2821" i="4" s="1"/>
  <c r="L2869" i="4"/>
  <c r="M2869" i="4" s="1"/>
  <c r="O1935" i="4"/>
  <c r="M2026" i="4"/>
  <c r="O2041" i="4"/>
  <c r="M2075" i="4"/>
  <c r="M2095" i="4"/>
  <c r="M2102" i="4"/>
  <c r="N1990" i="4"/>
  <c r="M1997" i="4"/>
  <c r="O2095" i="4"/>
  <c r="N2803" i="4"/>
  <c r="O1936" i="4"/>
  <c r="M1969" i="4"/>
  <c r="O1990" i="4"/>
  <c r="N2004" i="4"/>
  <c r="N2068" i="4"/>
  <c r="L2748" i="4"/>
  <c r="N2748" i="4" s="1"/>
  <c r="L2779" i="4"/>
  <c r="M2779" i="4" s="1"/>
  <c r="L2785" i="4"/>
  <c r="M2785" i="4" s="1"/>
  <c r="L2792" i="4"/>
  <c r="M2792" i="4" s="1"/>
  <c r="L2828" i="4"/>
  <c r="M2828" i="4" s="1"/>
  <c r="L2835" i="4"/>
  <c r="M2835" i="4" s="1"/>
  <c r="L2865" i="4"/>
  <c r="M2865" i="4" s="1"/>
  <c r="M1936" i="4"/>
  <c r="N1962" i="4"/>
  <c r="M2021" i="4"/>
  <c r="O2083" i="4"/>
  <c r="N2021" i="4"/>
  <c r="M2063" i="4"/>
  <c r="O2084" i="4"/>
  <c r="L2732" i="4"/>
  <c r="M2732" i="4" s="1"/>
  <c r="L2743" i="4"/>
  <c r="M2743" i="4" s="1"/>
  <c r="N2773" i="4"/>
  <c r="M1998" i="4"/>
  <c r="M2028" i="4"/>
  <c r="M2035" i="4"/>
  <c r="N2043" i="4"/>
  <c r="M2050" i="4"/>
  <c r="M2056" i="4"/>
  <c r="L2793" i="4"/>
  <c r="M2793" i="4" s="1"/>
  <c r="N2876" i="4"/>
  <c r="O1971" i="4"/>
  <c r="N1998" i="4"/>
  <c r="O2044" i="4"/>
  <c r="N1929" i="4"/>
  <c r="M1984" i="4"/>
  <c r="O2051" i="4"/>
  <c r="L2716" i="4"/>
  <c r="N2716" i="4" s="1"/>
  <c r="L2768" i="4"/>
  <c r="M2768" i="4" s="1"/>
  <c r="O1930" i="4"/>
  <c r="O1964" i="4"/>
  <c r="M2113" i="4"/>
  <c r="N2733" i="4"/>
  <c r="L2744" i="4"/>
  <c r="M2744" i="4" s="1"/>
  <c r="L2781" i="4"/>
  <c r="M2781" i="4" s="1"/>
  <c r="L2877" i="4"/>
  <c r="M2877" i="4" s="1"/>
  <c r="M1993" i="4"/>
  <c r="M2022" i="4"/>
  <c r="N2113" i="4"/>
  <c r="G2514" i="4"/>
  <c r="F2706" i="4"/>
  <c r="G2706" i="4" s="1"/>
  <c r="H2706" i="4" s="1"/>
  <c r="G2515" i="4"/>
  <c r="H2515" i="4" s="1"/>
  <c r="F2707" i="4"/>
  <c r="G2707" i="4" s="1"/>
  <c r="I2510" i="4"/>
  <c r="I2535" i="4"/>
  <c r="I2548" i="4"/>
  <c r="H2556" i="4"/>
  <c r="I2590" i="4"/>
  <c r="H2634" i="4"/>
  <c r="H2653" i="4"/>
  <c r="H2665" i="4"/>
  <c r="G2795" i="4"/>
  <c r="H2795" i="4" s="1"/>
  <c r="H2570" i="4"/>
  <c r="I2647" i="4"/>
  <c r="H2672" i="4"/>
  <c r="H2660" i="4"/>
  <c r="H2654" i="4"/>
  <c r="H2680" i="4"/>
  <c r="H2530" i="4"/>
  <c r="H2536" i="4"/>
  <c r="G2758" i="4"/>
  <c r="I2758" i="4" s="1"/>
  <c r="G2777" i="4"/>
  <c r="H2777" i="4" s="1"/>
  <c r="H2524" i="4"/>
  <c r="H2571" i="4"/>
  <c r="H2598" i="4"/>
  <c r="H2635" i="4"/>
  <c r="H2642" i="4"/>
  <c r="I2648" i="4"/>
  <c r="I2499" i="4"/>
  <c r="H2512" i="4"/>
  <c r="G2753" i="4"/>
  <c r="G2851" i="4"/>
  <c r="H2851" i="4" s="1"/>
  <c r="H2522" i="4"/>
  <c r="I2621" i="4"/>
  <c r="I2583" i="4"/>
  <c r="H2552" i="4"/>
  <c r="H2559" i="4"/>
  <c r="H2586" i="4"/>
  <c r="H2611" i="4"/>
  <c r="H2689" i="4"/>
  <c r="H2596" i="4"/>
  <c r="H2667" i="4"/>
  <c r="G2827" i="4"/>
  <c r="H2827" i="4" s="1"/>
  <c r="I2580" i="4"/>
  <c r="I2602" i="4"/>
  <c r="H2545" i="4"/>
  <c r="I2553" i="4"/>
  <c r="I2631" i="4"/>
  <c r="H2656" i="4"/>
  <c r="H2668" i="4"/>
  <c r="I2676" i="4"/>
  <c r="H2569" i="4"/>
  <c r="I2539" i="4"/>
  <c r="I2581" i="4"/>
  <c r="H2594" i="4"/>
  <c r="H2546" i="4"/>
  <c r="H2574" i="4"/>
  <c r="I2663" i="4"/>
  <c r="H2561" i="4"/>
  <c r="H2568" i="4"/>
  <c r="I2613" i="4"/>
  <c r="H2626" i="4"/>
  <c r="H2651" i="4"/>
  <c r="I2657" i="4"/>
  <c r="H2582" i="4"/>
  <c r="H2601" i="4"/>
  <c r="H2540" i="4"/>
  <c r="I2555" i="4"/>
  <c r="H2685" i="4"/>
  <c r="I2671" i="4"/>
  <c r="H2658" i="4"/>
  <c r="I2664" i="4"/>
  <c r="H2678" i="4"/>
  <c r="I2474" i="4"/>
  <c r="H2474" i="4"/>
  <c r="I2451" i="4"/>
  <c r="H2340" i="4"/>
  <c r="H2358" i="4"/>
  <c r="H2383" i="4"/>
  <c r="I2415" i="4"/>
  <c r="I2439" i="4"/>
  <c r="H2352" i="4"/>
  <c r="H2396" i="4"/>
  <c r="I2428" i="4"/>
  <c r="H2370" i="4"/>
  <c r="H2492" i="4"/>
  <c r="H2341" i="4"/>
  <c r="H2384" i="4"/>
  <c r="I2440" i="4"/>
  <c r="H2454" i="4"/>
  <c r="H2486" i="4"/>
  <c r="F2788" i="4"/>
  <c r="G2788" i="4" s="1"/>
  <c r="H2788" i="4" s="1"/>
  <c r="F2812" i="4"/>
  <c r="F2715" i="4"/>
  <c r="F2835" i="4"/>
  <c r="G2404" i="4"/>
  <c r="H2404" i="4" s="1"/>
  <c r="G2429" i="4"/>
  <c r="H2429" i="4" s="1"/>
  <c r="F2858" i="4"/>
  <c r="G2858" i="4" s="1"/>
  <c r="H2858" i="4" s="1"/>
  <c r="G2354" i="4"/>
  <c r="E2702" i="4"/>
  <c r="I2311" i="4"/>
  <c r="H2308" i="4"/>
  <c r="H2313" i="4"/>
  <c r="H2360" i="4"/>
  <c r="I2435" i="4"/>
  <c r="I2455" i="4"/>
  <c r="F2789" i="4"/>
  <c r="G2789" i="4" s="1"/>
  <c r="F2702" i="4"/>
  <c r="H2349" i="4"/>
  <c r="H2367" i="4"/>
  <c r="G2700" i="4"/>
  <c r="E2759" i="4"/>
  <c r="E2835" i="4"/>
  <c r="G2331" i="4"/>
  <c r="I2331" i="4" s="1"/>
  <c r="F2759" i="4"/>
  <c r="I2319" i="4"/>
  <c r="G2355" i="4"/>
  <c r="H2355" i="4" s="1"/>
  <c r="H2418" i="4"/>
  <c r="G2690" i="4"/>
  <c r="G2784" i="4"/>
  <c r="H2784" i="4" s="1"/>
  <c r="G2868" i="4"/>
  <c r="H2868" i="4" s="1"/>
  <c r="G2475" i="4"/>
  <c r="H2475" i="4" s="1"/>
  <c r="G2375" i="4"/>
  <c r="H2375" i="4" s="1"/>
  <c r="H2426" i="4"/>
  <c r="G2754" i="4"/>
  <c r="I2754" i="4" s="1"/>
  <c r="G2760" i="4"/>
  <c r="H2760" i="4" s="1"/>
  <c r="H2490" i="4"/>
  <c r="H2316" i="4"/>
  <c r="H2339" i="4"/>
  <c r="H2382" i="4"/>
  <c r="H2464" i="4"/>
  <c r="H2321" i="4"/>
  <c r="H2333" i="4"/>
  <c r="H2345" i="4"/>
  <c r="H2395" i="4"/>
  <c r="H2408" i="4"/>
  <c r="I2452" i="4"/>
  <c r="H2458" i="4"/>
  <c r="I2484" i="4"/>
  <c r="G2828" i="4"/>
  <c r="I2828" i="4" s="1"/>
  <c r="I2205" i="4"/>
  <c r="P2205" i="4"/>
  <c r="G2145" i="4"/>
  <c r="P2145" i="4" s="1"/>
  <c r="P2179" i="4"/>
  <c r="H2231" i="4"/>
  <c r="P2290" i="4"/>
  <c r="F2745" i="4"/>
  <c r="G2745" i="4" s="1"/>
  <c r="H2745" i="4" s="1"/>
  <c r="G2816" i="4"/>
  <c r="I2816" i="4" s="1"/>
  <c r="P2196" i="4"/>
  <c r="G2241" i="4"/>
  <c r="I2241" i="4" s="1"/>
  <c r="P2266" i="4"/>
  <c r="P2231" i="4"/>
  <c r="F2757" i="4"/>
  <c r="G2757" i="4" s="1"/>
  <c r="F2781" i="4"/>
  <c r="G2781" i="4" s="1"/>
  <c r="I2781" i="4" s="1"/>
  <c r="F2793" i="4"/>
  <c r="F2769" i="4"/>
  <c r="G2769" i="4" s="1"/>
  <c r="I2769" i="4" s="1"/>
  <c r="G2301" i="4"/>
  <c r="H2301" i="4" s="1"/>
  <c r="F2805" i="4"/>
  <c r="F2841" i="4"/>
  <c r="G2841" i="4" s="1"/>
  <c r="I2841" i="4" s="1"/>
  <c r="P2191" i="4"/>
  <c r="G2277" i="4"/>
  <c r="I2277" i="4" s="1"/>
  <c r="P2172" i="4"/>
  <c r="G2253" i="4"/>
  <c r="H2253" i="4" s="1"/>
  <c r="G2157" i="4"/>
  <c r="G2742" i="4"/>
  <c r="H2742" i="4" s="1"/>
  <c r="G2836" i="4"/>
  <c r="G2842" i="4"/>
  <c r="F2865" i="4"/>
  <c r="G2865" i="4" s="1"/>
  <c r="H2865" i="4" s="1"/>
  <c r="G2763" i="4"/>
  <c r="I2763" i="4" s="1"/>
  <c r="H2140" i="4"/>
  <c r="P2227" i="4"/>
  <c r="I2244" i="4"/>
  <c r="G2837" i="4"/>
  <c r="H2837" i="4" s="1"/>
  <c r="G2843" i="4"/>
  <c r="H2843" i="4" s="1"/>
  <c r="G2861" i="4"/>
  <c r="H2861" i="4" s="1"/>
  <c r="H2159" i="4"/>
  <c r="H2167" i="4"/>
  <c r="G2831" i="4"/>
  <c r="H2831" i="4" s="1"/>
  <c r="P2255" i="4"/>
  <c r="P2279" i="4"/>
  <c r="G2755" i="4"/>
  <c r="H2755" i="4" s="1"/>
  <c r="G2791" i="4"/>
  <c r="H2791" i="4" s="1"/>
  <c r="H2144" i="4"/>
  <c r="H2152" i="4"/>
  <c r="P2256" i="4"/>
  <c r="I2144" i="4"/>
  <c r="H2298" i="4"/>
  <c r="P2124" i="4"/>
  <c r="P2116" i="4"/>
  <c r="H2166" i="4"/>
  <c r="I2183" i="4"/>
  <c r="I2250" i="4"/>
  <c r="H2280" i="4"/>
  <c r="H2143" i="4"/>
  <c r="G2813" i="4"/>
  <c r="H2813" i="4" s="1"/>
  <c r="G2825" i="4"/>
  <c r="H2825" i="4" s="1"/>
  <c r="G2872" i="4"/>
  <c r="H2872" i="4" s="1"/>
  <c r="P2143" i="4"/>
  <c r="P2232" i="4"/>
  <c r="H2117" i="4"/>
  <c r="I2208" i="4"/>
  <c r="G2743" i="4"/>
  <c r="H2743" i="4" s="1"/>
  <c r="G2855" i="4"/>
  <c r="H2855" i="4" s="1"/>
  <c r="P2117" i="4"/>
  <c r="P2208" i="4"/>
  <c r="P2177" i="4"/>
  <c r="P2184" i="4"/>
  <c r="I2261" i="4"/>
  <c r="H2125" i="4"/>
  <c r="I2209" i="4"/>
  <c r="I2267" i="4"/>
  <c r="G2844" i="4"/>
  <c r="H2844" i="4" s="1"/>
  <c r="P2201" i="4"/>
  <c r="G2744" i="4"/>
  <c r="P2153" i="4"/>
  <c r="H2262" i="4"/>
  <c r="G2756" i="4"/>
  <c r="I2756" i="4" s="1"/>
  <c r="G2792" i="4"/>
  <c r="I2792" i="4" s="1"/>
  <c r="G2714" i="4"/>
  <c r="H2714" i="4" s="1"/>
  <c r="P2303" i="4"/>
  <c r="H2120" i="4"/>
  <c r="I2128" i="4"/>
  <c r="H2263" i="4"/>
  <c r="G2793" i="4"/>
  <c r="H2793" i="4" s="1"/>
  <c r="H2155" i="4"/>
  <c r="P2171" i="4"/>
  <c r="I2196" i="4"/>
  <c r="P2220" i="4"/>
  <c r="H2286" i="4"/>
  <c r="P2129" i="4"/>
  <c r="P2180" i="4"/>
  <c r="H2205" i="4"/>
  <c r="P2213" i="4"/>
  <c r="P2286" i="4"/>
  <c r="P2121" i="4"/>
  <c r="I2256" i="4"/>
  <c r="P2165" i="4"/>
  <c r="H2287" i="4"/>
  <c r="H2130" i="4"/>
  <c r="P2141" i="4"/>
  <c r="G2747" i="4"/>
  <c r="H2747" i="4" s="1"/>
  <c r="G2800" i="4"/>
  <c r="H2800" i="4" s="1"/>
  <c r="G2806" i="4"/>
  <c r="I2806" i="4" s="1"/>
  <c r="G2738" i="4"/>
  <c r="H2738" i="4" s="1"/>
  <c r="G2750" i="4"/>
  <c r="H2750" i="4" s="1"/>
  <c r="G2774" i="4"/>
  <c r="H2774" i="4" s="1"/>
  <c r="H2222" i="4"/>
  <c r="P2222" i="4"/>
  <c r="G2846" i="4"/>
  <c r="H2846" i="4" s="1"/>
  <c r="G2787" i="4"/>
  <c r="H2787" i="4" s="1"/>
  <c r="H2235" i="4"/>
  <c r="H2283" i="4"/>
  <c r="P2131" i="4"/>
  <c r="I2138" i="4"/>
  <c r="H2158" i="4"/>
  <c r="P2164" i="4"/>
  <c r="P2178" i="4"/>
  <c r="I2204" i="4"/>
  <c r="I2236" i="4"/>
  <c r="I2243" i="4"/>
  <c r="P2138" i="4"/>
  <c r="G2151" i="4"/>
  <c r="I2151" i="4" s="1"/>
  <c r="G2186" i="4"/>
  <c r="I2186" i="4" s="1"/>
  <c r="H2211" i="4"/>
  <c r="H2251" i="4"/>
  <c r="H2257" i="4"/>
  <c r="H2268" i="4"/>
  <c r="H2275" i="4"/>
  <c r="H2292" i="4"/>
  <c r="H2299" i="4"/>
  <c r="G2692" i="4"/>
  <c r="H2692" i="4" s="1"/>
  <c r="G2734" i="4"/>
  <c r="F2739" i="4"/>
  <c r="G2739" i="4" s="1"/>
  <c r="H2739" i="4" s="1"/>
  <c r="H2119" i="4"/>
  <c r="G2139" i="4"/>
  <c r="G2187" i="4"/>
  <c r="G2198" i="4"/>
  <c r="I2198" i="4" s="1"/>
  <c r="I2237" i="4"/>
  <c r="G2258" i="4"/>
  <c r="I2258" i="4" s="1"/>
  <c r="P2268" i="4"/>
  <c r="G2282" i="4"/>
  <c r="I2282" i="4" s="1"/>
  <c r="P2292" i="4"/>
  <c r="F2703" i="4"/>
  <c r="G2766" i="4"/>
  <c r="I2766" i="4" s="1"/>
  <c r="E2810" i="4"/>
  <c r="G2810" i="4" s="1"/>
  <c r="H2810" i="4" s="1"/>
  <c r="F2859" i="4"/>
  <c r="G2126" i="4"/>
  <c r="I2126" i="4" s="1"/>
  <c r="P2211" i="4"/>
  <c r="P2237" i="4"/>
  <c r="P2251" i="4"/>
  <c r="H2264" i="4"/>
  <c r="P2275" i="4"/>
  <c r="H2288" i="4"/>
  <c r="P2299" i="4"/>
  <c r="G2719" i="4"/>
  <c r="H2719" i="4" s="1"/>
  <c r="G2724" i="4"/>
  <c r="H2724" i="4" s="1"/>
  <c r="G2794" i="4"/>
  <c r="I2794" i="4" s="1"/>
  <c r="F2799" i="4"/>
  <c r="G2832" i="4"/>
  <c r="H2832" i="4" s="1"/>
  <c r="G2838" i="4"/>
  <c r="H2838" i="4" s="1"/>
  <c r="P2119" i="4"/>
  <c r="I2288" i="4"/>
  <c r="E2870" i="4"/>
  <c r="G2127" i="4"/>
  <c r="H2127" i="4" s="1"/>
  <c r="P2152" i="4"/>
  <c r="P2192" i="4"/>
  <c r="G2199" i="4"/>
  <c r="I2199" i="4" s="1"/>
  <c r="H2212" i="4"/>
  <c r="H2238" i="4"/>
  <c r="I2252" i="4"/>
  <c r="P2269" i="4"/>
  <c r="I2276" i="4"/>
  <c r="P2293" i="4"/>
  <c r="I2300" i="4"/>
  <c r="G2761" i="4"/>
  <c r="H2761" i="4" s="1"/>
  <c r="G2778" i="4"/>
  <c r="E2822" i="4"/>
  <c r="G2822" i="4" s="1"/>
  <c r="H2822" i="4" s="1"/>
  <c r="F2870" i="4"/>
  <c r="H2226" i="4"/>
  <c r="I2232" i="4"/>
  <c r="P2238" i="4"/>
  <c r="G2259" i="4"/>
  <c r="G2270" i="4"/>
  <c r="I2270" i="4" s="1"/>
  <c r="G2294" i="4"/>
  <c r="H2294" i="4" s="1"/>
  <c r="G2699" i="4"/>
  <c r="H2699" i="4" s="1"/>
  <c r="F2751" i="4"/>
  <c r="G2751" i="4" s="1"/>
  <c r="H2751" i="4" s="1"/>
  <c r="G2767" i="4"/>
  <c r="H2767" i="4" s="1"/>
  <c r="I2193" i="4"/>
  <c r="P2212" i="4"/>
  <c r="P2252" i="4"/>
  <c r="P2300" i="4"/>
  <c r="G2735" i="4"/>
  <c r="H2735" i="4" s="1"/>
  <c r="F2811" i="4"/>
  <c r="G2839" i="4"/>
  <c r="H2839" i="4" s="1"/>
  <c r="G2174" i="4"/>
  <c r="H2188" i="4"/>
  <c r="P2206" i="4"/>
  <c r="H2114" i="4"/>
  <c r="P2140" i="4"/>
  <c r="I2160" i="4"/>
  <c r="H2233" i="4"/>
  <c r="H2239" i="4"/>
  <c r="H2289" i="4"/>
  <c r="G2716" i="4"/>
  <c r="H2716" i="4" s="1"/>
  <c r="G2779" i="4"/>
  <c r="H2779" i="4" s="1"/>
  <c r="G2866" i="4"/>
  <c r="I2866" i="4" s="1"/>
  <c r="F2871" i="4"/>
  <c r="G2871" i="4" s="1"/>
  <c r="P2114" i="4"/>
  <c r="P2120" i="4"/>
  <c r="P2154" i="4"/>
  <c r="P2160" i="4"/>
  <c r="P2167" i="4"/>
  <c r="G2175" i="4"/>
  <c r="H2175" i="4" s="1"/>
  <c r="H2213" i="4"/>
  <c r="I2233" i="4"/>
  <c r="G2271" i="4"/>
  <c r="H2271" i="4" s="1"/>
  <c r="P2289" i="4"/>
  <c r="F2823" i="4"/>
  <c r="G2823" i="4" s="1"/>
  <c r="H2823" i="4" s="1"/>
  <c r="P2158" i="4"/>
  <c r="P2188" i="4"/>
  <c r="P2239" i="4"/>
  <c r="E2726" i="4"/>
  <c r="G2726" i="4" s="1"/>
  <c r="H2726" i="4" s="1"/>
  <c r="G2736" i="4"/>
  <c r="H2736" i="4" s="1"/>
  <c r="G2752" i="4"/>
  <c r="H2752" i="4" s="1"/>
  <c r="G2768" i="4"/>
  <c r="I2768" i="4" s="1"/>
  <c r="G2790" i="4"/>
  <c r="G2801" i="4"/>
  <c r="H2801" i="4" s="1"/>
  <c r="G2812" i="4"/>
  <c r="I2812" i="4" s="1"/>
  <c r="G2818" i="4"/>
  <c r="H2818" i="4" s="1"/>
  <c r="G2840" i="4"/>
  <c r="I2840" i="4" s="1"/>
  <c r="G2234" i="4"/>
  <c r="I2234" i="4" s="1"/>
  <c r="I2142" i="4"/>
  <c r="H2168" i="4"/>
  <c r="H2189" i="4"/>
  <c r="G2721" i="4"/>
  <c r="H2721" i="4" s="1"/>
  <c r="P2168" i="4"/>
  <c r="G2780" i="4"/>
  <c r="I2780" i="4" s="1"/>
  <c r="G2796" i="4"/>
  <c r="H2796" i="4" s="1"/>
  <c r="P2148" i="4"/>
  <c r="G2162" i="4"/>
  <c r="H2162" i="4" s="1"/>
  <c r="H2176" i="4"/>
  <c r="P2189" i="4"/>
  <c r="H2195" i="4"/>
  <c r="P2240" i="4"/>
  <c r="I2285" i="4"/>
  <c r="G2727" i="4"/>
  <c r="H2727" i="4" s="1"/>
  <c r="E2786" i="4"/>
  <c r="G2857" i="4"/>
  <c r="H2857" i="4" s="1"/>
  <c r="I2149" i="4"/>
  <c r="H2169" i="4"/>
  <c r="H2190" i="4"/>
  <c r="I2202" i="4"/>
  <c r="P2273" i="4"/>
  <c r="H2303" i="4"/>
  <c r="G2748" i="4"/>
  <c r="H2748" i="4" s="1"/>
  <c r="F2786" i="4"/>
  <c r="P2204" i="4"/>
  <c r="P2176" i="4"/>
  <c r="I2184" i="4"/>
  <c r="P2190" i="4"/>
  <c r="H2215" i="4"/>
  <c r="P2249" i="4"/>
  <c r="G2722" i="4"/>
  <c r="I2722" i="4" s="1"/>
  <c r="G2764" i="4"/>
  <c r="H2764" i="4" s="1"/>
  <c r="G2770" i="4"/>
  <c r="I2770" i="4" s="1"/>
  <c r="G2808" i="4"/>
  <c r="H2808" i="4" s="1"/>
  <c r="G2830" i="4"/>
  <c r="P2123" i="4"/>
  <c r="G2150" i="4"/>
  <c r="P2169" i="4"/>
  <c r="G2210" i="4"/>
  <c r="I2210" i="4" s="1"/>
  <c r="P2297" i="4"/>
  <c r="H2691" i="4"/>
  <c r="P2215" i="4"/>
  <c r="P2267" i="4"/>
  <c r="H2274" i="4"/>
  <c r="P2291" i="4"/>
  <c r="I2691" i="4"/>
  <c r="G2697" i="4"/>
  <c r="I2697" i="4" s="1"/>
  <c r="G2718" i="4"/>
  <c r="H2718" i="4" s="1"/>
  <c r="G2749" i="4"/>
  <c r="H2749" i="4" s="1"/>
  <c r="G2820" i="4"/>
  <c r="H2820" i="4" s="1"/>
  <c r="G2863" i="4"/>
  <c r="H2863" i="4" s="1"/>
  <c r="H2763" i="4"/>
  <c r="I2727" i="4"/>
  <c r="G2737" i="4"/>
  <c r="H2737" i="4" s="1"/>
  <c r="G2746" i="4"/>
  <c r="H2746" i="4" s="1"/>
  <c r="G2809" i="4"/>
  <c r="H2809" i="4" s="1"/>
  <c r="G2814" i="4"/>
  <c r="G2833" i="4"/>
  <c r="H2833" i="4" s="1"/>
  <c r="G2848" i="4"/>
  <c r="H2848" i="4" s="1"/>
  <c r="H1922" i="4"/>
  <c r="O1952" i="4"/>
  <c r="I1986" i="4"/>
  <c r="H1927" i="4"/>
  <c r="O1967" i="4"/>
  <c r="O1986" i="4"/>
  <c r="O2013" i="4"/>
  <c r="O2024" i="4"/>
  <c r="H2068" i="4"/>
  <c r="O2104" i="4"/>
  <c r="G2765" i="4"/>
  <c r="H2765" i="4" s="1"/>
  <c r="G2775" i="4"/>
  <c r="H2775" i="4" s="1"/>
  <c r="G2819" i="4"/>
  <c r="H2819" i="4" s="1"/>
  <c r="O1922" i="4"/>
  <c r="H1953" i="4"/>
  <c r="H2005" i="4"/>
  <c r="O2031" i="4"/>
  <c r="O2037" i="4"/>
  <c r="G2701" i="4"/>
  <c r="H2701" i="4" s="1"/>
  <c r="G2733" i="4"/>
  <c r="I2733" i="4" s="1"/>
  <c r="G2785" i="4"/>
  <c r="H2785" i="4" s="1"/>
  <c r="G2824" i="4"/>
  <c r="O1927" i="4"/>
  <c r="O2005" i="4"/>
  <c r="O2057" i="4"/>
  <c r="G2876" i="4"/>
  <c r="I2876" i="4" s="1"/>
  <c r="I2880" i="4"/>
  <c r="H1923" i="4"/>
  <c r="H1935" i="4"/>
  <c r="O1953" i="4"/>
  <c r="O1979" i="4"/>
  <c r="O2068" i="4"/>
  <c r="I2815" i="4"/>
  <c r="I2849" i="4"/>
  <c r="I1935" i="4"/>
  <c r="H1948" i="4"/>
  <c r="O1973" i="4"/>
  <c r="O2038" i="4"/>
  <c r="O2046" i="4"/>
  <c r="I2771" i="4"/>
  <c r="O1928" i="4"/>
  <c r="O1948" i="4"/>
  <c r="O1980" i="4"/>
  <c r="O1999" i="4"/>
  <c r="H2020" i="4"/>
  <c r="O2032" i="4"/>
  <c r="I2082" i="4"/>
  <c r="I2099" i="4"/>
  <c r="H2106" i="4"/>
  <c r="G2720" i="4"/>
  <c r="I2720" i="4" s="1"/>
  <c r="I1962" i="4"/>
  <c r="H1969" i="4"/>
  <c r="I1974" i="4"/>
  <c r="H1995" i="4"/>
  <c r="I2007" i="4"/>
  <c r="O2014" i="4"/>
  <c r="O2020" i="4"/>
  <c r="O2082" i="4"/>
  <c r="O2099" i="4"/>
  <c r="G2725" i="4"/>
  <c r="H2725" i="4" s="1"/>
  <c r="G2730" i="4"/>
  <c r="H2730" i="4" s="1"/>
  <c r="G2845" i="4"/>
  <c r="H2845" i="4" s="1"/>
  <c r="G2854" i="4"/>
  <c r="I2854" i="4" s="1"/>
  <c r="G2873" i="4"/>
  <c r="H2873" i="4" s="1"/>
  <c r="O1989" i="4"/>
  <c r="O2000" i="4"/>
  <c r="O2007" i="4"/>
  <c r="O2015" i="4"/>
  <c r="H2047" i="4"/>
  <c r="H2065" i="4"/>
  <c r="O2076" i="4"/>
  <c r="H2089" i="4"/>
  <c r="O2112" i="4"/>
  <c r="I2060" i="4"/>
  <c r="G2772" i="4"/>
  <c r="H2772" i="4" s="1"/>
  <c r="G2821" i="4"/>
  <c r="H2821" i="4" s="1"/>
  <c r="G2826" i="4"/>
  <c r="I2826" i="4" s="1"/>
  <c r="G2850" i="4"/>
  <c r="H2850" i="4" s="1"/>
  <c r="G2864" i="4"/>
  <c r="H2864" i="4" s="1"/>
  <c r="G2877" i="4"/>
  <c r="H2877" i="4" s="1"/>
  <c r="H1924" i="4"/>
  <c r="H2001" i="4"/>
  <c r="O2047" i="4"/>
  <c r="O2065" i="4"/>
  <c r="O2089" i="4"/>
  <c r="G2698" i="4"/>
  <c r="H2698" i="4" s="1"/>
  <c r="G2782" i="4"/>
  <c r="I2782" i="4" s="1"/>
  <c r="O1949" i="4"/>
  <c r="G2717" i="4"/>
  <c r="H2717" i="4" s="1"/>
  <c r="G2797" i="4"/>
  <c r="H2797" i="4" s="1"/>
  <c r="G2802" i="4"/>
  <c r="G2869" i="4"/>
  <c r="H2869" i="4" s="1"/>
  <c r="G2731" i="4"/>
  <c r="H2731" i="4" s="1"/>
  <c r="I1938" i="4"/>
  <c r="I1950" i="4"/>
  <c r="H1996" i="4"/>
  <c r="O2009" i="4"/>
  <c r="O2028" i="4"/>
  <c r="O2090" i="4"/>
  <c r="G2773" i="4"/>
  <c r="H2773" i="4" s="1"/>
  <c r="G2807" i="4"/>
  <c r="H2807" i="4" s="1"/>
  <c r="G2817" i="4"/>
  <c r="H2817" i="4" s="1"/>
  <c r="O1938" i="4"/>
  <c r="I2010" i="4"/>
  <c r="I2042" i="4"/>
  <c r="O2072" i="4"/>
  <c r="H2091" i="4"/>
  <c r="G2704" i="4"/>
  <c r="H2704" i="4" s="1"/>
  <c r="I2783" i="4"/>
  <c r="G2803" i="4"/>
  <c r="H2803" i="4" s="1"/>
  <c r="O1931" i="4"/>
  <c r="H1957" i="4"/>
  <c r="O1965" i="4"/>
  <c r="O1976" i="4"/>
  <c r="O1991" i="4"/>
  <c r="O2010" i="4"/>
  <c r="O2078" i="4"/>
  <c r="H2108" i="4"/>
  <c r="H1946" i="4"/>
  <c r="O1957" i="4"/>
  <c r="H2029" i="4"/>
  <c r="O2042" i="4"/>
  <c r="I2062" i="4"/>
  <c r="O2096" i="4"/>
  <c r="O2102" i="4"/>
  <c r="I2827" i="4"/>
  <c r="G2847" i="4"/>
  <c r="H2847" i="4" s="1"/>
  <c r="O1932" i="4"/>
  <c r="I1939" i="4"/>
  <c r="H1951" i="4"/>
  <c r="H1977" i="4"/>
  <c r="H1992" i="4"/>
  <c r="H2018" i="4"/>
  <c r="O2062" i="4"/>
  <c r="O2108" i="4"/>
  <c r="I2741" i="4"/>
  <c r="I1926" i="4"/>
  <c r="O1946" i="4"/>
  <c r="H1966" i="4"/>
  <c r="O2003" i="4"/>
  <c r="I2011" i="4"/>
  <c r="H2023" i="4"/>
  <c r="O2035" i="4"/>
  <c r="O2049" i="4"/>
  <c r="H2067" i="4"/>
  <c r="H2073" i="4"/>
  <c r="O2091" i="4"/>
  <c r="I2097" i="4"/>
  <c r="O1926" i="4"/>
  <c r="O1951" i="4"/>
  <c r="O1977" i="4"/>
  <c r="O1992" i="4"/>
  <c r="O1997" i="4"/>
  <c r="O2018" i="4"/>
  <c r="O2073" i="4"/>
  <c r="H2109" i="4"/>
  <c r="H2103" i="4"/>
  <c r="G2728" i="4"/>
  <c r="H2728" i="4" s="1"/>
  <c r="L1809" i="4"/>
  <c r="M1809" i="4" s="1"/>
  <c r="L1816" i="4"/>
  <c r="M1816" i="4" s="1"/>
  <c r="M1611" i="4"/>
  <c r="M1648" i="4"/>
  <c r="N1698" i="4"/>
  <c r="L1760" i="4"/>
  <c r="M1760" i="4" s="1"/>
  <c r="M1622" i="4"/>
  <c r="L1823" i="4"/>
  <c r="M1823" i="4" s="1"/>
  <c r="L1855" i="4"/>
  <c r="M1855" i="4" s="1"/>
  <c r="M1719" i="4"/>
  <c r="N1682" i="4"/>
  <c r="N1595" i="4"/>
  <c r="M1623" i="4"/>
  <c r="M1631" i="4"/>
  <c r="M1710" i="4"/>
  <c r="M1577" i="4"/>
  <c r="N1586" i="4"/>
  <c r="M1614" i="4"/>
  <c r="L1777" i="4"/>
  <c r="M1777" i="4" s="1"/>
  <c r="L1865" i="4"/>
  <c r="M1865" i="4" s="1"/>
  <c r="M1558" i="4"/>
  <c r="M1607" i="4"/>
  <c r="L1858" i="4"/>
  <c r="M1858" i="4" s="1"/>
  <c r="N1578" i="4"/>
  <c r="N1684" i="4"/>
  <c r="M1703" i="4"/>
  <c r="L1733" i="4"/>
  <c r="M1733" i="4" s="1"/>
  <c r="M1550" i="4"/>
  <c r="N1608" i="4"/>
  <c r="M1633" i="4"/>
  <c r="L1834" i="4"/>
  <c r="M1834" i="4" s="1"/>
  <c r="L1859" i="4"/>
  <c r="M1859" i="4" s="1"/>
  <c r="N1589" i="4"/>
  <c r="N1644" i="4"/>
  <c r="M1626" i="4"/>
  <c r="L1752" i="4"/>
  <c r="M1752" i="4" s="1"/>
  <c r="L1758" i="4"/>
  <c r="M1758" i="4" s="1"/>
  <c r="L1764" i="4"/>
  <c r="M1764" i="4" s="1"/>
  <c r="M1668" i="4"/>
  <c r="M1553" i="4"/>
  <c r="M1562" i="4"/>
  <c r="N1582" i="4"/>
  <c r="N1628" i="4"/>
  <c r="M1395" i="4"/>
  <c r="N1395" i="4"/>
  <c r="N1418" i="4"/>
  <c r="M1418" i="4"/>
  <c r="L1502" i="4"/>
  <c r="N1502" i="4" s="1"/>
  <c r="K1790" i="4"/>
  <c r="K1862" i="4"/>
  <c r="L1862" i="4" s="1"/>
  <c r="M1375" i="4"/>
  <c r="K1910" i="4"/>
  <c r="L1910" i="4" s="1"/>
  <c r="K1802" i="4"/>
  <c r="N1504" i="4"/>
  <c r="J1791" i="4"/>
  <c r="N1480" i="4"/>
  <c r="N1493" i="4"/>
  <c r="L1490" i="4"/>
  <c r="M1490" i="4" s="1"/>
  <c r="L1886" i="4"/>
  <c r="M1886" i="4" s="1"/>
  <c r="J1767" i="4"/>
  <c r="L1767" i="4" s="1"/>
  <c r="M1767" i="4" s="1"/>
  <c r="K1778" i="4"/>
  <c r="L1778" i="4" s="1"/>
  <c r="M1778" i="4" s="1"/>
  <c r="K1838" i="4"/>
  <c r="L1838" i="4" s="1"/>
  <c r="N1523" i="4"/>
  <c r="L1745" i="4"/>
  <c r="M1745" i="4" s="1"/>
  <c r="L1757" i="4"/>
  <c r="M1757" i="4" s="1"/>
  <c r="N1530" i="4"/>
  <c r="M1510" i="4"/>
  <c r="K1826" i="4"/>
  <c r="L1826" i="4" s="1"/>
  <c r="L1430" i="4"/>
  <c r="N1430" i="4" s="1"/>
  <c r="M1441" i="4"/>
  <c r="L1382" i="4"/>
  <c r="N1382" i="4" s="1"/>
  <c r="L1841" i="4"/>
  <c r="M1841" i="4" s="1"/>
  <c r="N1486" i="4"/>
  <c r="L1848" i="4"/>
  <c r="M1848" i="4" s="1"/>
  <c r="M1162" i="4"/>
  <c r="M1182" i="4"/>
  <c r="N1264" i="4"/>
  <c r="J1803" i="4"/>
  <c r="L1803" i="4" s="1"/>
  <c r="M1803" i="4" s="1"/>
  <c r="L1904" i="4"/>
  <c r="M1904" i="4" s="1"/>
  <c r="L1915" i="4"/>
  <c r="M1915" i="4" s="1"/>
  <c r="L1880" i="4"/>
  <c r="M1880" i="4" s="1"/>
  <c r="L1340" i="4"/>
  <c r="N1340" i="4" s="1"/>
  <c r="J1887" i="4"/>
  <c r="J1779" i="4"/>
  <c r="L1779" i="4" s="1"/>
  <c r="M1779" i="4" s="1"/>
  <c r="L1191" i="4"/>
  <c r="P1191" i="4" s="1"/>
  <c r="L1811" i="4"/>
  <c r="M1811" i="4" s="1"/>
  <c r="L1867" i="4"/>
  <c r="M1867" i="4" s="1"/>
  <c r="P1192" i="4"/>
  <c r="M1158" i="4"/>
  <c r="J1911" i="4"/>
  <c r="L1911" i="4" s="1"/>
  <c r="L1812" i="4"/>
  <c r="M1812" i="4" s="1"/>
  <c r="L1824" i="4"/>
  <c r="M1824" i="4" s="1"/>
  <c r="L1275" i="4"/>
  <c r="P1275" i="4" s="1"/>
  <c r="K1856" i="4"/>
  <c r="L1901" i="4"/>
  <c r="M1901" i="4" s="1"/>
  <c r="N1758" i="4"/>
  <c r="J1863" i="4"/>
  <c r="L1863" i="4" s="1"/>
  <c r="M1863" i="4" s="1"/>
  <c r="N1160" i="4"/>
  <c r="M1170" i="4"/>
  <c r="M1180" i="4"/>
  <c r="K1820" i="4"/>
  <c r="L1820" i="4" s="1"/>
  <c r="L1790" i="4"/>
  <c r="M1790" i="4" s="1"/>
  <c r="L1736" i="4"/>
  <c r="M1736" i="4" s="1"/>
  <c r="L1748" i="4"/>
  <c r="M1748" i="4" s="1"/>
  <c r="L1754" i="4"/>
  <c r="M1754" i="4" s="1"/>
  <c r="L1761" i="4"/>
  <c r="L1738" i="4"/>
  <c r="M1738" i="4" s="1"/>
  <c r="L1744" i="4"/>
  <c r="M1744" i="4" s="1"/>
  <c r="L1750" i="4"/>
  <c r="M1750" i="4" s="1"/>
  <c r="L1756" i="4"/>
  <c r="M1756" i="4" s="1"/>
  <c r="N1072" i="4"/>
  <c r="L1792" i="4"/>
  <c r="M1792" i="4" s="1"/>
  <c r="L1817" i="4"/>
  <c r="M1817" i="4" s="1"/>
  <c r="N1101" i="4"/>
  <c r="M1121" i="4"/>
  <c r="O995" i="4"/>
  <c r="N1003" i="4"/>
  <c r="M1111" i="4"/>
  <c r="M991" i="4"/>
  <c r="M1103" i="4"/>
  <c r="L1876" i="4"/>
  <c r="M1876" i="4" s="1"/>
  <c r="N1103" i="4"/>
  <c r="L1869" i="4"/>
  <c r="M1869" i="4" s="1"/>
  <c r="L1770" i="4"/>
  <c r="M1770" i="4" s="1"/>
  <c r="M978" i="4"/>
  <c r="M997" i="4"/>
  <c r="N1036" i="4"/>
  <c r="L1795" i="4"/>
  <c r="M1795" i="4" s="1"/>
  <c r="N997" i="4"/>
  <c r="O1007" i="4"/>
  <c r="M1135" i="4"/>
  <c r="M1087" i="4"/>
  <c r="L1840" i="4"/>
  <c r="M1840" i="4" s="1"/>
  <c r="N979" i="4"/>
  <c r="L1759" i="4"/>
  <c r="N1759" i="4" s="1"/>
  <c r="O980" i="4"/>
  <c r="L1891" i="4"/>
  <c r="M1891" i="4" s="1"/>
  <c r="L1821" i="4"/>
  <c r="M1821" i="4" s="1"/>
  <c r="O991" i="4"/>
  <c r="N1019" i="4"/>
  <c r="N1117" i="4"/>
  <c r="L1847" i="4"/>
  <c r="M1847" i="4" s="1"/>
  <c r="L1872" i="4"/>
  <c r="M1872" i="4" s="1"/>
  <c r="L1737" i="4"/>
  <c r="M1737" i="4" s="1"/>
  <c r="L1749" i="4"/>
  <c r="G1879" i="4"/>
  <c r="H1879" i="4" s="1"/>
  <c r="G1857" i="4"/>
  <c r="I1857" i="4" s="1"/>
  <c r="H1617" i="4"/>
  <c r="H1555" i="4"/>
  <c r="H1592" i="4"/>
  <c r="I1642" i="4"/>
  <c r="I1709" i="4"/>
  <c r="H1576" i="4"/>
  <c r="H1627" i="4"/>
  <c r="I1702" i="4"/>
  <c r="G1761" i="4"/>
  <c r="I1761" i="4" s="1"/>
  <c r="I1595" i="4"/>
  <c r="H1621" i="4"/>
  <c r="I1646" i="4"/>
  <c r="I1686" i="4"/>
  <c r="I1694" i="4"/>
  <c r="I1721" i="4"/>
  <c r="G1901" i="4"/>
  <c r="H1901" i="4" s="1"/>
  <c r="I1569" i="4"/>
  <c r="H1560" i="4"/>
  <c r="H1678" i="4"/>
  <c r="I1597" i="4"/>
  <c r="H1696" i="4"/>
  <c r="I1670" i="4"/>
  <c r="H1697" i="4"/>
  <c r="G1735" i="4"/>
  <c r="H1735" i="4" s="1"/>
  <c r="G1747" i="4"/>
  <c r="H1747" i="4" s="1"/>
  <c r="G1753" i="4"/>
  <c r="H1753" i="4" s="1"/>
  <c r="G1816" i="4"/>
  <c r="H1816" i="4" s="1"/>
  <c r="G1767" i="4"/>
  <c r="H1767" i="4" s="1"/>
  <c r="G1826" i="4"/>
  <c r="H1826" i="4" s="1"/>
  <c r="G1874" i="4"/>
  <c r="H1874" i="4" s="1"/>
  <c r="G1898" i="4"/>
  <c r="H1898" i="4" s="1"/>
  <c r="I1394" i="4"/>
  <c r="H1476" i="4"/>
  <c r="G1734" i="4"/>
  <c r="H1734" i="4" s="1"/>
  <c r="E1787" i="4"/>
  <c r="G1787" i="4" s="1"/>
  <c r="G1775" i="4"/>
  <c r="H1775" i="4" s="1"/>
  <c r="E1799" i="4"/>
  <c r="G1873" i="4"/>
  <c r="H1873" i="4" s="1"/>
  <c r="I1431" i="4"/>
  <c r="I1421" i="4"/>
  <c r="G1824" i="4"/>
  <c r="H1824" i="4" s="1"/>
  <c r="I1398" i="4"/>
  <c r="I1453" i="4"/>
  <c r="G1843" i="4"/>
  <c r="H1843" i="4" s="1"/>
  <c r="I1465" i="4"/>
  <c r="G1743" i="4"/>
  <c r="H1743" i="4" s="1"/>
  <c r="G1755" i="4"/>
  <c r="H1755" i="4" s="1"/>
  <c r="G1454" i="4"/>
  <c r="H1454" i="4" s="1"/>
  <c r="I1399" i="4"/>
  <c r="I1535" i="4"/>
  <c r="I1445" i="4"/>
  <c r="I1437" i="4"/>
  <c r="I1278" i="4"/>
  <c r="H1278" i="4"/>
  <c r="G1912" i="4"/>
  <c r="H1275" i="4"/>
  <c r="F1854" i="4"/>
  <c r="P1158" i="4"/>
  <c r="P1184" i="4"/>
  <c r="G1803" i="4"/>
  <c r="H1803" i="4" s="1"/>
  <c r="G1338" i="4"/>
  <c r="H1338" i="4" s="1"/>
  <c r="G1759" i="4"/>
  <c r="H1759" i="4" s="1"/>
  <c r="P1169" i="4"/>
  <c r="P1179" i="4"/>
  <c r="P1278" i="4"/>
  <c r="F1782" i="4"/>
  <c r="G1782" i="4" s="1"/>
  <c r="G1737" i="4"/>
  <c r="I1737" i="4" s="1"/>
  <c r="P1155" i="4"/>
  <c r="I1172" i="4"/>
  <c r="P1188" i="4"/>
  <c r="P1271" i="4"/>
  <c r="G1896" i="4"/>
  <c r="H1896" i="4" s="1"/>
  <c r="G1836" i="4"/>
  <c r="H1836" i="4" s="1"/>
  <c r="E1850" i="4"/>
  <c r="G1850" i="4" s="1"/>
  <c r="H1282" i="4"/>
  <c r="P1164" i="4"/>
  <c r="G1819" i="4"/>
  <c r="H1819" i="4" s="1"/>
  <c r="G1766" i="4"/>
  <c r="H1766" i="4" s="1"/>
  <c r="E1910" i="4"/>
  <c r="P1157" i="4"/>
  <c r="E1814" i="4"/>
  <c r="G1740" i="4"/>
  <c r="H1740" i="4" s="1"/>
  <c r="G1758" i="4"/>
  <c r="H1758" i="4" s="1"/>
  <c r="G1853" i="4"/>
  <c r="H1853" i="4" s="1"/>
  <c r="I1742" i="4"/>
  <c r="H1742" i="4"/>
  <c r="H1009" i="4"/>
  <c r="G1914" i="4"/>
  <c r="H1914" i="4" s="1"/>
  <c r="G1822" i="4"/>
  <c r="H1822" i="4" s="1"/>
  <c r="G1883" i="4"/>
  <c r="H1883" i="4" s="1"/>
  <c r="G1855" i="4"/>
  <c r="H1855" i="4" s="1"/>
  <c r="H1019" i="4"/>
  <c r="H1084" i="4"/>
  <c r="G1811" i="4"/>
  <c r="H1811" i="4" s="1"/>
  <c r="G1835" i="4"/>
  <c r="H1835" i="4" s="1"/>
  <c r="G1847" i="4"/>
  <c r="H1847" i="4" s="1"/>
  <c r="G1895" i="4"/>
  <c r="H1895" i="4" s="1"/>
  <c r="G1731" i="4"/>
  <c r="H1731" i="4" s="1"/>
  <c r="G1754" i="4"/>
  <c r="G1765" i="4"/>
  <c r="H1765" i="4" s="1"/>
  <c r="G1889" i="4"/>
  <c r="H1889" i="4" s="1"/>
  <c r="O1019" i="4"/>
  <c r="O1048" i="4"/>
  <c r="H1120" i="4"/>
  <c r="O1038" i="4"/>
  <c r="G1777" i="4"/>
  <c r="H1777" i="4" s="1"/>
  <c r="O985" i="4"/>
  <c r="O994" i="4"/>
  <c r="H1011" i="4"/>
  <c r="H1121" i="4"/>
  <c r="O1011" i="4"/>
  <c r="I1021" i="4"/>
  <c r="H1031" i="4"/>
  <c r="I1087" i="4"/>
  <c r="O986" i="4"/>
  <c r="H1078" i="4"/>
  <c r="I1113" i="4"/>
  <c r="G1750" i="4"/>
  <c r="H1750" i="4" s="1"/>
  <c r="O1003" i="4"/>
  <c r="H1070" i="4"/>
  <c r="O1087" i="4"/>
  <c r="I1105" i="4"/>
  <c r="H1122" i="4"/>
  <c r="H1032" i="4"/>
  <c r="O1105" i="4"/>
  <c r="O1113" i="4"/>
  <c r="I987" i="4"/>
  <c r="G1779" i="4"/>
  <c r="H1779" i="4" s="1"/>
  <c r="G1832" i="4"/>
  <c r="H1832" i="4" s="1"/>
  <c r="G1745" i="4"/>
  <c r="H1745" i="4" s="1"/>
  <c r="G1791" i="4"/>
  <c r="H1791" i="4" s="1"/>
  <c r="G1820" i="4"/>
  <c r="H1820" i="4" s="1"/>
  <c r="G1838" i="4"/>
  <c r="H1838" i="4" s="1"/>
  <c r="G1757" i="4"/>
  <c r="I1757" i="4" s="1"/>
  <c r="I1052" i="4"/>
  <c r="I1089" i="4"/>
  <c r="G1893" i="4"/>
  <c r="H1893" i="4" s="1"/>
  <c r="G1833" i="4"/>
  <c r="H1833" i="4" s="1"/>
  <c r="G1861" i="4"/>
  <c r="H1861" i="4" s="1"/>
  <c r="G1746" i="4"/>
  <c r="H1746" i="4" s="1"/>
  <c r="G1752" i="4"/>
  <c r="H1752" i="4" s="1"/>
  <c r="H981" i="4"/>
  <c r="G1763" i="4"/>
  <c r="H1763" i="4" s="1"/>
  <c r="O1099" i="4"/>
  <c r="O1124" i="4"/>
  <c r="O973" i="4"/>
  <c r="O981" i="4"/>
  <c r="I1074" i="4"/>
  <c r="I1117" i="4"/>
  <c r="O990" i="4"/>
  <c r="I999" i="4"/>
  <c r="O1017" i="4"/>
  <c r="O1082" i="4"/>
  <c r="O1091" i="4"/>
  <c r="H1136" i="4"/>
  <c r="I4818" i="4"/>
  <c r="N4821" i="4"/>
  <c r="I4842" i="4"/>
  <c r="N4845" i="4"/>
  <c r="I4849" i="4"/>
  <c r="N4852" i="4"/>
  <c r="N4859" i="4"/>
  <c r="I4863" i="4"/>
  <c r="N4898" i="4"/>
  <c r="O4912" i="4"/>
  <c r="N4944" i="4"/>
  <c r="N4958" i="4"/>
  <c r="I4962" i="4"/>
  <c r="I4976" i="4"/>
  <c r="I5022" i="4"/>
  <c r="N5025" i="4"/>
  <c r="I5187" i="4"/>
  <c r="H5187" i="4"/>
  <c r="O4821" i="4"/>
  <c r="O4845" i="4"/>
  <c r="O4852" i="4"/>
  <c r="O4859" i="4"/>
  <c r="O4898" i="4"/>
  <c r="O4944" i="4"/>
  <c r="O4958" i="4"/>
  <c r="N5187" i="4"/>
  <c r="M5187" i="4"/>
  <c r="I5288" i="4"/>
  <c r="H5288" i="4"/>
  <c r="M4818" i="4"/>
  <c r="H4839" i="4"/>
  <c r="M4842" i="4"/>
  <c r="M4849" i="4"/>
  <c r="M4863" i="4"/>
  <c r="H4867" i="4"/>
  <c r="H4881" i="4"/>
  <c r="M4909" i="4"/>
  <c r="H4913" i="4"/>
  <c r="H4927" i="4"/>
  <c r="M4962" i="4"/>
  <c r="H4966" i="4"/>
  <c r="H4973" i="4"/>
  <c r="M4976" i="4"/>
  <c r="N5015" i="4"/>
  <c r="I5264" i="4"/>
  <c r="H5264" i="4"/>
  <c r="I4815" i="4"/>
  <c r="N4818" i="4"/>
  <c r="H4822" i="4"/>
  <c r="M4825" i="4"/>
  <c r="I4839" i="4"/>
  <c r="N4842" i="4"/>
  <c r="H4846" i="4"/>
  <c r="N4849" i="4"/>
  <c r="H4853" i="4"/>
  <c r="M4856" i="4"/>
  <c r="H4860" i="4"/>
  <c r="N4863" i="4"/>
  <c r="I4867" i="4"/>
  <c r="N4895" i="4"/>
  <c r="H4906" i="4"/>
  <c r="N4909" i="4"/>
  <c r="I4913" i="4"/>
  <c r="I4927" i="4"/>
  <c r="M4941" i="4"/>
  <c r="H4945" i="4"/>
  <c r="M4948" i="4"/>
  <c r="M4955" i="4"/>
  <c r="H4959" i="4"/>
  <c r="N4962" i="4"/>
  <c r="N4976" i="4"/>
  <c r="P5001" i="4"/>
  <c r="M5008" i="4"/>
  <c r="N5076" i="4"/>
  <c r="M5076" i="4"/>
  <c r="N5144" i="4"/>
  <c r="M5144" i="4"/>
  <c r="H4805" i="4"/>
  <c r="M4808" i="4"/>
  <c r="I4822" i="4"/>
  <c r="N4825" i="4"/>
  <c r="H4829" i="4"/>
  <c r="M4832" i="4"/>
  <c r="I4846" i="4"/>
  <c r="I4853" i="4"/>
  <c r="N4856" i="4"/>
  <c r="I4860" i="4"/>
  <c r="O4881" i="4"/>
  <c r="M4888" i="4"/>
  <c r="I4892" i="4"/>
  <c r="O4895" i="4"/>
  <c r="M4920" i="4"/>
  <c r="M4934" i="4"/>
  <c r="N4941" i="4"/>
  <c r="N4948" i="4"/>
  <c r="H4952" i="4"/>
  <c r="N4955" i="4"/>
  <c r="H4998" i="4"/>
  <c r="M5001" i="4"/>
  <c r="H5005" i="4"/>
  <c r="P5008" i="4"/>
  <c r="N5245" i="4"/>
  <c r="M5245" i="4"/>
  <c r="N5386" i="4"/>
  <c r="M5386" i="4"/>
  <c r="H4819" i="4"/>
  <c r="M4822" i="4"/>
  <c r="H4843" i="4"/>
  <c r="M4846" i="4"/>
  <c r="H4850" i="4"/>
  <c r="M4853" i="4"/>
  <c r="M4860" i="4"/>
  <c r="H4864" i="4"/>
  <c r="I4878" i="4"/>
  <c r="N4881" i="4"/>
  <c r="M4892" i="4"/>
  <c r="H4896" i="4"/>
  <c r="M4906" i="4"/>
  <c r="H4910" i="4"/>
  <c r="M4945" i="4"/>
  <c r="H4963" i="4"/>
  <c r="N4966" i="4"/>
  <c r="N4973" i="4"/>
  <c r="H4977" i="4"/>
  <c r="N4980" i="4"/>
  <c r="M5005" i="4"/>
  <c r="N5012" i="4"/>
  <c r="N5019" i="4"/>
  <c r="N5215" i="4"/>
  <c r="M5215" i="4"/>
  <c r="N4892" i="4"/>
  <c r="N4906" i="4"/>
  <c r="N4945" i="4"/>
  <c r="N5005" i="4"/>
  <c r="I5203" i="4"/>
  <c r="H5203" i="4"/>
  <c r="N4812" i="4"/>
  <c r="H4816" i="4"/>
  <c r="M4819" i="4"/>
  <c r="N4836" i="4"/>
  <c r="H4840" i="4"/>
  <c r="M4843" i="4"/>
  <c r="M4850" i="4"/>
  <c r="M4864" i="4"/>
  <c r="I4868" i="4"/>
  <c r="O4871" i="4"/>
  <c r="O4885" i="4"/>
  <c r="M4896" i="4"/>
  <c r="M4910" i="4"/>
  <c r="H4914" i="4"/>
  <c r="N4917" i="4"/>
  <c r="N4924" i="4"/>
  <c r="H4928" i="4"/>
  <c r="N4931" i="4"/>
  <c r="M4963" i="4"/>
  <c r="H4967" i="4"/>
  <c r="N4970" i="4"/>
  <c r="H4974" i="4"/>
  <c r="H5013" i="4"/>
  <c r="H5020" i="4"/>
  <c r="M5023" i="4"/>
  <c r="I5228" i="4"/>
  <c r="H5228" i="4"/>
  <c r="M4802" i="4"/>
  <c r="I4816" i="4"/>
  <c r="N4819" i="4"/>
  <c r="M4826" i="4"/>
  <c r="I4840" i="4"/>
  <c r="N4843" i="4"/>
  <c r="N4850" i="4"/>
  <c r="H4854" i="4"/>
  <c r="M4857" i="4"/>
  <c r="H4861" i="4"/>
  <c r="O4864" i="4"/>
  <c r="N4896" i="4"/>
  <c r="N4910" i="4"/>
  <c r="I4914" i="4"/>
  <c r="I4928" i="4"/>
  <c r="N4963" i="4"/>
  <c r="I4974" i="4"/>
  <c r="I5013" i="4"/>
  <c r="I5020" i="4"/>
  <c r="N5023" i="4"/>
  <c r="H5057" i="4"/>
  <c r="H4999" i="4"/>
  <c r="N5114" i="4"/>
  <c r="M5114" i="4"/>
  <c r="I4806" i="4"/>
  <c r="N4809" i="4"/>
  <c r="H4813" i="4"/>
  <c r="M4816" i="4"/>
  <c r="I4830" i="4"/>
  <c r="N4833" i="4"/>
  <c r="H4837" i="4"/>
  <c r="M4840" i="4"/>
  <c r="M4861" i="4"/>
  <c r="H4865" i="4"/>
  <c r="N4868" i="4"/>
  <c r="I4872" i="4"/>
  <c r="H4879" i="4"/>
  <c r="N4882" i="4"/>
  <c r="I4886" i="4"/>
  <c r="M4914" i="4"/>
  <c r="H4918" i="4"/>
  <c r="N4921" i="4"/>
  <c r="H4925" i="4"/>
  <c r="M4928" i="4"/>
  <c r="H4932" i="4"/>
  <c r="I4939" i="4"/>
  <c r="N4967" i="4"/>
  <c r="H4978" i="4"/>
  <c r="I4999" i="4"/>
  <c r="H5017" i="4"/>
  <c r="H5031" i="4"/>
  <c r="M5119" i="4"/>
  <c r="N5190" i="4"/>
  <c r="M5190" i="4"/>
  <c r="N5278" i="4"/>
  <c r="M5278" i="4"/>
  <c r="H4820" i="4"/>
  <c r="M4823" i="4"/>
  <c r="H4844" i="4"/>
  <c r="H4858" i="4"/>
  <c r="O4953" i="4"/>
  <c r="M4960" i="4"/>
  <c r="O4967" i="4"/>
  <c r="N5119" i="4"/>
  <c r="I5191" i="4"/>
  <c r="H5191" i="4"/>
  <c r="I5141" i="4"/>
  <c r="H5141" i="4"/>
  <c r="N5191" i="4"/>
  <c r="M5191" i="4"/>
  <c r="N5254" i="4"/>
  <c r="M5254" i="4"/>
  <c r="H4810" i="4"/>
  <c r="M4813" i="4"/>
  <c r="H4834" i="4"/>
  <c r="M4837" i="4"/>
  <c r="M4865" i="4"/>
  <c r="H4869" i="4"/>
  <c r="H4876" i="4"/>
  <c r="M4879" i="4"/>
  <c r="H4883" i="4"/>
  <c r="M4918" i="4"/>
  <c r="H4922" i="4"/>
  <c r="M4925" i="4"/>
  <c r="M4932" i="4"/>
  <c r="H4936" i="4"/>
  <c r="I4950" i="4"/>
  <c r="N4953" i="4"/>
  <c r="M4964" i="4"/>
  <c r="H4968" i="4"/>
  <c r="M4978" i="4"/>
  <c r="M5017" i="4"/>
  <c r="M5031" i="4"/>
  <c r="M5105" i="4"/>
  <c r="N4813" i="4"/>
  <c r="N4837" i="4"/>
  <c r="N4865" i="4"/>
  <c r="N4879" i="4"/>
  <c r="N4918" i="4"/>
  <c r="N4925" i="4"/>
  <c r="N4932" i="4"/>
  <c r="N4964" i="4"/>
  <c r="N4971" i="4"/>
  <c r="N4978" i="4"/>
  <c r="N5017" i="4"/>
  <c r="N5031" i="4"/>
  <c r="N5105" i="4"/>
  <c r="N4803" i="4"/>
  <c r="H4807" i="4"/>
  <c r="M4810" i="4"/>
  <c r="N4827" i="4"/>
  <c r="H4831" i="4"/>
  <c r="M4834" i="4"/>
  <c r="M4869" i="4"/>
  <c r="H4873" i="4"/>
  <c r="M4876" i="4"/>
  <c r="M4883" i="4"/>
  <c r="H4887" i="4"/>
  <c r="N4890" i="4"/>
  <c r="N4904" i="4"/>
  <c r="M4922" i="4"/>
  <c r="M4936" i="4"/>
  <c r="I4940" i="4"/>
  <c r="O4943" i="4"/>
  <c r="M4968" i="4"/>
  <c r="N4996" i="4"/>
  <c r="H5000" i="4"/>
  <c r="N5003" i="4"/>
  <c r="N5236" i="4"/>
  <c r="M5236" i="4"/>
  <c r="N4810" i="4"/>
  <c r="M4817" i="4"/>
  <c r="N4834" i="4"/>
  <c r="M4841" i="4"/>
  <c r="M4848" i="4"/>
  <c r="M4862" i="4"/>
  <c r="N4869" i="4"/>
  <c r="N4876" i="4"/>
  <c r="N4883" i="4"/>
  <c r="M4915" i="4"/>
  <c r="N4922" i="4"/>
  <c r="M4929" i="4"/>
  <c r="H4933" i="4"/>
  <c r="O4936" i="4"/>
  <c r="M4961" i="4"/>
  <c r="N4968" i="4"/>
  <c r="M4975" i="4"/>
  <c r="I5173" i="4"/>
  <c r="H5173" i="4"/>
  <c r="I5250" i="4"/>
  <c r="H5250" i="4"/>
  <c r="M4807" i="4"/>
  <c r="M4831" i="4"/>
  <c r="M4873" i="4"/>
  <c r="M4933" i="4"/>
  <c r="M5000" i="4"/>
  <c r="N5121" i="4"/>
  <c r="M5121" i="4"/>
  <c r="O4905" i="4"/>
  <c r="M4912" i="4"/>
  <c r="I4916" i="4"/>
  <c r="O4919" i="4"/>
  <c r="M5025" i="4"/>
  <c r="H5029" i="4"/>
  <c r="P5032" i="4"/>
  <c r="N5186" i="4"/>
  <c r="M5186" i="4"/>
  <c r="N5268" i="4"/>
  <c r="M5268" i="4"/>
  <c r="N5348" i="4"/>
  <c r="M5348" i="4"/>
  <c r="I5328" i="4"/>
  <c r="H5328" i="4"/>
  <c r="N5328" i="4"/>
  <c r="M5328" i="4"/>
  <c r="N5264" i="4"/>
  <c r="M5264" i="4"/>
  <c r="N5288" i="4"/>
  <c r="M5288" i="4"/>
  <c r="H5246" i="4"/>
  <c r="M5250" i="4"/>
  <c r="N5303" i="4"/>
  <c r="I5344" i="4"/>
  <c r="H5344" i="4"/>
  <c r="M5354" i="4"/>
  <c r="M5398" i="4"/>
  <c r="N5323" i="4"/>
  <c r="N5344" i="4"/>
  <c r="M5344" i="4"/>
  <c r="N5360" i="4"/>
  <c r="M5360" i="4"/>
  <c r="N5474" i="4"/>
  <c r="M5474" i="4"/>
  <c r="H5204" i="4"/>
  <c r="M5216" i="4"/>
  <c r="M5246" i="4"/>
  <c r="N5255" i="4"/>
  <c r="N5260" i="4"/>
  <c r="M5260" i="4"/>
  <c r="N5279" i="4"/>
  <c r="N5284" i="4"/>
  <c r="M5284" i="4"/>
  <c r="N5304" i="4"/>
  <c r="M5304" i="4"/>
  <c r="H5200" i="4"/>
  <c r="M5212" i="4"/>
  <c r="H5238" i="4"/>
  <c r="M5294" i="4"/>
  <c r="M5382" i="4"/>
  <c r="H5117" i="4"/>
  <c r="H5196" i="4"/>
  <c r="M5208" i="4"/>
  <c r="M5229" i="4"/>
  <c r="H5280" i="4"/>
  <c r="N5339" i="4"/>
  <c r="N5355" i="4"/>
  <c r="N5371" i="4"/>
  <c r="H5192" i="4"/>
  <c r="I5340" i="4"/>
  <c r="H5340" i="4"/>
  <c r="H5300" i="4"/>
  <c r="I5320" i="4"/>
  <c r="H5320" i="4"/>
  <c r="N5340" i="4"/>
  <c r="N5356" i="4"/>
  <c r="M5356" i="4"/>
  <c r="N5372" i="4"/>
  <c r="M5372" i="4"/>
  <c r="G5574" i="4"/>
  <c r="H5574" i="4" s="1"/>
  <c r="N5300" i="4"/>
  <c r="M5300" i="4"/>
  <c r="N5320" i="4"/>
  <c r="M5320" i="4"/>
  <c r="H5174" i="4"/>
  <c r="M5209" i="4"/>
  <c r="H5262" i="4"/>
  <c r="N5295" i="4"/>
  <c r="N5335" i="4"/>
  <c r="N5464" i="4"/>
  <c r="M5464" i="4"/>
  <c r="M5205" i="4"/>
  <c r="H5218" i="4"/>
  <c r="M5243" i="4"/>
  <c r="N5276" i="4"/>
  <c r="M5276" i="4"/>
  <c r="N5315" i="4"/>
  <c r="N5351" i="4"/>
  <c r="N5367" i="4"/>
  <c r="M5378" i="4"/>
  <c r="N5149" i="4"/>
  <c r="M5201" i="4"/>
  <c r="H5214" i="4"/>
  <c r="M5226" i="4"/>
  <c r="H5296" i="4"/>
  <c r="I5316" i="4"/>
  <c r="H5316" i="4"/>
  <c r="N5336" i="4"/>
  <c r="M5336" i="4"/>
  <c r="M5346" i="4"/>
  <c r="M5197" i="4"/>
  <c r="H5210" i="4"/>
  <c r="M5239" i="4"/>
  <c r="M5262" i="4"/>
  <c r="H5272" i="4"/>
  <c r="M5286" i="4"/>
  <c r="N5316" i="4"/>
  <c r="M5316" i="4"/>
  <c r="N5352" i="4"/>
  <c r="M5352" i="4"/>
  <c r="N5368" i="4"/>
  <c r="M5368" i="4"/>
  <c r="M5193" i="4"/>
  <c r="H5206" i="4"/>
  <c r="H5244" i="4"/>
  <c r="N5248" i="4"/>
  <c r="M5248" i="4"/>
  <c r="H5258" i="4"/>
  <c r="H5282" i="4"/>
  <c r="M5326" i="4"/>
  <c r="M5390" i="4"/>
  <c r="N5532" i="4"/>
  <c r="M5532" i="4"/>
  <c r="M5189" i="4"/>
  <c r="H5202" i="4"/>
  <c r="M5235" i="4"/>
  <c r="N5267" i="4"/>
  <c r="N5272" i="4"/>
  <c r="M5272" i="4"/>
  <c r="N5291" i="4"/>
  <c r="N5331" i="4"/>
  <c r="N5379" i="4"/>
  <c r="M5379" i="4"/>
  <c r="N5244" i="4"/>
  <c r="M5244" i="4"/>
  <c r="I5332" i="4"/>
  <c r="H5332" i="4"/>
  <c r="N5448" i="4"/>
  <c r="M5448" i="4"/>
  <c r="I5312" i="4"/>
  <c r="H5312" i="4"/>
  <c r="N5332" i="4"/>
  <c r="M5332" i="4"/>
  <c r="N5442" i="4"/>
  <c r="M5442" i="4"/>
  <c r="N5292" i="4"/>
  <c r="M5292" i="4"/>
  <c r="M5342" i="4"/>
  <c r="I5348" i="4"/>
  <c r="I5431" i="4"/>
  <c r="H5431" i="4"/>
  <c r="I5607" i="4"/>
  <c r="H5607" i="4"/>
  <c r="H5491" i="4"/>
  <c r="H5523" i="4"/>
  <c r="H5551" i="4"/>
  <c r="I5581" i="4"/>
  <c r="H5426" i="4"/>
  <c r="H5443" i="4"/>
  <c r="H5478" i="4"/>
  <c r="H5533" i="4"/>
  <c r="M5556" i="4"/>
  <c r="N5577" i="4"/>
  <c r="M5577" i="4"/>
  <c r="N5725" i="4"/>
  <c r="M5538" i="4"/>
  <c r="H5479" i="4"/>
  <c r="H5534" i="4"/>
  <c r="G5604" i="4"/>
  <c r="H5604" i="4" s="1"/>
  <c r="I5741" i="4"/>
  <c r="I5583" i="4"/>
  <c r="H5583" i="4"/>
  <c r="M5383" i="4"/>
  <c r="M5387" i="4"/>
  <c r="M5391" i="4"/>
  <c r="M5395" i="4"/>
  <c r="M5399" i="4"/>
  <c r="M5403" i="4"/>
  <c r="M5407" i="4"/>
  <c r="M5411" i="4"/>
  <c r="M5415" i="4"/>
  <c r="M5419" i="4"/>
  <c r="M5423" i="4"/>
  <c r="H5445" i="4"/>
  <c r="H5458" i="4"/>
  <c r="H5471" i="4"/>
  <c r="M5484" i="4"/>
  <c r="H5498" i="4"/>
  <c r="M5502" i="4"/>
  <c r="H5507" i="4"/>
  <c r="M5516" i="4"/>
  <c r="H5521" i="4"/>
  <c r="H5530" i="4"/>
  <c r="M5544" i="4"/>
  <c r="H5549" i="4"/>
  <c r="H5563" i="4"/>
  <c r="L5572" i="4"/>
  <c r="M5572" i="4" s="1"/>
  <c r="N5703" i="4"/>
  <c r="M5703" i="4"/>
  <c r="H5441" i="4"/>
  <c r="H5454" i="4"/>
  <c r="H5467" i="4"/>
  <c r="H5535" i="4"/>
  <c r="H5554" i="4"/>
  <c r="G5592" i="4"/>
  <c r="H5592" i="4" s="1"/>
  <c r="N5679" i="4"/>
  <c r="H5352" i="4"/>
  <c r="H5356" i="4"/>
  <c r="H5368" i="4"/>
  <c r="H5380" i="4"/>
  <c r="H5384" i="4"/>
  <c r="H5388" i="4"/>
  <c r="H5392" i="4"/>
  <c r="H5396" i="4"/>
  <c r="H5400" i="4"/>
  <c r="H5404" i="4"/>
  <c r="H5408" i="4"/>
  <c r="H5412" i="4"/>
  <c r="H5416" i="4"/>
  <c r="M5432" i="4"/>
  <c r="M5458" i="4"/>
  <c r="M5480" i="4"/>
  <c r="H5485" i="4"/>
  <c r="H5494" i="4"/>
  <c r="M5498" i="4"/>
  <c r="H5503" i="4"/>
  <c r="M5512" i="4"/>
  <c r="H5517" i="4"/>
  <c r="H5526" i="4"/>
  <c r="M5530" i="4"/>
  <c r="M5540" i="4"/>
  <c r="H5545" i="4"/>
  <c r="H5576" i="4"/>
  <c r="H5559" i="4"/>
  <c r="N5579" i="4"/>
  <c r="M5380" i="4"/>
  <c r="M5384" i="4"/>
  <c r="M5388" i="4"/>
  <c r="M5392" i="4"/>
  <c r="M5396" i="4"/>
  <c r="M5400" i="4"/>
  <c r="M5404" i="4"/>
  <c r="M5408" i="4"/>
  <c r="M5412" i="4"/>
  <c r="M5416" i="4"/>
  <c r="M5420" i="4"/>
  <c r="H5433" i="4"/>
  <c r="H5446" i="4"/>
  <c r="H5459" i="4"/>
  <c r="H5481" i="4"/>
  <c r="H5490" i="4"/>
  <c r="M5494" i="4"/>
  <c r="H5499" i="4"/>
  <c r="M5508" i="4"/>
  <c r="H5513" i="4"/>
  <c r="H5522" i="4"/>
  <c r="M5526" i="4"/>
  <c r="H5531" i="4"/>
  <c r="H5541" i="4"/>
  <c r="H5550" i="4"/>
  <c r="N5576" i="4"/>
  <c r="I5598" i="4"/>
  <c r="H5429" i="4"/>
  <c r="M5450" i="4"/>
  <c r="M5472" i="4"/>
  <c r="M5536" i="4"/>
  <c r="M5573" i="4"/>
  <c r="M5601" i="4"/>
  <c r="H5555" i="4"/>
  <c r="I5570" i="4"/>
  <c r="G5580" i="4"/>
  <c r="H5580" i="4" s="1"/>
  <c r="L5593" i="4"/>
  <c r="M5593" i="4" s="1"/>
  <c r="M5531" i="4"/>
  <c r="M5535" i="4"/>
  <c r="M5539" i="4"/>
  <c r="M5563" i="4"/>
  <c r="L5662" i="4"/>
  <c r="M5662" i="4" s="1"/>
  <c r="H5605" i="4"/>
  <c r="L5667" i="4"/>
  <c r="M5667" i="4" s="1"/>
  <c r="L5720" i="4"/>
  <c r="M5720" i="4" s="1"/>
  <c r="P4043" i="4"/>
  <c r="N4043" i="4"/>
  <c r="M4043" i="4"/>
  <c r="I4124" i="4"/>
  <c r="H4124" i="4"/>
  <c r="H3852" i="4"/>
  <c r="M3887" i="4"/>
  <c r="H3891" i="4"/>
  <c r="M3894" i="4"/>
  <c r="M3901" i="4"/>
  <c r="H3905" i="4"/>
  <c r="M3940" i="4"/>
  <c r="M3954" i="4"/>
  <c r="I3958" i="4"/>
  <c r="H3994" i="4"/>
  <c r="H4009" i="4"/>
  <c r="H4028" i="4"/>
  <c r="M4035" i="4"/>
  <c r="M4076" i="4"/>
  <c r="P4084" i="4"/>
  <c r="N4084" i="4"/>
  <c r="M4084" i="4"/>
  <c r="H4093" i="4"/>
  <c r="M4102" i="4"/>
  <c r="H4140" i="4"/>
  <c r="N4147" i="4"/>
  <c r="M4147" i="4"/>
  <c r="I3852" i="4"/>
  <c r="M3866" i="4"/>
  <c r="M3880" i="4"/>
  <c r="H3884" i="4"/>
  <c r="N3887" i="4"/>
  <c r="I3891" i="4"/>
  <c r="N3894" i="4"/>
  <c r="H3898" i="4"/>
  <c r="N3901" i="4"/>
  <c r="I3905" i="4"/>
  <c r="M3933" i="4"/>
  <c r="H3937" i="4"/>
  <c r="N3940" i="4"/>
  <c r="H3944" i="4"/>
  <c r="M3947" i="4"/>
  <c r="H3951" i="4"/>
  <c r="O3954" i="4"/>
  <c r="M3979" i="4"/>
  <c r="H3983" i="4"/>
  <c r="M3990" i="4"/>
  <c r="I3994" i="4"/>
  <c r="H3998" i="4"/>
  <c r="M4005" i="4"/>
  <c r="M4024" i="4"/>
  <c r="I4028" i="4"/>
  <c r="N4035" i="4"/>
  <c r="H4044" i="4"/>
  <c r="H4048" i="4"/>
  <c r="H4052" i="4"/>
  <c r="M4072" i="4"/>
  <c r="N4076" i="4"/>
  <c r="I4093" i="4"/>
  <c r="I4098" i="4"/>
  <c r="H4098" i="4"/>
  <c r="N4102" i="4"/>
  <c r="H4117" i="4"/>
  <c r="P4147" i="4"/>
  <c r="P4198" i="4"/>
  <c r="N4198" i="4"/>
  <c r="M4198" i="4"/>
  <c r="N4258" i="4"/>
  <c r="M4258" i="4"/>
  <c r="M3859" i="4"/>
  <c r="H3863" i="4"/>
  <c r="N3866" i="4"/>
  <c r="H3870" i="4"/>
  <c r="M3873" i="4"/>
  <c r="H3877" i="4"/>
  <c r="N3880" i="4"/>
  <c r="I3884" i="4"/>
  <c r="M3912" i="4"/>
  <c r="H3916" i="4"/>
  <c r="M3919" i="4"/>
  <c r="M3926" i="4"/>
  <c r="H3930" i="4"/>
  <c r="N3933" i="4"/>
  <c r="I3937" i="4"/>
  <c r="I3944" i="4"/>
  <c r="N3947" i="4"/>
  <c r="M3958" i="4"/>
  <c r="H3962" i="4"/>
  <c r="M3965" i="4"/>
  <c r="M3972" i="4"/>
  <c r="H3976" i="4"/>
  <c r="N3979" i="4"/>
  <c r="I3983" i="4"/>
  <c r="N3990" i="4"/>
  <c r="I3998" i="4"/>
  <c r="N4005" i="4"/>
  <c r="H4017" i="4"/>
  <c r="N4024" i="4"/>
  <c r="H4032" i="4"/>
  <c r="I4044" i="4"/>
  <c r="I4048" i="4"/>
  <c r="I4052" i="4"/>
  <c r="H4056" i="4"/>
  <c r="M4068" i="4"/>
  <c r="N4072" i="4"/>
  <c r="H4089" i="4"/>
  <c r="P4117" i="4"/>
  <c r="P4124" i="4"/>
  <c r="I4130" i="4"/>
  <c r="P4140" i="4"/>
  <c r="N3958" i="4"/>
  <c r="N3965" i="4"/>
  <c r="N3972" i="4"/>
  <c r="O4009" i="4"/>
  <c r="H4021" i="4"/>
  <c r="M4028" i="4"/>
  <c r="I4032" i="4"/>
  <c r="I4040" i="4"/>
  <c r="H4040" i="4"/>
  <c r="I4056" i="4"/>
  <c r="N4068" i="4"/>
  <c r="M4093" i="4"/>
  <c r="P4098" i="4"/>
  <c r="P4107" i="4"/>
  <c r="M4107" i="4"/>
  <c r="I4343" i="4"/>
  <c r="H4343" i="4"/>
  <c r="I4446" i="4"/>
  <c r="H4446" i="4"/>
  <c r="P4060" i="4"/>
  <c r="N4060" i="4"/>
  <c r="M4060" i="4"/>
  <c r="I4081" i="4"/>
  <c r="H4081" i="4"/>
  <c r="I4118" i="4"/>
  <c r="H4118" i="4"/>
  <c r="P4154" i="4"/>
  <c r="H4154" i="4"/>
  <c r="I4165" i="4"/>
  <c r="H4165" i="4"/>
  <c r="I4330" i="4"/>
  <c r="H4330" i="4"/>
  <c r="I4425" i="4"/>
  <c r="H4425" i="4"/>
  <c r="O3951" i="4"/>
  <c r="P4036" i="4"/>
  <c r="N4036" i="4"/>
  <c r="M3842" i="4"/>
  <c r="M3856" i="4"/>
  <c r="H3860" i="4"/>
  <c r="N3863" i="4"/>
  <c r="I3867" i="4"/>
  <c r="N3870" i="4"/>
  <c r="H3874" i="4"/>
  <c r="N3877" i="4"/>
  <c r="I3881" i="4"/>
  <c r="M3909" i="4"/>
  <c r="H3913" i="4"/>
  <c r="N3916" i="4"/>
  <c r="H3920" i="4"/>
  <c r="M3923" i="4"/>
  <c r="H3927" i="4"/>
  <c r="O3930" i="4"/>
  <c r="M3955" i="4"/>
  <c r="H3959" i="4"/>
  <c r="N3962" i="4"/>
  <c r="H3966" i="4"/>
  <c r="M3969" i="4"/>
  <c r="H3973" i="4"/>
  <c r="N3976" i="4"/>
  <c r="M3987" i="4"/>
  <c r="M4006" i="4"/>
  <c r="M4021" i="4"/>
  <c r="M4036" i="4"/>
  <c r="H4069" i="4"/>
  <c r="I4073" i="4"/>
  <c r="P4077" i="4"/>
  <c r="N4077" i="4"/>
  <c r="N4085" i="4"/>
  <c r="N4089" i="4"/>
  <c r="I4094" i="4"/>
  <c r="H4094" i="4"/>
  <c r="P4103" i="4"/>
  <c r="M4103" i="4"/>
  <c r="P4130" i="4"/>
  <c r="P4141" i="4"/>
  <c r="I4246" i="4"/>
  <c r="H4246" i="4"/>
  <c r="N3842" i="4"/>
  <c r="H3846" i="4"/>
  <c r="M3849" i="4"/>
  <c r="H3853" i="4"/>
  <c r="N3856" i="4"/>
  <c r="I3860" i="4"/>
  <c r="I3874" i="4"/>
  <c r="M3888" i="4"/>
  <c r="H3892" i="4"/>
  <c r="M3895" i="4"/>
  <c r="M3902" i="4"/>
  <c r="H3906" i="4"/>
  <c r="N3909" i="4"/>
  <c r="I3920" i="4"/>
  <c r="N3923" i="4"/>
  <c r="M3934" i="4"/>
  <c r="H3938" i="4"/>
  <c r="M3941" i="4"/>
  <c r="M3948" i="4"/>
  <c r="H3952" i="4"/>
  <c r="N3955" i="4"/>
  <c r="I3959" i="4"/>
  <c r="I3966" i="4"/>
  <c r="N3969" i="4"/>
  <c r="I3973" i="4"/>
  <c r="N3987" i="4"/>
  <c r="H3995" i="4"/>
  <c r="N4006" i="4"/>
  <c r="H4014" i="4"/>
  <c r="N4021" i="4"/>
  <c r="P4040" i="4"/>
  <c r="H4065" i="4"/>
  <c r="I4069" i="4"/>
  <c r="M4077" i="4"/>
  <c r="P4081" i="4"/>
  <c r="P4094" i="4"/>
  <c r="N4094" i="4"/>
  <c r="N4103" i="4"/>
  <c r="I4057" i="4"/>
  <c r="H4057" i="4"/>
  <c r="I4065" i="4"/>
  <c r="I4142" i="4"/>
  <c r="H4142" i="4"/>
  <c r="P4219" i="4"/>
  <c r="I4219" i="4"/>
  <c r="H4219" i="4"/>
  <c r="I4296" i="4"/>
  <c r="H4296" i="4"/>
  <c r="I4317" i="4"/>
  <c r="H4317" i="4"/>
  <c r="H4404" i="4"/>
  <c r="O3934" i="4"/>
  <c r="O3995" i="4"/>
  <c r="N3995" i="4"/>
  <c r="M3995" i="4"/>
  <c r="P4131" i="4"/>
  <c r="M4131" i="4"/>
  <c r="P4142" i="4"/>
  <c r="P4174" i="4"/>
  <c r="N4174" i="4"/>
  <c r="M4174" i="4"/>
  <c r="H3843" i="4"/>
  <c r="M3846" i="4"/>
  <c r="M3853" i="4"/>
  <c r="H3857" i="4"/>
  <c r="M3892" i="4"/>
  <c r="M3906" i="4"/>
  <c r="I3910" i="4"/>
  <c r="O3913" i="4"/>
  <c r="M3938" i="4"/>
  <c r="M3952" i="4"/>
  <c r="M4014" i="4"/>
  <c r="M4029" i="4"/>
  <c r="N4049" i="4"/>
  <c r="M4049" i="4"/>
  <c r="P4053" i="4"/>
  <c r="N4053" i="4"/>
  <c r="H4074" i="4"/>
  <c r="M4113" i="4"/>
  <c r="I4120" i="4"/>
  <c r="H4120" i="4"/>
  <c r="M4126" i="4"/>
  <c r="N4131" i="4"/>
  <c r="I4441" i="4"/>
  <c r="H4441" i="4"/>
  <c r="N3892" i="4"/>
  <c r="O3906" i="4"/>
  <c r="I3992" i="4"/>
  <c r="H3992" i="4"/>
  <c r="P4090" i="4"/>
  <c r="N4090" i="4"/>
  <c r="P4120" i="4"/>
  <c r="N4120" i="4"/>
  <c r="P4155" i="4"/>
  <c r="M4155" i="4"/>
  <c r="M3910" i="4"/>
  <c r="H3914" i="4"/>
  <c r="M3917" i="4"/>
  <c r="M3924" i="4"/>
  <c r="H3928" i="4"/>
  <c r="M3963" i="4"/>
  <c r="M3977" i="4"/>
  <c r="H3981" i="4"/>
  <c r="O3988" i="4"/>
  <c r="N3988" i="4"/>
  <c r="H4011" i="4"/>
  <c r="M4018" i="4"/>
  <c r="H4026" i="4"/>
  <c r="M4041" i="4"/>
  <c r="I4070" i="4"/>
  <c r="H4070" i="4"/>
  <c r="M4082" i="4"/>
  <c r="M4086" i="4"/>
  <c r="M4090" i="4"/>
  <c r="H4100" i="4"/>
  <c r="M4120" i="4"/>
  <c r="N4155" i="4"/>
  <c r="N4389" i="4"/>
  <c r="M4389" i="4"/>
  <c r="M3843" i="4"/>
  <c r="M3857" i="4"/>
  <c r="H3861" i="4"/>
  <c r="N3864" i="4"/>
  <c r="N3871" i="4"/>
  <c r="H3875" i="4"/>
  <c r="N3878" i="4"/>
  <c r="I3882" i="4"/>
  <c r="M3903" i="4"/>
  <c r="H3907" i="4"/>
  <c r="N3910" i="4"/>
  <c r="N3917" i="4"/>
  <c r="H3921" i="4"/>
  <c r="N3924" i="4"/>
  <c r="M3956" i="4"/>
  <c r="H3960" i="4"/>
  <c r="N3963" i="4"/>
  <c r="H3967" i="4"/>
  <c r="M3970" i="4"/>
  <c r="H3974" i="4"/>
  <c r="N3977" i="4"/>
  <c r="M3988" i="4"/>
  <c r="H4000" i="4"/>
  <c r="M4007" i="4"/>
  <c r="N4018" i="4"/>
  <c r="M4022" i="4"/>
  <c r="I4026" i="4"/>
  <c r="N4041" i="4"/>
  <c r="H4050" i="4"/>
  <c r="H4058" i="4"/>
  <c r="H4062" i="4"/>
  <c r="P4070" i="4"/>
  <c r="N4082" i="4"/>
  <c r="N4086" i="4"/>
  <c r="I4100" i="4"/>
  <c r="P4104" i="4"/>
  <c r="M4109" i="4"/>
  <c r="I4114" i="4"/>
  <c r="M4150" i="4"/>
  <c r="P4168" i="4"/>
  <c r="N4168" i="4"/>
  <c r="M4168" i="4"/>
  <c r="P4195" i="4"/>
  <c r="I4195" i="4"/>
  <c r="H4195" i="4"/>
  <c r="N3843" i="4"/>
  <c r="N3857" i="4"/>
  <c r="N3889" i="4"/>
  <c r="N3903" i="4"/>
  <c r="H3953" i="4"/>
  <c r="N3956" i="4"/>
  <c r="N3970" i="4"/>
  <c r="M3996" i="4"/>
  <c r="N4007" i="4"/>
  <c r="H4015" i="4"/>
  <c r="N4022" i="4"/>
  <c r="H4034" i="4"/>
  <c r="I4046" i="4"/>
  <c r="H4046" i="4"/>
  <c r="I4050" i="4"/>
  <c r="H4066" i="4"/>
  <c r="M4070" i="4"/>
  <c r="H4075" i="4"/>
  <c r="N4109" i="4"/>
  <c r="P4114" i="4"/>
  <c r="I4144" i="4"/>
  <c r="H4144" i="4"/>
  <c r="P4150" i="4"/>
  <c r="N4283" i="4"/>
  <c r="M4283" i="4"/>
  <c r="O3875" i="4"/>
  <c r="O3992" i="4"/>
  <c r="N3996" i="4"/>
  <c r="M4054" i="4"/>
  <c r="N4070" i="4"/>
  <c r="H4079" i="4"/>
  <c r="P4087" i="4"/>
  <c r="I4087" i="4"/>
  <c r="H4096" i="4"/>
  <c r="P4121" i="4"/>
  <c r="N4121" i="4"/>
  <c r="M4121" i="4"/>
  <c r="P4127" i="4"/>
  <c r="N4127" i="4"/>
  <c r="M4127" i="4"/>
  <c r="P4144" i="4"/>
  <c r="N4144" i="4"/>
  <c r="M4144" i="4"/>
  <c r="I4375" i="4"/>
  <c r="H4375" i="4"/>
  <c r="N4097" i="4"/>
  <c r="M4097" i="4"/>
  <c r="M3861" i="4"/>
  <c r="H3865" i="4"/>
  <c r="H3872" i="4"/>
  <c r="M3875" i="4"/>
  <c r="H3879" i="4"/>
  <c r="M3907" i="4"/>
  <c r="H3911" i="4"/>
  <c r="H3918" i="4"/>
  <c r="M3921" i="4"/>
  <c r="H3925" i="4"/>
  <c r="H4019" i="4"/>
  <c r="H4042" i="4"/>
  <c r="M4046" i="4"/>
  <c r="N4054" i="4"/>
  <c r="M4058" i="4"/>
  <c r="M4062" i="4"/>
  <c r="P4066" i="4"/>
  <c r="N4066" i="4"/>
  <c r="H4083" i="4"/>
  <c r="H4087" i="4"/>
  <c r="I4115" i="4"/>
  <c r="H4115" i="4"/>
  <c r="P4128" i="4"/>
  <c r="H4128" i="4"/>
  <c r="I4399" i="4"/>
  <c r="H4399" i="4"/>
  <c r="H3844" i="4"/>
  <c r="M3847" i="4"/>
  <c r="M3854" i="4"/>
  <c r="H3858" i="4"/>
  <c r="N3861" i="4"/>
  <c r="I3872" i="4"/>
  <c r="N3875" i="4"/>
  <c r="M3886" i="4"/>
  <c r="H3890" i="4"/>
  <c r="M3893" i="4"/>
  <c r="M3900" i="4"/>
  <c r="H3904" i="4"/>
  <c r="N3907" i="4"/>
  <c r="N3921" i="4"/>
  <c r="M3939" i="4"/>
  <c r="M3953" i="4"/>
  <c r="H3957" i="4"/>
  <c r="N3960" i="4"/>
  <c r="N3967" i="4"/>
  <c r="H3971" i="4"/>
  <c r="N3974" i="4"/>
  <c r="H3993" i="4"/>
  <c r="N4000" i="4"/>
  <c r="H4008" i="4"/>
  <c r="M4015" i="4"/>
  <c r="H4027" i="4"/>
  <c r="M4034" i="4"/>
  <c r="N4046" i="4"/>
  <c r="N4058" i="4"/>
  <c r="N4062" i="4"/>
  <c r="M4066" i="4"/>
  <c r="M4075" i="4"/>
  <c r="H4092" i="4"/>
  <c r="I4110" i="4"/>
  <c r="P4115" i="4"/>
  <c r="I4128" i="4"/>
  <c r="N3847" i="4"/>
  <c r="H3851" i="4"/>
  <c r="N3854" i="4"/>
  <c r="M3879" i="4"/>
  <c r="H3883" i="4"/>
  <c r="N3886" i="4"/>
  <c r="N3893" i="4"/>
  <c r="H3897" i="4"/>
  <c r="N3900" i="4"/>
  <c r="M3932" i="4"/>
  <c r="H3936" i="4"/>
  <c r="N3939" i="4"/>
  <c r="H3943" i="4"/>
  <c r="M3946" i="4"/>
  <c r="H3950" i="4"/>
  <c r="N3953" i="4"/>
  <c r="O3985" i="4"/>
  <c r="M3989" i="4"/>
  <c r="H3997" i="4"/>
  <c r="M4004" i="4"/>
  <c r="N4015" i="4"/>
  <c r="O4019" i="4"/>
  <c r="N4019" i="4"/>
  <c r="M4019" i="4"/>
  <c r="M4023" i="4"/>
  <c r="N4034" i="4"/>
  <c r="M4038" i="4"/>
  <c r="P4042" i="4"/>
  <c r="N4042" i="4"/>
  <c r="H4051" i="4"/>
  <c r="M4071" i="4"/>
  <c r="N4075" i="4"/>
  <c r="M4079" i="4"/>
  <c r="P4083" i="4"/>
  <c r="M4096" i="4"/>
  <c r="P4133" i="4"/>
  <c r="M4133" i="4"/>
  <c r="N3865" i="4"/>
  <c r="H3876" i="4"/>
  <c r="N3879" i="4"/>
  <c r="M3911" i="4"/>
  <c r="H3915" i="4"/>
  <c r="M3918" i="4"/>
  <c r="M3925" i="4"/>
  <c r="H3929" i="4"/>
  <c r="N3932" i="4"/>
  <c r="N3946" i="4"/>
  <c r="M3964" i="4"/>
  <c r="O3971" i="4"/>
  <c r="M3978" i="4"/>
  <c r="N3989" i="4"/>
  <c r="N4004" i="4"/>
  <c r="H4012" i="4"/>
  <c r="N4023" i="4"/>
  <c r="H4031" i="4"/>
  <c r="N4038" i="4"/>
  <c r="M4042" i="4"/>
  <c r="H4055" i="4"/>
  <c r="H4067" i="4"/>
  <c r="N4071" i="4"/>
  <c r="N4079" i="4"/>
  <c r="M4083" i="4"/>
  <c r="N4096" i="4"/>
  <c r="H4106" i="4"/>
  <c r="H4116" i="4"/>
  <c r="N4133" i="4"/>
  <c r="P4152" i="4"/>
  <c r="H4152" i="4"/>
  <c r="M3844" i="4"/>
  <c r="O3851" i="4"/>
  <c r="M3858" i="4"/>
  <c r="I3862" i="4"/>
  <c r="O3865" i="4"/>
  <c r="M3890" i="4"/>
  <c r="M3904" i="4"/>
  <c r="H3908" i="4"/>
  <c r="N3911" i="4"/>
  <c r="N3918" i="4"/>
  <c r="H3922" i="4"/>
  <c r="N3925" i="4"/>
  <c r="M3957" i="4"/>
  <c r="H3961" i="4"/>
  <c r="N3964" i="4"/>
  <c r="H3968" i="4"/>
  <c r="M3971" i="4"/>
  <c r="H3975" i="4"/>
  <c r="O3978" i="4"/>
  <c r="H3986" i="4"/>
  <c r="M3993" i="4"/>
  <c r="H4001" i="4"/>
  <c r="M4008" i="4"/>
  <c r="I4016" i="4"/>
  <c r="H4016" i="4"/>
  <c r="H4020" i="4"/>
  <c r="M4027" i="4"/>
  <c r="H4059" i="4"/>
  <c r="H4063" i="4"/>
  <c r="N4083" i="4"/>
  <c r="M4092" i="4"/>
  <c r="P4101" i="4"/>
  <c r="N4101" i="4"/>
  <c r="M4101" i="4"/>
  <c r="I4152" i="4"/>
  <c r="P4157" i="4"/>
  <c r="N4157" i="4"/>
  <c r="M4157" i="4"/>
  <c r="I4171" i="4"/>
  <c r="H4171" i="4"/>
  <c r="M4222" i="4"/>
  <c r="I4271" i="4"/>
  <c r="H4271" i="4"/>
  <c r="M3851" i="4"/>
  <c r="H3855" i="4"/>
  <c r="O3858" i="4"/>
  <c r="N3971" i="4"/>
  <c r="O4012" i="4"/>
  <c r="N4012" i="4"/>
  <c r="P4067" i="4"/>
  <c r="N4123" i="4"/>
  <c r="M4123" i="4"/>
  <c r="I4430" i="4"/>
  <c r="H4430" i="4"/>
  <c r="I4419" i="4"/>
  <c r="H4419" i="4"/>
  <c r="I4435" i="4"/>
  <c r="H4435" i="4"/>
  <c r="I4463" i="4"/>
  <c r="H4463" i="4"/>
  <c r="N4167" i="4"/>
  <c r="N4191" i="4"/>
  <c r="N4215" i="4"/>
  <c r="I4352" i="4"/>
  <c r="H4352" i="4"/>
  <c r="I4452" i="4"/>
  <c r="H4452" i="4"/>
  <c r="H4178" i="4"/>
  <c r="M4181" i="4"/>
  <c r="H4202" i="4"/>
  <c r="M4205" i="4"/>
  <c r="H4238" i="4"/>
  <c r="H4242" i="4"/>
  <c r="M4254" i="4"/>
  <c r="H4267" i="4"/>
  <c r="M4279" i="4"/>
  <c r="H4292" i="4"/>
  <c r="H4313" i="4"/>
  <c r="M4321" i="4"/>
  <c r="M4334" i="4"/>
  <c r="M4347" i="4"/>
  <c r="H4357" i="4"/>
  <c r="M4361" i="4"/>
  <c r="H4366" i="4"/>
  <c r="M4370" i="4"/>
  <c r="I4380" i="4"/>
  <c r="H4380" i="4"/>
  <c r="H4385" i="4"/>
  <c r="M4409" i="4"/>
  <c r="N4482" i="4"/>
  <c r="I4520" i="4"/>
  <c r="H4520" i="4"/>
  <c r="I4546" i="4"/>
  <c r="H4546" i="4"/>
  <c r="I4178" i="4"/>
  <c r="N4181" i="4"/>
  <c r="I4420" i="4"/>
  <c r="H4420" i="4"/>
  <c r="I4436" i="4"/>
  <c r="H4436" i="4"/>
  <c r="N4446" i="4"/>
  <c r="M4446" i="4"/>
  <c r="N4140" i="4"/>
  <c r="N4164" i="4"/>
  <c r="H4168" i="4"/>
  <c r="M4171" i="4"/>
  <c r="N4188" i="4"/>
  <c r="H4192" i="4"/>
  <c r="M4195" i="4"/>
  <c r="N4212" i="4"/>
  <c r="H4216" i="4"/>
  <c r="M4219" i="4"/>
  <c r="M4246" i="4"/>
  <c r="H4259" i="4"/>
  <c r="M4271" i="4"/>
  <c r="H4284" i="4"/>
  <c r="N4296" i="4"/>
  <c r="H4305" i="4"/>
  <c r="M4317" i="4"/>
  <c r="M4330" i="4"/>
  <c r="M4343" i="4"/>
  <c r="I4348" i="4"/>
  <c r="H4348" i="4"/>
  <c r="M4375" i="4"/>
  <c r="H4390" i="4"/>
  <c r="H4405" i="4"/>
  <c r="N4430" i="4"/>
  <c r="I4447" i="4"/>
  <c r="H4447" i="4"/>
  <c r="H4458" i="4"/>
  <c r="M4507" i="4"/>
  <c r="N4507" i="4"/>
  <c r="N4558" i="4"/>
  <c r="M4558" i="4"/>
  <c r="N4292" i="4"/>
  <c r="M4385" i="4"/>
  <c r="H4395" i="4"/>
  <c r="I4400" i="4"/>
  <c r="H4400" i="4"/>
  <c r="H4410" i="4"/>
  <c r="H4415" i="4"/>
  <c r="I4431" i="4"/>
  <c r="H4431" i="4"/>
  <c r="I4559" i="4"/>
  <c r="H4559" i="4"/>
  <c r="N4571" i="4"/>
  <c r="M4571" i="4"/>
  <c r="I4376" i="4"/>
  <c r="H4376" i="4"/>
  <c r="N4458" i="4"/>
  <c r="M4458" i="4"/>
  <c r="N4612" i="4"/>
  <c r="M4612" i="4"/>
  <c r="H4189" i="4"/>
  <c r="M4192" i="4"/>
  <c r="H4213" i="4"/>
  <c r="M4216" i="4"/>
  <c r="H4247" i="4"/>
  <c r="M4259" i="4"/>
  <c r="H4272" i="4"/>
  <c r="N4284" i="4"/>
  <c r="H4293" i="4"/>
  <c r="M4305" i="4"/>
  <c r="H4318" i="4"/>
  <c r="H4331" i="4"/>
  <c r="H4344" i="4"/>
  <c r="N4390" i="4"/>
  <c r="M4405" i="4"/>
  <c r="H4421" i="4"/>
  <c r="H4426" i="4"/>
  <c r="H4437" i="4"/>
  <c r="H4442" i="4"/>
  <c r="I4459" i="4"/>
  <c r="H4459" i="4"/>
  <c r="H4490" i="4"/>
  <c r="I4620" i="4"/>
  <c r="H4148" i="4"/>
  <c r="M4151" i="4"/>
  <c r="H4172" i="4"/>
  <c r="M4175" i="4"/>
  <c r="N4192" i="4"/>
  <c r="H4196" i="4"/>
  <c r="M4199" i="4"/>
  <c r="N4216" i="4"/>
  <c r="M4223" i="4"/>
  <c r="H4227" i="4"/>
  <c r="H4231" i="4"/>
  <c r="H4235" i="4"/>
  <c r="H4239" i="4"/>
  <c r="H4243" i="4"/>
  <c r="M4255" i="4"/>
  <c r="H4268" i="4"/>
  <c r="N4280" i="4"/>
  <c r="H4289" i="4"/>
  <c r="M4301" i="4"/>
  <c r="H4314" i="4"/>
  <c r="M4322" i="4"/>
  <c r="M4335" i="4"/>
  <c r="H4349" i="4"/>
  <c r="M4353" i="4"/>
  <c r="H4358" i="4"/>
  <c r="M4371" i="4"/>
  <c r="N4410" i="4"/>
  <c r="I4448" i="4"/>
  <c r="H4448" i="4"/>
  <c r="H4478" i="4"/>
  <c r="M4502" i="4"/>
  <c r="N4151" i="4"/>
  <c r="N4175" i="4"/>
  <c r="N4199" i="4"/>
  <c r="N4223" i="4"/>
  <c r="I4416" i="4"/>
  <c r="H4416" i="4"/>
  <c r="I4432" i="4"/>
  <c r="H4432" i="4"/>
  <c r="I4541" i="4"/>
  <c r="H4541" i="4"/>
  <c r="M4117" i="4"/>
  <c r="M4141" i="4"/>
  <c r="M4165" i="4"/>
  <c r="M4189" i="4"/>
  <c r="M4213" i="4"/>
  <c r="N4272" i="4"/>
  <c r="I4372" i="4"/>
  <c r="H4372" i="4"/>
  <c r="H4377" i="4"/>
  <c r="I4396" i="4"/>
  <c r="H4396" i="4"/>
  <c r="H4406" i="4"/>
  <c r="H4411" i="4"/>
  <c r="M4421" i="4"/>
  <c r="N4426" i="4"/>
  <c r="N4442" i="4"/>
  <c r="I4621" i="4"/>
  <c r="H4621" i="4"/>
  <c r="I4427" i="4"/>
  <c r="H4427" i="4"/>
  <c r="I4443" i="4"/>
  <c r="H4443" i="4"/>
  <c r="H4454" i="4"/>
  <c r="I4460" i="4"/>
  <c r="H4460" i="4"/>
  <c r="H4176" i="4"/>
  <c r="M4179" i="4"/>
  <c r="H4200" i="4"/>
  <c r="M4203" i="4"/>
  <c r="H4224" i="4"/>
  <c r="N4264" i="4"/>
  <c r="H4298" i="4"/>
  <c r="M4310" i="4"/>
  <c r="M4327" i="4"/>
  <c r="H4382" i="4"/>
  <c r="M4391" i="4"/>
  <c r="M4401" i="4"/>
  <c r="H4449" i="4"/>
  <c r="I4176" i="4"/>
  <c r="N4179" i="4"/>
  <c r="I4200" i="4"/>
  <c r="N4203" i="4"/>
  <c r="I4368" i="4"/>
  <c r="H4368" i="4"/>
  <c r="N4454" i="4"/>
  <c r="M4454" i="4"/>
  <c r="I4707" i="4"/>
  <c r="H4707" i="4"/>
  <c r="I4111" i="4"/>
  <c r="N4114" i="4"/>
  <c r="I4135" i="4"/>
  <c r="N4138" i="4"/>
  <c r="I4159" i="4"/>
  <c r="N4162" i="4"/>
  <c r="H4166" i="4"/>
  <c r="M4169" i="4"/>
  <c r="I4183" i="4"/>
  <c r="N4186" i="4"/>
  <c r="H4190" i="4"/>
  <c r="M4193" i="4"/>
  <c r="I4207" i="4"/>
  <c r="N4210" i="4"/>
  <c r="H4214" i="4"/>
  <c r="M4217" i="4"/>
  <c r="H4228" i="4"/>
  <c r="H4232" i="4"/>
  <c r="H4236" i="4"/>
  <c r="H4240" i="4"/>
  <c r="H4244" i="4"/>
  <c r="N4256" i="4"/>
  <c r="H4265" i="4"/>
  <c r="M4277" i="4"/>
  <c r="H4290" i="4"/>
  <c r="M4302" i="4"/>
  <c r="H4315" i="4"/>
  <c r="M4323" i="4"/>
  <c r="M4345" i="4"/>
  <c r="H4350" i="4"/>
  <c r="M4354" i="4"/>
  <c r="H4359" i="4"/>
  <c r="M4363" i="4"/>
  <c r="H4373" i="4"/>
  <c r="I4392" i="4"/>
  <c r="H4392" i="4"/>
  <c r="H4397" i="4"/>
  <c r="I4412" i="4"/>
  <c r="H4412" i="4"/>
  <c r="I4455" i="4"/>
  <c r="H4455" i="4"/>
  <c r="I4511" i="4"/>
  <c r="H4511" i="4"/>
  <c r="M4523" i="4"/>
  <c r="N4523" i="4"/>
  <c r="N4169" i="4"/>
  <c r="N4193" i="4"/>
  <c r="N4217" i="4"/>
  <c r="H4328" i="4"/>
  <c r="N4382" i="4"/>
  <c r="H4402" i="4"/>
  <c r="H4407" i="4"/>
  <c r="I4428" i="4"/>
  <c r="H4428" i="4"/>
  <c r="I4444" i="4"/>
  <c r="H4444" i="4"/>
  <c r="H4461" i="4"/>
  <c r="H4486" i="4"/>
  <c r="M4511" i="4"/>
  <c r="N4511" i="4"/>
  <c r="I4364" i="4"/>
  <c r="H4364" i="4"/>
  <c r="N4422" i="4"/>
  <c r="N4438" i="4"/>
  <c r="H4139" i="4"/>
  <c r="M4142" i="4"/>
  <c r="H4163" i="4"/>
  <c r="M4166" i="4"/>
  <c r="M4190" i="4"/>
  <c r="I4423" i="4"/>
  <c r="H4423" i="4"/>
  <c r="I4439" i="4"/>
  <c r="H4439" i="4"/>
  <c r="N4580" i="4"/>
  <c r="M4580" i="4"/>
  <c r="H4122" i="4"/>
  <c r="M4125" i="4"/>
  <c r="N4142" i="4"/>
  <c r="H4146" i="4"/>
  <c r="M4149" i="4"/>
  <c r="N4166" i="4"/>
  <c r="H4170" i="4"/>
  <c r="M4173" i="4"/>
  <c r="N4190" i="4"/>
  <c r="H4194" i="4"/>
  <c r="N4214" i="4"/>
  <c r="H4218" i="4"/>
  <c r="H4249" i="4"/>
  <c r="M4261" i="4"/>
  <c r="H4274" i="4"/>
  <c r="M4286" i="4"/>
  <c r="H4299" i="4"/>
  <c r="M4311" i="4"/>
  <c r="M4337" i="4"/>
  <c r="I4388" i="4"/>
  <c r="H4388" i="4"/>
  <c r="H4393" i="4"/>
  <c r="N4402" i="4"/>
  <c r="H4413" i="4"/>
  <c r="H4450" i="4"/>
  <c r="I4456" i="4"/>
  <c r="H4456" i="4"/>
  <c r="M4486" i="4"/>
  <c r="N4498" i="4"/>
  <c r="M4498" i="4"/>
  <c r="I4581" i="4"/>
  <c r="H4581" i="4"/>
  <c r="I4614" i="4"/>
  <c r="H4105" i="4"/>
  <c r="M4108" i="4"/>
  <c r="N4125" i="4"/>
  <c r="H4129" i="4"/>
  <c r="M4132" i="4"/>
  <c r="N4149" i="4"/>
  <c r="H4153" i="4"/>
  <c r="M4156" i="4"/>
  <c r="N4173" i="4"/>
  <c r="H4177" i="4"/>
  <c r="M4180" i="4"/>
  <c r="H4201" i="4"/>
  <c r="M4204" i="4"/>
  <c r="H4245" i="4"/>
  <c r="M4257" i="4"/>
  <c r="H4270" i="4"/>
  <c r="M4282" i="4"/>
  <c r="H4295" i="4"/>
  <c r="M4307" i="4"/>
  <c r="H4320" i="4"/>
  <c r="H4329" i="4"/>
  <c r="H4342" i="4"/>
  <c r="I4360" i="4"/>
  <c r="H4360" i="4"/>
  <c r="I4408" i="4"/>
  <c r="H4408" i="4"/>
  <c r="H4429" i="4"/>
  <c r="H4434" i="4"/>
  <c r="H4445" i="4"/>
  <c r="H4474" i="4"/>
  <c r="I4487" i="4"/>
  <c r="H4487" i="4"/>
  <c r="N4536" i="4"/>
  <c r="M4536" i="4"/>
  <c r="H4064" i="4"/>
  <c r="M4067" i="4"/>
  <c r="M4091" i="4"/>
  <c r="N4108" i="4"/>
  <c r="H4112" i="4"/>
  <c r="M4115" i="4"/>
  <c r="N4132" i="4"/>
  <c r="H4136" i="4"/>
  <c r="M4139" i="4"/>
  <c r="N4156" i="4"/>
  <c r="H4160" i="4"/>
  <c r="M4163" i="4"/>
  <c r="N4180" i="4"/>
  <c r="H4184" i="4"/>
  <c r="M4187" i="4"/>
  <c r="N4204" i="4"/>
  <c r="H4208" i="4"/>
  <c r="M4211" i="4"/>
  <c r="H4229" i="4"/>
  <c r="H4233" i="4"/>
  <c r="H4237" i="4"/>
  <c r="H4241" i="4"/>
  <c r="M4253" i="4"/>
  <c r="H4266" i="4"/>
  <c r="M4278" i="4"/>
  <c r="H4291" i="4"/>
  <c r="M4303" i="4"/>
  <c r="H4316" i="4"/>
  <c r="M4333" i="4"/>
  <c r="M4346" i="4"/>
  <c r="H4351" i="4"/>
  <c r="M4355" i="4"/>
  <c r="H4365" i="4"/>
  <c r="M4369" i="4"/>
  <c r="H4374" i="4"/>
  <c r="H4398" i="4"/>
  <c r="H4403" i="4"/>
  <c r="N4450" i="4"/>
  <c r="M4450" i="4"/>
  <c r="N4474" i="4"/>
  <c r="M4474" i="4"/>
  <c r="H4499" i="4"/>
  <c r="I4537" i="4"/>
  <c r="H4537" i="4"/>
  <c r="H3999" i="4"/>
  <c r="M4002" i="4"/>
  <c r="H4023" i="4"/>
  <c r="M4026" i="4"/>
  <c r="H4047" i="4"/>
  <c r="M4050" i="4"/>
  <c r="N4067" i="4"/>
  <c r="H4071" i="4"/>
  <c r="M4074" i="4"/>
  <c r="N4091" i="4"/>
  <c r="H4095" i="4"/>
  <c r="M4098" i="4"/>
  <c r="N4115" i="4"/>
  <c r="H4119" i="4"/>
  <c r="M4122" i="4"/>
  <c r="N4139" i="4"/>
  <c r="H4143" i="4"/>
  <c r="M4146" i="4"/>
  <c r="N4163" i="4"/>
  <c r="H4167" i="4"/>
  <c r="M4170" i="4"/>
  <c r="N4187" i="4"/>
  <c r="H4191" i="4"/>
  <c r="M4194" i="4"/>
  <c r="N4211" i="4"/>
  <c r="H4215" i="4"/>
  <c r="M4218" i="4"/>
  <c r="M4249" i="4"/>
  <c r="H4262" i="4"/>
  <c r="M4274" i="4"/>
  <c r="M4299" i="4"/>
  <c r="H4312" i="4"/>
  <c r="H4325" i="4"/>
  <c r="H4338" i="4"/>
  <c r="H4379" i="4"/>
  <c r="M4393" i="4"/>
  <c r="M4413" i="4"/>
  <c r="I4424" i="4"/>
  <c r="H4424" i="4"/>
  <c r="I4440" i="4"/>
  <c r="H4440" i="4"/>
  <c r="I4451" i="4"/>
  <c r="H4451" i="4"/>
  <c r="M4499" i="4"/>
  <c r="N4499" i="4"/>
  <c r="N4610" i="4"/>
  <c r="I4356" i="4"/>
  <c r="H4356" i="4"/>
  <c r="I4384" i="4"/>
  <c r="H4384" i="4"/>
  <c r="N4418" i="4"/>
  <c r="N4434" i="4"/>
  <c r="N4616" i="4"/>
  <c r="N4648" i="4"/>
  <c r="M4648" i="4"/>
  <c r="N4656" i="4"/>
  <c r="M4656" i="4"/>
  <c r="N4668" i="4"/>
  <c r="M4668" i="4"/>
  <c r="H4720" i="4"/>
  <c r="I4720" i="4"/>
  <c r="N4733" i="4"/>
  <c r="M4733" i="4"/>
  <c r="N4742" i="4"/>
  <c r="M4742" i="4"/>
  <c r="N4607" i="4"/>
  <c r="M4607" i="4"/>
  <c r="N4636" i="4"/>
  <c r="M4636" i="4"/>
  <c r="N4673" i="4"/>
  <c r="N4766" i="4"/>
  <c r="M4766" i="4"/>
  <c r="N4788" i="4"/>
  <c r="I4794" i="4"/>
  <c r="N4519" i="4"/>
  <c r="N4567" i="4"/>
  <c r="M4567" i="4"/>
  <c r="N4644" i="4"/>
  <c r="M4644" i="4"/>
  <c r="N4780" i="4"/>
  <c r="M4780" i="4"/>
  <c r="N4640" i="4"/>
  <c r="N4707" i="4"/>
  <c r="N4729" i="4"/>
  <c r="N4784" i="4"/>
  <c r="N4563" i="4"/>
  <c r="M4563" i="4"/>
  <c r="N4620" i="4"/>
  <c r="M4620" i="4"/>
  <c r="I4708" i="4"/>
  <c r="N4752" i="4"/>
  <c r="M4752" i="4"/>
  <c r="I4767" i="4"/>
  <c r="H4767" i="4"/>
  <c r="I4798" i="4"/>
  <c r="H4516" i="4"/>
  <c r="M4528" i="4"/>
  <c r="M4550" i="4"/>
  <c r="M4572" i="4"/>
  <c r="N4603" i="4"/>
  <c r="M4603" i="4"/>
  <c r="I4624" i="4"/>
  <c r="G4630" i="4"/>
  <c r="H4630" i="4" s="1"/>
  <c r="G4637" i="4"/>
  <c r="H4637" i="4" s="1"/>
  <c r="N4649" i="4"/>
  <c r="M4649" i="4"/>
  <c r="N4657" i="4"/>
  <c r="N4669" i="4"/>
  <c r="I4781" i="4"/>
  <c r="N4559" i="4"/>
  <c r="M4559" i="4"/>
  <c r="I4645" i="4"/>
  <c r="H4645" i="4"/>
  <c r="N4721" i="4"/>
  <c r="M4721" i="4"/>
  <c r="N4738" i="4"/>
  <c r="N4789" i="4"/>
  <c r="H4508" i="4"/>
  <c r="M4520" i="4"/>
  <c r="M4546" i="4"/>
  <c r="M4568" i="4"/>
  <c r="G4634" i="4"/>
  <c r="H4634" i="4" s="1"/>
  <c r="I4650" i="4"/>
  <c r="I4670" i="4"/>
  <c r="N4712" i="4"/>
  <c r="G4739" i="4"/>
  <c r="H4739" i="4" s="1"/>
  <c r="N4767" i="4"/>
  <c r="M4470" i="4"/>
  <c r="H4483" i="4"/>
  <c r="N4495" i="4"/>
  <c r="H4504" i="4"/>
  <c r="N4555" i="4"/>
  <c r="M4555" i="4"/>
  <c r="N4599" i="4"/>
  <c r="M4599" i="4"/>
  <c r="I4612" i="4"/>
  <c r="N4624" i="4"/>
  <c r="G4691" i="4"/>
  <c r="H4691" i="4" s="1"/>
  <c r="I4704" i="4"/>
  <c r="H4704" i="4"/>
  <c r="N4748" i="4"/>
  <c r="H4768" i="4"/>
  <c r="I4768" i="4"/>
  <c r="M4466" i="4"/>
  <c r="H4479" i="4"/>
  <c r="N4491" i="4"/>
  <c r="H4500" i="4"/>
  <c r="M4512" i="4"/>
  <c r="H4525" i="4"/>
  <c r="H4538" i="4"/>
  <c r="M4542" i="4"/>
  <c r="M4564" i="4"/>
  <c r="M4590" i="4"/>
  <c r="H4595" i="4"/>
  <c r="H4609" i="4"/>
  <c r="N4704" i="4"/>
  <c r="M4704" i="4"/>
  <c r="M4462" i="4"/>
  <c r="H4475" i="4"/>
  <c r="N4487" i="4"/>
  <c r="H4496" i="4"/>
  <c r="M4508" i="4"/>
  <c r="H4521" i="4"/>
  <c r="H4547" i="4"/>
  <c r="N4551" i="4"/>
  <c r="M4551" i="4"/>
  <c r="H4569" i="4"/>
  <c r="H4582" i="4"/>
  <c r="M4604" i="4"/>
  <c r="N4627" i="4"/>
  <c r="I4638" i="4"/>
  <c r="I4646" i="4"/>
  <c r="N4717" i="4"/>
  <c r="G4763" i="4"/>
  <c r="H4763" i="4" s="1"/>
  <c r="N4595" i="4"/>
  <c r="M4595" i="4"/>
  <c r="G4618" i="4"/>
  <c r="H4618" i="4" s="1"/>
  <c r="L4621" i="4"/>
  <c r="M4621" i="4" s="1"/>
  <c r="G4679" i="4"/>
  <c r="H4679" i="4" s="1"/>
  <c r="M4538" i="4"/>
  <c r="H4543" i="4"/>
  <c r="N4547" i="4"/>
  <c r="M4547" i="4"/>
  <c r="H4565" i="4"/>
  <c r="H4578" i="4"/>
  <c r="H4591" i="4"/>
  <c r="I4675" i="4"/>
  <c r="H4675" i="4"/>
  <c r="I4683" i="4"/>
  <c r="H4683" i="4"/>
  <c r="N4696" i="4"/>
  <c r="M4696" i="4"/>
  <c r="N4709" i="4"/>
  <c r="I4791" i="4"/>
  <c r="H4791" i="4"/>
  <c r="N4475" i="4"/>
  <c r="H4484" i="4"/>
  <c r="M4496" i="4"/>
  <c r="H4509" i="4"/>
  <c r="M4556" i="4"/>
  <c r="M4582" i="4"/>
  <c r="M4600" i="4"/>
  <c r="H4605" i="4"/>
  <c r="G4642" i="4"/>
  <c r="H4642" i="4" s="1"/>
  <c r="I4654" i="4"/>
  <c r="G4667" i="4"/>
  <c r="H4667" i="4" s="1"/>
  <c r="N4726" i="4"/>
  <c r="M4726" i="4"/>
  <c r="I4740" i="4"/>
  <c r="H4740" i="4"/>
  <c r="M4745" i="4"/>
  <c r="N4754" i="4"/>
  <c r="M4754" i="4"/>
  <c r="N4471" i="4"/>
  <c r="H4480" i="4"/>
  <c r="M4492" i="4"/>
  <c r="H4505" i="4"/>
  <c r="H4530" i="4"/>
  <c r="N4543" i="4"/>
  <c r="M4543" i="4"/>
  <c r="H4561" i="4"/>
  <c r="H4574" i="4"/>
  <c r="N4591" i="4"/>
  <c r="M4591" i="4"/>
  <c r="I4622" i="4"/>
  <c r="I4692" i="4"/>
  <c r="H4692" i="4"/>
  <c r="G4727" i="4"/>
  <c r="H4727" i="4" s="1"/>
  <c r="I4759" i="4"/>
  <c r="N4777" i="4"/>
  <c r="N4467" i="4"/>
  <c r="N4615" i="4"/>
  <c r="I4764" i="4"/>
  <c r="H4764" i="4"/>
  <c r="N4587" i="4"/>
  <c r="M4587" i="4"/>
  <c r="H4684" i="4"/>
  <c r="I4684" i="4"/>
  <c r="H4732" i="4"/>
  <c r="I4732" i="4"/>
  <c r="I4746" i="4"/>
  <c r="I4755" i="4"/>
  <c r="H4755" i="4"/>
  <c r="N4764" i="4"/>
  <c r="M4764" i="4"/>
  <c r="H4792" i="4"/>
  <c r="I4792" i="4"/>
  <c r="N4539" i="4"/>
  <c r="M4539" i="4"/>
  <c r="L4622" i="4"/>
  <c r="M4622" i="4" s="1"/>
  <c r="N4628" i="4"/>
  <c r="I4647" i="4"/>
  <c r="H4647" i="4"/>
  <c r="I4655" i="4"/>
  <c r="N4697" i="4"/>
  <c r="M4697" i="4"/>
  <c r="N4778" i="4"/>
  <c r="M4778" i="4"/>
  <c r="I4783" i="4"/>
  <c r="H4464" i="4"/>
  <c r="N4583" i="4"/>
  <c r="M4583" i="4"/>
  <c r="I4639" i="4"/>
  <c r="H4639" i="4"/>
  <c r="H4672" i="4"/>
  <c r="I4672" i="4"/>
  <c r="N4732" i="4"/>
  <c r="M4732" i="4"/>
  <c r="N4792" i="4"/>
  <c r="M4792" i="4"/>
  <c r="M4472" i="4"/>
  <c r="H4485" i="4"/>
  <c r="H4510" i="4"/>
  <c r="M4522" i="4"/>
  <c r="M4544" i="4"/>
  <c r="M4570" i="4"/>
  <c r="M4592" i="4"/>
  <c r="H4597" i="4"/>
  <c r="I4643" i="4"/>
  <c r="I4719" i="4"/>
  <c r="H4719" i="4"/>
  <c r="I4787" i="4"/>
  <c r="M4468" i="4"/>
  <c r="H4481" i="4"/>
  <c r="H4506" i="4"/>
  <c r="M4518" i="4"/>
  <c r="H4531" i="4"/>
  <c r="N4535" i="4"/>
  <c r="M4535" i="4"/>
  <c r="H4549" i="4"/>
  <c r="H4562" i="4"/>
  <c r="H4575" i="4"/>
  <c r="N4579" i="4"/>
  <c r="M4579" i="4"/>
  <c r="M4606" i="4"/>
  <c r="H4632" i="4"/>
  <c r="N4672" i="4"/>
  <c r="M4672" i="4"/>
  <c r="N4676" i="4"/>
  <c r="I4698" i="4"/>
  <c r="N4714" i="4"/>
  <c r="M4714" i="4"/>
  <c r="I4728" i="4"/>
  <c r="N4750" i="4"/>
  <c r="M4750" i="4"/>
  <c r="H4756" i="4"/>
  <c r="I4756" i="4"/>
  <c r="I4774" i="4"/>
  <c r="I4779" i="4"/>
  <c r="H4779" i="4"/>
  <c r="M4464" i="4"/>
  <c r="H4477" i="4"/>
  <c r="H4502" i="4"/>
  <c r="L4639" i="4"/>
  <c r="M4639" i="4" s="1"/>
  <c r="I4648" i="4"/>
  <c r="N4680" i="4"/>
  <c r="M4680" i="4"/>
  <c r="N4693" i="4"/>
  <c r="N4728" i="4"/>
  <c r="M4728" i="4"/>
  <c r="N4531" i="4"/>
  <c r="M4531" i="4"/>
  <c r="N4575" i="4"/>
  <c r="M4575" i="4"/>
  <c r="L4619" i="4"/>
  <c r="M4619" i="4" s="1"/>
  <c r="N4632" i="4"/>
  <c r="I4715" i="4"/>
  <c r="N4719" i="4"/>
  <c r="I4742" i="4"/>
  <c r="I4751" i="4"/>
  <c r="N4756" i="4"/>
  <c r="M4756" i="4"/>
  <c r="N4760" i="4"/>
  <c r="N4765" i="4"/>
  <c r="H4725" i="4"/>
  <c r="H4761" i="4"/>
  <c r="L4763" i="4"/>
  <c r="M4763" i="4" s="1"/>
  <c r="H4773" i="4"/>
  <c r="L4775" i="4"/>
  <c r="M4775" i="4" s="1"/>
  <c r="L4787" i="4"/>
  <c r="M4787" i="4" s="1"/>
  <c r="L4799" i="4"/>
  <c r="M4799" i="4" s="1"/>
  <c r="G4747" i="4"/>
  <c r="H4747" i="4" s="1"/>
  <c r="M4737" i="4"/>
  <c r="M4749" i="4"/>
  <c r="G4752" i="4"/>
  <c r="H4752" i="4" s="1"/>
  <c r="M4761" i="4"/>
  <c r="M4773" i="4"/>
  <c r="G4776" i="4"/>
  <c r="H4776" i="4" s="1"/>
  <c r="M4785" i="4"/>
  <c r="G4788" i="4"/>
  <c r="H4788" i="4" s="1"/>
  <c r="L4651" i="4"/>
  <c r="M4651" i="4" s="1"/>
  <c r="L4663" i="4"/>
  <c r="M4663" i="4" s="1"/>
  <c r="L4675" i="4"/>
  <c r="M4675" i="4" s="1"/>
  <c r="L4687" i="4"/>
  <c r="M4687" i="4" s="1"/>
  <c r="L4699" i="4"/>
  <c r="M4699" i="4" s="1"/>
  <c r="L4711" i="4"/>
  <c r="M4711" i="4" s="1"/>
  <c r="L4723" i="4"/>
  <c r="M4723" i="4" s="1"/>
  <c r="L4735" i="4"/>
  <c r="M4735" i="4" s="1"/>
  <c r="L4747" i="4"/>
  <c r="M4747" i="4" s="1"/>
  <c r="L4759" i="4"/>
  <c r="M4759" i="4" s="1"/>
  <c r="H4657" i="4"/>
  <c r="H4669" i="4"/>
  <c r="H4693" i="4"/>
  <c r="H4705" i="4"/>
  <c r="H4729" i="4"/>
  <c r="H4741" i="4"/>
  <c r="H4753" i="4"/>
  <c r="H2886" i="4"/>
  <c r="M2889" i="4"/>
  <c r="M2896" i="4"/>
  <c r="H2907" i="4"/>
  <c r="M2910" i="4"/>
  <c r="H2914" i="4"/>
  <c r="N2949" i="4"/>
  <c r="H2960" i="4"/>
  <c r="M2995" i="4"/>
  <c r="H2999" i="4"/>
  <c r="M3002" i="4"/>
  <c r="M3009" i="4"/>
  <c r="O3024" i="4"/>
  <c r="N3024" i="4"/>
  <c r="M3051" i="4"/>
  <c r="M3059" i="4"/>
  <c r="M3063" i="4"/>
  <c r="M3067" i="4"/>
  <c r="M3083" i="4"/>
  <c r="M3096" i="4"/>
  <c r="M3115" i="4"/>
  <c r="N3120" i="4"/>
  <c r="M3120" i="4"/>
  <c r="I2886" i="4"/>
  <c r="N2889" i="4"/>
  <c r="H2893" i="4"/>
  <c r="N2896" i="4"/>
  <c r="I2907" i="4"/>
  <c r="N2910" i="4"/>
  <c r="I2914" i="4"/>
  <c r="M2928" i="4"/>
  <c r="M2942" i="4"/>
  <c r="I2946" i="4"/>
  <c r="O2949" i="4"/>
  <c r="I2960" i="4"/>
  <c r="M2974" i="4"/>
  <c r="M2988" i="4"/>
  <c r="H2992" i="4"/>
  <c r="N2995" i="4"/>
  <c r="I2999" i="4"/>
  <c r="N3002" i="4"/>
  <c r="H3006" i="4"/>
  <c r="N3009" i="4"/>
  <c r="H3017" i="4"/>
  <c r="M3024" i="4"/>
  <c r="H3036" i="4"/>
  <c r="N3051" i="4"/>
  <c r="O3055" i="4"/>
  <c r="N3055" i="4"/>
  <c r="M3055" i="4"/>
  <c r="N3059" i="4"/>
  <c r="N3063" i="4"/>
  <c r="O3067" i="4"/>
  <c r="N3083" i="4"/>
  <c r="M3087" i="4"/>
  <c r="P3096" i="4"/>
  <c r="M3101" i="4"/>
  <c r="P3115" i="4"/>
  <c r="P3120" i="4"/>
  <c r="P3137" i="4"/>
  <c r="N3137" i="4"/>
  <c r="M3137" i="4"/>
  <c r="P3228" i="4"/>
  <c r="N3228" i="4"/>
  <c r="M2921" i="4"/>
  <c r="H2925" i="4"/>
  <c r="N2928" i="4"/>
  <c r="H2932" i="4"/>
  <c r="M2935" i="4"/>
  <c r="H2939" i="4"/>
  <c r="O2942" i="4"/>
  <c r="N2974" i="4"/>
  <c r="N2988" i="4"/>
  <c r="M3013" i="4"/>
  <c r="M3032" i="4"/>
  <c r="N3087" i="4"/>
  <c r="P3101" i="4"/>
  <c r="H3172" i="4"/>
  <c r="P3172" i="4"/>
  <c r="I3172" i="4"/>
  <c r="P3200" i="4"/>
  <c r="N3200" i="4"/>
  <c r="M3200" i="4"/>
  <c r="M3228" i="4"/>
  <c r="I3291" i="4"/>
  <c r="H3291" i="4"/>
  <c r="I3338" i="4"/>
  <c r="H3338" i="4"/>
  <c r="H2883" i="4"/>
  <c r="M2886" i="4"/>
  <c r="M2907" i="4"/>
  <c r="M2914" i="4"/>
  <c r="H2918" i="4"/>
  <c r="N2921" i="4"/>
  <c r="I2932" i="4"/>
  <c r="N2935" i="4"/>
  <c r="M2946" i="4"/>
  <c r="H2950" i="4"/>
  <c r="M2953" i="4"/>
  <c r="M2960" i="4"/>
  <c r="H2964" i="4"/>
  <c r="N2967" i="4"/>
  <c r="N2981" i="4"/>
  <c r="M2999" i="4"/>
  <c r="N3013" i="4"/>
  <c r="O3017" i="4"/>
  <c r="H3021" i="4"/>
  <c r="N3032" i="4"/>
  <c r="O3036" i="4"/>
  <c r="I3044" i="4"/>
  <c r="H3048" i="4"/>
  <c r="I3052" i="4"/>
  <c r="H3052" i="4"/>
  <c r="H3056" i="4"/>
  <c r="H3068" i="4"/>
  <c r="H3072" i="4"/>
  <c r="I3080" i="4"/>
  <c r="M3106" i="4"/>
  <c r="H3116" i="4"/>
  <c r="H3133" i="4"/>
  <c r="H3138" i="4"/>
  <c r="H3161" i="4"/>
  <c r="I3606" i="4"/>
  <c r="H3606" i="4"/>
  <c r="I3088" i="4"/>
  <c r="H3088" i="4"/>
  <c r="N3106" i="4"/>
  <c r="I3116" i="4"/>
  <c r="I3127" i="4"/>
  <c r="H3127" i="4"/>
  <c r="P3138" i="4"/>
  <c r="N3138" i="4"/>
  <c r="M3138" i="4"/>
  <c r="N3144" i="4"/>
  <c r="P3144" i="4"/>
  <c r="O2946" i="4"/>
  <c r="O3048" i="4"/>
  <c r="N3048" i="4"/>
  <c r="O3072" i="4"/>
  <c r="N3072" i="4"/>
  <c r="M3072" i="4"/>
  <c r="M3127" i="4"/>
  <c r="P3127" i="4"/>
  <c r="N3586" i="4"/>
  <c r="M3586" i="4"/>
  <c r="M3064" i="4"/>
  <c r="M3068" i="4"/>
  <c r="P3084" i="4"/>
  <c r="N3084" i="4"/>
  <c r="M3088" i="4"/>
  <c r="N3127" i="4"/>
  <c r="P3173" i="4"/>
  <c r="I3173" i="4"/>
  <c r="H3173" i="4"/>
  <c r="P3183" i="4"/>
  <c r="N3183" i="4"/>
  <c r="M3183" i="4"/>
  <c r="M3189" i="4"/>
  <c r="N2883" i="4"/>
  <c r="H2887" i="4"/>
  <c r="M2890" i="4"/>
  <c r="M2897" i="4"/>
  <c r="N2904" i="4"/>
  <c r="H2908" i="4"/>
  <c r="M2911" i="4"/>
  <c r="H2915" i="4"/>
  <c r="O2918" i="4"/>
  <c r="M2943" i="4"/>
  <c r="H2947" i="4"/>
  <c r="N2950" i="4"/>
  <c r="H2954" i="4"/>
  <c r="M2957" i="4"/>
  <c r="H2961" i="4"/>
  <c r="N2964" i="4"/>
  <c r="M2996" i="4"/>
  <c r="H3000" i="4"/>
  <c r="M3003" i="4"/>
  <c r="M3010" i="4"/>
  <c r="I3014" i="4"/>
  <c r="N3025" i="4"/>
  <c r="H3037" i="4"/>
  <c r="N3056" i="4"/>
  <c r="M3060" i="4"/>
  <c r="N3064" i="4"/>
  <c r="N3068" i="4"/>
  <c r="M3084" i="4"/>
  <c r="N3088" i="4"/>
  <c r="I3128" i="4"/>
  <c r="H3128" i="4"/>
  <c r="P3133" i="4"/>
  <c r="N3189" i="4"/>
  <c r="N2890" i="4"/>
  <c r="H2894" i="4"/>
  <c r="N2897" i="4"/>
  <c r="I2908" i="4"/>
  <c r="N2911" i="4"/>
  <c r="M2922" i="4"/>
  <c r="H2926" i="4"/>
  <c r="M2929" i="4"/>
  <c r="M2936" i="4"/>
  <c r="H2940" i="4"/>
  <c r="N2943" i="4"/>
  <c r="N2957" i="4"/>
  <c r="M2975" i="4"/>
  <c r="M2989" i="4"/>
  <c r="H2993" i="4"/>
  <c r="N2996" i="4"/>
  <c r="I3000" i="4"/>
  <c r="N3003" i="4"/>
  <c r="H3007" i="4"/>
  <c r="N3010" i="4"/>
  <c r="N3014" i="4"/>
  <c r="M3014" i="4"/>
  <c r="H3022" i="4"/>
  <c r="M3029" i="4"/>
  <c r="I3037" i="4"/>
  <c r="H3041" i="4"/>
  <c r="N3060" i="4"/>
  <c r="H3077" i="4"/>
  <c r="I3098" i="4"/>
  <c r="I3112" i="4"/>
  <c r="P3128" i="4"/>
  <c r="I3134" i="4"/>
  <c r="P3243" i="4"/>
  <c r="I3243" i="4"/>
  <c r="H3243" i="4"/>
  <c r="I3028" i="4"/>
  <c r="H3028" i="4"/>
  <c r="N2989" i="4"/>
  <c r="N3029" i="4"/>
  <c r="I3069" i="4"/>
  <c r="H3069" i="4"/>
  <c r="I3077" i="4"/>
  <c r="P3098" i="4"/>
  <c r="P3112" i="4"/>
  <c r="P3122" i="4"/>
  <c r="N3122" i="4"/>
  <c r="M3313" i="4"/>
  <c r="N3313" i="4"/>
  <c r="I3333" i="4"/>
  <c r="H3333" i="4"/>
  <c r="P3265" i="4"/>
  <c r="I3265" i="4"/>
  <c r="H3265" i="4"/>
  <c r="O2922" i="4"/>
  <c r="O3007" i="4"/>
  <c r="I3011" i="4"/>
  <c r="H3011" i="4"/>
  <c r="O3041" i="4"/>
  <c r="H3103" i="4"/>
  <c r="M3112" i="4"/>
  <c r="M3122" i="4"/>
  <c r="H3140" i="4"/>
  <c r="H3207" i="4"/>
  <c r="N3273" i="4"/>
  <c r="M3273" i="4"/>
  <c r="O2915" i="4"/>
  <c r="P3225" i="4"/>
  <c r="I3225" i="4"/>
  <c r="I3465" i="4"/>
  <c r="H3465" i="4"/>
  <c r="O2894" i="4"/>
  <c r="M2919" i="4"/>
  <c r="H2923" i="4"/>
  <c r="N2926" i="4"/>
  <c r="H2930" i="4"/>
  <c r="M2933" i="4"/>
  <c r="H2937" i="4"/>
  <c r="N2940" i="4"/>
  <c r="M2972" i="4"/>
  <c r="H2976" i="4"/>
  <c r="M2979" i="4"/>
  <c r="M2986" i="4"/>
  <c r="H2990" i="4"/>
  <c r="N2993" i="4"/>
  <c r="I2997" i="4"/>
  <c r="I3004" i="4"/>
  <c r="N3007" i="4"/>
  <c r="M3011" i="4"/>
  <c r="N3022" i="4"/>
  <c r="H3030" i="4"/>
  <c r="N3041" i="4"/>
  <c r="M3053" i="4"/>
  <c r="O3065" i="4"/>
  <c r="N3065" i="4"/>
  <c r="M3085" i="4"/>
  <c r="P3089" i="4"/>
  <c r="N3089" i="4"/>
  <c r="N3103" i="4"/>
  <c r="H3123" i="4"/>
  <c r="N3168" i="4"/>
  <c r="P3168" i="4"/>
  <c r="M3168" i="4"/>
  <c r="H3225" i="4"/>
  <c r="I3354" i="4"/>
  <c r="H3354" i="4"/>
  <c r="N2919" i="4"/>
  <c r="N2933" i="4"/>
  <c r="N2972" i="4"/>
  <c r="N2979" i="4"/>
  <c r="N2986" i="4"/>
  <c r="N3011" i="4"/>
  <c r="H3019" i="4"/>
  <c r="M3026" i="4"/>
  <c r="H3034" i="4"/>
  <c r="N3053" i="4"/>
  <c r="M3061" i="4"/>
  <c r="M3065" i="4"/>
  <c r="N3085" i="4"/>
  <c r="M3089" i="4"/>
  <c r="P3103" i="4"/>
  <c r="M3108" i="4"/>
  <c r="P3180" i="4"/>
  <c r="I3180" i="4"/>
  <c r="H3180" i="4"/>
  <c r="H3250" i="4"/>
  <c r="N3026" i="4"/>
  <c r="N3061" i="4"/>
  <c r="H3074" i="4"/>
  <c r="P3108" i="4"/>
  <c r="N3123" i="4"/>
  <c r="M3123" i="4"/>
  <c r="P3140" i="4"/>
  <c r="H3147" i="4"/>
  <c r="I3446" i="4"/>
  <c r="H3446" i="4"/>
  <c r="O2898" i="4"/>
  <c r="M2976" i="4"/>
  <c r="M2990" i="4"/>
  <c r="I2994" i="4"/>
  <c r="M3030" i="4"/>
  <c r="P3113" i="4"/>
  <c r="N3113" i="4"/>
  <c r="P3123" i="4"/>
  <c r="I3141" i="4"/>
  <c r="P3141" i="4"/>
  <c r="H3141" i="4"/>
  <c r="I3147" i="4"/>
  <c r="P3186" i="4"/>
  <c r="I3186" i="4"/>
  <c r="I3309" i="4"/>
  <c r="H3309" i="4"/>
  <c r="M2916" i="4"/>
  <c r="H2920" i="4"/>
  <c r="N2923" i="4"/>
  <c r="N2930" i="4"/>
  <c r="H2934" i="4"/>
  <c r="N2937" i="4"/>
  <c r="M2969" i="4"/>
  <c r="H2973" i="4"/>
  <c r="N2976" i="4"/>
  <c r="H2980" i="4"/>
  <c r="M2983" i="4"/>
  <c r="H2987" i="4"/>
  <c r="O2990" i="4"/>
  <c r="H3012" i="4"/>
  <c r="M3019" i="4"/>
  <c r="N3030" i="4"/>
  <c r="M3034" i="4"/>
  <c r="M3042" i="4"/>
  <c r="H3086" i="4"/>
  <c r="M3090" i="4"/>
  <c r="H3095" i="4"/>
  <c r="M3099" i="4"/>
  <c r="H3109" i="4"/>
  <c r="M3113" i="4"/>
  <c r="H3124" i="4"/>
  <c r="I3124" i="4"/>
  <c r="P3130" i="4"/>
  <c r="N3130" i="4"/>
  <c r="P3169" i="4"/>
  <c r="N3169" i="4"/>
  <c r="M3169" i="4"/>
  <c r="M3175" i="4"/>
  <c r="P3175" i="4"/>
  <c r="H3186" i="4"/>
  <c r="I3232" i="4"/>
  <c r="H3232" i="4"/>
  <c r="M2888" i="4"/>
  <c r="M2895" i="4"/>
  <c r="M2909" i="4"/>
  <c r="N2916" i="4"/>
  <c r="M2948" i="4"/>
  <c r="M2955" i="4"/>
  <c r="M2962" i="4"/>
  <c r="N2969" i="4"/>
  <c r="I2980" i="4"/>
  <c r="N2983" i="4"/>
  <c r="M2994" i="4"/>
  <c r="M3001" i="4"/>
  <c r="M3008" i="4"/>
  <c r="N3019" i="4"/>
  <c r="N3034" i="4"/>
  <c r="N3042" i="4"/>
  <c r="M3046" i="4"/>
  <c r="H3062" i="4"/>
  <c r="M3066" i="4"/>
  <c r="M3070" i="4"/>
  <c r="N3074" i="4"/>
  <c r="P3082" i="4"/>
  <c r="N3090" i="4"/>
  <c r="P3099" i="4"/>
  <c r="I3109" i="4"/>
  <c r="I3119" i="4"/>
  <c r="H3119" i="4"/>
  <c r="P3124" i="4"/>
  <c r="N3124" i="4"/>
  <c r="M3124" i="4"/>
  <c r="M3130" i="4"/>
  <c r="N3175" i="4"/>
  <c r="P3214" i="4"/>
  <c r="N3214" i="4"/>
  <c r="M3214" i="4"/>
  <c r="I3434" i="4"/>
  <c r="H3434" i="4"/>
  <c r="H3148" i="4"/>
  <c r="P3148" i="4"/>
  <c r="M2920" i="4"/>
  <c r="H2924" i="4"/>
  <c r="N2927" i="4"/>
  <c r="H2931" i="4"/>
  <c r="M2934" i="4"/>
  <c r="H2938" i="4"/>
  <c r="N2941" i="4"/>
  <c r="N2973" i="4"/>
  <c r="H2984" i="4"/>
  <c r="N2987" i="4"/>
  <c r="M3012" i="4"/>
  <c r="N3023" i="4"/>
  <c r="H3031" i="4"/>
  <c r="H3039" i="4"/>
  <c r="O3050" i="4"/>
  <c r="M3054" i="4"/>
  <c r="O3058" i="4"/>
  <c r="O3062" i="4"/>
  <c r="N3078" i="4"/>
  <c r="N3082" i="4"/>
  <c r="I3100" i="4"/>
  <c r="H3105" i="4"/>
  <c r="P3114" i="4"/>
  <c r="M3119" i="4"/>
  <c r="I3142" i="4"/>
  <c r="H3142" i="4"/>
  <c r="I3148" i="4"/>
  <c r="H3193" i="4"/>
  <c r="H2882" i="4"/>
  <c r="M2885" i="4"/>
  <c r="M2899" i="4"/>
  <c r="M2906" i="4"/>
  <c r="M2913" i="4"/>
  <c r="H2917" i="4"/>
  <c r="N2920" i="4"/>
  <c r="N2934" i="4"/>
  <c r="M2952" i="4"/>
  <c r="O2959" i="4"/>
  <c r="M2966" i="4"/>
  <c r="I2970" i="4"/>
  <c r="O2973" i="4"/>
  <c r="M2998" i="4"/>
  <c r="N3012" i="4"/>
  <c r="H3020" i="4"/>
  <c r="M3027" i="4"/>
  <c r="H3043" i="4"/>
  <c r="N3054" i="4"/>
  <c r="M3058" i="4"/>
  <c r="H3075" i="4"/>
  <c r="P3086" i="4"/>
  <c r="H3091" i="4"/>
  <c r="P3095" i="4"/>
  <c r="P3100" i="4"/>
  <c r="N3100" i="4"/>
  <c r="M3100" i="4"/>
  <c r="N3119" i="4"/>
  <c r="P3136" i="4"/>
  <c r="N3136" i="4"/>
  <c r="P3142" i="4"/>
  <c r="P3187" i="4"/>
  <c r="I3187" i="4"/>
  <c r="H3187" i="4"/>
  <c r="I3193" i="4"/>
  <c r="P3239" i="4"/>
  <c r="N3239" i="4"/>
  <c r="M3239" i="4"/>
  <c r="N2885" i="4"/>
  <c r="H2889" i="4"/>
  <c r="M2892" i="4"/>
  <c r="H2896" i="4"/>
  <c r="N2899" i="4"/>
  <c r="N2906" i="4"/>
  <c r="H2910" i="4"/>
  <c r="N2913" i="4"/>
  <c r="M2945" i="4"/>
  <c r="H2949" i="4"/>
  <c r="N2952" i="4"/>
  <c r="H2956" i="4"/>
  <c r="M2959" i="4"/>
  <c r="H2963" i="4"/>
  <c r="O2966" i="4"/>
  <c r="M2991" i="4"/>
  <c r="H2995" i="4"/>
  <c r="N2998" i="4"/>
  <c r="H3002" i="4"/>
  <c r="M3005" i="4"/>
  <c r="H3009" i="4"/>
  <c r="M3016" i="4"/>
  <c r="N3027" i="4"/>
  <c r="O3031" i="4"/>
  <c r="N3031" i="4"/>
  <c r="M3031" i="4"/>
  <c r="M3035" i="4"/>
  <c r="I3047" i="4"/>
  <c r="H3051" i="4"/>
  <c r="N3058" i="4"/>
  <c r="H3063" i="4"/>
  <c r="H3067" i="4"/>
  <c r="I3071" i="4"/>
  <c r="I3110" i="4"/>
  <c r="P3131" i="4"/>
  <c r="N3131" i="4"/>
  <c r="M3131" i="4"/>
  <c r="M3136" i="4"/>
  <c r="P3221" i="4"/>
  <c r="N3221" i="4"/>
  <c r="I3370" i="4"/>
  <c r="H3370" i="4"/>
  <c r="N2959" i="4"/>
  <c r="P3091" i="4"/>
  <c r="N3091" i="4"/>
  <c r="I3096" i="4"/>
  <c r="H3110" i="4"/>
  <c r="P3154" i="4"/>
  <c r="N3154" i="4"/>
  <c r="M3154" i="4"/>
  <c r="M3221" i="4"/>
  <c r="P3246" i="4"/>
  <c r="N3246" i="4"/>
  <c r="I3323" i="4"/>
  <c r="H3323" i="4"/>
  <c r="I3261" i="4"/>
  <c r="H3261" i="4"/>
  <c r="P3257" i="4"/>
  <c r="N3257" i="4"/>
  <c r="H3278" i="4"/>
  <c r="M3282" i="4"/>
  <c r="M3295" i="4"/>
  <c r="H3300" i="4"/>
  <c r="M3318" i="4"/>
  <c r="H3349" i="4"/>
  <c r="H3365" i="4"/>
  <c r="I3381" i="4"/>
  <c r="I3387" i="4"/>
  <c r="I3493" i="4"/>
  <c r="H3493" i="4"/>
  <c r="I3665" i="4"/>
  <c r="G3674" i="4"/>
  <c r="H3674" i="4" s="1"/>
  <c r="N3693" i="4"/>
  <c r="I3764" i="4"/>
  <c r="H3764" i="4"/>
  <c r="I3799" i="4"/>
  <c r="I3833" i="4"/>
  <c r="N3837" i="4"/>
  <c r="P3161" i="4"/>
  <c r="P3250" i="4"/>
  <c r="M3257" i="4"/>
  <c r="M3261" i="4"/>
  <c r="M3269" i="4"/>
  <c r="H3287" i="4"/>
  <c r="H3314" i="4"/>
  <c r="M3338" i="4"/>
  <c r="M3354" i="4"/>
  <c r="M3370" i="4"/>
  <c r="I3429" i="4"/>
  <c r="I3453" i="4"/>
  <c r="H3453" i="4"/>
  <c r="I3625" i="4"/>
  <c r="H3625" i="4"/>
  <c r="H3158" i="4"/>
  <c r="M3161" i="4"/>
  <c r="H3165" i="4"/>
  <c r="M3250" i="4"/>
  <c r="N3261" i="4"/>
  <c r="H3274" i="4"/>
  <c r="N3309" i="4"/>
  <c r="M3323" i="4"/>
  <c r="N3333" i="4"/>
  <c r="H3394" i="4"/>
  <c r="H3406" i="4"/>
  <c r="I3441" i="4"/>
  <c r="H3441" i="4"/>
  <c r="I3473" i="4"/>
  <c r="H3473" i="4"/>
  <c r="H3418" i="4"/>
  <c r="I3620" i="4"/>
  <c r="I3501" i="4"/>
  <c r="H3501" i="4"/>
  <c r="N3506" i="4"/>
  <c r="M3506" i="4"/>
  <c r="H3292" i="4"/>
  <c r="N3305" i="4"/>
  <c r="N3339" i="4"/>
  <c r="M3339" i="4"/>
  <c r="M3562" i="4"/>
  <c r="I3582" i="4"/>
  <c r="H3582" i="4"/>
  <c r="I3661" i="4"/>
  <c r="H3377" i="4"/>
  <c r="I3401" i="4"/>
  <c r="H3454" i="4"/>
  <c r="I3519" i="4"/>
  <c r="H3519" i="4"/>
  <c r="I3601" i="4"/>
  <c r="H3601" i="4"/>
  <c r="N3176" i="4"/>
  <c r="N3190" i="4"/>
  <c r="I3194" i="4"/>
  <c r="I3208" i="4"/>
  <c r="M3222" i="4"/>
  <c r="H3226" i="4"/>
  <c r="M3229" i="4"/>
  <c r="N3236" i="4"/>
  <c r="N3240" i="4"/>
  <c r="M3240" i="4"/>
  <c r="N3258" i="4"/>
  <c r="P3262" i="4"/>
  <c r="H3275" i="4"/>
  <c r="H3288" i="4"/>
  <c r="H3306" i="4"/>
  <c r="N3329" i="4"/>
  <c r="M3350" i="4"/>
  <c r="M3366" i="4"/>
  <c r="I3389" i="4"/>
  <c r="H3442" i="4"/>
  <c r="I3461" i="4"/>
  <c r="H3461" i="4"/>
  <c r="H3646" i="4"/>
  <c r="N3222" i="4"/>
  <c r="I3226" i="4"/>
  <c r="N3229" i="4"/>
  <c r="P3240" i="4"/>
  <c r="M3262" i="4"/>
  <c r="N3301" i="4"/>
  <c r="H3526" i="4"/>
  <c r="I3596" i="4"/>
  <c r="I3237" i="4"/>
  <c r="H3237" i="4"/>
  <c r="H3191" i="4"/>
  <c r="M3226" i="4"/>
  <c r="P3233" i="4"/>
  <c r="N3233" i="4"/>
  <c r="H3241" i="4"/>
  <c r="H3259" i="4"/>
  <c r="M3275" i="4"/>
  <c r="H3293" i="4"/>
  <c r="H3302" i="4"/>
  <c r="H3402" i="4"/>
  <c r="H3414" i="4"/>
  <c r="I3437" i="4"/>
  <c r="H3437" i="4"/>
  <c r="I3449" i="4"/>
  <c r="H3449" i="4"/>
  <c r="I3489" i="4"/>
  <c r="H3489" i="4"/>
  <c r="M3152" i="4"/>
  <c r="M3166" i="4"/>
  <c r="M3219" i="4"/>
  <c r="H3223" i="4"/>
  <c r="H3230" i="4"/>
  <c r="M3233" i="4"/>
  <c r="M3237" i="4"/>
  <c r="M3255" i="4"/>
  <c r="H3280" i="4"/>
  <c r="N3297" i="4"/>
  <c r="M3330" i="4"/>
  <c r="M3335" i="4"/>
  <c r="I3558" i="4"/>
  <c r="H3558" i="4"/>
  <c r="I3469" i="4"/>
  <c r="H3469" i="4"/>
  <c r="H3539" i="4"/>
  <c r="M3640" i="4"/>
  <c r="N3145" i="4"/>
  <c r="N3159" i="4"/>
  <c r="M3177" i="4"/>
  <c r="M3191" i="4"/>
  <c r="H3195" i="4"/>
  <c r="N3198" i="4"/>
  <c r="N3205" i="4"/>
  <c r="H3209" i="4"/>
  <c r="N3212" i="4"/>
  <c r="H3234" i="4"/>
  <c r="M3241" i="4"/>
  <c r="H3245" i="4"/>
  <c r="N3248" i="4"/>
  <c r="M3259" i="4"/>
  <c r="H3276" i="4"/>
  <c r="M3293" i="4"/>
  <c r="H3298" i="4"/>
  <c r="H3331" i="4"/>
  <c r="M3346" i="4"/>
  <c r="M3362" i="4"/>
  <c r="M3378" i="4"/>
  <c r="M3390" i="4"/>
  <c r="H3426" i="4"/>
  <c r="I3577" i="4"/>
  <c r="H3577" i="4"/>
  <c r="N3177" i="4"/>
  <c r="N3191" i="4"/>
  <c r="N3241" i="4"/>
  <c r="N3259" i="4"/>
  <c r="M3263" i="4"/>
  <c r="H3321" i="4"/>
  <c r="H3326" i="4"/>
  <c r="I3497" i="4"/>
  <c r="H3497" i="4"/>
  <c r="P3209" i="4"/>
  <c r="H3347" i="4"/>
  <c r="H3363" i="4"/>
  <c r="H3379" i="4"/>
  <c r="I3391" i="4"/>
  <c r="I3421" i="4"/>
  <c r="H3438" i="4"/>
  <c r="H3450" i="4"/>
  <c r="I3572" i="4"/>
  <c r="I3635" i="4"/>
  <c r="H3635" i="4"/>
  <c r="M3128" i="4"/>
  <c r="M3142" i="4"/>
  <c r="H3146" i="4"/>
  <c r="N3149" i="4"/>
  <c r="N3156" i="4"/>
  <c r="H3160" i="4"/>
  <c r="N3163" i="4"/>
  <c r="M3195" i="4"/>
  <c r="H3199" i="4"/>
  <c r="N3202" i="4"/>
  <c r="M3209" i="4"/>
  <c r="H3213" i="4"/>
  <c r="P3216" i="4"/>
  <c r="M3234" i="4"/>
  <c r="M3245" i="4"/>
  <c r="H3249" i="4"/>
  <c r="H3281" i="4"/>
  <c r="H3294" i="4"/>
  <c r="M3326" i="4"/>
  <c r="M3331" i="4"/>
  <c r="I3385" i="4"/>
  <c r="I3457" i="4"/>
  <c r="H3457" i="4"/>
  <c r="M3610" i="4"/>
  <c r="N3128" i="4"/>
  <c r="N3142" i="4"/>
  <c r="N3195" i="4"/>
  <c r="N3209" i="4"/>
  <c r="N3234" i="4"/>
  <c r="N3245" i="4"/>
  <c r="I3522" i="4"/>
  <c r="H3522" i="4"/>
  <c r="H3104" i="4"/>
  <c r="M3107" i="4"/>
  <c r="M3114" i="4"/>
  <c r="H3118" i="4"/>
  <c r="N3121" i="4"/>
  <c r="N3135" i="4"/>
  <c r="M3153" i="4"/>
  <c r="M3167" i="4"/>
  <c r="H3171" i="4"/>
  <c r="N3174" i="4"/>
  <c r="N3181" i="4"/>
  <c r="H3185" i="4"/>
  <c r="N3188" i="4"/>
  <c r="M3213" i="4"/>
  <c r="H3217" i="4"/>
  <c r="N3220" i="4"/>
  <c r="N3227" i="4"/>
  <c r="H3231" i="4"/>
  <c r="M3238" i="4"/>
  <c r="M3256" i="4"/>
  <c r="H3264" i="4"/>
  <c r="H3277" i="4"/>
  <c r="H3290" i="4"/>
  <c r="M3294" i="4"/>
  <c r="H3299" i="4"/>
  <c r="M3303" i="4"/>
  <c r="H3327" i="4"/>
  <c r="H3337" i="4"/>
  <c r="H3353" i="4"/>
  <c r="H3369" i="4"/>
  <c r="H3398" i="4"/>
  <c r="H3410" i="4"/>
  <c r="I3433" i="4"/>
  <c r="I3445" i="4"/>
  <c r="H3445" i="4"/>
  <c r="N3540" i="4"/>
  <c r="M3540" i="4"/>
  <c r="H3076" i="4"/>
  <c r="M3079" i="4"/>
  <c r="H3097" i="4"/>
  <c r="N3107" i="4"/>
  <c r="H3111" i="4"/>
  <c r="N3114" i="4"/>
  <c r="M3146" i="4"/>
  <c r="H3150" i="4"/>
  <c r="N3153" i="4"/>
  <c r="H3157" i="4"/>
  <c r="M3160" i="4"/>
  <c r="H3164" i="4"/>
  <c r="N3167" i="4"/>
  <c r="N3199" i="4"/>
  <c r="H3210" i="4"/>
  <c r="N3213" i="4"/>
  <c r="N3238" i="4"/>
  <c r="M3249" i="4"/>
  <c r="H3253" i="4"/>
  <c r="N3256" i="4"/>
  <c r="M3281" i="4"/>
  <c r="H3322" i="4"/>
  <c r="M3342" i="4"/>
  <c r="M3358" i="4"/>
  <c r="M3374" i="4"/>
  <c r="I3553" i="4"/>
  <c r="H3553" i="4"/>
  <c r="H3035" i="4"/>
  <c r="M3038" i="4"/>
  <c r="H3059" i="4"/>
  <c r="M3062" i="4"/>
  <c r="N3079" i="4"/>
  <c r="H3090" i="4"/>
  <c r="M3125" i="4"/>
  <c r="H3129" i="4"/>
  <c r="M3132" i="4"/>
  <c r="M3139" i="4"/>
  <c r="H3143" i="4"/>
  <c r="N3160" i="4"/>
  <c r="M3178" i="4"/>
  <c r="P3185" i="4"/>
  <c r="M3192" i="4"/>
  <c r="I3196" i="4"/>
  <c r="P3199" i="4"/>
  <c r="M3224" i="4"/>
  <c r="N3249" i="4"/>
  <c r="N3264" i="4"/>
  <c r="M3264" i="4"/>
  <c r="H3273" i="4"/>
  <c r="I3485" i="4"/>
  <c r="H3485" i="4"/>
  <c r="M3534" i="4"/>
  <c r="M3185" i="4"/>
  <c r="H3189" i="4"/>
  <c r="P3192" i="4"/>
  <c r="P3264" i="4"/>
  <c r="H3304" i="4"/>
  <c r="M3322" i="4"/>
  <c r="M3327" i="4"/>
  <c r="I3548" i="4"/>
  <c r="L3650" i="4"/>
  <c r="M3650" i="4" s="1"/>
  <c r="G3698" i="4"/>
  <c r="H3698" i="4" s="1"/>
  <c r="M3703" i="4"/>
  <c r="I3718" i="4"/>
  <c r="H3718" i="4"/>
  <c r="G3758" i="4"/>
  <c r="H3758" i="4" s="1"/>
  <c r="N3763" i="4"/>
  <c r="G3818" i="4"/>
  <c r="H3818" i="4" s="1"/>
  <c r="N3827" i="4"/>
  <c r="I3714" i="4"/>
  <c r="M3718" i="4"/>
  <c r="H3724" i="4"/>
  <c r="I3724" i="4"/>
  <c r="N3784" i="4"/>
  <c r="N3799" i="4"/>
  <c r="M3799" i="4"/>
  <c r="G3651" i="4"/>
  <c r="H3651" i="4" s="1"/>
  <c r="N3674" i="4"/>
  <c r="N3733" i="4"/>
  <c r="N3743" i="4"/>
  <c r="M3743" i="4"/>
  <c r="N3753" i="4"/>
  <c r="N3789" i="4"/>
  <c r="N3809" i="4"/>
  <c r="I3824" i="4"/>
  <c r="H3824" i="4"/>
  <c r="H3514" i="4"/>
  <c r="M3526" i="4"/>
  <c r="H3535" i="4"/>
  <c r="I3544" i="4"/>
  <c r="H3563" i="4"/>
  <c r="H3587" i="4"/>
  <c r="H3611" i="4"/>
  <c r="M3646" i="4"/>
  <c r="I3658" i="4"/>
  <c r="H3658" i="4"/>
  <c r="N3661" i="4"/>
  <c r="N3689" i="4"/>
  <c r="N3704" i="4"/>
  <c r="N3769" i="4"/>
  <c r="I3785" i="4"/>
  <c r="N3794" i="4"/>
  <c r="I3800" i="4"/>
  <c r="H3800" i="4"/>
  <c r="I3804" i="4"/>
  <c r="I3568" i="4"/>
  <c r="I3592" i="4"/>
  <c r="I3616" i="4"/>
  <c r="I3636" i="4"/>
  <c r="N3724" i="4"/>
  <c r="G3734" i="4"/>
  <c r="H3734" i="4" s="1"/>
  <c r="I3739" i="4"/>
  <c r="I3647" i="4"/>
  <c r="H3647" i="4"/>
  <c r="G3770" i="4"/>
  <c r="H3770" i="4" s="1"/>
  <c r="N3775" i="4"/>
  <c r="M3775" i="4"/>
  <c r="N3819" i="4"/>
  <c r="M3819" i="4"/>
  <c r="L3651" i="4"/>
  <c r="M3651" i="4" s="1"/>
  <c r="N3658" i="4"/>
  <c r="G3662" i="4"/>
  <c r="H3662" i="4" s="1"/>
  <c r="N3680" i="4"/>
  <c r="N3729" i="4"/>
  <c r="I3730" i="4"/>
  <c r="H3730" i="4"/>
  <c r="I3740" i="4"/>
  <c r="H3740" i="4"/>
  <c r="I3776" i="4"/>
  <c r="H3776" i="4"/>
  <c r="I3786" i="4"/>
  <c r="I3829" i="4"/>
  <c r="H3545" i="4"/>
  <c r="M3554" i="4"/>
  <c r="I3564" i="4"/>
  <c r="M3578" i="4"/>
  <c r="I3588" i="4"/>
  <c r="M3602" i="4"/>
  <c r="I3612" i="4"/>
  <c r="H3676" i="4"/>
  <c r="I3676" i="4"/>
  <c r="N3700" i="4"/>
  <c r="I3720" i="4"/>
  <c r="N3725" i="4"/>
  <c r="I3755" i="4"/>
  <c r="N3760" i="4"/>
  <c r="N3655" i="4"/>
  <c r="M3655" i="4"/>
  <c r="L3662" i="4"/>
  <c r="M3662" i="4" s="1"/>
  <c r="N3695" i="4"/>
  <c r="G3710" i="4"/>
  <c r="H3710" i="4" s="1"/>
  <c r="N3829" i="4"/>
  <c r="I3839" i="4"/>
  <c r="I3766" i="4"/>
  <c r="H3507" i="4"/>
  <c r="I3532" i="4"/>
  <c r="M3536" i="4"/>
  <c r="H3541" i="4"/>
  <c r="H3555" i="4"/>
  <c r="H3579" i="4"/>
  <c r="H3603" i="4"/>
  <c r="I3643" i="4"/>
  <c r="H3643" i="4"/>
  <c r="I3667" i="4"/>
  <c r="I3706" i="4"/>
  <c r="N3710" i="4"/>
  <c r="N3755" i="4"/>
  <c r="M3755" i="4"/>
  <c r="N3771" i="4"/>
  <c r="I3781" i="4"/>
  <c r="N3796" i="4"/>
  <c r="G3806" i="4"/>
  <c r="H3806" i="4" s="1"/>
  <c r="N3825" i="4"/>
  <c r="I3830" i="4"/>
  <c r="I3835" i="4"/>
  <c r="N3839" i="4"/>
  <c r="N3667" i="4"/>
  <c r="M3667" i="4"/>
  <c r="G3686" i="4"/>
  <c r="H3686" i="4" s="1"/>
  <c r="H3736" i="4"/>
  <c r="I3736" i="4"/>
  <c r="H3772" i="4"/>
  <c r="I3772" i="4"/>
  <c r="N3811" i="4"/>
  <c r="M3811" i="4"/>
  <c r="N3835" i="4"/>
  <c r="M3835" i="4"/>
  <c r="H3467" i="4"/>
  <c r="H3471" i="4"/>
  <c r="H3475" i="4"/>
  <c r="H3483" i="4"/>
  <c r="H3487" i="4"/>
  <c r="H3491" i="4"/>
  <c r="H3495" i="4"/>
  <c r="H3499" i="4"/>
  <c r="I3524" i="4"/>
  <c r="M3532" i="4"/>
  <c r="H3565" i="4"/>
  <c r="H3589" i="4"/>
  <c r="L3659" i="4"/>
  <c r="M3659" i="4" s="1"/>
  <c r="N3691" i="4"/>
  <c r="M3691" i="4"/>
  <c r="I3751" i="4"/>
  <c r="I3756" i="4"/>
  <c r="N3781" i="4"/>
  <c r="N3791" i="4"/>
  <c r="I3797" i="4"/>
  <c r="N3801" i="4"/>
  <c r="I3633" i="4"/>
  <c r="H3633" i="4"/>
  <c r="H3656" i="4"/>
  <c r="N3677" i="4"/>
  <c r="M3677" i="4"/>
  <c r="G3746" i="4"/>
  <c r="H3746" i="4" s="1"/>
  <c r="N3821" i="4"/>
  <c r="M3503" i="4"/>
  <c r="I3516" i="4"/>
  <c r="M3524" i="4"/>
  <c r="H3542" i="4"/>
  <c r="M3546" i="4"/>
  <c r="H3551" i="4"/>
  <c r="H3575" i="4"/>
  <c r="H3599" i="4"/>
  <c r="H3623" i="4"/>
  <c r="I3628" i="4"/>
  <c r="M3638" i="4"/>
  <c r="I3682" i="4"/>
  <c r="H3682" i="4"/>
  <c r="N3731" i="4"/>
  <c r="M3731" i="4"/>
  <c r="N3736" i="4"/>
  <c r="I3767" i="4"/>
  <c r="N3772" i="4"/>
  <c r="N3787" i="4"/>
  <c r="M3787" i="4"/>
  <c r="N3797" i="4"/>
  <c r="M3343" i="4"/>
  <c r="M3347" i="4"/>
  <c r="M3351" i="4"/>
  <c r="M3355" i="4"/>
  <c r="M3359" i="4"/>
  <c r="M3363" i="4"/>
  <c r="M3367" i="4"/>
  <c r="M3371" i="4"/>
  <c r="M3375" i="4"/>
  <c r="M3379" i="4"/>
  <c r="M3383" i="4"/>
  <c r="M3391" i="4"/>
  <c r="M3451" i="4"/>
  <c r="M3455" i="4"/>
  <c r="M3459" i="4"/>
  <c r="M3463" i="4"/>
  <c r="M3467" i="4"/>
  <c r="M3471" i="4"/>
  <c r="M3475" i="4"/>
  <c r="M3483" i="4"/>
  <c r="M3487" i="4"/>
  <c r="M3491" i="4"/>
  <c r="M3495" i="4"/>
  <c r="M3499" i="4"/>
  <c r="I3512" i="4"/>
  <c r="M3520" i="4"/>
  <c r="H3533" i="4"/>
  <c r="I3556" i="4"/>
  <c r="M3570" i="4"/>
  <c r="I3580" i="4"/>
  <c r="M3594" i="4"/>
  <c r="I3604" i="4"/>
  <c r="M3618" i="4"/>
  <c r="I3644" i="4"/>
  <c r="I3653" i="4"/>
  <c r="N3746" i="4"/>
  <c r="N3777" i="4"/>
  <c r="I3508" i="4"/>
  <c r="M3516" i="4"/>
  <c r="H3529" i="4"/>
  <c r="H3561" i="4"/>
  <c r="H3566" i="4"/>
  <c r="H3585" i="4"/>
  <c r="H3590" i="4"/>
  <c r="H3609" i="4"/>
  <c r="H3614" i="4"/>
  <c r="M3628" i="4"/>
  <c r="I3639" i="4"/>
  <c r="H3639" i="4"/>
  <c r="N3656" i="4"/>
  <c r="N3741" i="4"/>
  <c r="I3788" i="4"/>
  <c r="N3812" i="4"/>
  <c r="N3831" i="4"/>
  <c r="M3831" i="4"/>
  <c r="I3504" i="4"/>
  <c r="M3512" i="4"/>
  <c r="H3525" i="4"/>
  <c r="H3538" i="4"/>
  <c r="M3542" i="4"/>
  <c r="H3547" i="4"/>
  <c r="M3556" i="4"/>
  <c r="M3580" i="4"/>
  <c r="M3604" i="4"/>
  <c r="H3634" i="4"/>
  <c r="M3644" i="4"/>
  <c r="G3722" i="4"/>
  <c r="H3722" i="4" s="1"/>
  <c r="N3727" i="4"/>
  <c r="M3727" i="4"/>
  <c r="I3757" i="4"/>
  <c r="N3767" i="4"/>
  <c r="M3767" i="4"/>
  <c r="N3807" i="4"/>
  <c r="H3388" i="4"/>
  <c r="H3392" i="4"/>
  <c r="H3396" i="4"/>
  <c r="H3400" i="4"/>
  <c r="H3404" i="4"/>
  <c r="H3408" i="4"/>
  <c r="H3416" i="4"/>
  <c r="H3420" i="4"/>
  <c r="H3424" i="4"/>
  <c r="H3428" i="4"/>
  <c r="H3432" i="4"/>
  <c r="H3436" i="4"/>
  <c r="H3440" i="4"/>
  <c r="H3444" i="4"/>
  <c r="H3448" i="4"/>
  <c r="H3452" i="4"/>
  <c r="H3456" i="4"/>
  <c r="H3460" i="4"/>
  <c r="H3464" i="4"/>
  <c r="H3468" i="4"/>
  <c r="H3472" i="4"/>
  <c r="H3484" i="4"/>
  <c r="H3488" i="4"/>
  <c r="H3492" i="4"/>
  <c r="H3496" i="4"/>
  <c r="H3500" i="4"/>
  <c r="M3508" i="4"/>
  <c r="H3521" i="4"/>
  <c r="H3571" i="4"/>
  <c r="H3595" i="4"/>
  <c r="H3619" i="4"/>
  <c r="I3629" i="4"/>
  <c r="H3629" i="4"/>
  <c r="N3712" i="4"/>
  <c r="N3737" i="4"/>
  <c r="I3808" i="4"/>
  <c r="I3817" i="4"/>
  <c r="I3841" i="4"/>
  <c r="M3504" i="4"/>
  <c r="H3517" i="4"/>
  <c r="M3566" i="4"/>
  <c r="M3590" i="4"/>
  <c r="M3614" i="4"/>
  <c r="H3688" i="4"/>
  <c r="I3688" i="4"/>
  <c r="N3722" i="4"/>
  <c r="I3728" i="4"/>
  <c r="H3728" i="4"/>
  <c r="N3757" i="4"/>
  <c r="I3827" i="4"/>
  <c r="H3557" i="4"/>
  <c r="H3581" i="4"/>
  <c r="H3605" i="4"/>
  <c r="G3654" i="4"/>
  <c r="H3654" i="4" s="1"/>
  <c r="I3683" i="4"/>
  <c r="I3703" i="4"/>
  <c r="N3717" i="4"/>
  <c r="I3738" i="4"/>
  <c r="H3748" i="4"/>
  <c r="I3748" i="4"/>
  <c r="I3763" i="4"/>
  <c r="I3774" i="4"/>
  <c r="I3793" i="4"/>
  <c r="G3699" i="4"/>
  <c r="H3699" i="4" s="1"/>
  <c r="G3711" i="4"/>
  <c r="H3711" i="4" s="1"/>
  <c r="G3723" i="4"/>
  <c r="H3723" i="4" s="1"/>
  <c r="G3747" i="4"/>
  <c r="H3747" i="4" s="1"/>
  <c r="G3759" i="4"/>
  <c r="H3759" i="4" s="1"/>
  <c r="G3771" i="4"/>
  <c r="H3771" i="4" s="1"/>
  <c r="G3783" i="4"/>
  <c r="H3783" i="4" s="1"/>
  <c r="G3795" i="4"/>
  <c r="H3795" i="4" s="1"/>
  <c r="G3807" i="4"/>
  <c r="H3807" i="4" s="1"/>
  <c r="L3730" i="4"/>
  <c r="M3730" i="4" s="1"/>
  <c r="L3742" i="4"/>
  <c r="M3742" i="4" s="1"/>
  <c r="L3754" i="4"/>
  <c r="M3754" i="4" s="1"/>
  <c r="L3766" i="4"/>
  <c r="M3766" i="4" s="1"/>
  <c r="L3778" i="4"/>
  <c r="M3778" i="4" s="1"/>
  <c r="L3790" i="4"/>
  <c r="M3790" i="4" s="1"/>
  <c r="L3802" i="4"/>
  <c r="M3802" i="4" s="1"/>
  <c r="L3814" i="4"/>
  <c r="M3814" i="4" s="1"/>
  <c r="L3826" i="4"/>
  <c r="M3826" i="4" s="1"/>
  <c r="L3838" i="4"/>
  <c r="M3838" i="4" s="1"/>
  <c r="M3682" i="4"/>
  <c r="G3685" i="4"/>
  <c r="H3685" i="4" s="1"/>
  <c r="M3694" i="4"/>
  <c r="L3723" i="4"/>
  <c r="M3723" i="4" s="1"/>
  <c r="G3810" i="4"/>
  <c r="H3810" i="4" s="1"/>
  <c r="G3822" i="4"/>
  <c r="H3822" i="4" s="1"/>
  <c r="G3834" i="4"/>
  <c r="H3834" i="4" s="1"/>
  <c r="H3637" i="4"/>
  <c r="H3641" i="4"/>
  <c r="H3645" i="4"/>
  <c r="H3649" i="4"/>
  <c r="L3824" i="4"/>
  <c r="M3824" i="4" s="1"/>
  <c r="I2197" i="4"/>
  <c r="H2197" i="4"/>
  <c r="I2050" i="4"/>
  <c r="H2050" i="4"/>
  <c r="P2245" i="4"/>
  <c r="N2245" i="4"/>
  <c r="M2245" i="4"/>
  <c r="I2269" i="4"/>
  <c r="H2269" i="4"/>
  <c r="M1922" i="4"/>
  <c r="I1936" i="4"/>
  <c r="N1939" i="4"/>
  <c r="M1946" i="4"/>
  <c r="I1960" i="4"/>
  <c r="N1963" i="4"/>
  <c r="H1967" i="4"/>
  <c r="M1970" i="4"/>
  <c r="I1984" i="4"/>
  <c r="N1987" i="4"/>
  <c r="H1991" i="4"/>
  <c r="M1994" i="4"/>
  <c r="I2008" i="4"/>
  <c r="N2011" i="4"/>
  <c r="H2015" i="4"/>
  <c r="M2018" i="4"/>
  <c r="N2039" i="4"/>
  <c r="I2043" i="4"/>
  <c r="M2054" i="4"/>
  <c r="I2058" i="4"/>
  <c r="M2065" i="4"/>
  <c r="H2069" i="4"/>
  <c r="M2076" i="4"/>
  <c r="H2084" i="4"/>
  <c r="M2106" i="4"/>
  <c r="I2110" i="4"/>
  <c r="H2121" i="4"/>
  <c r="M2143" i="4"/>
  <c r="I2147" i="4"/>
  <c r="M2158" i="4"/>
  <c r="M2169" i="4"/>
  <c r="I2173" i="4"/>
  <c r="I2181" i="4"/>
  <c r="H2185" i="4"/>
  <c r="P2197" i="4"/>
  <c r="N2197" i="4"/>
  <c r="M2197" i="4"/>
  <c r="M2210" i="4"/>
  <c r="M2232" i="4"/>
  <c r="N2236" i="4"/>
  <c r="I2246" i="4"/>
  <c r="H2260" i="4"/>
  <c r="N2297" i="4"/>
  <c r="H2406" i="4"/>
  <c r="H1936" i="4"/>
  <c r="M1963" i="4"/>
  <c r="H2147" i="4"/>
  <c r="H2223" i="4"/>
  <c r="N1922" i="4"/>
  <c r="M1929" i="4"/>
  <c r="O1939" i="4"/>
  <c r="N1946" i="4"/>
  <c r="M1953" i="4"/>
  <c r="N1970" i="4"/>
  <c r="M1977" i="4"/>
  <c r="O1987" i="4"/>
  <c r="N1994" i="4"/>
  <c r="M2001" i="4"/>
  <c r="O2011" i="4"/>
  <c r="N2018" i="4"/>
  <c r="M2025" i="4"/>
  <c r="M2032" i="4"/>
  <c r="O2039" i="4"/>
  <c r="O2050" i="4"/>
  <c r="N2054" i="4"/>
  <c r="N2065" i="4"/>
  <c r="N2076" i="4"/>
  <c r="M2080" i="4"/>
  <c r="I2084" i="4"/>
  <c r="N2106" i="4"/>
  <c r="M2117" i="4"/>
  <c r="N2143" i="4"/>
  <c r="N2158" i="4"/>
  <c r="N2169" i="4"/>
  <c r="P2173" i="4"/>
  <c r="N2173" i="4"/>
  <c r="M2173" i="4"/>
  <c r="M2177" i="4"/>
  <c r="M2206" i="4"/>
  <c r="N2210" i="4"/>
  <c r="H2219" i="4"/>
  <c r="N2232" i="4"/>
  <c r="P2236" i="4"/>
  <c r="H2241" i="4"/>
  <c r="I2281" i="4"/>
  <c r="N2241" i="4"/>
  <c r="P2281" i="4"/>
  <c r="N2281" i="4"/>
  <c r="M2281" i="4"/>
  <c r="N2571" i="4"/>
  <c r="M2571" i="4"/>
  <c r="H1940" i="4"/>
  <c r="H1964" i="4"/>
  <c r="M1967" i="4"/>
  <c r="H1988" i="4"/>
  <c r="M1991" i="4"/>
  <c r="H2012" i="4"/>
  <c r="M2015" i="4"/>
  <c r="N2036" i="4"/>
  <c r="M2036" i="4"/>
  <c r="O2043" i="4"/>
  <c r="H2051" i="4"/>
  <c r="M2069" i="4"/>
  <c r="M2121" i="4"/>
  <c r="M2151" i="4"/>
  <c r="I2170" i="4"/>
  <c r="H2170" i="4"/>
  <c r="N2185" i="4"/>
  <c r="M2189" i="4"/>
  <c r="P2193" i="4"/>
  <c r="N2193" i="4"/>
  <c r="P2202" i="4"/>
  <c r="N2202" i="4"/>
  <c r="P2219" i="4"/>
  <c r="M2241" i="4"/>
  <c r="N2251" i="4"/>
  <c r="M2251" i="4"/>
  <c r="N2260" i="4"/>
  <c r="N2287" i="4"/>
  <c r="M2287" i="4"/>
  <c r="N2362" i="4"/>
  <c r="M2362" i="4"/>
  <c r="H2419" i="4"/>
  <c r="I1940" i="4"/>
  <c r="O1960" i="4"/>
  <c r="I1964" i="4"/>
  <c r="N1967" i="4"/>
  <c r="O1984" i="4"/>
  <c r="I1988" i="4"/>
  <c r="N1991" i="4"/>
  <c r="O2008" i="4"/>
  <c r="I2012" i="4"/>
  <c r="N2015" i="4"/>
  <c r="I2051" i="4"/>
  <c r="O2058" i="4"/>
  <c r="N2069" i="4"/>
  <c r="O2110" i="4"/>
  <c r="N2121" i="4"/>
  <c r="P2125" i="4"/>
  <c r="N2125" i="4"/>
  <c r="M2125" i="4"/>
  <c r="N2151" i="4"/>
  <c r="P2166" i="4"/>
  <c r="N2166" i="4"/>
  <c r="P2181" i="4"/>
  <c r="P2185" i="4"/>
  <c r="N2189" i="4"/>
  <c r="I2242" i="4"/>
  <c r="H2242" i="4"/>
  <c r="P2260" i="4"/>
  <c r="P2304" i="4"/>
  <c r="N2304" i="4"/>
  <c r="N2375" i="4"/>
  <c r="M2375" i="4"/>
  <c r="G2694" i="4"/>
  <c r="H2694" i="4" s="1"/>
  <c r="H1930" i="4"/>
  <c r="M1933" i="4"/>
  <c r="H1954" i="4"/>
  <c r="M1957" i="4"/>
  <c r="H1978" i="4"/>
  <c r="M1981" i="4"/>
  <c r="H2002" i="4"/>
  <c r="M2005" i="4"/>
  <c r="H2026" i="4"/>
  <c r="M2029" i="4"/>
  <c r="I2033" i="4"/>
  <c r="M2040" i="4"/>
  <c r="H2044" i="4"/>
  <c r="M2073" i="4"/>
  <c r="H2085" i="4"/>
  <c r="M2103" i="4"/>
  <c r="M2114" i="4"/>
  <c r="H2118" i="4"/>
  <c r="M2140" i="4"/>
  <c r="M2166" i="4"/>
  <c r="H2178" i="4"/>
  <c r="I2194" i="4"/>
  <c r="H2194" i="4"/>
  <c r="M2198" i="4"/>
  <c r="H2207" i="4"/>
  <c r="M2215" i="4"/>
  <c r="I2224" i="4"/>
  <c r="H2229" i="4"/>
  <c r="M2237" i="4"/>
  <c r="M2256" i="4"/>
  <c r="M2304" i="4"/>
  <c r="M2450" i="4"/>
  <c r="M2297" i="4"/>
  <c r="I1930" i="4"/>
  <c r="N1933" i="4"/>
  <c r="H1937" i="4"/>
  <c r="I1954" i="4"/>
  <c r="N1957" i="4"/>
  <c r="H1961" i="4"/>
  <c r="M1964" i="4"/>
  <c r="I1978" i="4"/>
  <c r="N1981" i="4"/>
  <c r="H1985" i="4"/>
  <c r="M1988" i="4"/>
  <c r="I2002" i="4"/>
  <c r="N2005" i="4"/>
  <c r="H2009" i="4"/>
  <c r="M2012" i="4"/>
  <c r="I2026" i="4"/>
  <c r="O2029" i="4"/>
  <c r="H2037" i="4"/>
  <c r="N2040" i="4"/>
  <c r="I2044" i="4"/>
  <c r="M2051" i="4"/>
  <c r="H2059" i="4"/>
  <c r="N2073" i="4"/>
  <c r="O2077" i="4"/>
  <c r="N2077" i="4"/>
  <c r="M2077" i="4"/>
  <c r="M2081" i="4"/>
  <c r="I2085" i="4"/>
  <c r="H2096" i="4"/>
  <c r="N2103" i="4"/>
  <c r="H2111" i="4"/>
  <c r="N2114" i="4"/>
  <c r="I2122" i="4"/>
  <c r="H2122" i="4"/>
  <c r="H2126" i="4"/>
  <c r="N2140" i="4"/>
  <c r="H2148" i="4"/>
  <c r="P2159" i="4"/>
  <c r="H2163" i="4"/>
  <c r="H2182" i="4"/>
  <c r="N2198" i="4"/>
  <c r="H2203" i="4"/>
  <c r="N2215" i="4"/>
  <c r="N2224" i="4"/>
  <c r="M2224" i="4"/>
  <c r="I2229" i="4"/>
  <c r="N2233" i="4"/>
  <c r="M2233" i="4"/>
  <c r="N2237" i="4"/>
  <c r="H2247" i="4"/>
  <c r="N2256" i="4"/>
  <c r="I2305" i="4"/>
  <c r="H2305" i="4"/>
  <c r="N2388" i="4"/>
  <c r="M2388" i="4"/>
  <c r="P2118" i="4"/>
  <c r="N2118" i="4"/>
  <c r="P2170" i="4"/>
  <c r="P2207" i="4"/>
  <c r="P2224" i="4"/>
  <c r="P2261" i="4"/>
  <c r="M2261" i="4"/>
  <c r="I2293" i="4"/>
  <c r="H2293" i="4"/>
  <c r="P2305" i="4"/>
  <c r="H2650" i="4"/>
  <c r="I2074" i="4"/>
  <c r="H2074" i="4"/>
  <c r="P2242" i="4"/>
  <c r="I2306" i="4"/>
  <c r="H2306" i="4"/>
  <c r="P2250" i="4"/>
  <c r="N2250" i="4"/>
  <c r="H1934" i="4"/>
  <c r="M1937" i="4"/>
  <c r="H1958" i="4"/>
  <c r="M1961" i="4"/>
  <c r="H1982" i="4"/>
  <c r="M1985" i="4"/>
  <c r="H2006" i="4"/>
  <c r="M2009" i="4"/>
  <c r="O2033" i="4"/>
  <c r="M2037" i="4"/>
  <c r="H2041" i="4"/>
  <c r="M2059" i="4"/>
  <c r="O2070" i="4"/>
  <c r="N2070" i="4"/>
  <c r="M2096" i="4"/>
  <c r="H2104" i="4"/>
  <c r="M2111" i="4"/>
  <c r="H2115" i="4"/>
  <c r="M2126" i="4"/>
  <c r="H2141" i="4"/>
  <c r="M2148" i="4"/>
  <c r="H2156" i="4"/>
  <c r="H2171" i="4"/>
  <c r="M2182" i="4"/>
  <c r="M2186" i="4"/>
  <c r="P2194" i="4"/>
  <c r="H2199" i="4"/>
  <c r="M2203" i="4"/>
  <c r="H2216" i="4"/>
  <c r="P2277" i="4"/>
  <c r="P2280" i="4"/>
  <c r="N2280" i="4"/>
  <c r="I1934" i="4"/>
  <c r="N1937" i="4"/>
  <c r="I1958" i="4"/>
  <c r="N1961" i="4"/>
  <c r="H1965" i="4"/>
  <c r="M1968" i="4"/>
  <c r="I1982" i="4"/>
  <c r="N1985" i="4"/>
  <c r="H1989" i="4"/>
  <c r="M1992" i="4"/>
  <c r="I2006" i="4"/>
  <c r="N2009" i="4"/>
  <c r="H2013" i="4"/>
  <c r="M2016" i="4"/>
  <c r="N2037" i="4"/>
  <c r="I2041" i="4"/>
  <c r="N2059" i="4"/>
  <c r="M2070" i="4"/>
  <c r="N2096" i="4"/>
  <c r="N2111" i="4"/>
  <c r="N2126" i="4"/>
  <c r="N2148" i="4"/>
  <c r="M2152" i="4"/>
  <c r="I2156" i="4"/>
  <c r="P2163" i="4"/>
  <c r="M2167" i="4"/>
  <c r="N2182" i="4"/>
  <c r="N2186" i="4"/>
  <c r="N2203" i="4"/>
  <c r="I2216" i="4"/>
  <c r="M2220" i="4"/>
  <c r="M2225" i="4"/>
  <c r="P2247" i="4"/>
  <c r="P2278" i="4"/>
  <c r="I2278" i="4"/>
  <c r="H2278" i="4"/>
  <c r="N1968" i="4"/>
  <c r="N1992" i="4"/>
  <c r="N2016" i="4"/>
  <c r="N2220" i="4"/>
  <c r="N2225" i="4"/>
  <c r="I2230" i="4"/>
  <c r="H2230" i="4"/>
  <c r="I2248" i="4"/>
  <c r="H2248" i="4"/>
  <c r="P2257" i="4"/>
  <c r="N2257" i="4"/>
  <c r="M2257" i="4"/>
  <c r="P2272" i="4"/>
  <c r="N2272" i="4"/>
  <c r="M2272" i="4"/>
  <c r="N1927" i="4"/>
  <c r="H1931" i="4"/>
  <c r="M1934" i="4"/>
  <c r="N1951" i="4"/>
  <c r="H1955" i="4"/>
  <c r="M1958" i="4"/>
  <c r="N1975" i="4"/>
  <c r="H1979" i="4"/>
  <c r="M1982" i="4"/>
  <c r="N1999" i="4"/>
  <c r="H2003" i="4"/>
  <c r="M2006" i="4"/>
  <c r="N2023" i="4"/>
  <c r="H2027" i="4"/>
  <c r="N2030" i="4"/>
  <c r="M2041" i="4"/>
  <c r="H2045" i="4"/>
  <c r="N2048" i="4"/>
  <c r="N2063" i="4"/>
  <c r="O2074" i="4"/>
  <c r="N2078" i="4"/>
  <c r="H2086" i="4"/>
  <c r="N2089" i="4"/>
  <c r="N2100" i="4"/>
  <c r="M2104" i="4"/>
  <c r="H2123" i="4"/>
  <c r="N2130" i="4"/>
  <c r="M2141" i="4"/>
  <c r="M2160" i="4"/>
  <c r="H2164" i="4"/>
  <c r="M2171" i="4"/>
  <c r="H2179" i="4"/>
  <c r="M2208" i="4"/>
  <c r="N2212" i="4"/>
  <c r="P2243" i="4"/>
  <c r="N2248" i="4"/>
  <c r="M2248" i="4"/>
  <c r="H2371" i="4"/>
  <c r="I2206" i="4"/>
  <c r="H2206" i="4"/>
  <c r="N2550" i="4"/>
  <c r="M2550" i="4"/>
  <c r="M1965" i="4"/>
  <c r="M1989" i="4"/>
  <c r="M2013" i="4"/>
  <c r="M2052" i="4"/>
  <c r="H2060" i="4"/>
  <c r="M2082" i="4"/>
  <c r="N2104" i="4"/>
  <c r="P2115" i="4"/>
  <c r="M2119" i="4"/>
  <c r="N2141" i="4"/>
  <c r="N2160" i="4"/>
  <c r="N2171" i="4"/>
  <c r="P2195" i="4"/>
  <c r="N2208" i="4"/>
  <c r="I2221" i="4"/>
  <c r="H2221" i="4"/>
  <c r="M2230" i="4"/>
  <c r="M2243" i="4"/>
  <c r="P2248" i="4"/>
  <c r="M2253" i="4"/>
  <c r="I2284" i="4"/>
  <c r="H2284" i="4"/>
  <c r="P2301" i="4"/>
  <c r="I2301" i="4"/>
  <c r="H2446" i="4"/>
  <c r="P2221" i="4"/>
  <c r="N2221" i="4"/>
  <c r="M2221" i="4"/>
  <c r="N2253" i="4"/>
  <c r="I2397" i="4"/>
  <c r="H2397" i="4"/>
  <c r="M2250" i="4"/>
  <c r="N1924" i="4"/>
  <c r="H1928" i="4"/>
  <c r="M1931" i="4"/>
  <c r="N1948" i="4"/>
  <c r="H1952" i="4"/>
  <c r="M1955" i="4"/>
  <c r="N1972" i="4"/>
  <c r="H1976" i="4"/>
  <c r="M1979" i="4"/>
  <c r="N1996" i="4"/>
  <c r="H2000" i="4"/>
  <c r="M2003" i="4"/>
  <c r="N2020" i="4"/>
  <c r="H2024" i="4"/>
  <c r="M2027" i="4"/>
  <c r="H2031" i="4"/>
  <c r="N2034" i="4"/>
  <c r="M2045" i="4"/>
  <c r="H2049" i="4"/>
  <c r="N2056" i="4"/>
  <c r="O2067" i="4"/>
  <c r="M2071" i="4"/>
  <c r="H2079" i="4"/>
  <c r="M2086" i="4"/>
  <c r="H2090" i="4"/>
  <c r="N2093" i="4"/>
  <c r="H2101" i="4"/>
  <c r="M2112" i="4"/>
  <c r="H2116" i="4"/>
  <c r="M2123" i="4"/>
  <c r="H2131" i="4"/>
  <c r="N2145" i="4"/>
  <c r="P2149" i="4"/>
  <c r="N2149" i="4"/>
  <c r="M2149" i="4"/>
  <c r="M2153" i="4"/>
  <c r="M2164" i="4"/>
  <c r="M2179" i="4"/>
  <c r="P2183" i="4"/>
  <c r="N2191" i="4"/>
  <c r="N2195" i="4"/>
  <c r="H2200" i="4"/>
  <c r="H2217" i="4"/>
  <c r="M2239" i="4"/>
  <c r="P2258" i="4"/>
  <c r="N2273" i="4"/>
  <c r="N2284" i="4"/>
  <c r="I2295" i="4"/>
  <c r="H2295" i="4"/>
  <c r="H2478" i="4"/>
  <c r="N1931" i="4"/>
  <c r="N1955" i="4"/>
  <c r="M1962" i="4"/>
  <c r="N1979" i="4"/>
  <c r="M1986" i="4"/>
  <c r="N2003" i="4"/>
  <c r="M2010" i="4"/>
  <c r="N2027" i="4"/>
  <c r="M2038" i="4"/>
  <c r="N2045" i="4"/>
  <c r="N2071" i="4"/>
  <c r="N2086" i="4"/>
  <c r="N2112" i="4"/>
  <c r="N2123" i="4"/>
  <c r="M2138" i="4"/>
  <c r="N2153" i="4"/>
  <c r="N2164" i="4"/>
  <c r="N2179" i="4"/>
  <c r="P2226" i="4"/>
  <c r="N2226" i="4"/>
  <c r="N2239" i="4"/>
  <c r="M2249" i="4"/>
  <c r="P2284" i="4"/>
  <c r="M2534" i="4"/>
  <c r="O2101" i="4"/>
  <c r="N2101" i="4"/>
  <c r="M2101" i="4"/>
  <c r="I2146" i="4"/>
  <c r="H2146" i="4"/>
  <c r="N2200" i="4"/>
  <c r="M2200" i="4"/>
  <c r="P2217" i="4"/>
  <c r="N2217" i="4"/>
  <c r="N2510" i="4"/>
  <c r="M2510" i="4"/>
  <c r="I2487" i="4"/>
  <c r="H1925" i="4"/>
  <c r="M1928" i="4"/>
  <c r="H1949" i="4"/>
  <c r="M1952" i="4"/>
  <c r="N1969" i="4"/>
  <c r="H1973" i="4"/>
  <c r="M1976" i="4"/>
  <c r="N1993" i="4"/>
  <c r="H1997" i="4"/>
  <c r="M2000" i="4"/>
  <c r="N2017" i="4"/>
  <c r="H2021" i="4"/>
  <c r="M2024" i="4"/>
  <c r="M2031" i="4"/>
  <c r="H2035" i="4"/>
  <c r="M2049" i="4"/>
  <c r="H2061" i="4"/>
  <c r="N2064" i="4"/>
  <c r="N2075" i="4"/>
  <c r="M2079" i="4"/>
  <c r="M2090" i="4"/>
  <c r="H2094" i="4"/>
  <c r="N2105" i="4"/>
  <c r="M2116" i="4"/>
  <c r="M2131" i="4"/>
  <c r="P2142" i="4"/>
  <c r="N2142" i="4"/>
  <c r="N2157" i="4"/>
  <c r="N2168" i="4"/>
  <c r="H2192" i="4"/>
  <c r="P2200" i="4"/>
  <c r="N2209" i="4"/>
  <c r="M2209" i="4"/>
  <c r="M2213" i="4"/>
  <c r="M2217" i="4"/>
  <c r="P2244" i="4"/>
  <c r="N2244" i="4"/>
  <c r="P2263" i="4"/>
  <c r="P2274" i="4"/>
  <c r="N2274" i="4"/>
  <c r="N2410" i="4"/>
  <c r="M2410" i="4"/>
  <c r="N1928" i="4"/>
  <c r="H1932" i="4"/>
  <c r="M1935" i="4"/>
  <c r="N1952" i="4"/>
  <c r="H1956" i="4"/>
  <c r="M1959" i="4"/>
  <c r="N1976" i="4"/>
  <c r="H1980" i="4"/>
  <c r="M1983" i="4"/>
  <c r="N2000" i="4"/>
  <c r="H2004" i="4"/>
  <c r="M2007" i="4"/>
  <c r="N2024" i="4"/>
  <c r="H2028" i="4"/>
  <c r="N2031" i="4"/>
  <c r="M2042" i="4"/>
  <c r="H2046" i="4"/>
  <c r="N2049" i="4"/>
  <c r="O2053" i="4"/>
  <c r="N2053" i="4"/>
  <c r="M2053" i="4"/>
  <c r="M2057" i="4"/>
  <c r="H2072" i="4"/>
  <c r="N2079" i="4"/>
  <c r="H2087" i="4"/>
  <c r="N2090" i="4"/>
  <c r="I2098" i="4"/>
  <c r="H2098" i="4"/>
  <c r="H2102" i="4"/>
  <c r="M2109" i="4"/>
  <c r="H2113" i="4"/>
  <c r="N2116" i="4"/>
  <c r="H2124" i="4"/>
  <c r="N2131" i="4"/>
  <c r="M2142" i="4"/>
  <c r="H2154" i="4"/>
  <c r="M2161" i="4"/>
  <c r="H2165" i="4"/>
  <c r="M2172" i="4"/>
  <c r="P2209" i="4"/>
  <c r="N2213" i="4"/>
  <c r="I2218" i="4"/>
  <c r="H2218" i="4"/>
  <c r="M2222" i="4"/>
  <c r="H2227" i="4"/>
  <c r="H2240" i="4"/>
  <c r="M2244" i="4"/>
  <c r="P2285" i="4"/>
  <c r="N2285" i="4"/>
  <c r="M2285" i="4"/>
  <c r="N2423" i="4"/>
  <c r="M2423" i="4"/>
  <c r="M2280" i="4"/>
  <c r="O2094" i="4"/>
  <c r="N2094" i="4"/>
  <c r="H2139" i="4"/>
  <c r="I2245" i="4"/>
  <c r="H2245" i="4"/>
  <c r="P2296" i="4"/>
  <c r="N2296" i="4"/>
  <c r="M2296" i="4"/>
  <c r="I2337" i="4"/>
  <c r="H2337" i="4"/>
  <c r="I2441" i="4"/>
  <c r="H2441" i="4"/>
  <c r="I2473" i="4"/>
  <c r="H2473" i="4"/>
  <c r="I2393" i="4"/>
  <c r="H2393" i="4"/>
  <c r="I2437" i="4"/>
  <c r="H2437" i="4"/>
  <c r="I2469" i="4"/>
  <c r="H2469" i="4"/>
  <c r="I2501" i="4"/>
  <c r="H2501" i="4"/>
  <c r="I2525" i="4"/>
  <c r="H2525" i="4"/>
  <c r="N2864" i="4"/>
  <c r="I2869" i="4"/>
  <c r="H2578" i="4"/>
  <c r="M2590" i="4"/>
  <c r="I2389" i="4"/>
  <c r="H2389" i="4"/>
  <c r="H2346" i="4"/>
  <c r="H2363" i="4"/>
  <c r="H2376" i="4"/>
  <c r="H2398" i="4"/>
  <c r="H2411" i="4"/>
  <c r="H2424" i="4"/>
  <c r="I2433" i="4"/>
  <c r="H2433" i="4"/>
  <c r="I2465" i="4"/>
  <c r="H2465" i="4"/>
  <c r="I2497" i="4"/>
  <c r="H2497" i="4"/>
  <c r="I2511" i="4"/>
  <c r="I2551" i="4"/>
  <c r="M2608" i="4"/>
  <c r="H2645" i="4"/>
  <c r="I2690" i="4"/>
  <c r="H2690" i="4"/>
  <c r="N2841" i="4"/>
  <c r="I2385" i="4"/>
  <c r="H2385" i="4"/>
  <c r="M2460" i="4"/>
  <c r="M2483" i="4"/>
  <c r="H2488" i="4"/>
  <c r="M2492" i="4"/>
  <c r="M2506" i="4"/>
  <c r="M2540" i="4"/>
  <c r="N2556" i="4"/>
  <c r="H2567" i="4"/>
  <c r="M2572" i="4"/>
  <c r="I2597" i="4"/>
  <c r="H2597" i="4"/>
  <c r="N2668" i="4"/>
  <c r="M2668" i="4"/>
  <c r="I2714" i="4"/>
  <c r="M2298" i="4"/>
  <c r="H2338" i="4"/>
  <c r="M2350" i="4"/>
  <c r="H2359" i="4"/>
  <c r="H2372" i="4"/>
  <c r="H2394" i="4"/>
  <c r="H2407" i="4"/>
  <c r="H2420" i="4"/>
  <c r="H2438" i="4"/>
  <c r="M2442" i="4"/>
  <c r="I2447" i="4"/>
  <c r="H2470" i="4"/>
  <c r="M2474" i="4"/>
  <c r="I2479" i="4"/>
  <c r="H2502" i="4"/>
  <c r="H2526" i="4"/>
  <c r="M2551" i="4"/>
  <c r="I2700" i="4"/>
  <c r="H2700" i="4"/>
  <c r="I2818" i="4"/>
  <c r="N2298" i="4"/>
  <c r="H2302" i="4"/>
  <c r="M2305" i="4"/>
  <c r="H2334" i="4"/>
  <c r="M2346" i="4"/>
  <c r="M2363" i="4"/>
  <c r="M2376" i="4"/>
  <c r="I2381" i="4"/>
  <c r="H2381" i="4"/>
  <c r="M2411" i="4"/>
  <c r="M2424" i="4"/>
  <c r="I2461" i="4"/>
  <c r="H2461" i="4"/>
  <c r="I2493" i="4"/>
  <c r="H2493" i="4"/>
  <c r="I2541" i="4"/>
  <c r="H2541" i="4"/>
  <c r="M2562" i="4"/>
  <c r="H2573" i="4"/>
  <c r="I2813" i="4"/>
  <c r="I2302" i="4"/>
  <c r="N2305" i="4"/>
  <c r="I2531" i="4"/>
  <c r="I2377" i="4"/>
  <c r="H2377" i="4"/>
  <c r="I2425" i="4"/>
  <c r="H2425" i="4"/>
  <c r="L2705" i="4"/>
  <c r="M2705" i="4" s="1"/>
  <c r="I2457" i="4"/>
  <c r="H2457" i="4"/>
  <c r="I2489" i="4"/>
  <c r="H2489" i="4"/>
  <c r="M2536" i="4"/>
  <c r="I2719" i="4"/>
  <c r="H2310" i="4"/>
  <c r="H2314" i="4"/>
  <c r="H2318" i="4"/>
  <c r="H2343" i="4"/>
  <c r="M2355" i="4"/>
  <c r="M2368" i="4"/>
  <c r="I2373" i="4"/>
  <c r="H2373" i="4"/>
  <c r="M2390" i="4"/>
  <c r="M2403" i="4"/>
  <c r="M2416" i="4"/>
  <c r="I2421" i="4"/>
  <c r="H2421" i="4"/>
  <c r="M2443" i="4"/>
  <c r="H2448" i="4"/>
  <c r="M2452" i="4"/>
  <c r="M2475" i="4"/>
  <c r="H2480" i="4"/>
  <c r="M2484" i="4"/>
  <c r="H2542" i="4"/>
  <c r="H2547" i="4"/>
  <c r="H2558" i="4"/>
  <c r="M2563" i="4"/>
  <c r="N2592" i="4"/>
  <c r="M2592" i="4"/>
  <c r="N2728" i="4"/>
  <c r="H2494" i="4"/>
  <c r="M2498" i="4"/>
  <c r="I2503" i="4"/>
  <c r="I2527" i="4"/>
  <c r="I2537" i="4"/>
  <c r="H2537" i="4"/>
  <c r="N2552" i="4"/>
  <c r="N2268" i="4"/>
  <c r="H2272" i="4"/>
  <c r="M2275" i="4"/>
  <c r="N2292" i="4"/>
  <c r="H2296" i="4"/>
  <c r="M2299" i="4"/>
  <c r="M2322" i="4"/>
  <c r="H2335" i="4"/>
  <c r="M2347" i="4"/>
  <c r="M2364" i="4"/>
  <c r="I2369" i="4"/>
  <c r="H2369" i="4"/>
  <c r="M2386" i="4"/>
  <c r="M2399" i="4"/>
  <c r="M2412" i="4"/>
  <c r="I2417" i="4"/>
  <c r="H2417" i="4"/>
  <c r="I2453" i="4"/>
  <c r="H2453" i="4"/>
  <c r="I2485" i="4"/>
  <c r="H2485" i="4"/>
  <c r="H2508" i="4"/>
  <c r="M2522" i="4"/>
  <c r="H2532" i="4"/>
  <c r="N2558" i="4"/>
  <c r="M2558" i="4"/>
  <c r="N2574" i="4"/>
  <c r="M2574" i="4"/>
  <c r="H2659" i="4"/>
  <c r="N2547" i="4"/>
  <c r="I2564" i="4"/>
  <c r="I2365" i="4"/>
  <c r="H2365" i="4"/>
  <c r="I2413" i="4"/>
  <c r="H2413" i="4"/>
  <c r="N2265" i="4"/>
  <c r="N2289" i="4"/>
  <c r="H2323" i="4"/>
  <c r="M2335" i="4"/>
  <c r="H2348" i="4"/>
  <c r="H2374" i="4"/>
  <c r="H2387" i="4"/>
  <c r="H2400" i="4"/>
  <c r="H2422" i="4"/>
  <c r="I2449" i="4"/>
  <c r="H2449" i="4"/>
  <c r="I2481" i="4"/>
  <c r="H2481" i="4"/>
  <c r="I2523" i="4"/>
  <c r="M2564" i="4"/>
  <c r="H2618" i="4"/>
  <c r="H2636" i="4"/>
  <c r="M2183" i="4"/>
  <c r="M2207" i="4"/>
  <c r="M2231" i="4"/>
  <c r="M2255" i="4"/>
  <c r="M2279" i="4"/>
  <c r="M2303" i="4"/>
  <c r="I2361" i="4"/>
  <c r="H2361" i="4"/>
  <c r="I2409" i="4"/>
  <c r="H2409" i="4"/>
  <c r="M2467" i="4"/>
  <c r="H2472" i="4"/>
  <c r="M2476" i="4"/>
  <c r="M2499" i="4"/>
  <c r="H2504" i="4"/>
  <c r="I2509" i="4"/>
  <c r="H2509" i="4"/>
  <c r="H2528" i="4"/>
  <c r="I2533" i="4"/>
  <c r="H2533" i="4"/>
  <c r="H2538" i="4"/>
  <c r="H2543" i="4"/>
  <c r="H2554" i="4"/>
  <c r="N2575" i="4"/>
  <c r="I2588" i="4"/>
  <c r="H2588" i="4"/>
  <c r="N2548" i="4"/>
  <c r="M2548" i="4"/>
  <c r="N2692" i="4"/>
  <c r="L2702" i="4"/>
  <c r="M2702" i="4" s="1"/>
  <c r="N2190" i="4"/>
  <c r="N2214" i="4"/>
  <c r="N2238" i="4"/>
  <c r="N2262" i="4"/>
  <c r="H2266" i="4"/>
  <c r="M2269" i="4"/>
  <c r="N2286" i="4"/>
  <c r="H2290" i="4"/>
  <c r="M2293" i="4"/>
  <c r="M2323" i="4"/>
  <c r="H2336" i="4"/>
  <c r="M2348" i="4"/>
  <c r="I2357" i="4"/>
  <c r="H2357" i="4"/>
  <c r="M2374" i="4"/>
  <c r="M2387" i="4"/>
  <c r="M2400" i="4"/>
  <c r="I2405" i="4"/>
  <c r="H2405" i="4"/>
  <c r="M2422" i="4"/>
  <c r="I2445" i="4"/>
  <c r="H2445" i="4"/>
  <c r="I2477" i="4"/>
  <c r="H2477" i="4"/>
  <c r="M2504" i="4"/>
  <c r="M2528" i="4"/>
  <c r="M2538" i="4"/>
  <c r="N2543" i="4"/>
  <c r="M2654" i="4"/>
  <c r="H2057" i="4"/>
  <c r="M2060" i="4"/>
  <c r="H2081" i="4"/>
  <c r="M2084" i="4"/>
  <c r="H2105" i="4"/>
  <c r="M2108" i="4"/>
  <c r="H2129" i="4"/>
  <c r="H2153" i="4"/>
  <c r="M2156" i="4"/>
  <c r="H2177" i="4"/>
  <c r="M2180" i="4"/>
  <c r="H2201" i="4"/>
  <c r="M2204" i="4"/>
  <c r="H2225" i="4"/>
  <c r="M2228" i="4"/>
  <c r="H2249" i="4"/>
  <c r="M2252" i="4"/>
  <c r="N2269" i="4"/>
  <c r="H2273" i="4"/>
  <c r="M2276" i="4"/>
  <c r="N2293" i="4"/>
  <c r="H2297" i="4"/>
  <c r="M2300" i="4"/>
  <c r="M2307" i="4"/>
  <c r="M2311" i="4"/>
  <c r="M2315" i="4"/>
  <c r="M2319" i="4"/>
  <c r="H2332" i="4"/>
  <c r="M2344" i="4"/>
  <c r="H2366" i="4"/>
  <c r="H2379" i="4"/>
  <c r="H2392" i="4"/>
  <c r="H2414" i="4"/>
  <c r="H2427" i="4"/>
  <c r="M2431" i="4"/>
  <c r="H2436" i="4"/>
  <c r="M2440" i="4"/>
  <c r="M2463" i="4"/>
  <c r="H2468" i="4"/>
  <c r="M2472" i="4"/>
  <c r="M2495" i="4"/>
  <c r="H2500" i="4"/>
  <c r="H2549" i="4"/>
  <c r="H2560" i="4"/>
  <c r="M2576" i="4"/>
  <c r="H2595" i="4"/>
  <c r="H2673" i="4"/>
  <c r="H2353" i="4"/>
  <c r="I2401" i="4"/>
  <c r="H2401" i="4"/>
  <c r="I2459" i="4"/>
  <c r="I2491" i="4"/>
  <c r="I2505" i="4"/>
  <c r="H2505" i="4"/>
  <c r="I2529" i="4"/>
  <c r="H2529" i="4"/>
  <c r="N2698" i="4"/>
  <c r="M2698" i="4"/>
  <c r="L2719" i="4"/>
  <c r="M2719" i="4" s="1"/>
  <c r="L2725" i="4"/>
  <c r="M2725" i="4" s="1"/>
  <c r="L2731" i="4"/>
  <c r="M2731" i="4" s="1"/>
  <c r="N2831" i="4"/>
  <c r="L2836" i="4"/>
  <c r="M2836" i="4" s="1"/>
  <c r="I2752" i="4"/>
  <c r="N2784" i="4"/>
  <c r="M2784" i="4"/>
  <c r="N2808" i="4"/>
  <c r="N2827" i="4"/>
  <c r="I2837" i="4"/>
  <c r="I2842" i="4"/>
  <c r="H2842" i="4"/>
  <c r="I2851" i="4"/>
  <c r="H2600" i="4"/>
  <c r="M2604" i="4"/>
  <c r="H2609" i="4"/>
  <c r="H2632" i="4"/>
  <c r="M2636" i="4"/>
  <c r="H2641" i="4"/>
  <c r="H2683" i="4"/>
  <c r="H2688" i="4"/>
  <c r="I2717" i="4"/>
  <c r="I2743" i="4"/>
  <c r="N2747" i="4"/>
  <c r="N2756" i="4"/>
  <c r="I2761" i="4"/>
  <c r="H2766" i="4"/>
  <c r="N2789" i="4"/>
  <c r="M2789" i="4"/>
  <c r="N2813" i="4"/>
  <c r="M2813" i="4"/>
  <c r="I2832" i="4"/>
  <c r="N2869" i="4"/>
  <c r="N2877" i="4"/>
  <c r="I2790" i="4"/>
  <c r="H2790" i="4"/>
  <c r="I2814" i="4"/>
  <c r="H2814" i="4"/>
  <c r="N2832" i="4"/>
  <c r="M2832" i="4"/>
  <c r="H2669" i="4"/>
  <c r="H2674" i="4"/>
  <c r="G2723" i="4"/>
  <c r="H2723" i="4" s="1"/>
  <c r="G2729" i="4"/>
  <c r="H2729" i="4" s="1"/>
  <c r="N2752" i="4"/>
  <c r="N2780" i="4"/>
  <c r="N2804" i="4"/>
  <c r="N2856" i="4"/>
  <c r="M2856" i="4"/>
  <c r="G2870" i="4"/>
  <c r="H2870" i="4" s="1"/>
  <c r="N2726" i="4"/>
  <c r="H2776" i="4"/>
  <c r="I2776" i="4"/>
  <c r="N2785" i="4"/>
  <c r="N2809" i="4"/>
  <c r="M2674" i="4"/>
  <c r="L2723" i="4"/>
  <c r="M2723" i="4" s="1"/>
  <c r="M2729" i="4"/>
  <c r="I2744" i="4"/>
  <c r="H2744" i="4"/>
  <c r="G2762" i="4"/>
  <c r="H2762" i="4" s="1"/>
  <c r="N2771" i="4"/>
  <c r="N2790" i="4"/>
  <c r="I2800" i="4"/>
  <c r="H2824" i="4"/>
  <c r="I2824" i="4"/>
  <c r="N2847" i="4"/>
  <c r="N2865" i="4"/>
  <c r="M2700" i="4"/>
  <c r="N2833" i="4"/>
  <c r="N2838" i="4"/>
  <c r="I2848" i="4"/>
  <c r="N2852" i="4"/>
  <c r="G2695" i="4"/>
  <c r="H2695" i="4" s="1"/>
  <c r="L2703" i="4"/>
  <c r="M2703" i="4" s="1"/>
  <c r="N2757" i="4"/>
  <c r="N2776" i="4"/>
  <c r="G2786" i="4"/>
  <c r="H2786" i="4" s="1"/>
  <c r="L2800" i="4"/>
  <c r="M2800" i="4" s="1"/>
  <c r="L2824" i="4"/>
  <c r="M2824" i="4" s="1"/>
  <c r="N2843" i="4"/>
  <c r="N2857" i="4"/>
  <c r="I2875" i="4"/>
  <c r="H2620" i="4"/>
  <c r="M2624" i="4"/>
  <c r="H2629" i="4"/>
  <c r="H2652" i="4"/>
  <c r="M2656" i="4"/>
  <c r="H2661" i="4"/>
  <c r="M2670" i="4"/>
  <c r="M2706" i="4"/>
  <c r="N2791" i="4"/>
  <c r="N2805" i="4"/>
  <c r="N2879" i="4"/>
  <c r="N2749" i="4"/>
  <c r="N2772" i="4"/>
  <c r="M2772" i="4"/>
  <c r="I2801" i="4"/>
  <c r="N2875" i="4"/>
  <c r="M2570" i="4"/>
  <c r="M2680" i="4"/>
  <c r="N2796" i="4"/>
  <c r="M2796" i="4"/>
  <c r="N2820" i="4"/>
  <c r="M2820" i="4"/>
  <c r="I2704" i="4"/>
  <c r="I2830" i="4"/>
  <c r="H2830" i="4"/>
  <c r="N2844" i="4"/>
  <c r="M2844" i="4"/>
  <c r="N2724" i="4"/>
  <c r="M2724" i="4"/>
  <c r="I2778" i="4"/>
  <c r="H2778" i="4"/>
  <c r="I2802" i="4"/>
  <c r="H2802" i="4"/>
  <c r="H2681" i="4"/>
  <c r="H2686" i="4"/>
  <c r="G2693" i="4"/>
  <c r="H2693" i="4" s="1"/>
  <c r="G2696" i="4"/>
  <c r="H2696" i="4" s="1"/>
  <c r="N2701" i="4"/>
  <c r="L2721" i="4"/>
  <c r="M2721" i="4" s="1"/>
  <c r="M2727" i="4"/>
  <c r="N2737" i="4"/>
  <c r="N2792" i="4"/>
  <c r="N2816" i="4"/>
  <c r="I2821" i="4"/>
  <c r="I2863" i="4"/>
  <c r="N2867" i="4"/>
  <c r="N2690" i="4"/>
  <c r="I2734" i="4"/>
  <c r="H2734" i="4"/>
  <c r="N2840" i="4"/>
  <c r="L2872" i="4"/>
  <c r="M2872" i="4" s="1"/>
  <c r="M2686" i="4"/>
  <c r="L2693" i="4"/>
  <c r="M2693" i="4" s="1"/>
  <c r="I2716" i="4"/>
  <c r="I2731" i="4"/>
  <c r="L2764" i="4"/>
  <c r="M2764" i="4" s="1"/>
  <c r="I2774" i="4"/>
  <c r="N2778" i="4"/>
  <c r="N2802" i="4"/>
  <c r="N2845" i="4"/>
  <c r="I2881" i="4"/>
  <c r="H2550" i="4"/>
  <c r="H2563" i="4"/>
  <c r="H2576" i="4"/>
  <c r="M2580" i="4"/>
  <c r="H2585" i="4"/>
  <c r="H2608" i="4"/>
  <c r="M2612" i="4"/>
  <c r="H2617" i="4"/>
  <c r="H2640" i="4"/>
  <c r="M2644" i="4"/>
  <c r="H2649" i="4"/>
  <c r="H2677" i="4"/>
  <c r="H2682" i="4"/>
  <c r="N2696" i="4"/>
  <c r="I2742" i="4"/>
  <c r="N2783" i="4"/>
  <c r="I2798" i="4"/>
  <c r="N2807" i="4"/>
  <c r="I2822" i="4"/>
  <c r="H2836" i="4"/>
  <c r="I2836" i="4"/>
  <c r="I2873" i="4"/>
  <c r="L2746" i="4"/>
  <c r="M2746" i="4" s="1"/>
  <c r="L2812" i="4"/>
  <c r="M2812" i="4" s="1"/>
  <c r="N2881" i="4"/>
  <c r="M2667" i="4"/>
  <c r="M2671" i="4"/>
  <c r="M2675" i="4"/>
  <c r="M2679" i="4"/>
  <c r="M2683" i="4"/>
  <c r="M2687" i="4"/>
  <c r="H2756" i="4"/>
  <c r="L2758" i="4"/>
  <c r="M2758" i="4" s="1"/>
  <c r="H2768" i="4"/>
  <c r="L2770" i="4"/>
  <c r="M2770" i="4" s="1"/>
  <c r="L2782" i="4"/>
  <c r="M2782" i="4" s="1"/>
  <c r="H2792" i="4"/>
  <c r="L2794" i="4"/>
  <c r="M2794" i="4" s="1"/>
  <c r="H2804" i="4"/>
  <c r="L2806" i="4"/>
  <c r="M2806" i="4" s="1"/>
  <c r="H2816" i="4"/>
  <c r="L2818" i="4"/>
  <c r="M2818" i="4" s="1"/>
  <c r="H2828" i="4"/>
  <c r="L2830" i="4"/>
  <c r="M2830" i="4" s="1"/>
  <c r="H2840" i="4"/>
  <c r="L2842" i="4"/>
  <c r="M2842" i="4" s="1"/>
  <c r="H2852" i="4"/>
  <c r="G2874" i="4"/>
  <c r="H2874" i="4" s="1"/>
  <c r="G2867" i="4"/>
  <c r="H2867" i="4" s="1"/>
  <c r="G2879" i="4"/>
  <c r="H2879" i="4" s="1"/>
  <c r="M2545" i="4"/>
  <c r="M2549" i="4"/>
  <c r="M2553" i="4"/>
  <c r="M2557" i="4"/>
  <c r="M2561" i="4"/>
  <c r="M2565" i="4"/>
  <c r="M2569" i="4"/>
  <c r="M2573" i="4"/>
  <c r="M2577" i="4"/>
  <c r="M2581" i="4"/>
  <c r="M2585" i="4"/>
  <c r="M2589" i="4"/>
  <c r="M2593" i="4"/>
  <c r="M2597" i="4"/>
  <c r="M2601" i="4"/>
  <c r="M2605" i="4"/>
  <c r="M2609" i="4"/>
  <c r="M2613" i="4"/>
  <c r="M2617" i="4"/>
  <c r="M2621" i="4"/>
  <c r="M2625" i="4"/>
  <c r="M2629" i="4"/>
  <c r="M2633" i="4"/>
  <c r="M2637" i="4"/>
  <c r="M2641" i="4"/>
  <c r="M2645" i="4"/>
  <c r="M2649" i="4"/>
  <c r="M2653" i="4"/>
  <c r="M2657" i="4"/>
  <c r="M2661" i="4"/>
  <c r="M2665" i="4"/>
  <c r="M2669" i="4"/>
  <c r="M2673" i="4"/>
  <c r="M2677" i="4"/>
  <c r="M2681" i="4"/>
  <c r="M2685" i="4"/>
  <c r="M2689" i="4"/>
  <c r="O969" i="4"/>
  <c r="O1022" i="4"/>
  <c r="L1914" i="4"/>
  <c r="M1914" i="4" s="1"/>
  <c r="L1837" i="4"/>
  <c r="M1837" i="4" s="1"/>
  <c r="L1896" i="4"/>
  <c r="M1896" i="4" s="1"/>
  <c r="N1394" i="4"/>
  <c r="N969" i="4"/>
  <c r="O1109" i="4"/>
  <c r="N1116" i="4"/>
  <c r="M1384" i="4"/>
  <c r="N1432" i="4"/>
  <c r="M1442" i="4"/>
  <c r="N1597" i="4"/>
  <c r="M1618" i="4"/>
  <c r="M1640" i="4"/>
  <c r="M984" i="4"/>
  <c r="O993" i="4"/>
  <c r="M999" i="4"/>
  <c r="N1007" i="4"/>
  <c r="M1022" i="4"/>
  <c r="M1073" i="4"/>
  <c r="N1865" i="4"/>
  <c r="N1462" i="4"/>
  <c r="M1699" i="4"/>
  <c r="O999" i="4"/>
  <c r="L1774" i="4"/>
  <c r="M1774" i="4" s="1"/>
  <c r="M1367" i="4"/>
  <c r="M1566" i="4"/>
  <c r="M1574" i="4"/>
  <c r="M1583" i="4"/>
  <c r="M1605" i="4"/>
  <c r="N1612" i="4"/>
  <c r="N1632" i="4"/>
  <c r="M1677" i="4"/>
  <c r="N1693" i="4"/>
  <c r="N1738" i="4"/>
  <c r="N1406" i="4"/>
  <c r="N1443" i="4"/>
  <c r="N1478" i="4"/>
  <c r="M1539" i="4"/>
  <c r="M1598" i="4"/>
  <c r="M1619" i="4"/>
  <c r="N1179" i="4"/>
  <c r="L1866" i="4"/>
  <c r="M1866" i="4" s="1"/>
  <c r="N1724" i="4"/>
  <c r="M1156" i="4"/>
  <c r="M1396" i="4"/>
  <c r="N1567" i="4"/>
  <c r="M1660" i="4"/>
  <c r="N1700" i="4"/>
  <c r="L1734" i="4"/>
  <c r="M1734" i="4" s="1"/>
  <c r="M962" i="4"/>
  <c r="N994" i="4"/>
  <c r="M1032" i="4"/>
  <c r="M1097" i="4"/>
  <c r="M1124" i="4"/>
  <c r="M1359" i="4"/>
  <c r="N1479" i="4"/>
  <c r="M1592" i="4"/>
  <c r="N1620" i="4"/>
  <c r="M1678" i="4"/>
  <c r="M1694" i="4"/>
  <c r="L1755" i="4"/>
  <c r="M1755" i="4" s="1"/>
  <c r="L1766" i="4"/>
  <c r="M1766" i="4" s="1"/>
  <c r="O1032" i="4"/>
  <c r="M1075" i="4"/>
  <c r="O1097" i="4"/>
  <c r="M1227" i="4"/>
  <c r="N1335" i="4"/>
  <c r="M1407" i="4"/>
  <c r="N1417" i="4"/>
  <c r="N1428" i="4"/>
  <c r="N1491" i="4"/>
  <c r="N1551" i="4"/>
  <c r="M1001" i="4"/>
  <c r="O1111" i="4"/>
  <c r="N1163" i="4"/>
  <c r="M1172" i="4"/>
  <c r="N1277" i="4"/>
  <c r="M1652" i="4"/>
  <c r="M1717" i="4"/>
  <c r="N995" i="4"/>
  <c r="M1125" i="4"/>
  <c r="M1351" i="4"/>
  <c r="N1492" i="4"/>
  <c r="N1593" i="4"/>
  <c r="M1600" i="4"/>
  <c r="M1627" i="4"/>
  <c r="M1679" i="4"/>
  <c r="M1695" i="4"/>
  <c r="L1740" i="4"/>
  <c r="N1740" i="4" s="1"/>
  <c r="N963" i="4"/>
  <c r="M980" i="4"/>
  <c r="M1082" i="4"/>
  <c r="L1776" i="4"/>
  <c r="M1776" i="4" s="1"/>
  <c r="L1828" i="4"/>
  <c r="M1828" i="4" s="1"/>
  <c r="O964" i="4"/>
  <c r="N973" i="4"/>
  <c r="N1068" i="4"/>
  <c r="P1174" i="4"/>
  <c r="L1788" i="4"/>
  <c r="M1788" i="4" s="1"/>
  <c r="M1408" i="4"/>
  <c r="M1621" i="4"/>
  <c r="L1730" i="4"/>
  <c r="N1730" i="4" s="1"/>
  <c r="L1768" i="4"/>
  <c r="M1768" i="4" s="1"/>
  <c r="L1908" i="4"/>
  <c r="N1908" i="4" s="1"/>
  <c r="N1457" i="4"/>
  <c r="N964" i="4"/>
  <c r="N1027" i="4"/>
  <c r="L1794" i="4"/>
  <c r="M1794" i="4" s="1"/>
  <c r="L1835" i="4"/>
  <c r="M1835" i="4" s="1"/>
  <c r="L1888" i="4"/>
  <c r="M1888" i="4" s="1"/>
  <c r="N1419" i="4"/>
  <c r="N1446" i="4"/>
  <c r="M1543" i="4"/>
  <c r="M1561" i="4"/>
  <c r="M1615" i="4"/>
  <c r="M1696" i="4"/>
  <c r="L1741" i="4"/>
  <c r="N1741" i="4" s="1"/>
  <c r="L1746" i="4"/>
  <c r="M1746" i="4" s="1"/>
  <c r="L1800" i="4"/>
  <c r="M1800" i="4" s="1"/>
  <c r="N1505" i="4"/>
  <c r="M1521" i="4"/>
  <c r="L1909" i="4"/>
  <c r="M1909" i="4" s="1"/>
  <c r="O974" i="4"/>
  <c r="N1044" i="4"/>
  <c r="N1092" i="4"/>
  <c r="L1829" i="4"/>
  <c r="M1829" i="4" s="1"/>
  <c r="N1410" i="4"/>
  <c r="N1420" i="4"/>
  <c r="M1570" i="4"/>
  <c r="M1602" i="4"/>
  <c r="M1609" i="4"/>
  <c r="M1664" i="4"/>
  <c r="M1028" i="4"/>
  <c r="O1092" i="4"/>
  <c r="M1127" i="4"/>
  <c r="N1175" i="4"/>
  <c r="P1281" i="4"/>
  <c r="N1312" i="4"/>
  <c r="M1363" i="4"/>
  <c r="N1400" i="4"/>
  <c r="N1616" i="4"/>
  <c r="L1762" i="4"/>
  <c r="P1175" i="4"/>
  <c r="M1474" i="4"/>
  <c r="M1522" i="4"/>
  <c r="M1588" i="4"/>
  <c r="N1752" i="4"/>
  <c r="O983" i="4"/>
  <c r="M1012" i="4"/>
  <c r="M1045" i="4"/>
  <c r="M1053" i="4"/>
  <c r="O1121" i="4"/>
  <c r="M1137" i="4"/>
  <c r="L1772" i="4"/>
  <c r="M1772" i="4" s="1"/>
  <c r="M1281" i="4"/>
  <c r="L1877" i="4"/>
  <c r="M1877" i="4" s="1"/>
  <c r="N1496" i="4"/>
  <c r="M1610" i="4"/>
  <c r="M1697" i="4"/>
  <c r="N1704" i="4"/>
  <c r="L1889" i="4"/>
  <c r="M1889" i="4" s="1"/>
  <c r="N1412" i="4"/>
  <c r="N1431" i="4"/>
  <c r="N1485" i="4"/>
  <c r="N1712" i="4"/>
  <c r="L1732" i="4"/>
  <c r="M1732" i="4" s="1"/>
  <c r="N1747" i="4"/>
  <c r="M998" i="4"/>
  <c r="M1063" i="4"/>
  <c r="M1176" i="4"/>
  <c r="M1355" i="4"/>
  <c r="M1021" i="4"/>
  <c r="O1063" i="4"/>
  <c r="M1115" i="4"/>
  <c r="L1878" i="4"/>
  <c r="M1878" i="4" s="1"/>
  <c r="L1890" i="4"/>
  <c r="M1890" i="4" s="1"/>
  <c r="N1331" i="4"/>
  <c r="N1460" i="4"/>
  <c r="N1604" i="4"/>
  <c r="M1617" i="4"/>
  <c r="L1753" i="4"/>
  <c r="N1753" i="4" s="1"/>
  <c r="O1026" i="4"/>
  <c r="H1581" i="4"/>
  <c r="I962" i="4"/>
  <c r="H1060" i="4"/>
  <c r="H1100" i="4"/>
  <c r="H1112" i="4"/>
  <c r="O1129" i="4"/>
  <c r="I1176" i="4"/>
  <c r="H1182" i="4"/>
  <c r="I1338" i="4"/>
  <c r="H1484" i="4"/>
  <c r="I1497" i="4"/>
  <c r="I1504" i="4"/>
  <c r="I1666" i="4"/>
  <c r="H1681" i="4"/>
  <c r="I1736" i="4"/>
  <c r="I1760" i="4"/>
  <c r="I976" i="4"/>
  <c r="H1007" i="4"/>
  <c r="H1033" i="4"/>
  <c r="O1060" i="4"/>
  <c r="H1075" i="4"/>
  <c r="O1112" i="4"/>
  <c r="H1118" i="4"/>
  <c r="I1137" i="4"/>
  <c r="P1176" i="4"/>
  <c r="P1187" i="4"/>
  <c r="I1349" i="4"/>
  <c r="I1396" i="4"/>
  <c r="I1408" i="4"/>
  <c r="I1433" i="4"/>
  <c r="H1675" i="4"/>
  <c r="H1714" i="4"/>
  <c r="O976" i="4"/>
  <c r="I982" i="4"/>
  <c r="I1007" i="4"/>
  <c r="H1048" i="4"/>
  <c r="H1124" i="4"/>
  <c r="H1158" i="4"/>
  <c r="P1279" i="4"/>
  <c r="G1885" i="4"/>
  <c r="H1885" i="4" s="1"/>
  <c r="I1319" i="4"/>
  <c r="I1383" i="4"/>
  <c r="H1596" i="4"/>
  <c r="I1658" i="4"/>
  <c r="H1695" i="4"/>
  <c r="H1701" i="4"/>
  <c r="O970" i="4"/>
  <c r="I1000" i="4"/>
  <c r="O1012" i="4"/>
  <c r="O1027" i="4"/>
  <c r="O1033" i="4"/>
  <c r="I1041" i="4"/>
  <c r="O1068" i="4"/>
  <c r="P1170" i="4"/>
  <c r="P1200" i="4"/>
  <c r="G1799" i="4"/>
  <c r="H1799" i="4" s="1"/>
  <c r="G1804" i="4"/>
  <c r="H1804" i="4" s="1"/>
  <c r="G1821" i="4"/>
  <c r="H1821" i="4" s="1"/>
  <c r="I1391" i="4"/>
  <c r="O962" i="4"/>
  <c r="O1137" i="4"/>
  <c r="P1182" i="4"/>
  <c r="G1849" i="4"/>
  <c r="H1849" i="4" s="1"/>
  <c r="H1280" i="4"/>
  <c r="G1891" i="4"/>
  <c r="H1891" i="4" s="1"/>
  <c r="I1452" i="4"/>
  <c r="I1520" i="4"/>
  <c r="H1544" i="4"/>
  <c r="I1553" i="4"/>
  <c r="I1603" i="4"/>
  <c r="I1650" i="4"/>
  <c r="I1028" i="4"/>
  <c r="H1054" i="4"/>
  <c r="H1062" i="4"/>
  <c r="O1075" i="4"/>
  <c r="I1081" i="4"/>
  <c r="H1096" i="4"/>
  <c r="I1107" i="4"/>
  <c r="H1171" i="4"/>
  <c r="H1177" i="4"/>
  <c r="H1267" i="4"/>
  <c r="I1466" i="4"/>
  <c r="I1472" i="4"/>
  <c r="I1505" i="4"/>
  <c r="O1054" i="4"/>
  <c r="H1138" i="4"/>
  <c r="I1377" i="4"/>
  <c r="H1416" i="4"/>
  <c r="O971" i="4"/>
  <c r="I983" i="4"/>
  <c r="H988" i="4"/>
  <c r="O1041" i="4"/>
  <c r="O1062" i="4"/>
  <c r="H1076" i="4"/>
  <c r="I1125" i="4"/>
  <c r="H1132" i="4"/>
  <c r="I1257" i="4"/>
  <c r="H1281" i="4"/>
  <c r="I1392" i="4"/>
  <c r="I1545" i="4"/>
  <c r="H1604" i="4"/>
  <c r="H1677" i="4"/>
  <c r="O963" i="4"/>
  <c r="O1034" i="4"/>
  <c r="O1101" i="4"/>
  <c r="H1108" i="4"/>
  <c r="H1114" i="4"/>
  <c r="O1120" i="4"/>
  <c r="O1132" i="4"/>
  <c r="O1138" i="4"/>
  <c r="P1183" i="4"/>
  <c r="P1332" i="4"/>
  <c r="I1369" i="4"/>
  <c r="I1577" i="4"/>
  <c r="I1591" i="4"/>
  <c r="H1717" i="4"/>
  <c r="O988" i="4"/>
  <c r="O1001" i="4"/>
  <c r="O1021" i="4"/>
  <c r="O1028" i="4"/>
  <c r="H1055" i="4"/>
  <c r="I1063" i="4"/>
  <c r="O1108" i="4"/>
  <c r="P1190" i="4"/>
  <c r="I1274" i="4"/>
  <c r="H1467" i="4"/>
  <c r="H1473" i="4"/>
  <c r="I1357" i="4"/>
  <c r="I1755" i="4"/>
  <c r="I964" i="4"/>
  <c r="H972" i="4"/>
  <c r="I1015" i="4"/>
  <c r="H1035" i="4"/>
  <c r="H1050" i="4"/>
  <c r="H1102" i="4"/>
  <c r="O1114" i="4"/>
  <c r="P1154" i="4"/>
  <c r="P1159" i="4"/>
  <c r="H1179" i="4"/>
  <c r="G1801" i="4"/>
  <c r="H1801" i="4" s="1"/>
  <c r="P1274" i="4"/>
  <c r="G1897" i="4"/>
  <c r="H1897" i="4" s="1"/>
  <c r="I1361" i="4"/>
  <c r="I1423" i="4"/>
  <c r="I1435" i="4"/>
  <c r="I1447" i="4"/>
  <c r="I1691" i="4"/>
  <c r="H1703" i="4"/>
  <c r="H1094" i="4"/>
  <c r="I1401" i="4"/>
  <c r="O978" i="4"/>
  <c r="O1009" i="4"/>
  <c r="O1055" i="4"/>
  <c r="O1102" i="4"/>
  <c r="O1125" i="4"/>
  <c r="O1133" i="4"/>
  <c r="P1172" i="4"/>
  <c r="G1784" i="4"/>
  <c r="H1784" i="4" s="1"/>
  <c r="G1823" i="4"/>
  <c r="H1823" i="4" s="1"/>
  <c r="G1864" i="4"/>
  <c r="H1864" i="4" s="1"/>
  <c r="G1903" i="4"/>
  <c r="H1903" i="4" s="1"/>
  <c r="I1411" i="4"/>
  <c r="G1748" i="4"/>
  <c r="H1748" i="4" s="1"/>
  <c r="G1851" i="4"/>
  <c r="I1851" i="4" s="1"/>
  <c r="I979" i="4"/>
  <c r="I984" i="4"/>
  <c r="H1036" i="4"/>
  <c r="H1072" i="4"/>
  <c r="H1126" i="4"/>
  <c r="H1134" i="4"/>
  <c r="I1160" i="4"/>
  <c r="H1167" i="4"/>
  <c r="H1173" i="4"/>
  <c r="I1530" i="4"/>
  <c r="H1539" i="4"/>
  <c r="H1571" i="4"/>
  <c r="I1662" i="4"/>
  <c r="H1685" i="4"/>
  <c r="H1692" i="4"/>
  <c r="G1744" i="4"/>
  <c r="H1744" i="4" s="1"/>
  <c r="H973" i="4"/>
  <c r="H990" i="4"/>
  <c r="O1126" i="4"/>
  <c r="G1774" i="4"/>
  <c r="H1774" i="4" s="1"/>
  <c r="I1516" i="4"/>
  <c r="I1599" i="4"/>
  <c r="H1704" i="4"/>
  <c r="O1044" i="4"/>
  <c r="H1051" i="4"/>
  <c r="O1134" i="4"/>
  <c r="P1167" i="4"/>
  <c r="P1173" i="4"/>
  <c r="P1225" i="4"/>
  <c r="P1276" i="4"/>
  <c r="G1888" i="4"/>
  <c r="H1888" i="4" s="1"/>
  <c r="I1317" i="4"/>
  <c r="G1739" i="4"/>
  <c r="H1739" i="4" s="1"/>
  <c r="G1852" i="4"/>
  <c r="H1852" i="4" s="1"/>
  <c r="I966" i="4"/>
  <c r="O979" i="4"/>
  <c r="O1036" i="4"/>
  <c r="G1813" i="4"/>
  <c r="H1813" i="4" s="1"/>
  <c r="P1247" i="4"/>
  <c r="I1388" i="4"/>
  <c r="I1449" i="4"/>
  <c r="I1549" i="4"/>
  <c r="H1679" i="4"/>
  <c r="O984" i="4"/>
  <c r="I1135" i="4"/>
  <c r="H1156" i="4"/>
  <c r="P1160" i="4"/>
  <c r="H1277" i="4"/>
  <c r="I1283" i="4"/>
  <c r="I1381" i="4"/>
  <c r="I1469" i="4"/>
  <c r="I1531" i="4"/>
  <c r="I1565" i="4"/>
  <c r="H1579" i="4"/>
  <c r="H1600" i="4"/>
  <c r="H980" i="4"/>
  <c r="O1004" i="4"/>
  <c r="O1010" i="4"/>
  <c r="H1018" i="4"/>
  <c r="I1024" i="4"/>
  <c r="O1031" i="4"/>
  <c r="O1058" i="4"/>
  <c r="O1078" i="4"/>
  <c r="O1085" i="4"/>
  <c r="H1099" i="4"/>
  <c r="O1116" i="4"/>
  <c r="O1122" i="4"/>
  <c r="P1168" i="4"/>
  <c r="P1180" i="4"/>
  <c r="P1185" i="4"/>
  <c r="I1295" i="4"/>
  <c r="I1463" i="4"/>
  <c r="I1557" i="4"/>
  <c r="H1705" i="4"/>
  <c r="G1749" i="4"/>
  <c r="H1749" i="4" s="1"/>
  <c r="O967" i="4"/>
  <c r="O1024" i="4"/>
  <c r="O1051" i="4"/>
  <c r="I1093" i="4"/>
  <c r="I1111" i="4"/>
  <c r="H1161" i="4"/>
  <c r="I1373" i="4"/>
  <c r="I1395" i="4"/>
  <c r="H1517" i="4"/>
  <c r="I1541" i="4"/>
  <c r="H1550" i="4"/>
  <c r="I1573" i="4"/>
  <c r="H1607" i="4"/>
  <c r="H1613" i="4"/>
  <c r="H1619" i="4"/>
  <c r="H1625" i="4"/>
  <c r="H1631" i="4"/>
  <c r="I1638" i="4"/>
  <c r="H1687" i="4"/>
  <c r="I1759" i="4"/>
  <c r="I1853" i="4"/>
  <c r="H992" i="4"/>
  <c r="O1018" i="4"/>
  <c r="O1093" i="4"/>
  <c r="O1135" i="4"/>
  <c r="P1156" i="4"/>
  <c r="P1161" i="4"/>
  <c r="H1169" i="4"/>
  <c r="P1277" i="4"/>
  <c r="I1413" i="4"/>
  <c r="I1419" i="4"/>
  <c r="H1713" i="4"/>
  <c r="O968" i="4"/>
  <c r="H986" i="4"/>
  <c r="H1046" i="4"/>
  <c r="O1117" i="4"/>
  <c r="G1781" i="4"/>
  <c r="H1781" i="4" s="1"/>
  <c r="G1808" i="4"/>
  <c r="H1808" i="4" s="1"/>
  <c r="I1271" i="4"/>
  <c r="G1884" i="4"/>
  <c r="H1884" i="4" s="1"/>
  <c r="G1900" i="4"/>
  <c r="H1900" i="4" s="1"/>
  <c r="I1365" i="4"/>
  <c r="H1588" i="4"/>
  <c r="O1025" i="4"/>
  <c r="M1025" i="4"/>
  <c r="P1189" i="4"/>
  <c r="N1189" i="4"/>
  <c r="M1189" i="4"/>
  <c r="I1547" i="4"/>
  <c r="H1547" i="4"/>
  <c r="M967" i="4"/>
  <c r="O982" i="4"/>
  <c r="M982" i="4"/>
  <c r="H1005" i="4"/>
  <c r="N1025" i="4"/>
  <c r="H1030" i="4"/>
  <c r="M1038" i="4"/>
  <c r="I1043" i="4"/>
  <c r="H1057" i="4"/>
  <c r="I1067" i="4"/>
  <c r="N1110" i="4"/>
  <c r="M1110" i="4"/>
  <c r="O1127" i="4"/>
  <c r="I1127" i="4"/>
  <c r="H1127" i="4"/>
  <c r="N967" i="4"/>
  <c r="N1038" i="4"/>
  <c r="O1052" i="4"/>
  <c r="N1052" i="4"/>
  <c r="P1165" i="4"/>
  <c r="N1165" i="4"/>
  <c r="M1165" i="4"/>
  <c r="N1509" i="4"/>
  <c r="M1509" i="4"/>
  <c r="H964" i="4"/>
  <c r="M971" i="4"/>
  <c r="H994" i="4"/>
  <c r="H1013" i="4"/>
  <c r="M1017" i="4"/>
  <c r="I1026" i="4"/>
  <c r="O1030" i="4"/>
  <c r="M1034" i="4"/>
  <c r="M1043" i="4"/>
  <c r="M1052" i="4"/>
  <c r="O1057" i="4"/>
  <c r="M1062" i="4"/>
  <c r="M1067" i="4"/>
  <c r="O1072" i="4"/>
  <c r="N1082" i="4"/>
  <c r="N1093" i="4"/>
  <c r="I1104" i="4"/>
  <c r="H1104" i="4"/>
  <c r="K1813" i="4"/>
  <c r="L1813" i="4" s="1"/>
  <c r="M1813" i="4" s="1"/>
  <c r="L1237" i="4"/>
  <c r="J1882" i="4"/>
  <c r="L1882" i="4" s="1"/>
  <c r="M1882" i="4" s="1"/>
  <c r="L1306" i="4"/>
  <c r="N1306" i="4" s="1"/>
  <c r="N1017" i="4"/>
  <c r="N1034" i="4"/>
  <c r="N1043" i="4"/>
  <c r="N1062" i="4"/>
  <c r="O1067" i="4"/>
  <c r="O1104" i="4"/>
  <c r="E1916" i="4"/>
  <c r="G1148" i="4"/>
  <c r="O1148" i="4" s="1"/>
  <c r="K1861" i="4"/>
  <c r="L1861" i="4" s="1"/>
  <c r="M1861" i="4" s="1"/>
  <c r="L1285" i="4"/>
  <c r="H968" i="4"/>
  <c r="M975" i="4"/>
  <c r="M990" i="4"/>
  <c r="I998" i="4"/>
  <c r="N1005" i="4"/>
  <c r="N1009" i="4"/>
  <c r="O1013" i="4"/>
  <c r="M1026" i="4"/>
  <c r="I1039" i="4"/>
  <c r="N1048" i="4"/>
  <c r="I1053" i="4"/>
  <c r="H1073" i="4"/>
  <c r="H1083" i="4"/>
  <c r="I1128" i="4"/>
  <c r="H1128" i="4"/>
  <c r="I1263" i="4"/>
  <c r="H1263" i="4"/>
  <c r="O975" i="4"/>
  <c r="N990" i="4"/>
  <c r="M994" i="4"/>
  <c r="H1022" i="4"/>
  <c r="N1026" i="4"/>
  <c r="O1094" i="4"/>
  <c r="M1094" i="4"/>
  <c r="O1128" i="4"/>
  <c r="F1809" i="4"/>
  <c r="G1809" i="4" s="1"/>
  <c r="H1809" i="4" s="1"/>
  <c r="G1233" i="4"/>
  <c r="H1233" i="4" s="1"/>
  <c r="O1083" i="4"/>
  <c r="N1083" i="4"/>
  <c r="M1083" i="4"/>
  <c r="F1844" i="4"/>
  <c r="G1844" i="4" s="1"/>
  <c r="H1844" i="4" s="1"/>
  <c r="G1268" i="4"/>
  <c r="H1268" i="4" s="1"/>
  <c r="M968" i="4"/>
  <c r="H1006" i="4"/>
  <c r="H1014" i="4"/>
  <c r="M1031" i="4"/>
  <c r="O1039" i="4"/>
  <c r="H1049" i="4"/>
  <c r="N1058" i="4"/>
  <c r="O1073" i="4"/>
  <c r="M1089" i="4"/>
  <c r="I1095" i="4"/>
  <c r="H1095" i="4"/>
  <c r="K1849" i="4"/>
  <c r="L1273" i="4"/>
  <c r="N968" i="4"/>
  <c r="N972" i="4"/>
  <c r="M972" i="4"/>
  <c r="H991" i="4"/>
  <c r="M1002" i="4"/>
  <c r="N1031" i="4"/>
  <c r="O1053" i="4"/>
  <c r="O1089" i="4"/>
  <c r="O1095" i="4"/>
  <c r="O1100" i="4"/>
  <c r="N1100" i="4"/>
  <c r="J1784" i="4"/>
  <c r="L1784" i="4" s="1"/>
  <c r="M1784" i="4" s="1"/>
  <c r="L1208" i="4"/>
  <c r="F1800" i="4"/>
  <c r="G1800" i="4" s="1"/>
  <c r="H1800" i="4" s="1"/>
  <c r="G1224" i="4"/>
  <c r="H1224" i="4" s="1"/>
  <c r="K1804" i="4"/>
  <c r="L1804" i="4" s="1"/>
  <c r="M1804" i="4" s="1"/>
  <c r="L1228" i="4"/>
  <c r="F1878" i="4"/>
  <c r="G1878" i="4" s="1"/>
  <c r="H1878" i="4" s="1"/>
  <c r="H965" i="4"/>
  <c r="O972" i="4"/>
  <c r="M976" i="4"/>
  <c r="I980" i="4"/>
  <c r="M987" i="4"/>
  <c r="I991" i="4"/>
  <c r="H995" i="4"/>
  <c r="N1002" i="4"/>
  <c r="O1006" i="4"/>
  <c r="N1006" i="4"/>
  <c r="M1006" i="4"/>
  <c r="M1018" i="4"/>
  <c r="M1035" i="4"/>
  <c r="H1040" i="4"/>
  <c r="I1069" i="4"/>
  <c r="O1084" i="4"/>
  <c r="M1084" i="4"/>
  <c r="M1100" i="4"/>
  <c r="M1403" i="4"/>
  <c r="N1403" i="4"/>
  <c r="I969" i="4"/>
  <c r="H969" i="4"/>
  <c r="N976" i="4"/>
  <c r="N987" i="4"/>
  <c r="I995" i="4"/>
  <c r="M1014" i="4"/>
  <c r="N1018" i="4"/>
  <c r="O1035" i="4"/>
  <c r="H1045" i="4"/>
  <c r="O1049" i="4"/>
  <c r="H1059" i="4"/>
  <c r="O1069" i="4"/>
  <c r="H1079" i="4"/>
  <c r="N1084" i="4"/>
  <c r="H1090" i="4"/>
  <c r="O1106" i="4"/>
  <c r="M1106" i="4"/>
  <c r="O1118" i="4"/>
  <c r="N1118" i="4"/>
  <c r="M1118" i="4"/>
  <c r="O965" i="4"/>
  <c r="N965" i="4"/>
  <c r="N1014" i="4"/>
  <c r="O1040" i="4"/>
  <c r="N1040" i="4"/>
  <c r="M1040" i="4"/>
  <c r="O1074" i="4"/>
  <c r="N1074" i="4"/>
  <c r="M1074" i="4"/>
  <c r="O1130" i="4"/>
  <c r="N1130" i="4"/>
  <c r="M1130" i="4"/>
  <c r="I1144" i="4"/>
  <c r="H1144" i="4"/>
  <c r="P1334" i="4"/>
  <c r="N1334" i="4"/>
  <c r="M1334" i="4"/>
  <c r="M965" i="4"/>
  <c r="I1003" i="4"/>
  <c r="O1045" i="4"/>
  <c r="N1059" i="4"/>
  <c r="M1059" i="4"/>
  <c r="O1064" i="4"/>
  <c r="N1064" i="4"/>
  <c r="M1064" i="4"/>
  <c r="N1069" i="4"/>
  <c r="O1090" i="4"/>
  <c r="O1096" i="4"/>
  <c r="M1096" i="4"/>
  <c r="I1131" i="4"/>
  <c r="H1131" i="4"/>
  <c r="P1186" i="4"/>
  <c r="I1186" i="4"/>
  <c r="H1186" i="4"/>
  <c r="N1219" i="4"/>
  <c r="M1219" i="4"/>
  <c r="O1023" i="4"/>
  <c r="N1023" i="4"/>
  <c r="M1023" i="4"/>
  <c r="O1131" i="4"/>
  <c r="N1131" i="4"/>
  <c r="M1131" i="4"/>
  <c r="I1150" i="4"/>
  <c r="H1150" i="4"/>
  <c r="O1050" i="4"/>
  <c r="M1050" i="4"/>
  <c r="O1107" i="4"/>
  <c r="N1107" i="4"/>
  <c r="M1107" i="4"/>
  <c r="P1162" i="4"/>
  <c r="I1162" i="4"/>
  <c r="H1162" i="4"/>
  <c r="K1775" i="4"/>
  <c r="L1775" i="4" s="1"/>
  <c r="M1775" i="4" s="1"/>
  <c r="L1199" i="4"/>
  <c r="F1899" i="4"/>
  <c r="G1899" i="4" s="1"/>
  <c r="H1899" i="4" s="1"/>
  <c r="G1323" i="4"/>
  <c r="H1323" i="4" s="1"/>
  <c r="H1086" i="4"/>
  <c r="I1091" i="4"/>
  <c r="H1097" i="4"/>
  <c r="H970" i="4"/>
  <c r="M977" i="4"/>
  <c r="M988" i="4"/>
  <c r="H996" i="4"/>
  <c r="M1011" i="4"/>
  <c r="O1015" i="4"/>
  <c r="M1015" i="4"/>
  <c r="M1065" i="4"/>
  <c r="N1070" i="4"/>
  <c r="I1080" i="4"/>
  <c r="H1080" i="4"/>
  <c r="I1215" i="4"/>
  <c r="H1215" i="4"/>
  <c r="I1288" i="4"/>
  <c r="H1288" i="4"/>
  <c r="J1874" i="4"/>
  <c r="L1874" i="4" s="1"/>
  <c r="M1874" i="4" s="1"/>
  <c r="L1298" i="4"/>
  <c r="N1298" i="4" s="1"/>
  <c r="M966" i="4"/>
  <c r="N977" i="4"/>
  <c r="H985" i="4"/>
  <c r="N988" i="4"/>
  <c r="N996" i="4"/>
  <c r="M996" i="4"/>
  <c r="H1004" i="4"/>
  <c r="N1011" i="4"/>
  <c r="N1015" i="4"/>
  <c r="M1024" i="4"/>
  <c r="I1037" i="4"/>
  <c r="H1037" i="4"/>
  <c r="M1055" i="4"/>
  <c r="M1060" i="4"/>
  <c r="O1065" i="4"/>
  <c r="O1070" i="4"/>
  <c r="O1080" i="4"/>
  <c r="M1086" i="4"/>
  <c r="N966" i="4"/>
  <c r="H974" i="4"/>
  <c r="M981" i="4"/>
  <c r="M992" i="4"/>
  <c r="O996" i="4"/>
  <c r="M1000" i="4"/>
  <c r="H1008" i="4"/>
  <c r="I1020" i="4"/>
  <c r="H1020" i="4"/>
  <c r="N1024" i="4"/>
  <c r="N1046" i="4"/>
  <c r="N1055" i="4"/>
  <c r="N1060" i="4"/>
  <c r="N1086" i="4"/>
  <c r="N1210" i="4"/>
  <c r="M1210" i="4"/>
  <c r="F1827" i="4"/>
  <c r="G1827" i="4" s="1"/>
  <c r="H1827" i="4" s="1"/>
  <c r="G1251" i="4"/>
  <c r="H1251" i="4" s="1"/>
  <c r="N1265" i="4"/>
  <c r="M1265" i="4"/>
  <c r="H963" i="4"/>
  <c r="M970" i="4"/>
  <c r="N981" i="4"/>
  <c r="N992" i="4"/>
  <c r="N1000" i="4"/>
  <c r="H1016" i="4"/>
  <c r="O1037" i="4"/>
  <c r="H1042" i="4"/>
  <c r="O1046" i="4"/>
  <c r="I1061" i="4"/>
  <c r="H1061" i="4"/>
  <c r="H1066" i="4"/>
  <c r="I1071" i="4"/>
  <c r="I1195" i="4"/>
  <c r="H1195" i="4"/>
  <c r="N970" i="4"/>
  <c r="H978" i="4"/>
  <c r="M985" i="4"/>
  <c r="H989" i="4"/>
  <c r="I993" i="4"/>
  <c r="H993" i="4"/>
  <c r="H997" i="4"/>
  <c r="M1004" i="4"/>
  <c r="I1012" i="4"/>
  <c r="O1020" i="4"/>
  <c r="I1056" i="4"/>
  <c r="H1056" i="4"/>
  <c r="O1071" i="4"/>
  <c r="O1115" i="4"/>
  <c r="I1115" i="4"/>
  <c r="H1115" i="4"/>
  <c r="M1226" i="4"/>
  <c r="H967" i="4"/>
  <c r="M974" i="4"/>
  <c r="N985" i="4"/>
  <c r="N1004" i="4"/>
  <c r="M1008" i="4"/>
  <c r="O1016" i="4"/>
  <c r="H1025" i="4"/>
  <c r="N1029" i="4"/>
  <c r="N1033" i="4"/>
  <c r="H1038" i="4"/>
  <c r="O1042" i="4"/>
  <c r="M1042" i="4"/>
  <c r="I1047" i="4"/>
  <c r="O1056" i="4"/>
  <c r="M1056" i="4"/>
  <c r="O1061" i="4"/>
  <c r="O1066" i="4"/>
  <c r="O1076" i="4"/>
  <c r="N1076" i="4"/>
  <c r="O1081" i="4"/>
  <c r="I1103" i="4"/>
  <c r="J1920" i="4"/>
  <c r="K1822" i="4"/>
  <c r="L1822" i="4" s="1"/>
  <c r="M1822" i="4" s="1"/>
  <c r="L1246" i="4"/>
  <c r="O989" i="4"/>
  <c r="O1008" i="4"/>
  <c r="M1016" i="4"/>
  <c r="O1029" i="4"/>
  <c r="N1042" i="4"/>
  <c r="O1047" i="4"/>
  <c r="N1056" i="4"/>
  <c r="M1076" i="4"/>
  <c r="O1098" i="4"/>
  <c r="N1098" i="4"/>
  <c r="M1098" i="4"/>
  <c r="O1140" i="4"/>
  <c r="N1140" i="4"/>
  <c r="M1140" i="4"/>
  <c r="I1206" i="4"/>
  <c r="H1206" i="4"/>
  <c r="E1818" i="4"/>
  <c r="G1818" i="4" s="1"/>
  <c r="H1818" i="4" s="1"/>
  <c r="G1242" i="4"/>
  <c r="P1242" i="4" s="1"/>
  <c r="N1911" i="4"/>
  <c r="G1769" i="4"/>
  <c r="H1769" i="4" s="1"/>
  <c r="L1773" i="4"/>
  <c r="M1773" i="4" s="1"/>
  <c r="G1780" i="4"/>
  <c r="H1780" i="4" s="1"/>
  <c r="G1789" i="4"/>
  <c r="H1789" i="4" s="1"/>
  <c r="L1793" i="4"/>
  <c r="M1793" i="4" s="1"/>
  <c r="G1798" i="4"/>
  <c r="H1798" i="4" s="1"/>
  <c r="P1335" i="4"/>
  <c r="I1335" i="4"/>
  <c r="H1335" i="4"/>
  <c r="N1357" i="4"/>
  <c r="M1357" i="4"/>
  <c r="I1429" i="4"/>
  <c r="I1494" i="4"/>
  <c r="I1563" i="4"/>
  <c r="H1563" i="4"/>
  <c r="N1834" i="4"/>
  <c r="N1398" i="4"/>
  <c r="N1413" i="4"/>
  <c r="I1439" i="4"/>
  <c r="H1439" i="4"/>
  <c r="I1443" i="4"/>
  <c r="N1458" i="4"/>
  <c r="M1458" i="4"/>
  <c r="N1463" i="4"/>
  <c r="M1463" i="4"/>
  <c r="N1531" i="4"/>
  <c r="M1120" i="4"/>
  <c r="M1143" i="4"/>
  <c r="L1918" i="4"/>
  <c r="M1918" i="4" s="1"/>
  <c r="M1155" i="4"/>
  <c r="M1179" i="4"/>
  <c r="G1193" i="4"/>
  <c r="H1193" i="4" s="1"/>
  <c r="L1771" i="4"/>
  <c r="M1771" i="4" s="1"/>
  <c r="L1197" i="4"/>
  <c r="G1778" i="4"/>
  <c r="H1778" i="4" s="1"/>
  <c r="G1204" i="4"/>
  <c r="H1204" i="4" s="1"/>
  <c r="L1782" i="4"/>
  <c r="M1782" i="4" s="1"/>
  <c r="G1213" i="4"/>
  <c r="H1213" i="4" s="1"/>
  <c r="L1791" i="4"/>
  <c r="M1791" i="4" s="1"/>
  <c r="L1217" i="4"/>
  <c r="N1217" i="4" s="1"/>
  <c r="G1222" i="4"/>
  <c r="H1222" i="4" s="1"/>
  <c r="I1807" i="4"/>
  <c r="N1811" i="4"/>
  <c r="I1816" i="4"/>
  <c r="E1825" i="4"/>
  <c r="G1825" i="4" s="1"/>
  <c r="H1825" i="4" s="1"/>
  <c r="G1249" i="4"/>
  <c r="H1249" i="4" s="1"/>
  <c r="G1256" i="4"/>
  <c r="H1256" i="4" s="1"/>
  <c r="L1258" i="4"/>
  <c r="G1837" i="4"/>
  <c r="H1837" i="4" s="1"/>
  <c r="L1839" i="4"/>
  <c r="M1839" i="4" s="1"/>
  <c r="G1868" i="4"/>
  <c r="H1868" i="4" s="1"/>
  <c r="L1341" i="4"/>
  <c r="N1349" i="4"/>
  <c r="M1349" i="4"/>
  <c r="I1389" i="4"/>
  <c r="I1404" i="4"/>
  <c r="N1433" i="4"/>
  <c r="N1484" i="4"/>
  <c r="N1489" i="4"/>
  <c r="M1494" i="4"/>
  <c r="N1494" i="4"/>
  <c r="N1499" i="4"/>
  <c r="I1909" i="4"/>
  <c r="H1909" i="4"/>
  <c r="J1844" i="4"/>
  <c r="L1844" i="4" s="1"/>
  <c r="M1844" i="4" s="1"/>
  <c r="L1268" i="4"/>
  <c r="N1268" i="4" s="1"/>
  <c r="F1905" i="4"/>
  <c r="G1905" i="4" s="1"/>
  <c r="H1905" i="4" s="1"/>
  <c r="N1424" i="4"/>
  <c r="M1424" i="4"/>
  <c r="N1453" i="4"/>
  <c r="M1453" i="4"/>
  <c r="M1134" i="4"/>
  <c r="G1141" i="4"/>
  <c r="H1146" i="4"/>
  <c r="L1916" i="4"/>
  <c r="M1916" i="4" s="1"/>
  <c r="L1150" i="4"/>
  <c r="H1166" i="4"/>
  <c r="M1169" i="4"/>
  <c r="H1190" i="4"/>
  <c r="L1195" i="4"/>
  <c r="G1776" i="4"/>
  <c r="H1776" i="4" s="1"/>
  <c r="G1202" i="4"/>
  <c r="L1206" i="4"/>
  <c r="L1215" i="4"/>
  <c r="I1796" i="4"/>
  <c r="N1226" i="4"/>
  <c r="G1805" i="4"/>
  <c r="H1805" i="4" s="1"/>
  <c r="H1231" i="4"/>
  <c r="N1809" i="4"/>
  <c r="M1235" i="4"/>
  <c r="H1240" i="4"/>
  <c r="L1818" i="4"/>
  <c r="M1818" i="4" s="1"/>
  <c r="M1244" i="4"/>
  <c r="L1251" i="4"/>
  <c r="G1261" i="4"/>
  <c r="H1261" i="4" s="1"/>
  <c r="L1263" i="4"/>
  <c r="N1263" i="4" s="1"/>
  <c r="F1842" i="4"/>
  <c r="M1278" i="4"/>
  <c r="F1862" i="4"/>
  <c r="N1288" i="4"/>
  <c r="G1292" i="4"/>
  <c r="H1292" i="4" s="1"/>
  <c r="H1307" i="4"/>
  <c r="I1336" i="4"/>
  <c r="H1336" i="4"/>
  <c r="N1389" i="4"/>
  <c r="I1409" i="4"/>
  <c r="H1409" i="4"/>
  <c r="I1434" i="4"/>
  <c r="N1439" i="4"/>
  <c r="N1448" i="4"/>
  <c r="I1459" i="4"/>
  <c r="I1464" i="4"/>
  <c r="I1485" i="4"/>
  <c r="I1495" i="4"/>
  <c r="I1500" i="4"/>
  <c r="N1515" i="4"/>
  <c r="N1520" i="4"/>
  <c r="I1526" i="4"/>
  <c r="H1526" i="4"/>
  <c r="H1912" i="4"/>
  <c r="I1912" i="4"/>
  <c r="L1780" i="4"/>
  <c r="M1780" i="4" s="1"/>
  <c r="G1785" i="4"/>
  <c r="H1785" i="4" s="1"/>
  <c r="G1211" i="4"/>
  <c r="H1211" i="4" s="1"/>
  <c r="L1789" i="4"/>
  <c r="M1789" i="4" s="1"/>
  <c r="G1220" i="4"/>
  <c r="H1220" i="4" s="1"/>
  <c r="L1798" i="4"/>
  <c r="M1798" i="4" s="1"/>
  <c r="L1224" i="4"/>
  <c r="L1233" i="4"/>
  <c r="N1233" i="4" s="1"/>
  <c r="F1814" i="4"/>
  <c r="I1238" i="4"/>
  <c r="N1244" i="4"/>
  <c r="L1825" i="4"/>
  <c r="M1825" i="4" s="1"/>
  <c r="G1830" i="4"/>
  <c r="H1830" i="4" s="1"/>
  <c r="L1832" i="4"/>
  <c r="M1832" i="4" s="1"/>
  <c r="G1266" i="4"/>
  <c r="H1266" i="4" s="1"/>
  <c r="G1845" i="4"/>
  <c r="H1845" i="4" s="1"/>
  <c r="N1278" i="4"/>
  <c r="G1286" i="4"/>
  <c r="H1286" i="4" s="1"/>
  <c r="P1288" i="4"/>
  <c r="K1871" i="4"/>
  <c r="L1871" i="4" s="1"/>
  <c r="M1871" i="4" s="1"/>
  <c r="F1875" i="4"/>
  <c r="G1875" i="4" s="1"/>
  <c r="H1875" i="4" s="1"/>
  <c r="G1299" i="4"/>
  <c r="H1299" i="4" s="1"/>
  <c r="N1336" i="4"/>
  <c r="M1336" i="4"/>
  <c r="P1336" i="4"/>
  <c r="I1405" i="4"/>
  <c r="H1405" i="4"/>
  <c r="N1414" i="4"/>
  <c r="M1414" i="4"/>
  <c r="I1480" i="4"/>
  <c r="I1490" i="4"/>
  <c r="M1526" i="4"/>
  <c r="N1526" i="4"/>
  <c r="E1865" i="4"/>
  <c r="G1865" i="4" s="1"/>
  <c r="H1865" i="4" s="1"/>
  <c r="G1289" i="4"/>
  <c r="H1289" i="4" s="1"/>
  <c r="I1337" i="4"/>
  <c r="H1337" i="4"/>
  <c r="N1399" i="4"/>
  <c r="I1425" i="4"/>
  <c r="I1527" i="4"/>
  <c r="H1527" i="4"/>
  <c r="N1533" i="4"/>
  <c r="M1533" i="4"/>
  <c r="N1124" i="4"/>
  <c r="M1148" i="4"/>
  <c r="H1153" i="4"/>
  <c r="N1159" i="4"/>
  <c r="H1163" i="4"/>
  <c r="M1166" i="4"/>
  <c r="N1183" i="4"/>
  <c r="H1187" i="4"/>
  <c r="M1190" i="4"/>
  <c r="M1193" i="4"/>
  <c r="L1204" i="4"/>
  <c r="G1209" i="4"/>
  <c r="H1209" i="4" s="1"/>
  <c r="L1213" i="4"/>
  <c r="L1222" i="4"/>
  <c r="N1222" i="4" s="1"/>
  <c r="K1807" i="4"/>
  <c r="L1807" i="4" s="1"/>
  <c r="M1807" i="4" s="1"/>
  <c r="E1812" i="4"/>
  <c r="G1812" i="4" s="1"/>
  <c r="H1812" i="4" s="1"/>
  <c r="G1236" i="4"/>
  <c r="H1236" i="4" s="1"/>
  <c r="N1242" i="4"/>
  <c r="H1247" i="4"/>
  <c r="L1249" i="4"/>
  <c r="G1254" i="4"/>
  <c r="H1254" i="4" s="1"/>
  <c r="L1256" i="4"/>
  <c r="N1256" i="4" s="1"/>
  <c r="G1269" i="4"/>
  <c r="H1269" i="4" s="1"/>
  <c r="M1271" i="4"/>
  <c r="L1307" i="4"/>
  <c r="N1307" i="4" s="1"/>
  <c r="E1892" i="4"/>
  <c r="G1892" i="4" s="1"/>
  <c r="H1892" i="4" s="1"/>
  <c r="G1316" i="4"/>
  <c r="M1343" i="4"/>
  <c r="N1377" i="4"/>
  <c r="M1377" i="4"/>
  <c r="N1409" i="4"/>
  <c r="M1425" i="4"/>
  <c r="N1425" i="4"/>
  <c r="I1430" i="4"/>
  <c r="I1440" i="4"/>
  <c r="M1454" i="4"/>
  <c r="N1454" i="4"/>
  <c r="N1459" i="4"/>
  <c r="N1464" i="4"/>
  <c r="N1475" i="4"/>
  <c r="N1490" i="4"/>
  <c r="M1066" i="4"/>
  <c r="M1090" i="4"/>
  <c r="M1114" i="4"/>
  <c r="M1138" i="4"/>
  <c r="M1141" i="4"/>
  <c r="L1146" i="4"/>
  <c r="N1146" i="4" s="1"/>
  <c r="N1148" i="4"/>
  <c r="N1166" i="4"/>
  <c r="H1170" i="4"/>
  <c r="M1173" i="4"/>
  <c r="N1190" i="4"/>
  <c r="N1193" i="4"/>
  <c r="G1772" i="4"/>
  <c r="H1772" i="4" s="1"/>
  <c r="G1198" i="4"/>
  <c r="H1198" i="4" s="1"/>
  <c r="I1200" i="4"/>
  <c r="G1783" i="4"/>
  <c r="H1783" i="4" s="1"/>
  <c r="L1787" i="4"/>
  <c r="M1787" i="4" s="1"/>
  <c r="G1792" i="4"/>
  <c r="H1792" i="4" s="1"/>
  <c r="G1218" i="4"/>
  <c r="H1218" i="4" s="1"/>
  <c r="L1796" i="4"/>
  <c r="M1796" i="4" s="1"/>
  <c r="G1227" i="4"/>
  <c r="H1227" i="4" s="1"/>
  <c r="I1229" i="4"/>
  <c r="L1231" i="4"/>
  <c r="N1231" i="4" s="1"/>
  <c r="L1814" i="4"/>
  <c r="M1814" i="4" s="1"/>
  <c r="L1240" i="4"/>
  <c r="G1245" i="4"/>
  <c r="H1245" i="4" s="1"/>
  <c r="G1828" i="4"/>
  <c r="H1828" i="4" s="1"/>
  <c r="G1259" i="4"/>
  <c r="H1259" i="4" s="1"/>
  <c r="E1840" i="4"/>
  <c r="G1264" i="4"/>
  <c r="I1264" i="4" s="1"/>
  <c r="N1271" i="4"/>
  <c r="M1274" i="4"/>
  <c r="N1859" i="4"/>
  <c r="K1868" i="4"/>
  <c r="L1868" i="4" s="1"/>
  <c r="M1868" i="4" s="1"/>
  <c r="L1292" i="4"/>
  <c r="J1879" i="4"/>
  <c r="L1879" i="4" s="1"/>
  <c r="M1879" i="4" s="1"/>
  <c r="L1303" i="4"/>
  <c r="N1303" i="4" s="1"/>
  <c r="N1343" i="4"/>
  <c r="I1385" i="4"/>
  <c r="N1390" i="4"/>
  <c r="M1390" i="4"/>
  <c r="I1400" i="4"/>
  <c r="N1405" i="4"/>
  <c r="I1528" i="4"/>
  <c r="H1528" i="4"/>
  <c r="N1173" i="4"/>
  <c r="L1202" i="4"/>
  <c r="J1805" i="4"/>
  <c r="L1805" i="4" s="1"/>
  <c r="M1805" i="4" s="1"/>
  <c r="L1229" i="4"/>
  <c r="L1261" i="4"/>
  <c r="F1840" i="4"/>
  <c r="N1274" i="4"/>
  <c r="L1283" i="4"/>
  <c r="N1283" i="4" s="1"/>
  <c r="N1369" i="4"/>
  <c r="M1369" i="4"/>
  <c r="I1506" i="4"/>
  <c r="I1511" i="4"/>
  <c r="M1080" i="4"/>
  <c r="M1104" i="4"/>
  <c r="M1128" i="4"/>
  <c r="L1144" i="4"/>
  <c r="G1151" i="4"/>
  <c r="H1151" i="4" s="1"/>
  <c r="M1163" i="4"/>
  <c r="M1187" i="4"/>
  <c r="G1770" i="4"/>
  <c r="H1770" i="4" s="1"/>
  <c r="G1196" i="4"/>
  <c r="H1196" i="4" s="1"/>
  <c r="N1776" i="4"/>
  <c r="G1207" i="4"/>
  <c r="H1207" i="4" s="1"/>
  <c r="L1785" i="4"/>
  <c r="M1785" i="4" s="1"/>
  <c r="L1211" i="4"/>
  <c r="N1211" i="4" s="1"/>
  <c r="G1216" i="4"/>
  <c r="H1216" i="4" s="1"/>
  <c r="L1220" i="4"/>
  <c r="N1220" i="4" s="1"/>
  <c r="L1238" i="4"/>
  <c r="N1238" i="4" s="1"/>
  <c r="I1819" i="4"/>
  <c r="N1823" i="4"/>
  <c r="G1252" i="4"/>
  <c r="H1252" i="4" s="1"/>
  <c r="L1830" i="4"/>
  <c r="M1830" i="4" s="1"/>
  <c r="L1845" i="4"/>
  <c r="M1845" i="4" s="1"/>
  <c r="M1286" i="4"/>
  <c r="N1415" i="4"/>
  <c r="I1426" i="4"/>
  <c r="L1435" i="4"/>
  <c r="M1435" i="4" s="1"/>
  <c r="G1450" i="4"/>
  <c r="H1450" i="4" s="1"/>
  <c r="I1455" i="4"/>
  <c r="I1481" i="4"/>
  <c r="N1501" i="4"/>
  <c r="M1501" i="4"/>
  <c r="F1848" i="4"/>
  <c r="G1848" i="4" s="1"/>
  <c r="H1848" i="4" s="1"/>
  <c r="N1286" i="4"/>
  <c r="G1293" i="4"/>
  <c r="P1312" i="4"/>
  <c r="I1312" i="4"/>
  <c r="H1312" i="4"/>
  <c r="K1892" i="4"/>
  <c r="L1892" i="4" s="1"/>
  <c r="M1892" i="4" s="1"/>
  <c r="L1316" i="4"/>
  <c r="P1331" i="4"/>
  <c r="H1331" i="4"/>
  <c r="N1344" i="4"/>
  <c r="M1344" i="4"/>
  <c r="N1361" i="4"/>
  <c r="M1361" i="4"/>
  <c r="I1406" i="4"/>
  <c r="N1465" i="4"/>
  <c r="M1465" i="4"/>
  <c r="G1139" i="4"/>
  <c r="G1142" i="4"/>
  <c r="G1915" i="4"/>
  <c r="H1915" i="4" s="1"/>
  <c r="G1149" i="4"/>
  <c r="H1149" i="4" s="1"/>
  <c r="H1174" i="4"/>
  <c r="M1177" i="4"/>
  <c r="G1194" i="4"/>
  <c r="H1194" i="4" s="1"/>
  <c r="M1200" i="4"/>
  <c r="L1209" i="4"/>
  <c r="F1790" i="4"/>
  <c r="I1225" i="4"/>
  <c r="H1234" i="4"/>
  <c r="N1812" i="4"/>
  <c r="G1817" i="4"/>
  <c r="H1817" i="4" s="1"/>
  <c r="H1243" i="4"/>
  <c r="N1821" i="4"/>
  <c r="M1247" i="4"/>
  <c r="I1826" i="4"/>
  <c r="L1254" i="4"/>
  <c r="N1254" i="4" s="1"/>
  <c r="L1269" i="4"/>
  <c r="G1272" i="4"/>
  <c r="H1272" i="4" s="1"/>
  <c r="E1860" i="4"/>
  <c r="G1284" i="4"/>
  <c r="H1284" i="4" s="1"/>
  <c r="I1331" i="4"/>
  <c r="M1391" i="4"/>
  <c r="N1391" i="4"/>
  <c r="I1441" i="4"/>
  <c r="N1455" i="4"/>
  <c r="I1174" i="4"/>
  <c r="N1177" i="4"/>
  <c r="L1198" i="4"/>
  <c r="N1200" i="4"/>
  <c r="G1205" i="4"/>
  <c r="G1214" i="4"/>
  <c r="H1214" i="4" s="1"/>
  <c r="L1218" i="4"/>
  <c r="G1797" i="4"/>
  <c r="H1797" i="4" s="1"/>
  <c r="G1223" i="4"/>
  <c r="L1801" i="4"/>
  <c r="M1801" i="4" s="1"/>
  <c r="G1232" i="4"/>
  <c r="L1236" i="4"/>
  <c r="L1245" i="4"/>
  <c r="N1247" i="4"/>
  <c r="G1250" i="4"/>
  <c r="F1860" i="4"/>
  <c r="G1866" i="4"/>
  <c r="H1866" i="4" s="1"/>
  <c r="M1308" i="4"/>
  <c r="N1353" i="4"/>
  <c r="M1353" i="4"/>
  <c r="I1427" i="4"/>
  <c r="H1427" i="4"/>
  <c r="I1461" i="4"/>
  <c r="H1461" i="4"/>
  <c r="I1552" i="4"/>
  <c r="H1552" i="4"/>
  <c r="N1666" i="4"/>
  <c r="M1666" i="4"/>
  <c r="N1727" i="4"/>
  <c r="M1727" i="4"/>
  <c r="M1108" i="4"/>
  <c r="H1129" i="4"/>
  <c r="M1132" i="4"/>
  <c r="G1913" i="4"/>
  <c r="H1913" i="4" s="1"/>
  <c r="G1147" i="4"/>
  <c r="H1147" i="4" s="1"/>
  <c r="H1164" i="4"/>
  <c r="M1167" i="4"/>
  <c r="H1188" i="4"/>
  <c r="M1191" i="4"/>
  <c r="I1779" i="4"/>
  <c r="K1783" i="4"/>
  <c r="L1783" i="4" s="1"/>
  <c r="M1783" i="4" s="1"/>
  <c r="N1207" i="4"/>
  <c r="E1788" i="4"/>
  <c r="G1788" i="4" s="1"/>
  <c r="H1788" i="4" s="1"/>
  <c r="G1212" i="4"/>
  <c r="G1806" i="4"/>
  <c r="H1806" i="4" s="1"/>
  <c r="L1810" i="4"/>
  <c r="M1810" i="4" s="1"/>
  <c r="G1815" i="4"/>
  <c r="H1815" i="4" s="1"/>
  <c r="G1241" i="4"/>
  <c r="H1241" i="4" s="1"/>
  <c r="L1819" i="4"/>
  <c r="M1819" i="4" s="1"/>
  <c r="M1259" i="4"/>
  <c r="M1280" i="4"/>
  <c r="M1338" i="4"/>
  <c r="L1345" i="4"/>
  <c r="L1401" i="4"/>
  <c r="M1401" i="4" s="1"/>
  <c r="N1416" i="4"/>
  <c r="N1421" i="4"/>
  <c r="N1445" i="4"/>
  <c r="I1456" i="4"/>
  <c r="H1456" i="4"/>
  <c r="I1482" i="4"/>
  <c r="I1492" i="4"/>
  <c r="L1497" i="4"/>
  <c r="M1497" i="4" s="1"/>
  <c r="L1535" i="4"/>
  <c r="M1535" i="4" s="1"/>
  <c r="I1568" i="4"/>
  <c r="H1568" i="4"/>
  <c r="N1132" i="4"/>
  <c r="L1151" i="4"/>
  <c r="N1167" i="4"/>
  <c r="N1191" i="4"/>
  <c r="L1196" i="4"/>
  <c r="G1203" i="4"/>
  <c r="L1216" i="4"/>
  <c r="G1221" i="4"/>
  <c r="N1848" i="4"/>
  <c r="P1280" i="4"/>
  <c r="G1290" i="4"/>
  <c r="H1290" i="4" s="1"/>
  <c r="M1300" i="4"/>
  <c r="E1881" i="4"/>
  <c r="G1881" i="4" s="1"/>
  <c r="H1881" i="4" s="1"/>
  <c r="G1305" i="4"/>
  <c r="H1305" i="4" s="1"/>
  <c r="N1338" i="4"/>
  <c r="I1417" i="4"/>
  <c r="H1417" i="4"/>
  <c r="N1436" i="4"/>
  <c r="M1436" i="4"/>
  <c r="N1529" i="4"/>
  <c r="N1091" i="4"/>
  <c r="H1119" i="4"/>
  <c r="M1122" i="4"/>
  <c r="M1139" i="4"/>
  <c r="L1142" i="4"/>
  <c r="G1145" i="4"/>
  <c r="H1145" i="4" s="1"/>
  <c r="H1154" i="4"/>
  <c r="M1157" i="4"/>
  <c r="H1178" i="4"/>
  <c r="M1181" i="4"/>
  <c r="J1781" i="4"/>
  <c r="L1781" i="4" s="1"/>
  <c r="M1781" i="4" s="1"/>
  <c r="L1205" i="4"/>
  <c r="N1205" i="4" s="1"/>
  <c r="M1207" i="4"/>
  <c r="N1790" i="4"/>
  <c r="G1795" i="4"/>
  <c r="H1795" i="4" s="1"/>
  <c r="L1799" i="4"/>
  <c r="M1799" i="4" s="1"/>
  <c r="M1225" i="4"/>
  <c r="G1230" i="4"/>
  <c r="H1230" i="4" s="1"/>
  <c r="L1808" i="4"/>
  <c r="M1808" i="4" s="1"/>
  <c r="L1234" i="4"/>
  <c r="N1234" i="4" s="1"/>
  <c r="G1239" i="4"/>
  <c r="H1239" i="4" s="1"/>
  <c r="L1243" i="4"/>
  <c r="N1243" i="4" s="1"/>
  <c r="I1824" i="4"/>
  <c r="M1252" i="4"/>
  <c r="G1841" i="4"/>
  <c r="H1841" i="4" s="1"/>
  <c r="L1843" i="4"/>
  <c r="M1843" i="4" s="1"/>
  <c r="E1846" i="4"/>
  <c r="G1846" i="4" s="1"/>
  <c r="H1846" i="4" s="1"/>
  <c r="G1270" i="4"/>
  <c r="H1270" i="4" s="1"/>
  <c r="L1272" i="4"/>
  <c r="N1272" i="4" s="1"/>
  <c r="M1276" i="4"/>
  <c r="K1860" i="4"/>
  <c r="L1860" i="4" s="1"/>
  <c r="M1860" i="4" s="1"/>
  <c r="N1300" i="4"/>
  <c r="I1387" i="4"/>
  <c r="I1407" i="4"/>
  <c r="N1411" i="4"/>
  <c r="I1422" i="4"/>
  <c r="N1427" i="4"/>
  <c r="I1446" i="4"/>
  <c r="N1456" i="4"/>
  <c r="N1461" i="4"/>
  <c r="N1482" i="4"/>
  <c r="I1487" i="4"/>
  <c r="N1122" i="4"/>
  <c r="N1139" i="4"/>
  <c r="L1149" i="4"/>
  <c r="N1157" i="4"/>
  <c r="N1181" i="4"/>
  <c r="L1194" i="4"/>
  <c r="G1201" i="4"/>
  <c r="H1201" i="4" s="1"/>
  <c r="N1225" i="4"/>
  <c r="G1248" i="4"/>
  <c r="H1248" i="4" s="1"/>
  <c r="N1252" i="4"/>
  <c r="I1831" i="4"/>
  <c r="K1833" i="4"/>
  <c r="L1833" i="4" s="1"/>
  <c r="M1833" i="4" s="1"/>
  <c r="L1262" i="4"/>
  <c r="N1262" i="4" s="1"/>
  <c r="N1276" i="4"/>
  <c r="L1284" i="4"/>
  <c r="E1877" i="4"/>
  <c r="G1301" i="4"/>
  <c r="H1301" i="4" s="1"/>
  <c r="J1885" i="4"/>
  <c r="L1885" i="4" s="1"/>
  <c r="M1885" i="4" s="1"/>
  <c r="L1309" i="4"/>
  <c r="I1339" i="4"/>
  <c r="I1397" i="4"/>
  <c r="N1477" i="4"/>
  <c r="M1477" i="4"/>
  <c r="L1536" i="4"/>
  <c r="M1536" i="4" s="1"/>
  <c r="N1057" i="4"/>
  <c r="N1081" i="4"/>
  <c r="H1085" i="4"/>
  <c r="M1088" i="4"/>
  <c r="N1105" i="4"/>
  <c r="H1109" i="4"/>
  <c r="M1112" i="4"/>
  <c r="N1129" i="4"/>
  <c r="H1133" i="4"/>
  <c r="M1136" i="4"/>
  <c r="N1164" i="4"/>
  <c r="H1168" i="4"/>
  <c r="M1171" i="4"/>
  <c r="N1188" i="4"/>
  <c r="H1192" i="4"/>
  <c r="G1210" i="4"/>
  <c r="H1210" i="4" s="1"/>
  <c r="M1214" i="4"/>
  <c r="G1219" i="4"/>
  <c r="H1219" i="4" s="1"/>
  <c r="L1223" i="4"/>
  <c r="N1223" i="4" s="1"/>
  <c r="L1232" i="4"/>
  <c r="N1232" i="4" s="1"/>
  <c r="N1817" i="4"/>
  <c r="L1250" i="4"/>
  <c r="G1255" i="4"/>
  <c r="H1255" i="4" s="1"/>
  <c r="L1257" i="4"/>
  <c r="G1265" i="4"/>
  <c r="H1265" i="4" s="1"/>
  <c r="L1267" i="4"/>
  <c r="N1267" i="4" s="1"/>
  <c r="I1281" i="4"/>
  <c r="M1287" i="4"/>
  <c r="F1877" i="4"/>
  <c r="N1381" i="4"/>
  <c r="M1381" i="4"/>
  <c r="I1393" i="4"/>
  <c r="H1393" i="4"/>
  <c r="I1412" i="4"/>
  <c r="N1518" i="4"/>
  <c r="M1518" i="4"/>
  <c r="H1027" i="4"/>
  <c r="M1030" i="4"/>
  <c r="H1044" i="4"/>
  <c r="M1047" i="4"/>
  <c r="H1068" i="4"/>
  <c r="M1071" i="4"/>
  <c r="N1088" i="4"/>
  <c r="H1092" i="4"/>
  <c r="M1095" i="4"/>
  <c r="N1112" i="4"/>
  <c r="H1116" i="4"/>
  <c r="M1119" i="4"/>
  <c r="N1136" i="4"/>
  <c r="L1913" i="4"/>
  <c r="M1913" i="4" s="1"/>
  <c r="L1147" i="4"/>
  <c r="N1147" i="4" s="1"/>
  <c r="M1154" i="4"/>
  <c r="N1171" i="4"/>
  <c r="H1175" i="4"/>
  <c r="M1178" i="4"/>
  <c r="G1773" i="4"/>
  <c r="H1773" i="4" s="1"/>
  <c r="G1199" i="4"/>
  <c r="H1199" i="4" s="1"/>
  <c r="N1779" i="4"/>
  <c r="N1214" i="4"/>
  <c r="G1793" i="4"/>
  <c r="H1793" i="4" s="1"/>
  <c r="N1797" i="4"/>
  <c r="G1802" i="4"/>
  <c r="H1802" i="4" s="1"/>
  <c r="G1228" i="4"/>
  <c r="H1228" i="4" s="1"/>
  <c r="L1806" i="4"/>
  <c r="M1806" i="4" s="1"/>
  <c r="G1237" i="4"/>
  <c r="H1237" i="4" s="1"/>
  <c r="L1815" i="4"/>
  <c r="M1815" i="4" s="1"/>
  <c r="L1241" i="4"/>
  <c r="N1241" i="4" s="1"/>
  <c r="G1246" i="4"/>
  <c r="H1246" i="4" s="1"/>
  <c r="G1829" i="4"/>
  <c r="H1829" i="4" s="1"/>
  <c r="N1287" i="4"/>
  <c r="K1873" i="4"/>
  <c r="L1873" i="4" s="1"/>
  <c r="M1873" i="4" s="1"/>
  <c r="L1297" i="4"/>
  <c r="N1297" i="4" s="1"/>
  <c r="I1333" i="4"/>
  <c r="H1333" i="4"/>
  <c r="P1339" i="4"/>
  <c r="M1339" i="4"/>
  <c r="N1387" i="4"/>
  <c r="N1397" i="4"/>
  <c r="N1402" i="4"/>
  <c r="M1402" i="4"/>
  <c r="I1428" i="4"/>
  <c r="M1437" i="4"/>
  <c r="N1437" i="4"/>
  <c r="I1442" i="4"/>
  <c r="I1457" i="4"/>
  <c r="I1462" i="4"/>
  <c r="I1488" i="4"/>
  <c r="H1488" i="4"/>
  <c r="I1493" i="4"/>
  <c r="N1503" i="4"/>
  <c r="N1508" i="4"/>
  <c r="N1513" i="4"/>
  <c r="N1030" i="4"/>
  <c r="N1047" i="4"/>
  <c r="N1071" i="4"/>
  <c r="N1095" i="4"/>
  <c r="N1119" i="4"/>
  <c r="N1154" i="4"/>
  <c r="N1178" i="4"/>
  <c r="G1208" i="4"/>
  <c r="H1208" i="4" s="1"/>
  <c r="I1294" i="4"/>
  <c r="L1305" i="4"/>
  <c r="P1333" i="4"/>
  <c r="N1339" i="4"/>
  <c r="N1373" i="4"/>
  <c r="M1373" i="4"/>
  <c r="I1478" i="4"/>
  <c r="N989" i="4"/>
  <c r="N1013" i="4"/>
  <c r="H1017" i="4"/>
  <c r="M1020" i="4"/>
  <c r="M1037" i="4"/>
  <c r="N1054" i="4"/>
  <c r="H1058" i="4"/>
  <c r="M1061" i="4"/>
  <c r="N1078" i="4"/>
  <c r="H1082" i="4"/>
  <c r="M1085" i="4"/>
  <c r="N1102" i="4"/>
  <c r="H1106" i="4"/>
  <c r="M1109" i="4"/>
  <c r="N1126" i="4"/>
  <c r="H1130" i="4"/>
  <c r="M1133" i="4"/>
  <c r="H1140" i="4"/>
  <c r="G1143" i="4"/>
  <c r="L1145" i="4"/>
  <c r="H1152" i="4"/>
  <c r="N1161" i="4"/>
  <c r="H1165" i="4"/>
  <c r="M1168" i="4"/>
  <c r="N1185" i="4"/>
  <c r="H1189" i="4"/>
  <c r="M1192" i="4"/>
  <c r="G1197" i="4"/>
  <c r="N1777" i="4"/>
  <c r="G1217" i="4"/>
  <c r="G1226" i="4"/>
  <c r="L1230" i="4"/>
  <c r="I1811" i="4"/>
  <c r="L1239" i="4"/>
  <c r="N1824" i="4"/>
  <c r="G1253" i="4"/>
  <c r="J1831" i="4"/>
  <c r="L1255" i="4"/>
  <c r="N1255" i="4" s="1"/>
  <c r="G1258" i="4"/>
  <c r="K1836" i="4"/>
  <c r="K1846" i="4"/>
  <c r="F1867" i="4"/>
  <c r="J1870" i="4"/>
  <c r="L1294" i="4"/>
  <c r="E1886" i="4"/>
  <c r="G1886" i="4" s="1"/>
  <c r="H1886" i="4" s="1"/>
  <c r="G1310" i="4"/>
  <c r="H1310" i="4" s="1"/>
  <c r="J1894" i="4"/>
  <c r="L1894" i="4" s="1"/>
  <c r="M1894" i="4" s="1"/>
  <c r="L1318" i="4"/>
  <c r="N1318" i="4" s="1"/>
  <c r="G1340" i="4"/>
  <c r="H1340" i="4" s="1"/>
  <c r="I1418" i="4"/>
  <c r="L1802" i="4"/>
  <c r="M1802" i="4" s="1"/>
  <c r="I1771" i="4"/>
  <c r="L1201" i="4"/>
  <c r="N1203" i="4"/>
  <c r="N1212" i="4"/>
  <c r="I1791" i="4"/>
  <c r="N1795" i="4"/>
  <c r="N1221" i="4"/>
  <c r="G1235" i="4"/>
  <c r="G1244" i="4"/>
  <c r="P1244" i="4" s="1"/>
  <c r="L1248" i="4"/>
  <c r="L1260" i="4"/>
  <c r="I1839" i="4"/>
  <c r="L1270" i="4"/>
  <c r="N1270" i="4" s="1"/>
  <c r="L1849" i="4"/>
  <c r="M1849" i="4" s="1"/>
  <c r="G1291" i="4"/>
  <c r="H1291" i="4" s="1"/>
  <c r="K1870" i="4"/>
  <c r="F1890" i="4"/>
  <c r="G1314" i="4"/>
  <c r="I1334" i="4"/>
  <c r="N1365" i="4"/>
  <c r="M1365" i="4"/>
  <c r="I1403" i="4"/>
  <c r="L1423" i="4"/>
  <c r="M1423" i="4" s="1"/>
  <c r="I1438" i="4"/>
  <c r="L1447" i="4"/>
  <c r="M1447" i="4" s="1"/>
  <c r="L1452" i="4"/>
  <c r="M1452" i="4" s="1"/>
  <c r="L1898" i="4"/>
  <c r="M1898" i="4" s="1"/>
  <c r="N1761" i="4"/>
  <c r="M1761" i="4"/>
  <c r="L1322" i="4"/>
  <c r="N1324" i="4"/>
  <c r="G1329" i="4"/>
  <c r="H1329" i="4" s="1"/>
  <c r="N1481" i="4"/>
  <c r="I1503" i="4"/>
  <c r="N1721" i="4"/>
  <c r="I1879" i="4"/>
  <c r="L1883" i="4"/>
  <c r="M1883" i="4" s="1"/>
  <c r="N1311" i="4"/>
  <c r="E1890" i="4"/>
  <c r="I1318" i="4"/>
  <c r="N1467" i="4"/>
  <c r="N1470" i="4"/>
  <c r="N1473" i="4"/>
  <c r="I1479" i="4"/>
  <c r="N1658" i="4"/>
  <c r="M1658" i="4"/>
  <c r="I1715" i="4"/>
  <c r="H1715" i="4"/>
  <c r="N1476" i="4"/>
  <c r="L1511" i="4"/>
  <c r="M1511" i="4" s="1"/>
  <c r="L1514" i="4"/>
  <c r="M1514" i="4" s="1"/>
  <c r="H1523" i="4"/>
  <c r="H1558" i="4"/>
  <c r="H1574" i="4"/>
  <c r="M1585" i="4"/>
  <c r="N1603" i="4"/>
  <c r="N1762" i="4"/>
  <c r="M1762" i="4"/>
  <c r="I1901" i="4"/>
  <c r="H1346" i="4"/>
  <c r="H1350" i="4"/>
  <c r="H1354" i="4"/>
  <c r="H1358" i="4"/>
  <c r="H1362" i="4"/>
  <c r="H1366" i="4"/>
  <c r="H1370" i="4"/>
  <c r="H1374" i="4"/>
  <c r="H1378" i="4"/>
  <c r="I1766" i="4"/>
  <c r="H1468" i="4"/>
  <c r="H1471" i="4"/>
  <c r="H1474" i="4"/>
  <c r="N1500" i="4"/>
  <c r="I1509" i="4"/>
  <c r="N1517" i="4"/>
  <c r="M1547" i="4"/>
  <c r="M1563" i="4"/>
  <c r="I1586" i="4"/>
  <c r="H1586" i="4"/>
  <c r="N1591" i="4"/>
  <c r="N1650" i="4"/>
  <c r="M1650" i="4"/>
  <c r="N1296" i="4"/>
  <c r="I1303" i="4"/>
  <c r="K1881" i="4"/>
  <c r="N1320" i="4"/>
  <c r="G1325" i="4"/>
  <c r="H1325" i="4" s="1"/>
  <c r="I1327" i="4"/>
  <c r="N1905" i="4"/>
  <c r="G1382" i="4"/>
  <c r="H1382" i="4" s="1"/>
  <c r="I1498" i="4"/>
  <c r="I1537" i="4"/>
  <c r="H1542" i="4"/>
  <c r="M1579" i="4"/>
  <c r="I1683" i="4"/>
  <c r="H1683" i="4"/>
  <c r="N1728" i="4"/>
  <c r="I1580" i="4"/>
  <c r="H1580" i="4"/>
  <c r="N1642" i="4"/>
  <c r="M1642" i="4"/>
  <c r="G1729" i="4"/>
  <c r="H1729" i="4" s="1"/>
  <c r="N1744" i="4"/>
  <c r="N1903" i="4"/>
  <c r="M1329" i="4"/>
  <c r="H1332" i="4"/>
  <c r="L1337" i="4"/>
  <c r="N1337" i="4" s="1"/>
  <c r="G1344" i="4"/>
  <c r="H1344" i="4" s="1"/>
  <c r="M1346" i="4"/>
  <c r="M1350" i="4"/>
  <c r="M1354" i="4"/>
  <c r="M1358" i="4"/>
  <c r="M1362" i="4"/>
  <c r="M1366" i="4"/>
  <c r="M1370" i="4"/>
  <c r="M1374" i="4"/>
  <c r="M1378" i="4"/>
  <c r="L1769" i="4"/>
  <c r="M1769" i="4" s="1"/>
  <c r="H1390" i="4"/>
  <c r="L1392" i="4"/>
  <c r="M1392" i="4" s="1"/>
  <c r="H1402" i="4"/>
  <c r="L1404" i="4"/>
  <c r="M1404" i="4" s="1"/>
  <c r="H1414" i="4"/>
  <c r="H1424" i="4"/>
  <c r="L1426" i="4"/>
  <c r="M1426" i="4" s="1"/>
  <c r="H1436" i="4"/>
  <c r="L1438" i="4"/>
  <c r="M1438" i="4" s="1"/>
  <c r="H1448" i="4"/>
  <c r="M1450" i="4"/>
  <c r="I1458" i="4"/>
  <c r="G1477" i="4"/>
  <c r="H1477" i="4" s="1"/>
  <c r="L1487" i="4"/>
  <c r="M1487" i="4" s="1"/>
  <c r="L1495" i="4"/>
  <c r="M1495" i="4" s="1"/>
  <c r="G1501" i="4"/>
  <c r="H1501" i="4" s="1"/>
  <c r="L1506" i="4"/>
  <c r="M1506" i="4" s="1"/>
  <c r="G1512" i="4"/>
  <c r="H1512" i="4" s="1"/>
  <c r="I1515" i="4"/>
  <c r="G1518" i="4"/>
  <c r="H1518" i="4" s="1"/>
  <c r="H1548" i="4"/>
  <c r="H1559" i="4"/>
  <c r="H1564" i="4"/>
  <c r="H1575" i="4"/>
  <c r="N1634" i="4"/>
  <c r="L1739" i="4"/>
  <c r="M1739" i="4" s="1"/>
  <c r="I1754" i="4"/>
  <c r="H1754" i="4"/>
  <c r="I1873" i="4"/>
  <c r="L1327" i="4"/>
  <c r="N1329" i="4"/>
  <c r="L1468" i="4"/>
  <c r="L1471" i="4"/>
  <c r="I1524" i="4"/>
  <c r="H1524" i="4"/>
  <c r="L1537" i="4"/>
  <c r="M1537" i="4" s="1"/>
  <c r="H1543" i="4"/>
  <c r="L1290" i="4"/>
  <c r="E1871" i="4"/>
  <c r="G1871" i="4" s="1"/>
  <c r="H1871" i="4" s="1"/>
  <c r="G1297" i="4"/>
  <c r="L1314" i="4"/>
  <c r="G1321" i="4"/>
  <c r="L1385" i="4"/>
  <c r="M1385" i="4" s="1"/>
  <c r="I1521" i="4"/>
  <c r="H1554" i="4"/>
  <c r="H1570" i="4"/>
  <c r="H1587" i="4"/>
  <c r="I1730" i="4"/>
  <c r="N1754" i="4"/>
  <c r="N1763" i="4"/>
  <c r="N1864" i="4"/>
  <c r="L1875" i="4"/>
  <c r="M1875" i="4" s="1"/>
  <c r="L1301" i="4"/>
  <c r="N1301" i="4" s="1"/>
  <c r="G1882" i="4"/>
  <c r="H1882" i="4" s="1"/>
  <c r="G1308" i="4"/>
  <c r="H1308" i="4" s="1"/>
  <c r="L1899" i="4"/>
  <c r="M1899" i="4" s="1"/>
  <c r="L1325" i="4"/>
  <c r="N1325" i="4" s="1"/>
  <c r="G1906" i="4"/>
  <c r="H1906" i="4" s="1"/>
  <c r="M1332" i="4"/>
  <c r="H1347" i="4"/>
  <c r="H1351" i="4"/>
  <c r="H1355" i="4"/>
  <c r="H1359" i="4"/>
  <c r="H1363" i="4"/>
  <c r="H1367" i="4"/>
  <c r="H1371" i="4"/>
  <c r="H1375" i="4"/>
  <c r="H1379" i="4"/>
  <c r="M1498" i="4"/>
  <c r="G1507" i="4"/>
  <c r="L1512" i="4"/>
  <c r="M1512" i="4" s="1"/>
  <c r="M1524" i="4"/>
  <c r="N1528" i="4"/>
  <c r="M1528" i="4"/>
  <c r="N1534" i="4"/>
  <c r="M1559" i="4"/>
  <c r="M1575" i="4"/>
  <c r="I1593" i="4"/>
  <c r="N1691" i="4"/>
  <c r="M1691" i="4"/>
  <c r="L1907" i="4"/>
  <c r="M1907" i="4" s="1"/>
  <c r="H1451" i="4"/>
  <c r="H1496" i="4"/>
  <c r="N1670" i="4"/>
  <c r="M1670" i="4"/>
  <c r="I1869" i="4"/>
  <c r="L1299" i="4"/>
  <c r="N1299" i="4" s="1"/>
  <c r="G1880" i="4"/>
  <c r="H1880" i="4" s="1"/>
  <c r="G1306" i="4"/>
  <c r="H1306" i="4" s="1"/>
  <c r="N1886" i="4"/>
  <c r="I1893" i="4"/>
  <c r="L1897" i="4"/>
  <c r="M1897" i="4" s="1"/>
  <c r="L1323" i="4"/>
  <c r="G1904" i="4"/>
  <c r="H1904" i="4" s="1"/>
  <c r="G1330" i="4"/>
  <c r="I1767" i="4"/>
  <c r="H1538" i="4"/>
  <c r="M1549" i="4"/>
  <c r="M1565" i="4"/>
  <c r="M1581" i="4"/>
  <c r="N1587" i="4"/>
  <c r="N1599" i="4"/>
  <c r="M1749" i="4"/>
  <c r="N1749" i="4"/>
  <c r="I1582" i="4"/>
  <c r="H1582" i="4"/>
  <c r="N1662" i="4"/>
  <c r="M1662" i="4"/>
  <c r="G1304" i="4"/>
  <c r="H1304" i="4" s="1"/>
  <c r="N1884" i="4"/>
  <c r="M1310" i="4"/>
  <c r="I1891" i="4"/>
  <c r="L1895" i="4"/>
  <c r="M1895" i="4" s="1"/>
  <c r="L1321" i="4"/>
  <c r="N1321" i="4" s="1"/>
  <c r="G1902" i="4"/>
  <c r="H1902" i="4" s="1"/>
  <c r="G1328" i="4"/>
  <c r="H1328" i="4" s="1"/>
  <c r="L1342" i="4"/>
  <c r="N1342" i="4" s="1"/>
  <c r="G1386" i="4"/>
  <c r="H1386" i="4" s="1"/>
  <c r="G1410" i="4"/>
  <c r="H1410" i="4" s="1"/>
  <c r="G1420" i="4"/>
  <c r="H1420" i="4" s="1"/>
  <c r="L1850" i="4"/>
  <c r="M1850" i="4" s="1"/>
  <c r="L1853" i="4"/>
  <c r="M1853" i="4" s="1"/>
  <c r="L1856" i="4"/>
  <c r="M1856" i="4" s="1"/>
  <c r="H1475" i="4"/>
  <c r="G1483" i="4"/>
  <c r="H1483" i="4" s="1"/>
  <c r="I1491" i="4"/>
  <c r="G1510" i="4"/>
  <c r="H1510" i="4" s="1"/>
  <c r="G1513" i="4"/>
  <c r="H1513" i="4" s="1"/>
  <c r="H1525" i="4"/>
  <c r="N1718" i="4"/>
  <c r="M1718" i="4"/>
  <c r="I1724" i="4"/>
  <c r="L1731" i="4"/>
  <c r="M1731" i="4" s="1"/>
  <c r="N1507" i="4"/>
  <c r="N1654" i="4"/>
  <c r="M1654" i="4"/>
  <c r="I1719" i="4"/>
  <c r="H1719" i="4"/>
  <c r="I1765" i="4"/>
  <c r="I1865" i="4"/>
  <c r="L1295" i="4"/>
  <c r="N1295" i="4" s="1"/>
  <c r="G1302" i="4"/>
  <c r="H1302" i="4" s="1"/>
  <c r="I1889" i="4"/>
  <c r="L1319" i="4"/>
  <c r="N1319" i="4" s="1"/>
  <c r="G1326" i="4"/>
  <c r="H1326" i="4" s="1"/>
  <c r="N1906" i="4"/>
  <c r="H1348" i="4"/>
  <c r="H1352" i="4"/>
  <c r="H1356" i="4"/>
  <c r="H1360" i="4"/>
  <c r="H1364" i="4"/>
  <c r="H1368" i="4"/>
  <c r="H1372" i="4"/>
  <c r="H1376" i="4"/>
  <c r="H1380" i="4"/>
  <c r="H1415" i="4"/>
  <c r="L1466" i="4"/>
  <c r="M1466" i="4" s="1"/>
  <c r="L1469" i="4"/>
  <c r="M1469" i="4" s="1"/>
  <c r="L1472" i="4"/>
  <c r="M1472" i="4" s="1"/>
  <c r="N1488" i="4"/>
  <c r="I1502" i="4"/>
  <c r="M1555" i="4"/>
  <c r="M1571" i="4"/>
  <c r="M1606" i="4"/>
  <c r="N1869" i="4"/>
  <c r="I1876" i="4"/>
  <c r="N1308" i="4"/>
  <c r="E1887" i="4"/>
  <c r="G1887" i="4" s="1"/>
  <c r="H1887" i="4" s="1"/>
  <c r="G1313" i="4"/>
  <c r="H1313" i="4" s="1"/>
  <c r="I1315" i="4"/>
  <c r="N1893" i="4"/>
  <c r="I1900" i="4"/>
  <c r="L1330" i="4"/>
  <c r="N1330" i="4" s="1"/>
  <c r="G1345" i="4"/>
  <c r="H1345" i="4" s="1"/>
  <c r="M1383" i="4"/>
  <c r="I1486" i="4"/>
  <c r="H1519" i="4"/>
  <c r="H1583" i="4"/>
  <c r="I1601" i="4"/>
  <c r="H1601" i="4"/>
  <c r="N1646" i="4"/>
  <c r="M1646" i="4"/>
  <c r="N1750" i="4"/>
  <c r="H1279" i="4"/>
  <c r="M1282" i="4"/>
  <c r="I1863" i="4"/>
  <c r="L1293" i="4"/>
  <c r="N1293" i="4" s="1"/>
  <c r="G1300" i="4"/>
  <c r="H1300" i="4" s="1"/>
  <c r="L1317" i="4"/>
  <c r="G1324" i="4"/>
  <c r="H1324" i="4" s="1"/>
  <c r="I1326" i="4"/>
  <c r="N1904" i="4"/>
  <c r="M1333" i="4"/>
  <c r="N1483" i="4"/>
  <c r="I1522" i="4"/>
  <c r="M1532" i="4"/>
  <c r="I1589" i="4"/>
  <c r="K1831" i="4"/>
  <c r="I1838" i="4"/>
  <c r="N1282" i="4"/>
  <c r="G1287" i="4"/>
  <c r="H1287" i="4" s="1"/>
  <c r="I1874" i="4"/>
  <c r="L1304" i="4"/>
  <c r="G1311" i="4"/>
  <c r="H1311" i="4" s="1"/>
  <c r="N1891" i="4"/>
  <c r="I1898" i="4"/>
  <c r="L1902" i="4"/>
  <c r="M1902" i="4" s="1"/>
  <c r="L1328" i="4"/>
  <c r="N1333" i="4"/>
  <c r="F1919" i="4"/>
  <c r="M1348" i="4"/>
  <c r="M1352" i="4"/>
  <c r="M1356" i="4"/>
  <c r="M1360" i="4"/>
  <c r="M1364" i="4"/>
  <c r="M1368" i="4"/>
  <c r="M1372" i="4"/>
  <c r="M1376" i="4"/>
  <c r="M1380" i="4"/>
  <c r="G1489" i="4"/>
  <c r="H1489" i="4" s="1"/>
  <c r="M1545" i="4"/>
  <c r="H1551" i="4"/>
  <c r="H1556" i="4"/>
  <c r="H1567" i="4"/>
  <c r="H1572" i="4"/>
  <c r="N1638" i="4"/>
  <c r="M1638" i="4"/>
  <c r="I1720" i="4"/>
  <c r="H1720" i="4"/>
  <c r="N1725" i="4"/>
  <c r="M1725" i="4"/>
  <c r="N1732" i="4"/>
  <c r="G1262" i="4"/>
  <c r="H1262" i="4" s="1"/>
  <c r="N1842" i="4"/>
  <c r="L1291" i="4"/>
  <c r="G1872" i="4"/>
  <c r="H1872" i="4" s="1"/>
  <c r="G1298" i="4"/>
  <c r="H1298" i="4" s="1"/>
  <c r="L1315" i="4"/>
  <c r="N1315" i="4" s="1"/>
  <c r="G1322" i="4"/>
  <c r="H1322" i="4" s="1"/>
  <c r="G1384" i="4"/>
  <c r="H1384" i="4" s="1"/>
  <c r="H1508" i="4"/>
  <c r="N1516" i="4"/>
  <c r="N1519" i="4"/>
  <c r="G1536" i="4"/>
  <c r="H1536" i="4" s="1"/>
  <c r="G1726" i="4"/>
  <c r="H1726" i="4" s="1"/>
  <c r="L1266" i="4"/>
  <c r="G1273" i="4"/>
  <c r="H1276" i="4"/>
  <c r="M1279" i="4"/>
  <c r="G1285" i="4"/>
  <c r="L1302" i="4"/>
  <c r="G1309" i="4"/>
  <c r="L1326" i="4"/>
  <c r="H1540" i="4"/>
  <c r="H1562" i="4"/>
  <c r="H1578" i="4"/>
  <c r="I1584" i="4"/>
  <c r="H1584" i="4"/>
  <c r="N1720" i="4"/>
  <c r="M1720" i="4"/>
  <c r="N1767" i="4"/>
  <c r="G1786" i="4"/>
  <c r="H1786" i="4" s="1"/>
  <c r="N1792" i="4"/>
  <c r="E1810" i="4"/>
  <c r="G1810" i="4" s="1"/>
  <c r="H1810" i="4" s="1"/>
  <c r="N1816" i="4"/>
  <c r="L1827" i="4"/>
  <c r="M1827" i="4" s="1"/>
  <c r="L1253" i="4"/>
  <c r="G1834" i="4"/>
  <c r="H1834" i="4" s="1"/>
  <c r="G1260" i="4"/>
  <c r="I1859" i="4"/>
  <c r="L1289" i="4"/>
  <c r="G1870" i="4"/>
  <c r="H1870" i="4" s="1"/>
  <c r="G1296" i="4"/>
  <c r="N1876" i="4"/>
  <c r="L1887" i="4"/>
  <c r="M1887" i="4" s="1"/>
  <c r="L1313" i="4"/>
  <c r="G1894" i="4"/>
  <c r="H1894" i="4" s="1"/>
  <c r="G1320" i="4"/>
  <c r="N1900" i="4"/>
  <c r="L1851" i="4"/>
  <c r="M1851" i="4" s="1"/>
  <c r="L1854" i="4"/>
  <c r="M1854" i="4" s="1"/>
  <c r="L1857" i="4"/>
  <c r="M1857" i="4" s="1"/>
  <c r="G1514" i="4"/>
  <c r="H1514" i="4" s="1"/>
  <c r="H1546" i="4"/>
  <c r="N1674" i="4"/>
  <c r="M1674" i="4"/>
  <c r="N1726" i="4"/>
  <c r="M1726" i="4"/>
  <c r="I1747" i="4"/>
  <c r="I1734" i="4"/>
  <c r="N1736" i="4"/>
  <c r="H1700" i="4"/>
  <c r="I1908" i="4"/>
  <c r="H1761" i="4"/>
  <c r="G1764" i="4"/>
  <c r="H1764" i="4" s="1"/>
  <c r="H1635" i="4"/>
  <c r="H1639" i="4"/>
  <c r="H1643" i="4"/>
  <c r="H1647" i="4"/>
  <c r="H1651" i="4"/>
  <c r="H1655" i="4"/>
  <c r="H1659" i="4"/>
  <c r="H1663" i="4"/>
  <c r="H1667" i="4"/>
  <c r="H1671" i="4"/>
  <c r="L1742" i="4"/>
  <c r="M1742" i="4" s="1"/>
  <c r="H1688" i="4"/>
  <c r="M1709" i="4"/>
  <c r="G1768" i="4"/>
  <c r="H1768" i="4" s="1"/>
  <c r="I1858" i="4"/>
  <c r="I1732" i="4"/>
  <c r="M1635" i="4"/>
  <c r="M1639" i="4"/>
  <c r="M1643" i="4"/>
  <c r="M1647" i="4"/>
  <c r="M1651" i="4"/>
  <c r="M1655" i="4"/>
  <c r="M1659" i="4"/>
  <c r="M1663" i="4"/>
  <c r="M1667" i="4"/>
  <c r="M1671" i="4"/>
  <c r="M1675" i="4"/>
  <c r="H1684" i="4"/>
  <c r="M1705" i="4"/>
  <c r="H1718" i="4"/>
  <c r="I1756" i="4"/>
  <c r="N1764" i="4"/>
  <c r="M1540" i="4"/>
  <c r="M1544" i="4"/>
  <c r="M1548" i="4"/>
  <c r="M1552" i="4"/>
  <c r="M1556" i="4"/>
  <c r="M1560" i="4"/>
  <c r="M1564" i="4"/>
  <c r="M1568" i="4"/>
  <c r="M1572" i="4"/>
  <c r="M1576" i="4"/>
  <c r="H1608" i="4"/>
  <c r="H1612" i="4"/>
  <c r="H1616" i="4"/>
  <c r="H1620" i="4"/>
  <c r="H1624" i="4"/>
  <c r="H1628" i="4"/>
  <c r="H1632" i="4"/>
  <c r="H1680" i="4"/>
  <c r="H1693" i="4"/>
  <c r="M1701" i="4"/>
  <c r="M1714" i="4"/>
  <c r="M1580" i="4"/>
  <c r="M1584" i="4"/>
  <c r="H1636" i="4"/>
  <c r="H1640" i="4"/>
  <c r="H1644" i="4"/>
  <c r="H1648" i="4"/>
  <c r="H1652" i="4"/>
  <c r="H1656" i="4"/>
  <c r="H1660" i="4"/>
  <c r="H1664" i="4"/>
  <c r="H1668" i="4"/>
  <c r="H1672" i="4"/>
  <c r="H1676" i="4"/>
  <c r="H1689" i="4"/>
  <c r="H1706" i="4"/>
  <c r="G1751" i="4"/>
  <c r="H1751" i="4" s="1"/>
  <c r="G1762" i="4"/>
  <c r="H1762" i="4" s="1"/>
  <c r="I1911" i="4"/>
  <c r="N1748" i="4"/>
  <c r="N1765" i="4"/>
  <c r="M1765" i="4"/>
  <c r="M1685" i="4"/>
  <c r="H1698" i="4"/>
  <c r="H1711" i="4"/>
  <c r="G1733" i="4"/>
  <c r="H1733" i="4" s="1"/>
  <c r="L1735" i="4"/>
  <c r="M1735" i="4" s="1"/>
  <c r="H1738" i="4"/>
  <c r="L1743" i="4"/>
  <c r="M1743" i="4" s="1"/>
  <c r="L1751" i="4"/>
  <c r="M1751" i="4" s="1"/>
  <c r="I1722" i="4"/>
  <c r="H1757" i="4"/>
  <c r="H1637" i="4"/>
  <c r="H1641" i="4"/>
  <c r="H1645" i="4"/>
  <c r="H1649" i="4"/>
  <c r="H1653" i="4"/>
  <c r="H1657" i="4"/>
  <c r="H1661" i="4"/>
  <c r="H1665" i="4"/>
  <c r="H1669" i="4"/>
  <c r="H1673" i="4"/>
  <c r="M1681" i="4"/>
  <c r="H1690" i="4"/>
  <c r="H1707" i="4"/>
  <c r="M1715" i="4"/>
  <c r="G1725" i="4"/>
  <c r="H1725" i="4" s="1"/>
  <c r="G1728" i="4"/>
  <c r="H1728" i="4" s="1"/>
  <c r="G1741" i="4"/>
  <c r="H1741" i="4" s="1"/>
  <c r="N1912" i="4"/>
  <c r="I1716" i="4"/>
  <c r="H1716" i="4"/>
  <c r="L1722" i="4"/>
  <c r="M1722" i="4" s="1"/>
  <c r="M1637" i="4"/>
  <c r="M1641" i="4"/>
  <c r="M1645" i="4"/>
  <c r="M1649" i="4"/>
  <c r="M1653" i="4"/>
  <c r="M1657" i="4"/>
  <c r="M1661" i="4"/>
  <c r="M1665" i="4"/>
  <c r="M1669" i="4"/>
  <c r="M1673" i="4"/>
  <c r="H1682" i="4"/>
  <c r="M1690" i="4"/>
  <c r="M1707" i="4"/>
  <c r="H1590" i="4"/>
  <c r="H1594" i="4"/>
  <c r="H1598" i="4"/>
  <c r="H1602" i="4"/>
  <c r="M1686" i="4"/>
  <c r="H1699" i="4"/>
  <c r="H1712" i="4"/>
  <c r="M1716" i="4"/>
  <c r="N1766" i="4"/>
  <c r="M1525" i="4"/>
  <c r="M1538" i="4"/>
  <c r="M1542" i="4"/>
  <c r="M1546" i="4"/>
  <c r="H1606" i="4"/>
  <c r="H1610" i="4"/>
  <c r="H1614" i="4"/>
  <c r="H1618" i="4"/>
  <c r="H1622" i="4"/>
  <c r="H1626" i="4"/>
  <c r="H1630" i="4"/>
  <c r="H1634" i="4"/>
  <c r="N1852" i="4"/>
  <c r="H1708" i="4"/>
  <c r="I1739" i="4"/>
  <c r="I1907" i="4"/>
  <c r="G1856" i="4"/>
  <c r="H1856" i="4" s="1"/>
  <c r="G1854" i="4"/>
  <c r="H1854" i="4" s="1"/>
  <c r="M840" i="4"/>
  <c r="N840" i="4"/>
  <c r="M797" i="4"/>
  <c r="N797" i="4"/>
  <c r="N839" i="4"/>
  <c r="M864" i="4"/>
  <c r="N864" i="4"/>
  <c r="M795" i="4"/>
  <c r="N795" i="4"/>
  <c r="M888" i="4"/>
  <c r="N888" i="4"/>
  <c r="M952" i="4"/>
  <c r="N952" i="4"/>
  <c r="M784" i="4"/>
  <c r="N784" i="4"/>
  <c r="M951" i="4"/>
  <c r="N951" i="4"/>
  <c r="N861" i="4"/>
  <c r="M861" i="4"/>
  <c r="M845" i="4"/>
  <c r="N845" i="4"/>
  <c r="N801" i="4"/>
  <c r="M808" i="4"/>
  <c r="N808" i="4"/>
  <c r="M933" i="4"/>
  <c r="N933" i="4"/>
  <c r="M792" i="4"/>
  <c r="N792" i="4"/>
  <c r="N791" i="4"/>
  <c r="M773" i="4"/>
  <c r="N773" i="4"/>
  <c r="M790" i="4"/>
  <c r="N790" i="4"/>
  <c r="M939" i="4"/>
  <c r="N939" i="4"/>
  <c r="N789" i="4"/>
  <c r="M789" i="4"/>
  <c r="M771" i="4"/>
  <c r="N771" i="4"/>
  <c r="N815" i="4"/>
  <c r="M788" i="4"/>
  <c r="N788" i="4"/>
  <c r="N779" i="4"/>
  <c r="L876" i="4"/>
  <c r="M876" i="4" s="1"/>
  <c r="L828" i="4"/>
  <c r="M828" i="4" s="1"/>
  <c r="L804" i="4"/>
  <c r="M804" i="4" s="1"/>
  <c r="L780" i="4"/>
  <c r="M780" i="4" s="1"/>
  <c r="N798" i="4"/>
  <c r="N774" i="4"/>
  <c r="N793" i="4"/>
  <c r="N930" i="4"/>
  <c r="N882" i="4"/>
  <c r="N786" i="4"/>
  <c r="I895" i="4"/>
  <c r="I799" i="4"/>
  <c r="I783" i="4"/>
  <c r="I775" i="4"/>
  <c r="I948" i="4"/>
  <c r="I924" i="4"/>
  <c r="I892" i="4"/>
  <c r="I852" i="4"/>
  <c r="I804" i="4"/>
  <c r="I796" i="4"/>
  <c r="I788" i="4"/>
  <c r="I780" i="4"/>
  <c r="I772" i="4"/>
  <c r="N751" i="4"/>
  <c r="N743" i="4"/>
  <c r="N735" i="4"/>
  <c r="N727" i="4"/>
  <c r="N719" i="4"/>
  <c r="N711" i="4"/>
  <c r="N703" i="4"/>
  <c r="N695" i="4"/>
  <c r="N687" i="4"/>
  <c r="N679" i="4"/>
  <c r="N671" i="4"/>
  <c r="N663" i="4"/>
  <c r="N655" i="4"/>
  <c r="N647" i="4"/>
  <c r="N639" i="4"/>
  <c r="N631" i="4"/>
  <c r="N623" i="4"/>
  <c r="N615" i="4"/>
  <c r="N607" i="4"/>
  <c r="N599" i="4"/>
  <c r="N591" i="4"/>
  <c r="N583" i="4"/>
  <c r="N567" i="4"/>
  <c r="N559" i="4"/>
  <c r="N551" i="4"/>
  <c r="N543" i="4"/>
  <c r="N511" i="4"/>
  <c r="N495" i="4"/>
  <c r="N487" i="4"/>
  <c r="N765" i="4"/>
  <c r="N757" i="4"/>
  <c r="N749" i="4"/>
  <c r="N741" i="4"/>
  <c r="N733" i="4"/>
  <c r="N725" i="4"/>
  <c r="N717" i="4"/>
  <c r="N709" i="4"/>
  <c r="N701" i="4"/>
  <c r="N693" i="4"/>
  <c r="N685" i="4"/>
  <c r="N677" i="4"/>
  <c r="N669" i="4"/>
  <c r="N661" i="4"/>
  <c r="N653" i="4"/>
  <c r="N645" i="4"/>
  <c r="N637" i="4"/>
  <c r="N629" i="4"/>
  <c r="N621" i="4"/>
  <c r="N613" i="4"/>
  <c r="N605" i="4"/>
  <c r="N597" i="4"/>
  <c r="N589" i="4"/>
  <c r="N581" i="4"/>
  <c r="N573" i="4"/>
  <c r="N565" i="4"/>
  <c r="N557" i="4"/>
  <c r="N549" i="4"/>
  <c r="N541" i="4"/>
  <c r="N525" i="4"/>
  <c r="N517" i="4"/>
  <c r="N509" i="4"/>
  <c r="N501" i="4"/>
  <c r="N493" i="4"/>
  <c r="N485" i="4"/>
  <c r="N477" i="4"/>
  <c r="N469" i="4"/>
  <c r="N461" i="4"/>
  <c r="N453" i="4"/>
  <c r="N445" i="4"/>
  <c r="N437" i="4"/>
  <c r="N429" i="4"/>
  <c r="N421" i="4"/>
  <c r="N413" i="4"/>
  <c r="N405" i="4"/>
  <c r="N397" i="4"/>
  <c r="N389" i="4"/>
  <c r="N373" i="4"/>
  <c r="N365" i="4"/>
  <c r="N357" i="4"/>
  <c r="N349" i="4"/>
  <c r="N341" i="4"/>
  <c r="N333" i="4"/>
  <c r="N325" i="4"/>
  <c r="N317" i="4"/>
  <c r="N309" i="4"/>
  <c r="N301" i="4"/>
  <c r="N293" i="4"/>
  <c r="N285" i="4"/>
  <c r="N277" i="4"/>
  <c r="N269" i="4"/>
  <c r="N261" i="4"/>
  <c r="N253" i="4"/>
  <c r="N245" i="4"/>
  <c r="N229" i="4"/>
  <c r="N221" i="4"/>
  <c r="N213" i="4"/>
  <c r="N205" i="4"/>
  <c r="N197" i="4"/>
  <c r="N764" i="4"/>
  <c r="N756" i="4"/>
  <c r="N748" i="4"/>
  <c r="N740" i="4"/>
  <c r="N732" i="4"/>
  <c r="N724" i="4"/>
  <c r="N716" i="4"/>
  <c r="N708" i="4"/>
  <c r="N700" i="4"/>
  <c r="N692" i="4"/>
  <c r="N684" i="4"/>
  <c r="N676" i="4"/>
  <c r="N668" i="4"/>
  <c r="N660" i="4"/>
  <c r="N652" i="4"/>
  <c r="N644" i="4"/>
  <c r="N636" i="4"/>
  <c r="N628" i="4"/>
  <c r="N620" i="4"/>
  <c r="N612" i="4"/>
  <c r="N604" i="4"/>
  <c r="N596" i="4"/>
  <c r="N588" i="4"/>
  <c r="N580" i="4"/>
  <c r="N572" i="4"/>
  <c r="N564" i="4"/>
  <c r="N556" i="4"/>
  <c r="N548" i="4"/>
  <c r="N540" i="4"/>
  <c r="N532" i="4"/>
  <c r="N524" i="4"/>
  <c r="N516" i="4"/>
  <c r="N508" i="4"/>
  <c r="N500" i="4"/>
  <c r="N492" i="4"/>
  <c r="N484" i="4"/>
  <c r="N476" i="4"/>
  <c r="N468" i="4"/>
  <c r="N460" i="4"/>
  <c r="N452" i="4"/>
  <c r="N444" i="4"/>
  <c r="N428" i="4"/>
  <c r="N420" i="4"/>
  <c r="N412" i="4"/>
  <c r="N404" i="4"/>
  <c r="N396" i="4"/>
  <c r="N388" i="4"/>
  <c r="N380" i="4"/>
  <c r="N372" i="4"/>
  <c r="N364" i="4"/>
  <c r="N356" i="4"/>
  <c r="N340" i="4"/>
  <c r="N332" i="4"/>
  <c r="N324" i="4"/>
  <c r="N316" i="4"/>
  <c r="N308" i="4"/>
  <c r="N300" i="4"/>
  <c r="N284" i="4"/>
  <c r="N276" i="4"/>
  <c r="N268" i="4"/>
  <c r="N260" i="4"/>
  <c r="N252" i="4"/>
  <c r="N244" i="4"/>
  <c r="N236" i="4"/>
  <c r="N228" i="4"/>
  <c r="N220" i="4"/>
  <c r="N212" i="4"/>
  <c r="N204" i="4"/>
  <c r="N196" i="4"/>
  <c r="N194" i="4"/>
  <c r="I759" i="4"/>
  <c r="I751" i="4"/>
  <c r="I743" i="4"/>
  <c r="I735" i="4"/>
  <c r="I727" i="4"/>
  <c r="I719" i="4"/>
  <c r="I711" i="4"/>
  <c r="I703" i="4"/>
  <c r="I695" i="4"/>
  <c r="I687" i="4"/>
  <c r="I679" i="4"/>
  <c r="I671" i="4"/>
  <c r="I663" i="4"/>
  <c r="I655" i="4"/>
  <c r="I647" i="4"/>
  <c r="I639" i="4"/>
  <c r="I631" i="4"/>
  <c r="I623" i="4"/>
  <c r="I615" i="4"/>
  <c r="I607" i="4"/>
  <c r="I599" i="4"/>
  <c r="I591" i="4"/>
  <c r="I583" i="4"/>
  <c r="I567" i="4"/>
  <c r="I559" i="4"/>
  <c r="I551" i="4"/>
  <c r="I758" i="4"/>
  <c r="I750" i="4"/>
  <c r="I742" i="4"/>
  <c r="I734" i="4"/>
  <c r="I726" i="4"/>
  <c r="I718" i="4"/>
  <c r="I710" i="4"/>
  <c r="I702" i="4"/>
  <c r="I694" i="4"/>
  <c r="I686" i="4"/>
  <c r="I678" i="4"/>
  <c r="I670" i="4"/>
  <c r="I662" i="4"/>
  <c r="I654" i="4"/>
  <c r="I646" i="4"/>
  <c r="I638" i="4"/>
  <c r="I630" i="4"/>
  <c r="I622" i="4"/>
  <c r="I614" i="4"/>
  <c r="I606" i="4"/>
  <c r="I598" i="4"/>
  <c r="I590" i="4"/>
  <c r="I582" i="4"/>
  <c r="I566" i="4"/>
  <c r="I550" i="4"/>
  <c r="I534" i="4"/>
  <c r="I526" i="4"/>
  <c r="I518" i="4"/>
  <c r="I510" i="4"/>
  <c r="I502" i="4"/>
  <c r="I486" i="4"/>
  <c r="I470" i="4"/>
  <c r="I462" i="4"/>
  <c r="I454" i="4"/>
  <c r="I446" i="4"/>
  <c r="I438" i="4"/>
  <c r="I430" i="4"/>
  <c r="I422" i="4"/>
  <c r="I414" i="4"/>
  <c r="I406" i="4"/>
  <c r="I398" i="4"/>
  <c r="I390" i="4"/>
  <c r="I374" i="4"/>
  <c r="I358" i="4"/>
  <c r="I350" i="4"/>
  <c r="I342" i="4"/>
  <c r="I334" i="4"/>
  <c r="I326" i="4"/>
  <c r="I318" i="4"/>
  <c r="I310" i="4"/>
  <c r="I294" i="4"/>
  <c r="I286" i="4"/>
  <c r="I278" i="4"/>
  <c r="I270" i="4"/>
  <c r="N185" i="4"/>
  <c r="L188" i="4"/>
  <c r="M170" i="4"/>
  <c r="N175" i="4"/>
  <c r="M185" i="4"/>
  <c r="N174" i="4"/>
  <c r="M173" i="4"/>
  <c r="K189" i="4"/>
  <c r="N182" i="4"/>
  <c r="N172" i="4"/>
  <c r="K190" i="4"/>
  <c r="N180" i="4"/>
  <c r="N153" i="4"/>
  <c r="N143" i="4"/>
  <c r="M133" i="4"/>
  <c r="N132" i="4"/>
  <c r="N161" i="4"/>
  <c r="N151" i="4"/>
  <c r="N113" i="4"/>
  <c r="M141" i="4"/>
  <c r="N122" i="4"/>
  <c r="N131" i="4"/>
  <c r="N150" i="4"/>
  <c r="N130" i="4"/>
  <c r="N138" i="4"/>
  <c r="N156" i="4"/>
  <c r="N135" i="4"/>
  <c r="N154" i="4"/>
  <c r="N22" i="4"/>
  <c r="N63" i="4"/>
  <c r="M21" i="4"/>
  <c r="N62" i="4"/>
  <c r="N20" i="4"/>
  <c r="M101" i="4"/>
  <c r="N82" i="4"/>
  <c r="N100" i="4"/>
  <c r="N81" i="4"/>
  <c r="M29" i="4"/>
  <c r="N90" i="4"/>
  <c r="N39" i="4"/>
  <c r="N28" i="4"/>
  <c r="N17" i="4"/>
  <c r="N38" i="4"/>
  <c r="N26" i="4"/>
  <c r="N25" i="4"/>
  <c r="N76" i="4"/>
  <c r="N14" i="4"/>
  <c r="N86" i="4"/>
  <c r="N66" i="4"/>
  <c r="M45" i="4"/>
  <c r="N184" i="4"/>
  <c r="N176" i="4"/>
  <c r="N168" i="4"/>
  <c r="N160" i="4"/>
  <c r="N152" i="4"/>
  <c r="N144" i="4"/>
  <c r="N136" i="4"/>
  <c r="N128" i="4"/>
  <c r="N120" i="4"/>
  <c r="N112" i="4"/>
  <c r="N104" i="4"/>
  <c r="N96" i="4"/>
  <c r="N88" i="4"/>
  <c r="N80" i="4"/>
  <c r="N72" i="4"/>
  <c r="N64" i="4"/>
  <c r="N56" i="4"/>
  <c r="N48" i="4"/>
  <c r="N40" i="4"/>
  <c r="N32" i="4"/>
  <c r="N24" i="4"/>
  <c r="N16" i="4"/>
  <c r="M2" i="4"/>
  <c r="F191" i="4"/>
  <c r="I93" i="4"/>
  <c r="I177" i="4"/>
  <c r="H157" i="4"/>
  <c r="I88" i="4"/>
  <c r="I65" i="4"/>
  <c r="H124" i="4"/>
  <c r="H123" i="4"/>
  <c r="H96" i="4"/>
  <c r="H53" i="4"/>
  <c r="H71" i="4"/>
  <c r="I49" i="4"/>
  <c r="I161" i="4"/>
  <c r="H57" i="4"/>
  <c r="I77" i="4"/>
  <c r="I37" i="4"/>
  <c r="I115" i="4"/>
  <c r="I165" i="4"/>
  <c r="I109" i="4"/>
  <c r="I40" i="4"/>
  <c r="I145" i="4"/>
  <c r="I92" i="4"/>
  <c r="I73" i="4"/>
  <c r="I107" i="4"/>
  <c r="I104" i="4"/>
  <c r="I51" i="4"/>
  <c r="H35" i="4"/>
  <c r="H137" i="4"/>
  <c r="I119" i="4"/>
  <c r="I85" i="4"/>
  <c r="I173" i="4"/>
  <c r="I32" i="4"/>
  <c r="H135" i="4"/>
  <c r="I81" i="4"/>
  <c r="I63" i="4"/>
  <c r="I169" i="4"/>
  <c r="I79" i="4"/>
  <c r="H113" i="4"/>
  <c r="I43" i="4"/>
  <c r="I59" i="4"/>
  <c r="I52" i="4"/>
  <c r="I39" i="4"/>
  <c r="I61" i="4"/>
  <c r="H155" i="4"/>
  <c r="H121" i="4"/>
  <c r="I91" i="4"/>
  <c r="I188" i="4"/>
  <c r="I60" i="4"/>
  <c r="I103" i="4"/>
  <c r="H72" i="4"/>
  <c r="I185" i="4"/>
  <c r="I149" i="4"/>
  <c r="I133" i="4"/>
  <c r="I116" i="4"/>
  <c r="I101" i="4"/>
  <c r="I29" i="4"/>
  <c r="I56" i="4"/>
  <c r="I147" i="4"/>
  <c r="I68" i="4"/>
  <c r="H41" i="4"/>
  <c r="H186" i="4"/>
  <c r="H127" i="4"/>
  <c r="H117" i="4"/>
  <c r="I125" i="4"/>
  <c r="I84" i="4"/>
  <c r="I172" i="4"/>
  <c r="I160" i="4"/>
  <c r="I148" i="4"/>
  <c r="I136" i="4"/>
  <c r="I105" i="4"/>
  <c r="I95" i="4"/>
  <c r="I31" i="4"/>
  <c r="I83" i="4"/>
  <c r="H183" i="4"/>
  <c r="H171" i="4"/>
  <c r="I181" i="4"/>
  <c r="I156" i="4"/>
  <c r="I80" i="4"/>
  <c r="I69" i="4"/>
  <c r="I28" i="4"/>
  <c r="I180" i="4"/>
  <c r="I168" i="4"/>
  <c r="I112" i="4"/>
  <c r="I48" i="4"/>
  <c r="I144" i="4"/>
  <c r="I132" i="4"/>
  <c r="I178" i="4"/>
  <c r="I111" i="4"/>
  <c r="I89" i="4"/>
  <c r="I47" i="4"/>
  <c r="I189" i="4"/>
  <c r="I120" i="4"/>
  <c r="I67" i="4"/>
  <c r="I153" i="4"/>
  <c r="I141" i="4"/>
  <c r="I129" i="4"/>
  <c r="I100" i="4"/>
  <c r="I36" i="4"/>
  <c r="I164" i="4"/>
  <c r="I152" i="4"/>
  <c r="I140" i="4"/>
  <c r="I128" i="4"/>
  <c r="I76" i="4"/>
  <c r="I55" i="4"/>
  <c r="I176" i="4"/>
  <c r="I87" i="4"/>
  <c r="I151" i="4"/>
  <c r="I139" i="4"/>
  <c r="I108" i="4"/>
  <c r="I97" i="4"/>
  <c r="I75" i="4"/>
  <c r="I64" i="4"/>
  <c r="I44" i="4"/>
  <c r="I33" i="4"/>
  <c r="I175" i="4"/>
  <c r="I167" i="4"/>
  <c r="I159" i="4"/>
  <c r="I143" i="4"/>
  <c r="I190" i="4"/>
  <c r="I182" i="4"/>
  <c r="I174" i="4"/>
  <c r="I166" i="4"/>
  <c r="I158" i="4"/>
  <c r="I150" i="4"/>
  <c r="I142" i="4"/>
  <c r="I134" i="4"/>
  <c r="I126" i="4"/>
  <c r="I118" i="4"/>
  <c r="I110" i="4"/>
  <c r="I102" i="4"/>
  <c r="I94" i="4"/>
  <c r="I86" i="4"/>
  <c r="I78" i="4"/>
  <c r="I70" i="4"/>
  <c r="I62" i="4"/>
  <c r="I54" i="4"/>
  <c r="I46" i="4"/>
  <c r="I38" i="4"/>
  <c r="I30" i="4"/>
  <c r="I187" i="4"/>
  <c r="I179" i="4"/>
  <c r="I163" i="4"/>
  <c r="I131" i="4"/>
  <c r="I99" i="4"/>
  <c r="I27" i="4"/>
  <c r="I170" i="4"/>
  <c r="I162" i="4"/>
  <c r="I154" i="4"/>
  <c r="I146" i="4"/>
  <c r="I138" i="4"/>
  <c r="I130" i="4"/>
  <c r="I122" i="4"/>
  <c r="I114" i="4"/>
  <c r="I106" i="4"/>
  <c r="I98" i="4"/>
  <c r="I90" i="4"/>
  <c r="I82" i="4"/>
  <c r="I74" i="4"/>
  <c r="I66" i="4"/>
  <c r="I58" i="4"/>
  <c r="I50" i="4"/>
  <c r="I42" i="4"/>
  <c r="I34" i="4"/>
  <c r="I26" i="4"/>
  <c r="I21" i="4"/>
  <c r="I15" i="4"/>
  <c r="H18" i="4"/>
  <c r="H20" i="4"/>
  <c r="I23" i="4"/>
  <c r="H19" i="4"/>
  <c r="H14" i="4"/>
  <c r="H22" i="4"/>
  <c r="H16" i="4"/>
  <c r="H24" i="4"/>
  <c r="H17" i="4"/>
  <c r="H25" i="4"/>
  <c r="I5007" i="4" l="1"/>
  <c r="H5007" i="4"/>
  <c r="I5325" i="4"/>
  <c r="H5325" i="4"/>
  <c r="M2707" i="4"/>
  <c r="N2707" i="4"/>
  <c r="M5224" i="4"/>
  <c r="I5178" i="4"/>
  <c r="H5178" i="4"/>
  <c r="N4654" i="4"/>
  <c r="M4654" i="4"/>
  <c r="H2862" i="4"/>
  <c r="I2862" i="4"/>
  <c r="M3806" i="4"/>
  <c r="N3806" i="4"/>
  <c r="I4801" i="4"/>
  <c r="H4801" i="4"/>
  <c r="N5337" i="4"/>
  <c r="M5337" i="4"/>
  <c r="H5573" i="4"/>
  <c r="I5573" i="4"/>
  <c r="N816" i="4"/>
  <c r="H5338" i="4"/>
  <c r="I5338" i="4"/>
  <c r="H2878" i="4"/>
  <c r="I2878" i="4"/>
  <c r="M4757" i="4"/>
  <c r="N4757" i="4"/>
  <c r="I5248" i="4"/>
  <c r="H5248" i="4"/>
  <c r="I5371" i="4"/>
  <c r="H5371" i="4"/>
  <c r="H5666" i="4"/>
  <c r="I5666" i="4"/>
  <c r="N891" i="4"/>
  <c r="I1752" i="4"/>
  <c r="M3232" i="4"/>
  <c r="I5334" i="4"/>
  <c r="N436" i="4"/>
  <c r="N2862" i="4"/>
  <c r="I2698" i="4"/>
  <c r="I2740" i="4"/>
  <c r="M2398" i="4"/>
  <c r="N2704" i="4"/>
  <c r="N4781" i="4"/>
  <c r="G5129" i="4"/>
  <c r="H5129" i="4" s="1"/>
  <c r="M5018" i="4"/>
  <c r="N3232" i="4"/>
  <c r="L891" i="4"/>
  <c r="M891" i="4" s="1"/>
  <c r="N5287" i="4"/>
  <c r="L895" i="4"/>
  <c r="M895" i="4" s="1"/>
  <c r="H552" i="4"/>
  <c r="F5640" i="4"/>
  <c r="H241" i="4"/>
  <c r="N1784" i="4"/>
  <c r="H1470" i="4"/>
  <c r="M2155" i="4"/>
  <c r="N3764" i="4"/>
  <c r="I4744" i="4"/>
  <c r="M5218" i="4"/>
  <c r="L4795" i="4"/>
  <c r="J5583" i="4"/>
  <c r="L5583" i="4" s="1"/>
  <c r="J5681" i="4"/>
  <c r="N513" i="4"/>
  <c r="L5311" i="4"/>
  <c r="M5311" i="4" s="1"/>
  <c r="I252" i="4"/>
  <c r="L5224" i="4"/>
  <c r="N5224" i="4" s="1"/>
  <c r="M3652" i="4"/>
  <c r="N5299" i="4"/>
  <c r="H2214" i="4"/>
  <c r="H789" i="4"/>
  <c r="N451" i="4"/>
  <c r="G832" i="4"/>
  <c r="H832" i="4" s="1"/>
  <c r="H313" i="4"/>
  <c r="L5375" i="4"/>
  <c r="N5375" i="4" s="1"/>
  <c r="M2880" i="4"/>
  <c r="I2838" i="4"/>
  <c r="M2760" i="4"/>
  <c r="H4681" i="4"/>
  <c r="N3793" i="4"/>
  <c r="N3707" i="4"/>
  <c r="H3252" i="4"/>
  <c r="F956" i="4"/>
  <c r="H339" i="4"/>
  <c r="H490" i="4"/>
  <c r="J5608" i="4"/>
  <c r="I478" i="4"/>
  <c r="M4720" i="4"/>
  <c r="N5174" i="4"/>
  <c r="P2128" i="4"/>
  <c r="H2331" i="4"/>
  <c r="P3260" i="4"/>
  <c r="G4223" i="4"/>
  <c r="H4223" i="4" s="1"/>
  <c r="O4971" i="4"/>
  <c r="L5595" i="4"/>
  <c r="M5595" i="4" s="1"/>
  <c r="G4796" i="4"/>
  <c r="H4796" i="4" s="1"/>
  <c r="H425" i="4"/>
  <c r="M330" i="4"/>
  <c r="G5171" i="4"/>
  <c r="I5171" i="4" s="1"/>
  <c r="M2868" i="4"/>
  <c r="M2691" i="4"/>
  <c r="H2151" i="4"/>
  <c r="I3769" i="4"/>
  <c r="L2714" i="4"/>
  <c r="M502" i="4"/>
  <c r="N342" i="4"/>
  <c r="I891" i="4"/>
  <c r="I494" i="4"/>
  <c r="I3832" i="4"/>
  <c r="I3760" i="4"/>
  <c r="P3110" i="4"/>
  <c r="N4611" i="4"/>
  <c r="N4981" i="4"/>
  <c r="M4959" i="4"/>
  <c r="H303" i="4"/>
  <c r="H5369" i="4"/>
  <c r="P2155" i="4"/>
  <c r="N248" i="4"/>
  <c r="I5349" i="4"/>
  <c r="M5491" i="4"/>
  <c r="N2128" i="4"/>
  <c r="M4994" i="4"/>
  <c r="M256" i="4"/>
  <c r="H500" i="4"/>
  <c r="H308" i="4"/>
  <c r="I503" i="4"/>
  <c r="G5175" i="4"/>
  <c r="H5175" i="4" s="1"/>
  <c r="N783" i="4"/>
  <c r="H4220" i="4"/>
  <c r="H5249" i="4"/>
  <c r="N5285" i="4"/>
  <c r="P2214" i="4"/>
  <c r="L816" i="4"/>
  <c r="M816" i="4" s="1"/>
  <c r="F5754" i="4"/>
  <c r="G5705" i="4"/>
  <c r="H5705" i="4" s="1"/>
  <c r="G871" i="4"/>
  <c r="H871" i="4" s="1"/>
  <c r="G939" i="4"/>
  <c r="H939" i="4" s="1"/>
  <c r="I1746" i="4"/>
  <c r="I1855" i="4"/>
  <c r="M1502" i="4"/>
  <c r="I2868" i="4"/>
  <c r="N2835" i="4"/>
  <c r="H2754" i="4"/>
  <c r="M2748" i="4"/>
  <c r="I3775" i="4"/>
  <c r="H3694" i="4"/>
  <c r="I4754" i="4"/>
  <c r="M4197" i="4"/>
  <c r="M5334" i="4"/>
  <c r="N4935" i="4"/>
  <c r="M3706" i="4"/>
  <c r="P4064" i="4"/>
  <c r="N359" i="4"/>
  <c r="M240" i="4"/>
  <c r="H337" i="4"/>
  <c r="I543" i="4"/>
  <c r="N270" i="4"/>
  <c r="P256" i="4"/>
  <c r="H475" i="4"/>
  <c r="H3192" i="4"/>
  <c r="H5391" i="4"/>
  <c r="I5391" i="4"/>
  <c r="M1730" i="4"/>
  <c r="I1454" i="4"/>
  <c r="H2812" i="4"/>
  <c r="I3820" i="4"/>
  <c r="I3744" i="4"/>
  <c r="M3260" i="4"/>
  <c r="H4731" i="4"/>
  <c r="I4696" i="4"/>
  <c r="I4730" i="4"/>
  <c r="M5374" i="4"/>
  <c r="H2265" i="4"/>
  <c r="N2823" i="4"/>
  <c r="I3768" i="4"/>
  <c r="N3792" i="4"/>
  <c r="N3750" i="4"/>
  <c r="I4673" i="4"/>
  <c r="M4713" i="4"/>
  <c r="L4791" i="4"/>
  <c r="I5753" i="4"/>
  <c r="G5595" i="4"/>
  <c r="I5595" i="4" s="1"/>
  <c r="N5691" i="4"/>
  <c r="P312" i="4"/>
  <c r="L873" i="4"/>
  <c r="M873" i="4" s="1"/>
  <c r="N266" i="4"/>
  <c r="G851" i="4"/>
  <c r="H851" i="4" s="1"/>
  <c r="I5351" i="4"/>
  <c r="I5179" i="4"/>
  <c r="N2720" i="4"/>
  <c r="H4199" i="4"/>
  <c r="I4199" i="4"/>
  <c r="I542" i="4"/>
  <c r="I1758" i="4"/>
  <c r="I1847" i="4"/>
  <c r="N2695" i="4"/>
  <c r="P2199" i="4"/>
  <c r="N3758" i="4"/>
  <c r="M4383" i="4"/>
  <c r="I2253" i="4"/>
  <c r="H4159" i="4"/>
  <c r="O4863" i="4"/>
  <c r="N273" i="4"/>
  <c r="H373" i="4"/>
  <c r="H5257" i="4"/>
  <c r="N3748" i="4"/>
  <c r="I4687" i="4"/>
  <c r="M4145" i="4"/>
  <c r="M5715" i="4"/>
  <c r="M5214" i="4"/>
  <c r="N2755" i="4"/>
  <c r="I4757" i="4"/>
  <c r="O4815" i="4"/>
  <c r="L5280" i="4"/>
  <c r="M438" i="4"/>
  <c r="P296" i="4"/>
  <c r="N258" i="4"/>
  <c r="N313" i="4"/>
  <c r="I558" i="4"/>
  <c r="M2175" i="4"/>
  <c r="N4145" i="4"/>
  <c r="N2849" i="4"/>
  <c r="N3779" i="4"/>
  <c r="M3283" i="4"/>
  <c r="H773" i="4"/>
  <c r="F5709" i="4"/>
  <c r="I952" i="4"/>
  <c r="L5219" i="4"/>
  <c r="N5219" i="4" s="1"/>
  <c r="M5219" i="4"/>
  <c r="I366" i="4"/>
  <c r="I1820" i="4"/>
  <c r="H2254" i="4"/>
  <c r="I3252" i="4"/>
  <c r="I4658" i="4"/>
  <c r="M5252" i="4"/>
  <c r="N4959" i="4"/>
  <c r="N3116" i="4"/>
  <c r="H5361" i="4"/>
  <c r="N5571" i="4"/>
  <c r="N553" i="4"/>
  <c r="H522" i="4"/>
  <c r="L915" i="4"/>
  <c r="M915" i="4" s="1"/>
  <c r="N1737" i="4"/>
  <c r="I2254" i="4"/>
  <c r="H4656" i="4"/>
  <c r="I3697" i="4"/>
  <c r="P4095" i="4"/>
  <c r="L5230" i="4"/>
  <c r="N5230" i="4" s="1"/>
  <c r="H531" i="4"/>
  <c r="L5181" i="4"/>
  <c r="N235" i="4"/>
  <c r="L5233" i="4"/>
  <c r="N5233" i="4" s="1"/>
  <c r="P339" i="4"/>
  <c r="L934" i="4"/>
  <c r="L843" i="4"/>
  <c r="I379" i="4"/>
  <c r="N503" i="4"/>
  <c r="M1527" i="4"/>
  <c r="N1794" i="4"/>
  <c r="H2780" i="4"/>
  <c r="N3745" i="4"/>
  <c r="M344" i="4"/>
  <c r="I249" i="4"/>
  <c r="P241" i="4"/>
  <c r="G823" i="4"/>
  <c r="I432" i="4"/>
  <c r="G882" i="4"/>
  <c r="H882" i="4" s="1"/>
  <c r="G5019" i="4"/>
  <c r="H2866" i="4"/>
  <c r="M2330" i="4"/>
  <c r="M2174" i="4"/>
  <c r="N4631" i="4"/>
  <c r="M5174" i="4"/>
  <c r="N4899" i="4"/>
  <c r="L875" i="4"/>
  <c r="M875" i="4" s="1"/>
  <c r="P274" i="4"/>
  <c r="N329" i="4"/>
  <c r="H364" i="4"/>
  <c r="P272" i="4"/>
  <c r="M327" i="4"/>
  <c r="G933" i="4"/>
  <c r="H933" i="4" s="1"/>
  <c r="H5234" i="4"/>
  <c r="G907" i="4"/>
  <c r="H907" i="4" s="1"/>
  <c r="N323" i="4"/>
  <c r="G836" i="4"/>
  <c r="H836" i="4" s="1"/>
  <c r="J5570" i="4"/>
  <c r="L5570" i="4" s="1"/>
  <c r="M5570" i="4" s="1"/>
  <c r="P3116" i="4"/>
  <c r="M3140" i="4"/>
  <c r="M4357" i="4"/>
  <c r="N4357" i="4"/>
  <c r="I3791" i="4"/>
  <c r="H4617" i="4"/>
  <c r="H4123" i="4"/>
  <c r="M5362" i="4"/>
  <c r="M2163" i="4"/>
  <c r="I4257" i="4"/>
  <c r="O4935" i="4"/>
  <c r="N354" i="4"/>
  <c r="P366" i="4"/>
  <c r="N343" i="4"/>
  <c r="N561" i="4"/>
  <c r="G5619" i="4"/>
  <c r="I5619" i="4" s="1"/>
  <c r="I519" i="4"/>
  <c r="I1740" i="4"/>
  <c r="I3749" i="4"/>
  <c r="I4631" i="4"/>
  <c r="I4780" i="4"/>
  <c r="N4875" i="4"/>
  <c r="P2265" i="4"/>
  <c r="P2174" i="4"/>
  <c r="H2198" i="4"/>
  <c r="N3687" i="4"/>
  <c r="L5309" i="4"/>
  <c r="M483" i="4"/>
  <c r="L5151" i="4"/>
  <c r="N5151" i="4" s="1"/>
  <c r="P275" i="4"/>
  <c r="H5347" i="4"/>
  <c r="I244" i="4"/>
  <c r="F5687" i="4"/>
  <c r="G824" i="4"/>
  <c r="H824" i="4" s="1"/>
  <c r="L5608" i="4"/>
  <c r="M5608" i="4" s="1"/>
  <c r="M4890" i="4"/>
  <c r="M1759" i="4"/>
  <c r="N759" i="4"/>
  <c r="I1885" i="4"/>
  <c r="I1735" i="4"/>
  <c r="N1733" i="4"/>
  <c r="N2797" i="4"/>
  <c r="N2732" i="4"/>
  <c r="I2429" i="4"/>
  <c r="I3660" i="4"/>
  <c r="H4789" i="4"/>
  <c r="P2253" i="4"/>
  <c r="N2859" i="4"/>
  <c r="M4373" i="4"/>
  <c r="M448" i="4"/>
  <c r="L5127" i="4"/>
  <c r="G944" i="4"/>
  <c r="H944" i="4" s="1"/>
  <c r="I951" i="4"/>
  <c r="I539" i="4"/>
  <c r="I333" i="4"/>
  <c r="G5679" i="4"/>
  <c r="I5679" i="4" s="1"/>
  <c r="H5679" i="4"/>
  <c r="N5256" i="4"/>
  <c r="M5256" i="4"/>
  <c r="M5656" i="4"/>
  <c r="N5656" i="4"/>
  <c r="M4801" i="4"/>
  <c r="N4801" i="4"/>
  <c r="M907" i="4"/>
  <c r="N907" i="4"/>
  <c r="M821" i="4"/>
  <c r="N821" i="4"/>
  <c r="I5310" i="4"/>
  <c r="H5310" i="4"/>
  <c r="I1794" i="4"/>
  <c r="N5330" i="4"/>
  <c r="M5330" i="4"/>
  <c r="M2878" i="4"/>
  <c r="N2878" i="4"/>
  <c r="L5178" i="4"/>
  <c r="N5178" i="4" s="1"/>
  <c r="N3679" i="4"/>
  <c r="M3679" i="4"/>
  <c r="M5347" i="4"/>
  <c r="N5347" i="4"/>
  <c r="I5360" i="4"/>
  <c r="H5360" i="4"/>
  <c r="N5358" i="4"/>
  <c r="M5358" i="4"/>
  <c r="H5571" i="4"/>
  <c r="I5571" i="4"/>
  <c r="H5608" i="4"/>
  <c r="I5608" i="4"/>
  <c r="N5296" i="4"/>
  <c r="M5296" i="4"/>
  <c r="I5336" i="4"/>
  <c r="H5336" i="4"/>
  <c r="I4735" i="4"/>
  <c r="H4735" i="4"/>
  <c r="H1787" i="4"/>
  <c r="I1787" i="4"/>
  <c r="N5370" i="4"/>
  <c r="M5370" i="4"/>
  <c r="I844" i="4"/>
  <c r="N906" i="4"/>
  <c r="N1889" i="4"/>
  <c r="G1794" i="4"/>
  <c r="H1794" i="4" s="1"/>
  <c r="I2843" i="4"/>
  <c r="G5693" i="4"/>
  <c r="H5693" i="4" s="1"/>
  <c r="L5007" i="4"/>
  <c r="N455" i="4"/>
  <c r="N242" i="4"/>
  <c r="H356" i="4"/>
  <c r="H277" i="4"/>
  <c r="I555" i="4"/>
  <c r="L829" i="4"/>
  <c r="M829" i="4" s="1"/>
  <c r="N2787" i="4"/>
  <c r="N4270" i="4"/>
  <c r="L5200" i="4"/>
  <c r="N5200" i="4" s="1"/>
  <c r="J5584" i="4"/>
  <c r="L5584" i="4" s="1"/>
  <c r="H3412" i="4"/>
  <c r="I3816" i="4"/>
  <c r="N4659" i="4"/>
  <c r="H5171" i="4"/>
  <c r="M5180" i="4"/>
  <c r="M5375" i="4"/>
  <c r="O4887" i="4"/>
  <c r="P4994" i="4"/>
  <c r="N763" i="4"/>
  <c r="H894" i="4"/>
  <c r="I355" i="4"/>
  <c r="K5754" i="4"/>
  <c r="H5367" i="4"/>
  <c r="M241" i="4"/>
  <c r="K5748" i="4"/>
  <c r="G5015" i="4"/>
  <c r="E5591" i="4"/>
  <c r="G5591" i="4" s="1"/>
  <c r="H5591" i="4" s="1"/>
  <c r="I3239" i="4"/>
  <c r="H3239" i="4"/>
  <c r="I2430" i="4"/>
  <c r="H2430" i="4"/>
  <c r="M1275" i="4"/>
  <c r="I3715" i="4"/>
  <c r="M3823" i="4"/>
  <c r="I4770" i="4"/>
  <c r="I3687" i="4"/>
  <c r="N4705" i="4"/>
  <c r="G5696" i="4"/>
  <c r="I5696" i="4" s="1"/>
  <c r="H5313" i="4"/>
  <c r="L893" i="4"/>
  <c r="M520" i="4"/>
  <c r="M379" i="4"/>
  <c r="N473" i="4"/>
  <c r="P264" i="4"/>
  <c r="M288" i="4"/>
  <c r="H311" i="4"/>
  <c r="G855" i="4"/>
  <c r="P361" i="4"/>
  <c r="L936" i="4"/>
  <c r="I5270" i="4"/>
  <c r="M335" i="4"/>
  <c r="H5269" i="4"/>
  <c r="L817" i="4"/>
  <c r="M817" i="4" s="1"/>
  <c r="F5697" i="4"/>
  <c r="G5697" i="4" s="1"/>
  <c r="H5697" i="4" s="1"/>
  <c r="G5121" i="4"/>
  <c r="E5588" i="4"/>
  <c r="G5588" i="4" s="1"/>
  <c r="H5588" i="4" s="1"/>
  <c r="G5012" i="4"/>
  <c r="L5027" i="4"/>
  <c r="K5603" i="4"/>
  <c r="H5407" i="4"/>
  <c r="I1246" i="4"/>
  <c r="N1275" i="4"/>
  <c r="M4073" i="4"/>
  <c r="M5111" i="4"/>
  <c r="N2811" i="4"/>
  <c r="M531" i="4"/>
  <c r="M366" i="4"/>
  <c r="L5318" i="4"/>
  <c r="N379" i="4"/>
  <c r="L5179" i="4"/>
  <c r="G5115" i="4"/>
  <c r="H5115" i="4" s="1"/>
  <c r="I3227" i="4"/>
  <c r="I5294" i="4"/>
  <c r="G5027" i="4"/>
  <c r="I5027" i="4" s="1"/>
  <c r="E5603" i="4"/>
  <c r="G5603" i="4" s="1"/>
  <c r="H5603" i="4" s="1"/>
  <c r="I1914" i="4"/>
  <c r="I2728" i="4"/>
  <c r="I3712" i="4"/>
  <c r="H4785" i="4"/>
  <c r="I4723" i="4"/>
  <c r="N4073" i="4"/>
  <c r="N2738" i="4"/>
  <c r="N4225" i="4"/>
  <c r="J5727" i="4"/>
  <c r="M5558" i="4"/>
  <c r="M426" i="4"/>
  <c r="M486" i="4"/>
  <c r="N250" i="4"/>
  <c r="H540" i="4"/>
  <c r="H451" i="4"/>
  <c r="N296" i="4"/>
  <c r="L916" i="4"/>
  <c r="M916" i="4" s="1"/>
  <c r="M235" i="4"/>
  <c r="I5342" i="4"/>
  <c r="H429" i="4"/>
  <c r="P3215" i="4"/>
  <c r="H3215" i="4"/>
  <c r="J5589" i="4"/>
  <c r="L5013" i="4"/>
  <c r="N4596" i="4"/>
  <c r="N533" i="4"/>
  <c r="M928" i="4"/>
  <c r="N1786" i="4"/>
  <c r="I1843" i="4"/>
  <c r="P2162" i="4"/>
  <c r="N4637" i="4"/>
  <c r="I3659" i="4"/>
  <c r="N3815" i="4"/>
  <c r="N3708" i="4"/>
  <c r="I4640" i="4"/>
  <c r="L851" i="4"/>
  <c r="L886" i="4"/>
  <c r="M886" i="4" s="1"/>
  <c r="N434" i="4"/>
  <c r="N344" i="4"/>
  <c r="L869" i="4"/>
  <c r="M5444" i="4"/>
  <c r="I255" i="4"/>
  <c r="H469" i="4"/>
  <c r="H488" i="4"/>
  <c r="I480" i="4"/>
  <c r="I445" i="4"/>
  <c r="N347" i="4"/>
  <c r="G5182" i="4"/>
  <c r="G5198" i="4"/>
  <c r="E5582" i="4"/>
  <c r="G5582" i="4" s="1"/>
  <c r="H2282" i="4"/>
  <c r="I2162" i="4"/>
  <c r="M3387" i="4"/>
  <c r="I4718" i="4"/>
  <c r="H5489" i="4"/>
  <c r="M4887" i="4"/>
  <c r="I3708" i="4"/>
  <c r="M3411" i="4"/>
  <c r="G4671" i="4"/>
  <c r="I4671" i="4" s="1"/>
  <c r="M5143" i="4"/>
  <c r="N772" i="4"/>
  <c r="N5168" i="4"/>
  <c r="M521" i="4"/>
  <c r="M480" i="4"/>
  <c r="I265" i="4"/>
  <c r="G807" i="4"/>
  <c r="K5755" i="4"/>
  <c r="G839" i="4"/>
  <c r="H447" i="4"/>
  <c r="H271" i="4"/>
  <c r="K5694" i="4"/>
  <c r="I3215" i="4"/>
  <c r="I382" i="4"/>
  <c r="I1836" i="4"/>
  <c r="I2271" i="4"/>
  <c r="I3684" i="4"/>
  <c r="M3098" i="4"/>
  <c r="H4616" i="4"/>
  <c r="M4630" i="4"/>
  <c r="M4118" i="4"/>
  <c r="H5465" i="4"/>
  <c r="N2742" i="4"/>
  <c r="L2787" i="4"/>
  <c r="M2787" i="4" s="1"/>
  <c r="N3828" i="4"/>
  <c r="P4160" i="4"/>
  <c r="H5289" i="4"/>
  <c r="M807" i="4"/>
  <c r="M5350" i="4"/>
  <c r="L820" i="4"/>
  <c r="M820" i="4" s="1"/>
  <c r="N489" i="4"/>
  <c r="L5652" i="4"/>
  <c r="L885" i="4"/>
  <c r="I487" i="4"/>
  <c r="N259" i="4"/>
  <c r="G946" i="4"/>
  <c r="H946" i="4" s="1"/>
  <c r="M306" i="4"/>
  <c r="G5223" i="4"/>
  <c r="H5223" i="4" s="1"/>
  <c r="I463" i="4"/>
  <c r="H756" i="4"/>
  <c r="H473" i="4"/>
  <c r="N346" i="4"/>
  <c r="H361" i="4"/>
  <c r="G5163" i="4"/>
  <c r="G3815" i="4"/>
  <c r="H3815" i="4" s="1"/>
  <c r="M5116" i="4"/>
  <c r="K5589" i="4"/>
  <c r="I5379" i="4"/>
  <c r="N830" i="4"/>
  <c r="N1829" i="4"/>
  <c r="I1228" i="4"/>
  <c r="I2872" i="4"/>
  <c r="P2271" i="4"/>
  <c r="N3841" i="4"/>
  <c r="M4617" i="4"/>
  <c r="G2860" i="4"/>
  <c r="H2860" i="4" s="1"/>
  <c r="H3790" i="4"/>
  <c r="G5667" i="4"/>
  <c r="O4878" i="4"/>
  <c r="M504" i="4"/>
  <c r="I264" i="4"/>
  <c r="I307" i="4"/>
  <c r="G927" i="4"/>
  <c r="H927" i="4" s="1"/>
  <c r="K5587" i="4"/>
  <c r="N5587" i="4" s="1"/>
  <c r="L5203" i="4"/>
  <c r="L5118" i="4"/>
  <c r="J5606" i="4"/>
  <c r="L5030" i="4"/>
  <c r="I3203" i="4"/>
  <c r="P3203" i="4"/>
  <c r="M506" i="4"/>
  <c r="P5171" i="4"/>
  <c r="I791" i="4"/>
  <c r="I1822" i="4"/>
  <c r="M1430" i="4"/>
  <c r="I2738" i="4"/>
  <c r="H2806" i="4"/>
  <c r="H2758" i="4"/>
  <c r="H2186" i="4"/>
  <c r="N3817" i="4"/>
  <c r="I4686" i="4"/>
  <c r="H4711" i="4"/>
  <c r="I2760" i="4"/>
  <c r="I4678" i="4"/>
  <c r="G5643" i="4"/>
  <c r="N5199" i="4"/>
  <c r="N497" i="4"/>
  <c r="H468" i="4"/>
  <c r="P297" i="4"/>
  <c r="I505" i="4"/>
  <c r="G819" i="4"/>
  <c r="H819" i="4" s="1"/>
  <c r="L929" i="4"/>
  <c r="M929" i="4" s="1"/>
  <c r="H571" i="4"/>
  <c r="P307" i="4"/>
  <c r="G864" i="4"/>
  <c r="H864" i="4" s="1"/>
  <c r="F5663" i="4"/>
  <c r="H376" i="4"/>
  <c r="N335" i="4"/>
  <c r="G930" i="4"/>
  <c r="H930" i="4" s="1"/>
  <c r="H440" i="4"/>
  <c r="J5600" i="4"/>
  <c r="L5024" i="4"/>
  <c r="J5598" i="4"/>
  <c r="L5022" i="4"/>
  <c r="G5256" i="4"/>
  <c r="J5594" i="4"/>
  <c r="L5594" i="4" s="1"/>
  <c r="L5210" i="4"/>
  <c r="I778" i="4"/>
  <c r="H4717" i="4"/>
  <c r="I1903" i="4"/>
  <c r="M1340" i="4"/>
  <c r="I1799" i="4"/>
  <c r="I1888" i="4"/>
  <c r="N1896" i="4"/>
  <c r="P1340" i="4"/>
  <c r="I1801" i="4"/>
  <c r="M1911" i="4"/>
  <c r="I2861" i="4"/>
  <c r="I2515" i="4"/>
  <c r="I3737" i="4"/>
  <c r="I3828" i="4"/>
  <c r="I3679" i="4"/>
  <c r="N5601" i="4"/>
  <c r="M5691" i="4"/>
  <c r="N5364" i="4"/>
  <c r="H5027" i="4"/>
  <c r="G1910" i="4"/>
  <c r="M2283" i="4"/>
  <c r="P3230" i="4"/>
  <c r="I4784" i="4"/>
  <c r="M4266" i="4"/>
  <c r="G5621" i="4"/>
  <c r="I5621" i="4" s="1"/>
  <c r="M5329" i="4"/>
  <c r="M343" i="4"/>
  <c r="N368" i="4"/>
  <c r="M498" i="4"/>
  <c r="K5702" i="4"/>
  <c r="L868" i="4"/>
  <c r="M529" i="4"/>
  <c r="H283" i="4"/>
  <c r="M297" i="4"/>
  <c r="G5043" i="4"/>
  <c r="L381" i="4"/>
  <c r="N381" i="4" s="1"/>
  <c r="N247" i="4"/>
  <c r="L883" i="4"/>
  <c r="M883" i="4" s="1"/>
  <c r="M294" i="4"/>
  <c r="I296" i="4"/>
  <c r="N279" i="4"/>
  <c r="L900" i="4"/>
  <c r="M900" i="4" s="1"/>
  <c r="G5729" i="4"/>
  <c r="H5337" i="4"/>
  <c r="H235" i="4"/>
  <c r="H441" i="4"/>
  <c r="G915" i="4"/>
  <c r="H915" i="4" s="1"/>
  <c r="J5605" i="4"/>
  <c r="L5221" i="4"/>
  <c r="P2182" i="4"/>
  <c r="I2856" i="4"/>
  <c r="H3742" i="4"/>
  <c r="I3732" i="4"/>
  <c r="I3700" i="4"/>
  <c r="M5240" i="4"/>
  <c r="G2715" i="4"/>
  <c r="H2715" i="4" s="1"/>
  <c r="N3832" i="4"/>
  <c r="N3840" i="4"/>
  <c r="M5321" i="4"/>
  <c r="K5708" i="4"/>
  <c r="M432" i="4"/>
  <c r="H466" i="4"/>
  <c r="N3444" i="4"/>
  <c r="M3444" i="4"/>
  <c r="H2782" i="4"/>
  <c r="M4678" i="4"/>
  <c r="L5719" i="4"/>
  <c r="M5719" i="4" s="1"/>
  <c r="J5751" i="4"/>
  <c r="L5271" i="4"/>
  <c r="N569" i="4"/>
  <c r="L5080" i="4"/>
  <c r="N5080" i="4" s="1"/>
  <c r="N537" i="4"/>
  <c r="I448" i="4"/>
  <c r="G811" i="4"/>
  <c r="H811" i="4" s="1"/>
  <c r="G903" i="4"/>
  <c r="L5172" i="4"/>
  <c r="I3794" i="4"/>
  <c r="H3206" i="4"/>
  <c r="N4977" i="4"/>
  <c r="M2494" i="4"/>
  <c r="H5058" i="4"/>
  <c r="N762" i="4"/>
  <c r="L5232" i="4"/>
  <c r="M5232" i="4" s="1"/>
  <c r="N626" i="4"/>
  <c r="H5263" i="4"/>
  <c r="L871" i="4"/>
  <c r="M871" i="4" s="1"/>
  <c r="H341" i="4"/>
  <c r="H457" i="4"/>
  <c r="G5127" i="4"/>
  <c r="N3420" i="4"/>
  <c r="N758" i="4"/>
  <c r="M758" i="4"/>
  <c r="N2761" i="4"/>
  <c r="M4684" i="4"/>
  <c r="M4708" i="4"/>
  <c r="P2283" i="4"/>
  <c r="M2147" i="4"/>
  <c r="G3803" i="4"/>
  <c r="H3803" i="4" s="1"/>
  <c r="M3419" i="4"/>
  <c r="I801" i="4"/>
  <c r="L892" i="4"/>
  <c r="P351" i="4"/>
  <c r="G5375" i="4"/>
  <c r="H357" i="4"/>
  <c r="G840" i="4"/>
  <c r="H840" i="4" s="1"/>
  <c r="I482" i="4"/>
  <c r="I521" i="4"/>
  <c r="J5749" i="4"/>
  <c r="L5173" i="4"/>
  <c r="L5204" i="4"/>
  <c r="J5588" i="4"/>
  <c r="L5588" i="4" s="1"/>
  <c r="I3840" i="4"/>
  <c r="I3779" i="4"/>
  <c r="N4724" i="4"/>
  <c r="P5175" i="4"/>
  <c r="H5322" i="4"/>
  <c r="M5175" i="4"/>
  <c r="M566" i="4"/>
  <c r="K5742" i="4"/>
  <c r="M5353" i="4"/>
  <c r="L844" i="4"/>
  <c r="N518" i="4"/>
  <c r="N481" i="4"/>
  <c r="L870" i="4"/>
  <c r="G884" i="4"/>
  <c r="H291" i="4"/>
  <c r="I530" i="4"/>
  <c r="G5122" i="4"/>
  <c r="E5698" i="4"/>
  <c r="G5698" i="4" s="1"/>
  <c r="H5698" i="4" s="1"/>
  <c r="M5228" i="4"/>
  <c r="M4977" i="4"/>
  <c r="H5237" i="4"/>
  <c r="O4875" i="4"/>
  <c r="K5696" i="4"/>
  <c r="H375" i="4"/>
  <c r="H517" i="4"/>
  <c r="G932" i="4"/>
  <c r="H932" i="4" s="1"/>
  <c r="K5585" i="4"/>
  <c r="L5009" i="4"/>
  <c r="N1760" i="4"/>
  <c r="M1382" i="4"/>
  <c r="H2270" i="4"/>
  <c r="I3713" i="4"/>
  <c r="I4642" i="4"/>
  <c r="H4088" i="4"/>
  <c r="I5584" i="4"/>
  <c r="N2767" i="4"/>
  <c r="H4641" i="4"/>
  <c r="N4633" i="4"/>
  <c r="M4995" i="4"/>
  <c r="L5290" i="4"/>
  <c r="M5418" i="4"/>
  <c r="M345" i="4"/>
  <c r="I5079" i="4"/>
  <c r="L905" i="4"/>
  <c r="M905" i="4" s="1"/>
  <c r="M270" i="4"/>
  <c r="I465" i="4"/>
  <c r="K5745" i="4"/>
  <c r="L5324" i="4"/>
  <c r="M5324" i="4" s="1"/>
  <c r="N2219" i="4"/>
  <c r="J5748" i="4"/>
  <c r="N1788" i="4"/>
  <c r="I1292" i="4"/>
  <c r="P2270" i="4"/>
  <c r="M4716" i="4"/>
  <c r="M5270" i="4"/>
  <c r="I3709" i="4"/>
  <c r="N3688" i="4"/>
  <c r="G5093" i="4"/>
  <c r="I5093" i="4" s="1"/>
  <c r="H5333" i="4"/>
  <c r="M5322" i="4"/>
  <c r="M257" i="4"/>
  <c r="P384" i="4"/>
  <c r="L918" i="4"/>
  <c r="N5341" i="4"/>
  <c r="H266" i="4"/>
  <c r="G911" i="4"/>
  <c r="H240" i="4"/>
  <c r="H536" i="4"/>
  <c r="G920" i="4"/>
  <c r="H920" i="4" s="1"/>
  <c r="J5591" i="4"/>
  <c r="L5591" i="4" s="1"/>
  <c r="L5207" i="4"/>
  <c r="J5586" i="4"/>
  <c r="L5586" i="4" s="1"/>
  <c r="M5586" i="4" s="1"/>
  <c r="L5010" i="4"/>
  <c r="G5217" i="4"/>
  <c r="E5601" i="4"/>
  <c r="H2854" i="4"/>
  <c r="I3652" i="4"/>
  <c r="M4690" i="4"/>
  <c r="I5593" i="4"/>
  <c r="G5081" i="4"/>
  <c r="I5081" i="4" s="1"/>
  <c r="J5695" i="4"/>
  <c r="L5695" i="4" s="1"/>
  <c r="N5695" i="4" s="1"/>
  <c r="N491" i="4"/>
  <c r="N305" i="4"/>
  <c r="M570" i="4"/>
  <c r="P356" i="4"/>
  <c r="P367" i="4"/>
  <c r="H5172" i="4"/>
  <c r="P291" i="4"/>
  <c r="N433" i="4"/>
  <c r="P271" i="4"/>
  <c r="L5079" i="4"/>
  <c r="M5026" i="4"/>
  <c r="L5026" i="4"/>
  <c r="J5602" i="4"/>
  <c r="L5602" i="4" s="1"/>
  <c r="M5602" i="4" s="1"/>
  <c r="L5016" i="4"/>
  <c r="K5592" i="4"/>
  <c r="L5028" i="4"/>
  <c r="J5604" i="4"/>
  <c r="L5604" i="4" s="1"/>
  <c r="E5596" i="4"/>
  <c r="I803" i="4"/>
  <c r="N1872" i="4"/>
  <c r="N3692" i="4"/>
  <c r="N780" i="4"/>
  <c r="N1855" i="4"/>
  <c r="I1211" i="4"/>
  <c r="M2837" i="4"/>
  <c r="P2294" i="4"/>
  <c r="H2277" i="4"/>
  <c r="H2174" i="4"/>
  <c r="P2241" i="4"/>
  <c r="H3716" i="4"/>
  <c r="H4777" i="4"/>
  <c r="N4197" i="4"/>
  <c r="M5242" i="4"/>
  <c r="M5233" i="4"/>
  <c r="M5151" i="4"/>
  <c r="I2795" i="4"/>
  <c r="M2247" i="4"/>
  <c r="N3230" i="4"/>
  <c r="I5597" i="4"/>
  <c r="H5011" i="4"/>
  <c r="M431" i="4"/>
  <c r="L5241" i="4"/>
  <c r="L909" i="4"/>
  <c r="H433" i="4"/>
  <c r="I782" i="4"/>
  <c r="G900" i="4"/>
  <c r="I471" i="4"/>
  <c r="I554" i="4"/>
  <c r="I898" i="4"/>
  <c r="P377" i="4"/>
  <c r="N278" i="4"/>
  <c r="G904" i="4"/>
  <c r="H904" i="4" s="1"/>
  <c r="J5587" i="4"/>
  <c r="L5587" i="4" s="1"/>
  <c r="M5587" i="4" s="1"/>
  <c r="L5011" i="4"/>
  <c r="G5116" i="4"/>
  <c r="P5116" i="4" s="1"/>
  <c r="G5216" i="4"/>
  <c r="G5026" i="4"/>
  <c r="E5602" i="4"/>
  <c r="G5602" i="4" s="1"/>
  <c r="H5602" i="4" s="1"/>
  <c r="P4123" i="4"/>
  <c r="N3749" i="4"/>
  <c r="N834" i="4"/>
  <c r="N1880" i="4"/>
  <c r="I184" i="4"/>
  <c r="I302" i="4"/>
  <c r="I836" i="4"/>
  <c r="N1755" i="4"/>
  <c r="N1915" i="4"/>
  <c r="I2750" i="4"/>
  <c r="I2772" i="4"/>
  <c r="I2857" i="4"/>
  <c r="H3796" i="4"/>
  <c r="N3833" i="4"/>
  <c r="H4765" i="4"/>
  <c r="I4790" i="4"/>
  <c r="N4743" i="4"/>
  <c r="H5595" i="4"/>
  <c r="N5570" i="4"/>
  <c r="H4815" i="4"/>
  <c r="N2855" i="4"/>
  <c r="H4668" i="4"/>
  <c r="N4691" i="4"/>
  <c r="M4662" i="4"/>
  <c r="N4677" i="4"/>
  <c r="P4217" i="4"/>
  <c r="H5301" i="4"/>
  <c r="N5426" i="4"/>
  <c r="L852" i="4"/>
  <c r="P332" i="4"/>
  <c r="P262" i="4"/>
  <c r="G856" i="4"/>
  <c r="H856" i="4" s="1"/>
  <c r="P354" i="4"/>
  <c r="I329" i="4"/>
  <c r="L835" i="4"/>
  <c r="M835" i="4" s="1"/>
  <c r="M258" i="4"/>
  <c r="H258" i="4"/>
  <c r="I527" i="4"/>
  <c r="O185" i="4"/>
  <c r="H546" i="4"/>
  <c r="F5637" i="4"/>
  <c r="N5171" i="4"/>
  <c r="K5747" i="4"/>
  <c r="L5014" i="4"/>
  <c r="J5590" i="4"/>
  <c r="L5590" i="4" s="1"/>
  <c r="M5590" i="4" s="1"/>
  <c r="J5599" i="4"/>
  <c r="L5599" i="4" s="1"/>
  <c r="I2707" i="4"/>
  <c r="H2707" i="4"/>
  <c r="L189" i="4"/>
  <c r="K4989" i="4"/>
  <c r="K957" i="4"/>
  <c r="I1825" i="4"/>
  <c r="I2820" i="4"/>
  <c r="N2795" i="4"/>
  <c r="H2258" i="4"/>
  <c r="N3146" i="4"/>
  <c r="I3704" i="4"/>
  <c r="H2354" i="4"/>
  <c r="I2354" i="4"/>
  <c r="H3702" i="4"/>
  <c r="I3702" i="4"/>
  <c r="K4990" i="4"/>
  <c r="L4990" i="4" s="1"/>
  <c r="K958" i="4"/>
  <c r="L958" i="4" s="1"/>
  <c r="M958" i="4" s="1"/>
  <c r="N1890" i="4"/>
  <c r="M4772" i="4"/>
  <c r="N4772" i="4"/>
  <c r="P383" i="4"/>
  <c r="M383" i="4"/>
  <c r="H1851" i="4"/>
  <c r="I1287" i="4"/>
  <c r="I1813" i="4"/>
  <c r="I1207" i="4"/>
  <c r="G191" i="4"/>
  <c r="F4991" i="4"/>
  <c r="F959" i="4"/>
  <c r="M2282" i="4"/>
  <c r="P2282" i="4"/>
  <c r="I1149" i="4"/>
  <c r="I1774" i="4"/>
  <c r="I2706" i="4"/>
  <c r="N2759" i="4"/>
  <c r="N2383" i="4"/>
  <c r="H4685" i="4"/>
  <c r="I4685" i="4"/>
  <c r="I2157" i="4"/>
  <c r="P2157" i="4"/>
  <c r="M3170" i="4"/>
  <c r="N3170" i="4"/>
  <c r="N3834" i="4"/>
  <c r="H3435" i="4"/>
  <c r="I3435" i="4"/>
  <c r="M3134" i="4"/>
  <c r="N3134" i="4"/>
  <c r="I1784" i="4"/>
  <c r="I1775" i="4"/>
  <c r="N2848" i="4"/>
  <c r="N2744" i="4"/>
  <c r="I2724" i="4"/>
  <c r="I2784" i="4"/>
  <c r="H4663" i="4"/>
  <c r="N4222" i="4"/>
  <c r="N4118" i="4"/>
  <c r="H2157" i="4"/>
  <c r="N828" i="4"/>
  <c r="N1909" i="4"/>
  <c r="I1306" i="4"/>
  <c r="I1777" i="4"/>
  <c r="I2736" i="4"/>
  <c r="I2174" i="4"/>
  <c r="H3692" i="4"/>
  <c r="N3676" i="4"/>
  <c r="N4621" i="4"/>
  <c r="N5619" i="4"/>
  <c r="G2835" i="4"/>
  <c r="H2835" i="4" s="1"/>
  <c r="N2863" i="4"/>
  <c r="I1289" i="4"/>
  <c r="I1210" i="4"/>
  <c r="N1770" i="4"/>
  <c r="P1338" i="4"/>
  <c r="I1745" i="4"/>
  <c r="P2295" i="4"/>
  <c r="I3689" i="4"/>
  <c r="H3663" i="4"/>
  <c r="I3663" i="4"/>
  <c r="N4290" i="4"/>
  <c r="M4290" i="4"/>
  <c r="I1884" i="4"/>
  <c r="M2775" i="4"/>
  <c r="N2775" i="4"/>
  <c r="H4661" i="4"/>
  <c r="I4661" i="4"/>
  <c r="H5577" i="4"/>
  <c r="I5577" i="4"/>
  <c r="H3695" i="4"/>
  <c r="I3695" i="4"/>
  <c r="P3134" i="4"/>
  <c r="I4713" i="4"/>
  <c r="H4713" i="4"/>
  <c r="N4338" i="4"/>
  <c r="M4338" i="4"/>
  <c r="M188" i="4"/>
  <c r="O188" i="4"/>
  <c r="M1741" i="4"/>
  <c r="N2223" i="4"/>
  <c r="M2223" i="4"/>
  <c r="M2739" i="4"/>
  <c r="N2739" i="4"/>
  <c r="M3720" i="4"/>
  <c r="N3720" i="4"/>
  <c r="I4215" i="4"/>
  <c r="P4215" i="4"/>
  <c r="H5621" i="4"/>
  <c r="I1208" i="4"/>
  <c r="I1147" i="4"/>
  <c r="I1821" i="4"/>
  <c r="I4224" i="4"/>
  <c r="N1828" i="4"/>
  <c r="N804" i="4"/>
  <c r="I1512" i="4"/>
  <c r="I5324" i="4"/>
  <c r="H5324" i="4"/>
  <c r="N2271" i="4"/>
  <c r="M2271" i="4"/>
  <c r="M3657" i="4"/>
  <c r="N3657" i="4"/>
  <c r="I5165" i="4"/>
  <c r="H5165" i="4"/>
  <c r="I5303" i="4"/>
  <c r="H5303" i="4"/>
  <c r="H4721" i="4"/>
  <c r="I4721" i="4"/>
  <c r="M4670" i="4"/>
  <c r="N4670" i="4"/>
  <c r="H1857" i="4"/>
  <c r="I1883" i="4"/>
  <c r="N1878" i="4"/>
  <c r="I1731" i="4"/>
  <c r="N2819" i="4"/>
  <c r="H2794" i="4"/>
  <c r="I4660" i="4"/>
  <c r="M4744" i="4"/>
  <c r="I4690" i="4"/>
  <c r="N3696" i="4"/>
  <c r="P4119" i="4"/>
  <c r="H4700" i="4"/>
  <c r="I4700" i="4"/>
  <c r="M4715" i="4"/>
  <c r="N4715" i="4"/>
  <c r="M4725" i="4"/>
  <c r="N4725" i="4"/>
  <c r="N4634" i="4"/>
  <c r="M4634" i="4"/>
  <c r="J5607" i="4"/>
  <c r="L5607" i="4" s="1"/>
  <c r="L5223" i="4"/>
  <c r="N5223" i="4" s="1"/>
  <c r="N876" i="4"/>
  <c r="I1753" i="4"/>
  <c r="I1803" i="4"/>
  <c r="I2699" i="4"/>
  <c r="I2810" i="4"/>
  <c r="H2753" i="4"/>
  <c r="I2753" i="4"/>
  <c r="P3170" i="4"/>
  <c r="N3254" i="4"/>
  <c r="L890" i="4"/>
  <c r="M890" i="4" s="1"/>
  <c r="J5714" i="4"/>
  <c r="L5714" i="4" s="1"/>
  <c r="L5138" i="4"/>
  <c r="K5737" i="4"/>
  <c r="L898" i="4"/>
  <c r="M898" i="4"/>
  <c r="J5628" i="4"/>
  <c r="L5628" i="4" s="1"/>
  <c r="L5052" i="4"/>
  <c r="E5681" i="4"/>
  <c r="G5681" i="4" s="1"/>
  <c r="G5105" i="4"/>
  <c r="G937" i="4"/>
  <c r="H937" i="4" s="1"/>
  <c r="M309" i="4"/>
  <c r="P309" i="4"/>
  <c r="H523" i="4"/>
  <c r="E5677" i="4"/>
  <c r="G5677" i="4" s="1"/>
  <c r="H5677" i="4" s="1"/>
  <c r="G5101" i="4"/>
  <c r="L5094" i="4"/>
  <c r="J5670" i="4"/>
  <c r="F5720" i="4"/>
  <c r="E5615" i="4"/>
  <c r="G5615" i="4" s="1"/>
  <c r="G5039" i="4"/>
  <c r="G838" i="4"/>
  <c r="H838" i="4" s="1"/>
  <c r="P243" i="4"/>
  <c r="G813" i="4"/>
  <c r="H813" i="4" s="1"/>
  <c r="P254" i="4"/>
  <c r="K5617" i="4"/>
  <c r="J5689" i="4"/>
  <c r="L5689" i="4" s="1"/>
  <c r="L5113" i="4"/>
  <c r="N945" i="4"/>
  <c r="K5616" i="4"/>
  <c r="E5635" i="4"/>
  <c r="G5059" i="4"/>
  <c r="M4815" i="4"/>
  <c r="E5690" i="4"/>
  <c r="G5690" i="4" s="1"/>
  <c r="H5690" i="4" s="1"/>
  <c r="G5114" i="4"/>
  <c r="N875" i="4"/>
  <c r="J5627" i="4"/>
  <c r="L5627" i="4" s="1"/>
  <c r="L5051" i="4"/>
  <c r="M555" i="4"/>
  <c r="L5155" i="4"/>
  <c r="J5731" i="4"/>
  <c r="L5731" i="4" s="1"/>
  <c r="N674" i="4"/>
  <c r="J5690" i="4"/>
  <c r="L5690" i="4" s="1"/>
  <c r="L5306" i="4"/>
  <c r="L902" i="4"/>
  <c r="M902" i="4" s="1"/>
  <c r="L5314" i="4"/>
  <c r="J5698" i="4"/>
  <c r="L5698" i="4" s="1"/>
  <c r="L880" i="4"/>
  <c r="J5745" i="4"/>
  <c r="L5745" i="4" s="1"/>
  <c r="L5169" i="4"/>
  <c r="H504" i="4"/>
  <c r="G869" i="4"/>
  <c r="H869" i="4"/>
  <c r="F5725" i="4"/>
  <c r="I243" i="4"/>
  <c r="G5161" i="4"/>
  <c r="H5161" i="4" s="1"/>
  <c r="E5737" i="4"/>
  <c r="H532" i="4"/>
  <c r="I460" i="4"/>
  <c r="E5700" i="4"/>
  <c r="G5700" i="4" s="1"/>
  <c r="G5124" i="4"/>
  <c r="L5129" i="4"/>
  <c r="M5129" i="4" s="1"/>
  <c r="J5705" i="4"/>
  <c r="J5612" i="4"/>
  <c r="L5036" i="4"/>
  <c r="N5036" i="4" s="1"/>
  <c r="G935" i="4"/>
  <c r="J5758" i="4"/>
  <c r="J5611" i="4"/>
  <c r="L5611" i="4" s="1"/>
  <c r="L5035" i="4"/>
  <c r="G865" i="4"/>
  <c r="H865" i="4" s="1"/>
  <c r="M282" i="4"/>
  <c r="H499" i="4"/>
  <c r="L5177" i="4"/>
  <c r="N5177" i="4" s="1"/>
  <c r="J5712" i="4"/>
  <c r="L5712" i="4" s="1"/>
  <c r="L5136" i="4"/>
  <c r="M243" i="4"/>
  <c r="E5613" i="4"/>
  <c r="G5613" i="4" s="1"/>
  <c r="H5613" i="4" s="1"/>
  <c r="G5037" i="4"/>
  <c r="H474" i="4"/>
  <c r="G917" i="4"/>
  <c r="H917" i="4" s="1"/>
  <c r="L842" i="4"/>
  <c r="N842" i="4" s="1"/>
  <c r="M301" i="4"/>
  <c r="P301" i="4"/>
  <c r="I352" i="4"/>
  <c r="E5646" i="4"/>
  <c r="G5646" i="4" s="1"/>
  <c r="G5070" i="4"/>
  <c r="H949" i="4"/>
  <c r="I949" i="4"/>
  <c r="N474" i="4"/>
  <c r="N4718" i="4"/>
  <c r="L5115" i="4"/>
  <c r="M519" i="4"/>
  <c r="N796" i="4"/>
  <c r="M536" i="4"/>
  <c r="M351" i="4"/>
  <c r="J5702" i="4"/>
  <c r="L5126" i="4"/>
  <c r="I794" i="4"/>
  <c r="K5376" i="4"/>
  <c r="L5376" i="4" s="1"/>
  <c r="L576" i="4"/>
  <c r="M576" i="4" s="1"/>
  <c r="F5376" i="4"/>
  <c r="G5376" i="4" s="1"/>
  <c r="G5669" i="4"/>
  <c r="I459" i="4"/>
  <c r="G925" i="4"/>
  <c r="I925" i="4" s="1"/>
  <c r="H925" i="4"/>
  <c r="L4993" i="4"/>
  <c r="J5761" i="4"/>
  <c r="L5109" i="4"/>
  <c r="J5685" i="4"/>
  <c r="H541" i="4"/>
  <c r="G879" i="4"/>
  <c r="M308" i="4"/>
  <c r="P308" i="4"/>
  <c r="K5659" i="4"/>
  <c r="E5735" i="4"/>
  <c r="G5735" i="4" s="1"/>
  <c r="G5159" i="4"/>
  <c r="J5683" i="4"/>
  <c r="L5683" i="4" s="1"/>
  <c r="L5107" i="4"/>
  <c r="H234" i="4"/>
  <c r="H562" i="4"/>
  <c r="E5665" i="4"/>
  <c r="G5089" i="4"/>
  <c r="H5089" i="4" s="1"/>
  <c r="H287" i="4"/>
  <c r="E5664" i="4"/>
  <c r="G5664" i="4" s="1"/>
  <c r="H5664" i="4" s="1"/>
  <c r="G5088" i="4"/>
  <c r="I5088" i="4" s="1"/>
  <c r="G5708" i="4"/>
  <c r="F5185" i="4"/>
  <c r="G5185" i="4" s="1"/>
  <c r="H5185" i="4" s="1"/>
  <c r="F961" i="4"/>
  <c r="I385" i="4"/>
  <c r="N243" i="4"/>
  <c r="E5638" i="4"/>
  <c r="G5062" i="4"/>
  <c r="H5062" i="4" s="1"/>
  <c r="M324" i="4"/>
  <c r="P324" i="4"/>
  <c r="L819" i="4"/>
  <c r="G942" i="4"/>
  <c r="H942" i="4" s="1"/>
  <c r="L911" i="4"/>
  <c r="M911" i="4" s="1"/>
  <c r="J5630" i="4"/>
  <c r="L5630" i="4" s="1"/>
  <c r="L5054" i="4"/>
  <c r="F5181" i="4"/>
  <c r="G5181" i="4" s="1"/>
  <c r="I381" i="4"/>
  <c r="J5642" i="4"/>
  <c r="L5642" i="4" s="1"/>
  <c r="M5642" i="4" s="1"/>
  <c r="L4874" i="4"/>
  <c r="L877" i="4"/>
  <c r="M877" i="4" s="1"/>
  <c r="E5623" i="4"/>
  <c r="G5047" i="4"/>
  <c r="E5749" i="4"/>
  <c r="G4981" i="4"/>
  <c r="I915" i="4"/>
  <c r="F958" i="4"/>
  <c r="I288" i="4"/>
  <c r="G5751" i="4"/>
  <c r="N863" i="4"/>
  <c r="J5615" i="4"/>
  <c r="L5615" i="4" s="1"/>
  <c r="L5039" i="4"/>
  <c r="M447" i="4"/>
  <c r="L944" i="4"/>
  <c r="M944" i="4" s="1"/>
  <c r="J5668" i="4"/>
  <c r="L5668" i="4" s="1"/>
  <c r="L5092" i="4"/>
  <c r="M463" i="4"/>
  <c r="M450" i="4"/>
  <c r="M349" i="4"/>
  <c r="P349" i="4"/>
  <c r="J5733" i="4"/>
  <c r="L5733" i="4" s="1"/>
  <c r="L5157" i="4"/>
  <c r="G857" i="4"/>
  <c r="H857" i="4" s="1"/>
  <c r="P310" i="4"/>
  <c r="E5725" i="4"/>
  <c r="H5149" i="4"/>
  <c r="G5149" i="4"/>
  <c r="I5149" i="4" s="1"/>
  <c r="I867" i="4"/>
  <c r="G5103" i="4"/>
  <c r="P5103" i="4" s="1"/>
  <c r="L884" i="4"/>
  <c r="M884" i="4" s="1"/>
  <c r="G923" i="4"/>
  <c r="H923" i="4" s="1"/>
  <c r="H276" i="4"/>
  <c r="L5281" i="4"/>
  <c r="H553" i="4"/>
  <c r="G853" i="4"/>
  <c r="H853" i="4" s="1"/>
  <c r="I5247" i="4"/>
  <c r="F5616" i="4"/>
  <c r="H472" i="4"/>
  <c r="I279" i="4"/>
  <c r="N360" i="4"/>
  <c r="G826" i="4"/>
  <c r="H826" i="4" s="1"/>
  <c r="L5043" i="4"/>
  <c r="G5364" i="4"/>
  <c r="E5742" i="4"/>
  <c r="G5742" i="4" s="1"/>
  <c r="G5166" i="4"/>
  <c r="I5166" i="4" s="1"/>
  <c r="L5135" i="4"/>
  <c r="J5711" i="4"/>
  <c r="L5711" i="4" s="1"/>
  <c r="M242" i="4"/>
  <c r="G905" i="4"/>
  <c r="H905" i="4" s="1"/>
  <c r="J5677" i="4"/>
  <c r="L5677" i="4" s="1"/>
  <c r="L5101" i="4"/>
  <c r="N462" i="4"/>
  <c r="E5752" i="4"/>
  <c r="G4984" i="4"/>
  <c r="I4984" i="4" s="1"/>
  <c r="I5229" i="4"/>
  <c r="F5599" i="4"/>
  <c r="G5599" i="4" s="1"/>
  <c r="G5023" i="4"/>
  <c r="K5663" i="4"/>
  <c r="M560" i="4"/>
  <c r="J5616" i="4"/>
  <c r="L5040" i="4"/>
  <c r="G5657" i="4"/>
  <c r="M298" i="4"/>
  <c r="N366" i="4"/>
  <c r="I274" i="4"/>
  <c r="G913" i="4"/>
  <c r="H913" i="4" s="1"/>
  <c r="H284" i="4"/>
  <c r="J5684" i="4"/>
  <c r="L5684" i="4" s="1"/>
  <c r="L5108" i="4"/>
  <c r="I275" i="4"/>
  <c r="H435" i="4"/>
  <c r="E5723" i="4"/>
  <c r="G5147" i="4"/>
  <c r="H5147" i="4" s="1"/>
  <c r="P295" i="4"/>
  <c r="I285" i="4"/>
  <c r="E5653" i="4"/>
  <c r="G5077" i="4"/>
  <c r="J5658" i="4"/>
  <c r="L5658" i="4" s="1"/>
  <c r="M5658" i="4" s="1"/>
  <c r="L5082" i="4"/>
  <c r="E5652" i="4"/>
  <c r="G5076" i="4"/>
  <c r="P5076" i="4" s="1"/>
  <c r="E5744" i="4"/>
  <c r="G5168" i="4"/>
  <c r="E5626" i="4"/>
  <c r="G5626" i="4" s="1"/>
  <c r="G5050" i="4"/>
  <c r="I5050" i="4" s="1"/>
  <c r="J5700" i="4"/>
  <c r="L5700" i="4" s="1"/>
  <c r="L5124" i="4"/>
  <c r="I528" i="4"/>
  <c r="M323" i="4"/>
  <c r="M289" i="4"/>
  <c r="N345" i="4"/>
  <c r="G822" i="4"/>
  <c r="H822" i="4" s="1"/>
  <c r="I327" i="4"/>
  <c r="G5727" i="4"/>
  <c r="M331" i="4"/>
  <c r="K5182" i="4"/>
  <c r="L925" i="4"/>
  <c r="M925" i="4" s="1"/>
  <c r="N925" i="4"/>
  <c r="M5560" i="4"/>
  <c r="M293" i="4"/>
  <c r="P293" i="4"/>
  <c r="K5701" i="4"/>
  <c r="M5080" i="4"/>
  <c r="M488" i="4"/>
  <c r="G845" i="4"/>
  <c r="H845" i="4"/>
  <c r="M274" i="4"/>
  <c r="I485" i="4"/>
  <c r="E5713" i="4"/>
  <c r="G5137" i="4"/>
  <c r="H570" i="4"/>
  <c r="G5091" i="4"/>
  <c r="L872" i="4"/>
  <c r="M872" i="4" s="1"/>
  <c r="L5234" i="4"/>
  <c r="N5234" i="4" s="1"/>
  <c r="I295" i="4"/>
  <c r="G841" i="4"/>
  <c r="H841" i="4" s="1"/>
  <c r="H340" i="4"/>
  <c r="G814" i="4"/>
  <c r="H814" i="4" s="1"/>
  <c r="P303" i="4"/>
  <c r="I813" i="4"/>
  <c r="I537" i="4"/>
  <c r="E5730" i="4"/>
  <c r="G5730" i="4" s="1"/>
  <c r="G5154" i="4"/>
  <c r="L818" i="4"/>
  <c r="M818" i="4"/>
  <c r="H5326" i="4"/>
  <c r="N921" i="4"/>
  <c r="G5046" i="4"/>
  <c r="E5622" i="4"/>
  <c r="I272" i="4"/>
  <c r="I560" i="4"/>
  <c r="H5261" i="4"/>
  <c r="J5596" i="4"/>
  <c r="L5596" i="4" s="1"/>
  <c r="L5020" i="4"/>
  <c r="F5695" i="4"/>
  <c r="G5395" i="4"/>
  <c r="E5587" i="4"/>
  <c r="F5393" i="4"/>
  <c r="G5393" i="4" s="1"/>
  <c r="G2513" i="4"/>
  <c r="F2705" i="4"/>
  <c r="N5433" i="4"/>
  <c r="L5131" i="4"/>
  <c r="J5707" i="4"/>
  <c r="L5707" i="4" s="1"/>
  <c r="L5366" i="4"/>
  <c r="N499" i="4"/>
  <c r="M475" i="4"/>
  <c r="J5721" i="4"/>
  <c r="L5721" i="4" s="1"/>
  <c r="M5721" i="4" s="1"/>
  <c r="L5145" i="4"/>
  <c r="E5645" i="4"/>
  <c r="G5645" i="4" s="1"/>
  <c r="G5069" i="4"/>
  <c r="I495" i="4"/>
  <c r="G901" i="4"/>
  <c r="H901" i="4" s="1"/>
  <c r="J5673" i="4"/>
  <c r="L5097" i="4"/>
  <c r="K5741" i="4"/>
  <c r="L812" i="4"/>
  <c r="G954" i="4"/>
  <c r="H954" i="4" s="1"/>
  <c r="I561" i="4"/>
  <c r="M381" i="4"/>
  <c r="P381" i="4"/>
  <c r="I452" i="4"/>
  <c r="E5711" i="4"/>
  <c r="G5135" i="4"/>
  <c r="H5135" i="4" s="1"/>
  <c r="J5671" i="4"/>
  <c r="L5671" i="4" s="1"/>
  <c r="L5095" i="4"/>
  <c r="E5641" i="4"/>
  <c r="G5065" i="4"/>
  <c r="N456" i="4"/>
  <c r="E5640" i="4"/>
  <c r="G5640" i="4" s="1"/>
  <c r="H5640" i="4" s="1"/>
  <c r="G5064" i="4"/>
  <c r="G5156" i="4"/>
  <c r="H5156" i="4" s="1"/>
  <c r="E5732" i="4"/>
  <c r="H5562" i="4"/>
  <c r="I838" i="4"/>
  <c r="H5245" i="4"/>
  <c r="E5614" i="4"/>
  <c r="G5614" i="4" s="1"/>
  <c r="G5038" i="4"/>
  <c r="L879" i="4"/>
  <c r="M879" i="4" s="1"/>
  <c r="H260" i="4"/>
  <c r="N254" i="4"/>
  <c r="G918" i="4"/>
  <c r="H918" i="4" s="1"/>
  <c r="L899" i="4"/>
  <c r="M899" i="4" s="1"/>
  <c r="L5042" i="4"/>
  <c r="J5618" i="4"/>
  <c r="L5618" i="4" s="1"/>
  <c r="E5684" i="4"/>
  <c r="G5108" i="4"/>
  <c r="I5108" i="4" s="1"/>
  <c r="L946" i="4"/>
  <c r="M946" i="4" s="1"/>
  <c r="L865" i="4"/>
  <c r="F5716" i="4"/>
  <c r="K5721" i="4"/>
  <c r="E5611" i="4"/>
  <c r="G5035" i="4"/>
  <c r="I797" i="4"/>
  <c r="G575" i="4"/>
  <c r="E5755" i="4"/>
  <c r="G5755" i="4" s="1"/>
  <c r="G4987" i="4"/>
  <c r="O186" i="4"/>
  <c r="H5285" i="4"/>
  <c r="N5211" i="4"/>
  <c r="F5606" i="4"/>
  <c r="G5030" i="4"/>
  <c r="L5744" i="4"/>
  <c r="H785" i="4"/>
  <c r="K5567" i="4"/>
  <c r="L5567" i="4" s="1"/>
  <c r="L767" i="4"/>
  <c r="J5669" i="4"/>
  <c r="L5093" i="4"/>
  <c r="K5680" i="4"/>
  <c r="L5680" i="4" s="1"/>
  <c r="M5680" i="4" s="1"/>
  <c r="M268" i="4"/>
  <c r="P268" i="4"/>
  <c r="N526" i="4"/>
  <c r="L5275" i="4"/>
  <c r="H569" i="4"/>
  <c r="G833" i="4"/>
  <c r="H833" i="4" s="1"/>
  <c r="M250" i="4"/>
  <c r="F5568" i="4"/>
  <c r="G768" i="4"/>
  <c r="H768" i="4" s="1"/>
  <c r="G5125" i="4"/>
  <c r="E5701" i="4"/>
  <c r="G5701" i="4" s="1"/>
  <c r="M285" i="4"/>
  <c r="P285" i="4"/>
  <c r="N929" i="4"/>
  <c r="K5612" i="4"/>
  <c r="E5754" i="4"/>
  <c r="G5754" i="4" s="1"/>
  <c r="H5754" i="4" s="1"/>
  <c r="G4986" i="4"/>
  <c r="I312" i="4"/>
  <c r="N835" i="4"/>
  <c r="G899" i="4"/>
  <c r="H899" i="4" s="1"/>
  <c r="P283" i="4"/>
  <c r="I330" i="4"/>
  <c r="F5617" i="4"/>
  <c r="F5564" i="4"/>
  <c r="I764" i="4"/>
  <c r="G829" i="4"/>
  <c r="I829" i="4" s="1"/>
  <c r="I933" i="4"/>
  <c r="N281" i="4"/>
  <c r="G828" i="4"/>
  <c r="H237" i="4"/>
  <c r="G5366" i="4"/>
  <c r="F5638" i="4"/>
  <c r="N336" i="4"/>
  <c r="F5183" i="4"/>
  <c r="I383" i="4"/>
  <c r="M303" i="4"/>
  <c r="G5142" i="4"/>
  <c r="E5718" i="4"/>
  <c r="L5123" i="4"/>
  <c r="J5699" i="4"/>
  <c r="I917" i="4"/>
  <c r="J5750" i="4"/>
  <c r="L5750" i="4" s="1"/>
  <c r="M5750" i="4" s="1"/>
  <c r="L4982" i="4"/>
  <c r="H378" i="4"/>
  <c r="H5305" i="4"/>
  <c r="M370" i="4"/>
  <c r="J5665" i="4"/>
  <c r="L5089" i="4"/>
  <c r="I904" i="4"/>
  <c r="G940" i="4"/>
  <c r="E5610" i="4"/>
  <c r="G5610" i="4" s="1"/>
  <c r="G5034" i="4"/>
  <c r="E5747" i="4"/>
  <c r="G5747" i="4" s="1"/>
  <c r="G4979" i="4"/>
  <c r="L575" i="4"/>
  <c r="I306" i="4"/>
  <c r="I548" i="4"/>
  <c r="I298" i="4"/>
  <c r="H5309" i="4"/>
  <c r="E5695" i="4"/>
  <c r="G5695" i="4" s="1"/>
  <c r="H5695" i="4" s="1"/>
  <c r="G5119" i="4"/>
  <c r="I5119" i="4" s="1"/>
  <c r="L932" i="4"/>
  <c r="M932" i="4" s="1"/>
  <c r="M244" i="4"/>
  <c r="P244" i="4"/>
  <c r="M760" i="4"/>
  <c r="J5686" i="4"/>
  <c r="L5686" i="4" s="1"/>
  <c r="M5686" i="4" s="1"/>
  <c r="L5110" i="4"/>
  <c r="N443" i="4"/>
  <c r="J5742" i="4"/>
  <c r="L5742" i="4" s="1"/>
  <c r="M5742" i="4" s="1"/>
  <c r="L5166" i="4"/>
  <c r="N378" i="4"/>
  <c r="M368" i="4"/>
  <c r="N538" i="4"/>
  <c r="M522" i="4"/>
  <c r="J5709" i="4"/>
  <c r="L5709" i="4" s="1"/>
  <c r="M5709" i="4" s="1"/>
  <c r="L5133" i="4"/>
  <c r="H761" i="4"/>
  <c r="G5633" i="4"/>
  <c r="H5374" i="4"/>
  <c r="G5374" i="4"/>
  <c r="I5374" i="4" s="1"/>
  <c r="G880" i="4"/>
  <c r="H880" i="4" s="1"/>
  <c r="N353" i="4"/>
  <c r="L5096" i="4"/>
  <c r="M5096" i="4" s="1"/>
  <c r="J5672" i="4"/>
  <c r="L5672" i="4" s="1"/>
  <c r="K5635" i="4"/>
  <c r="G5123" i="4"/>
  <c r="E5699" i="4"/>
  <c r="G5699" i="4" s="1"/>
  <c r="L859" i="4"/>
  <c r="I808" i="4"/>
  <c r="L5257" i="4"/>
  <c r="M5257" i="4" s="1"/>
  <c r="J5646" i="4"/>
  <c r="L5070" i="4"/>
  <c r="N857" i="4"/>
  <c r="E5628" i="4"/>
  <c r="G5628" i="4" s="1"/>
  <c r="H5628" i="4" s="1"/>
  <c r="G5052" i="4"/>
  <c r="I5052" i="4" s="1"/>
  <c r="H248" i="4"/>
  <c r="E5720" i="4"/>
  <c r="G5144" i="4"/>
  <c r="I5144" i="4" s="1"/>
  <c r="J5754" i="4"/>
  <c r="L5754" i="4" s="1"/>
  <c r="M5754" i="4" s="1"/>
  <c r="L4986" i="4"/>
  <c r="G943" i="4"/>
  <c r="H943" i="4" s="1"/>
  <c r="I942" i="4"/>
  <c r="J5752" i="4"/>
  <c r="L5752" i="4" s="1"/>
  <c r="L4984" i="4"/>
  <c r="H565" i="4"/>
  <c r="G906" i="4"/>
  <c r="H906" i="4" s="1"/>
  <c r="G872" i="4"/>
  <c r="H872" i="4" s="1"/>
  <c r="M277" i="4"/>
  <c r="P277" i="4"/>
  <c r="I483" i="4"/>
  <c r="E5740" i="4"/>
  <c r="G5164" i="4"/>
  <c r="I458" i="4"/>
  <c r="N5238" i="4"/>
  <c r="I882" i="4"/>
  <c r="G958" i="4"/>
  <c r="H958" i="4" s="1"/>
  <c r="I955" i="4"/>
  <c r="I262" i="4"/>
  <c r="N4394" i="4"/>
  <c r="H5153" i="4"/>
  <c r="J5732" i="4"/>
  <c r="L5732" i="4" s="1"/>
  <c r="L5156" i="4"/>
  <c r="L862" i="4"/>
  <c r="J5657" i="4"/>
  <c r="L5081" i="4"/>
  <c r="P5081" i="4" s="1"/>
  <c r="J5644" i="4"/>
  <c r="L5644" i="4" s="1"/>
  <c r="N5644" i="4" s="1"/>
  <c r="L5068" i="4"/>
  <c r="M552" i="4"/>
  <c r="M312" i="4"/>
  <c r="G821" i="4"/>
  <c r="H821" i="4" s="1"/>
  <c r="F5668" i="4"/>
  <c r="N297" i="4"/>
  <c r="G5104" i="4"/>
  <c r="E5680" i="4"/>
  <c r="J5661" i="4"/>
  <c r="L5085" i="4"/>
  <c r="I346" i="4"/>
  <c r="M284" i="4"/>
  <c r="P284" i="4"/>
  <c r="G878" i="4"/>
  <c r="H878" i="4" s="1"/>
  <c r="L940" i="4"/>
  <c r="M940" i="4" s="1"/>
  <c r="M283" i="4"/>
  <c r="G5224" i="4"/>
  <c r="H5224" i="4" s="1"/>
  <c r="H348" i="4"/>
  <c r="I427" i="4"/>
  <c r="I436" i="4"/>
  <c r="I851" i="4"/>
  <c r="G908" i="4"/>
  <c r="E5743" i="4"/>
  <c r="G5743" i="4" s="1"/>
  <c r="G5167" i="4"/>
  <c r="L953" i="4"/>
  <c r="M953" i="4" s="1"/>
  <c r="M291" i="4"/>
  <c r="M184" i="4"/>
  <c r="O184" i="4"/>
  <c r="N818" i="4"/>
  <c r="G576" i="4"/>
  <c r="H576" i="4" s="1"/>
  <c r="E5706" i="4"/>
  <c r="G5706" i="4" s="1"/>
  <c r="I5706" i="4" s="1"/>
  <c r="G5130" i="4"/>
  <c r="P302" i="4"/>
  <c r="H290" i="4"/>
  <c r="H556" i="4"/>
  <c r="E5760" i="4"/>
  <c r="G4992" i="4"/>
  <c r="H5293" i="4"/>
  <c r="G5096" i="4"/>
  <c r="I5096" i="4" s="1"/>
  <c r="E5672" i="4"/>
  <c r="J5746" i="4"/>
  <c r="L5746" i="4" s="1"/>
  <c r="M5746" i="4" s="1"/>
  <c r="L5170" i="4"/>
  <c r="L853" i="4"/>
  <c r="M853" i="4" s="1"/>
  <c r="I492" i="4"/>
  <c r="I883" i="4"/>
  <c r="G928" i="4"/>
  <c r="H928" i="4" s="1"/>
  <c r="E5758" i="4"/>
  <c r="G4990" i="4"/>
  <c r="I4628" i="4"/>
  <c r="P4214" i="4"/>
  <c r="N4779" i="4"/>
  <c r="G5739" i="4"/>
  <c r="K5582" i="4"/>
  <c r="L5006" i="4"/>
  <c r="K5569" i="4"/>
  <c r="L769" i="4"/>
  <c r="M769" i="4" s="1"/>
  <c r="M281" i="4"/>
  <c r="K5568" i="4"/>
  <c r="L5568" i="4" s="1"/>
  <c r="L768" i="4"/>
  <c r="M768" i="4" s="1"/>
  <c r="L874" i="4"/>
  <c r="M874" i="4" s="1"/>
  <c r="N482" i="4"/>
  <c r="M311" i="4"/>
  <c r="N550" i="4"/>
  <c r="L832" i="4"/>
  <c r="M562" i="4"/>
  <c r="M770" i="4"/>
  <c r="M515" i="4"/>
  <c r="H328" i="4"/>
  <c r="G5045" i="4"/>
  <c r="I856" i="4"/>
  <c r="N873" i="4"/>
  <c r="G868" i="4"/>
  <c r="L849" i="4"/>
  <c r="M849" i="4" s="1"/>
  <c r="H762" i="4"/>
  <c r="I819" i="4"/>
  <c r="G843" i="4"/>
  <c r="H843" i="4" s="1"/>
  <c r="L860" i="4"/>
  <c r="M860" i="4" s="1"/>
  <c r="H347" i="4"/>
  <c r="N352" i="4"/>
  <c r="E5678" i="4"/>
  <c r="G5678" i="4" s="1"/>
  <c r="H5678" i="4" s="1"/>
  <c r="G5102" i="4"/>
  <c r="M364" i="4"/>
  <c r="P364" i="4"/>
  <c r="J5659" i="4"/>
  <c r="L5083" i="4"/>
  <c r="I946" i="4"/>
  <c r="N282" i="4"/>
  <c r="H5286" i="4"/>
  <c r="E5629" i="4"/>
  <c r="G5629" i="4" s="1"/>
  <c r="G5053" i="4"/>
  <c r="I5053" i="4" s="1"/>
  <c r="I297" i="4"/>
  <c r="G5132" i="4"/>
  <c r="H464" i="4"/>
  <c r="I814" i="4"/>
  <c r="N900" i="4"/>
  <c r="G931" i="4"/>
  <c r="H931" i="4" s="1"/>
  <c r="J5753" i="4"/>
  <c r="L4985" i="4"/>
  <c r="N4985" i="4" s="1"/>
  <c r="L867" i="4"/>
  <c r="I930" i="4"/>
  <c r="G885" i="4"/>
  <c r="H885" i="4" s="1"/>
  <c r="L878" i="4"/>
  <c r="M878" i="4" s="1"/>
  <c r="I774" i="4"/>
  <c r="N877" i="4"/>
  <c r="G860" i="4"/>
  <c r="J5653" i="4"/>
  <c r="L5653" i="4" s="1"/>
  <c r="L5077" i="4"/>
  <c r="I501" i="4"/>
  <c r="M949" i="4"/>
  <c r="N312" i="4"/>
  <c r="E5728" i="4"/>
  <c r="G5152" i="4"/>
  <c r="N3768" i="4"/>
  <c r="P4995" i="4"/>
  <c r="G5009" i="4"/>
  <c r="N5575" i="4"/>
  <c r="M5225" i="4"/>
  <c r="N799" i="4"/>
  <c r="M305" i="4"/>
  <c r="J5674" i="4"/>
  <c r="L5674" i="4" s="1"/>
  <c r="M5674" i="4" s="1"/>
  <c r="L5098" i="4"/>
  <c r="N507" i="4"/>
  <c r="L920" i="4"/>
  <c r="N920" i="4" s="1"/>
  <c r="M535" i="4"/>
  <c r="M286" i="4"/>
  <c r="M269" i="4"/>
  <c r="P269" i="4"/>
  <c r="J5632" i="4"/>
  <c r="L5632" i="4" s="1"/>
  <c r="L5056" i="4"/>
  <c r="J5694" i="4"/>
  <c r="L5694" i="4" s="1"/>
  <c r="N5694" i="4" s="1"/>
  <c r="L5310" i="4"/>
  <c r="J5688" i="4"/>
  <c r="L5688" i="4" s="1"/>
  <c r="L5112" i="4"/>
  <c r="M193" i="4"/>
  <c r="O193" i="4"/>
  <c r="N193" i="4"/>
  <c r="G809" i="4"/>
  <c r="I809" i="4" s="1"/>
  <c r="G5092" i="4"/>
  <c r="H5092" i="4" s="1"/>
  <c r="E5668" i="4"/>
  <c r="M273" i="4"/>
  <c r="G5067" i="4"/>
  <c r="P5067" i="4" s="1"/>
  <c r="L5084" i="4"/>
  <c r="J5660" i="4"/>
  <c r="L5660" i="4" s="1"/>
  <c r="I5275" i="4"/>
  <c r="K5623" i="4"/>
  <c r="H497" i="4"/>
  <c r="G5090" i="4"/>
  <c r="L5164" i="4"/>
  <c r="J5740" i="4"/>
  <c r="L5740" i="4" s="1"/>
  <c r="L847" i="4"/>
  <c r="M847" i="4" s="1"/>
  <c r="H365" i="4"/>
  <c r="L858" i="4"/>
  <c r="G817" i="4"/>
  <c r="I817" i="4" s="1"/>
  <c r="M339" i="4"/>
  <c r="I909" i="4"/>
  <c r="G816" i="4"/>
  <c r="H816" i="4" s="1"/>
  <c r="G887" i="4"/>
  <c r="E5731" i="4"/>
  <c r="G5731" i="4" s="1"/>
  <c r="G5155" i="4"/>
  <c r="L5091" i="4"/>
  <c r="E5685" i="4"/>
  <c r="G5685" i="4" s="1"/>
  <c r="I5685" i="4" s="1"/>
  <c r="G5109" i="4"/>
  <c r="G961" i="4"/>
  <c r="H961" i="4" s="1"/>
  <c r="J5678" i="4"/>
  <c r="L5678" i="4" s="1"/>
  <c r="L5102" i="4"/>
  <c r="I798" i="4"/>
  <c r="H5281" i="4"/>
  <c r="E5660" i="4"/>
  <c r="G5084" i="4"/>
  <c r="G916" i="4"/>
  <c r="I484" i="4"/>
  <c r="L5222" i="4"/>
  <c r="K5606" i="4"/>
  <c r="L5365" i="4"/>
  <c r="K5749" i="4"/>
  <c r="L908" i="4"/>
  <c r="N908" i="4" s="1"/>
  <c r="M363" i="4"/>
  <c r="L919" i="4"/>
  <c r="M919" i="4" s="1"/>
  <c r="L5086" i="4"/>
  <c r="M472" i="4"/>
  <c r="M369" i="4"/>
  <c r="J5645" i="4"/>
  <c r="L5069" i="4"/>
  <c r="M571" i="4"/>
  <c r="N539" i="4"/>
  <c r="G5609" i="4"/>
  <c r="H372" i="4"/>
  <c r="F5567" i="4"/>
  <c r="G5567" i="4" s="1"/>
  <c r="G767" i="4"/>
  <c r="G831" i="4"/>
  <c r="M365" i="4"/>
  <c r="P365" i="4"/>
  <c r="M272" i="4"/>
  <c r="K5728" i="4"/>
  <c r="H515" i="4"/>
  <c r="M352" i="4"/>
  <c r="M271" i="4"/>
  <c r="I5223" i="4"/>
  <c r="E5617" i="4"/>
  <c r="G5041" i="4"/>
  <c r="H5041" i="4" s="1"/>
  <c r="J5634" i="4"/>
  <c r="L5058" i="4"/>
  <c r="N257" i="4"/>
  <c r="G945" i="4"/>
  <c r="H945" i="4" s="1"/>
  <c r="E5616" i="4"/>
  <c r="G5616" i="4" s="1"/>
  <c r="H5616" i="4" s="1"/>
  <c r="G5040" i="4"/>
  <c r="H5040" i="4" s="1"/>
  <c r="F5639" i="4"/>
  <c r="H332" i="4"/>
  <c r="E5687" i="4"/>
  <c r="G5687" i="4" s="1"/>
  <c r="G5111" i="4"/>
  <c r="I481" i="4"/>
  <c r="N303" i="4"/>
  <c r="G919" i="4"/>
  <c r="H351" i="4"/>
  <c r="K5723" i="4"/>
  <c r="G873" i="4"/>
  <c r="H873" i="4" s="1"/>
  <c r="E5761" i="4"/>
  <c r="G4993" i="4"/>
  <c r="N289" i="4"/>
  <c r="G848" i="4"/>
  <c r="H848" i="4" s="1"/>
  <c r="J5734" i="4"/>
  <c r="L5734" i="4" s="1"/>
  <c r="M5734" i="4" s="1"/>
  <c r="L5158" i="4"/>
  <c r="P265" i="4"/>
  <c r="I520" i="4"/>
  <c r="H449" i="4"/>
  <c r="E5716" i="4"/>
  <c r="G5140" i="4"/>
  <c r="H5140" i="4" s="1"/>
  <c r="I493" i="4"/>
  <c r="G5151" i="4"/>
  <c r="I282" i="4"/>
  <c r="I524" i="4"/>
  <c r="M5523" i="4"/>
  <c r="L856" i="4"/>
  <c r="J5708" i="4"/>
  <c r="L5708" i="4" s="1"/>
  <c r="L5132" i="4"/>
  <c r="M378" i="4"/>
  <c r="L5044" i="4"/>
  <c r="N5361" i="4"/>
  <c r="J5676" i="4"/>
  <c r="L5676" i="4" s="1"/>
  <c r="L5100" i="4"/>
  <c r="I4988" i="4"/>
  <c r="E5656" i="4"/>
  <c r="G5080" i="4"/>
  <c r="J5649" i="4"/>
  <c r="L5073" i="4"/>
  <c r="N905" i="4"/>
  <c r="F5566" i="4"/>
  <c r="G5566" i="4" s="1"/>
  <c r="G766" i="4"/>
  <c r="E5631" i="4"/>
  <c r="G5631" i="4" s="1"/>
  <c r="I5631" i="4" s="1"/>
  <c r="G5055" i="4"/>
  <c r="L941" i="4"/>
  <c r="J5759" i="4"/>
  <c r="N916" i="4"/>
  <c r="G854" i="4"/>
  <c r="H854" i="4" s="1"/>
  <c r="L5139" i="4"/>
  <c r="N833" i="4"/>
  <c r="E5745" i="4"/>
  <c r="G5745" i="4" s="1"/>
  <c r="G5169" i="4"/>
  <c r="G875" i="4"/>
  <c r="H875" i="4" s="1"/>
  <c r="F5184" i="4"/>
  <c r="F960" i="4"/>
  <c r="I384" i="4"/>
  <c r="N879" i="4"/>
  <c r="G5143" i="4"/>
  <c r="E5719" i="4"/>
  <c r="G5719" i="4" s="1"/>
  <c r="P279" i="4"/>
  <c r="H377" i="4"/>
  <c r="G5718" i="4"/>
  <c r="N911" i="4"/>
  <c r="E5673" i="4"/>
  <c r="G5673" i="4" s="1"/>
  <c r="H5673" i="4" s="1"/>
  <c r="G5097" i="4"/>
  <c r="P290" i="4"/>
  <c r="G5072" i="4"/>
  <c r="I5072" i="4" s="1"/>
  <c r="E5648" i="4"/>
  <c r="G5648" i="4" s="1"/>
  <c r="L841" i="4"/>
  <c r="M841" i="4" s="1"/>
  <c r="I529" i="4"/>
  <c r="L5029" i="4"/>
  <c r="K5605" i="4"/>
  <c r="L887" i="4"/>
  <c r="M887" i="4" s="1"/>
  <c r="M292" i="4"/>
  <c r="P292" i="4"/>
  <c r="N545" i="4"/>
  <c r="N435" i="4"/>
  <c r="J5633" i="4"/>
  <c r="L5057" i="4"/>
  <c r="N820" i="4"/>
  <c r="N512" i="4"/>
  <c r="I832" i="4"/>
  <c r="M261" i="4"/>
  <c r="P261" i="4"/>
  <c r="F5373" i="4"/>
  <c r="G5373" i="4" s="1"/>
  <c r="I573" i="4"/>
  <c r="N5129" i="4"/>
  <c r="K5705" i="4"/>
  <c r="L5165" i="4"/>
  <c r="M5165" i="4" s="1"/>
  <c r="J5741" i="4"/>
  <c r="L848" i="4"/>
  <c r="M848" i="4" s="1"/>
  <c r="K5716" i="4"/>
  <c r="H533" i="4"/>
  <c r="E5654" i="4"/>
  <c r="G5654" i="4" s="1"/>
  <c r="G5078" i="4"/>
  <c r="J5647" i="4"/>
  <c r="L5647" i="4" s="1"/>
  <c r="L5071" i="4"/>
  <c r="I922" i="4"/>
  <c r="L957" i="4"/>
  <c r="M957" i="4" s="1"/>
  <c r="M380" i="4"/>
  <c r="P380" i="4"/>
  <c r="L846" i="4"/>
  <c r="E5746" i="4"/>
  <c r="G5746" i="4" s="1"/>
  <c r="G5170" i="4"/>
  <c r="I5170" i="4" s="1"/>
  <c r="P246" i="4"/>
  <c r="I367" i="4"/>
  <c r="H5353" i="4"/>
  <c r="E5675" i="4"/>
  <c r="G5675" i="4" s="1"/>
  <c r="G5099" i="4"/>
  <c r="L855" i="4"/>
  <c r="N855" i="4" s="1"/>
  <c r="M855" i="4"/>
  <c r="G861" i="4"/>
  <c r="I861" i="4" s="1"/>
  <c r="N374" i="4"/>
  <c r="P374" i="4"/>
  <c r="L866" i="4"/>
  <c r="M866" i="4" s="1"/>
  <c r="M440" i="4"/>
  <c r="K5665" i="4"/>
  <c r="G5255" i="4"/>
  <c r="H5255" i="4" s="1"/>
  <c r="P346" i="4"/>
  <c r="J5641" i="4"/>
  <c r="L5065" i="4"/>
  <c r="I538" i="4"/>
  <c r="N288" i="4"/>
  <c r="E5704" i="4"/>
  <c r="G5128" i="4"/>
  <c r="G5139" i="4"/>
  <c r="N534" i="4"/>
  <c r="I238" i="4"/>
  <c r="L823" i="4"/>
  <c r="M823" i="4" s="1"/>
  <c r="G950" i="4"/>
  <c r="I950" i="4" s="1"/>
  <c r="F5694" i="4"/>
  <c r="G5118" i="4"/>
  <c r="G5211" i="4"/>
  <c r="I5211" i="4" s="1"/>
  <c r="L5333" i="4"/>
  <c r="N5333" i="4" s="1"/>
  <c r="L5687" i="4"/>
  <c r="M5687" i="4" s="1"/>
  <c r="L5308" i="4"/>
  <c r="J5692" i="4"/>
  <c r="L5692" i="4" s="1"/>
  <c r="L850" i="4"/>
  <c r="M850" i="4" s="1"/>
  <c r="M357" i="4"/>
  <c r="P357" i="4"/>
  <c r="M245" i="4"/>
  <c r="P245" i="4"/>
  <c r="M766" i="4"/>
  <c r="N766" i="4"/>
  <c r="L937" i="4"/>
  <c r="M937" i="4" s="1"/>
  <c r="N574" i="4"/>
  <c r="I869" i="4"/>
  <c r="G938" i="4"/>
  <c r="H938" i="4" s="1"/>
  <c r="F5569" i="4"/>
  <c r="G5569" i="4" s="1"/>
  <c r="G769" i="4"/>
  <c r="H769" i="4" s="1"/>
  <c r="N849" i="4"/>
  <c r="E5644" i="4"/>
  <c r="G5068" i="4"/>
  <c r="J5730" i="4"/>
  <c r="L5154" i="4"/>
  <c r="L837" i="4"/>
  <c r="H434" i="4"/>
  <c r="I5276" i="4"/>
  <c r="F5372" i="4"/>
  <c r="G5372" i="4" s="1"/>
  <c r="L5072" i="4"/>
  <c r="J5648" i="4"/>
  <c r="L5648" i="4" s="1"/>
  <c r="G842" i="4"/>
  <c r="H842" i="4" s="1"/>
  <c r="J5728" i="4"/>
  <c r="L5152" i="4"/>
  <c r="N5152" i="4" s="1"/>
  <c r="M259" i="4"/>
  <c r="J5757" i="4"/>
  <c r="L4989" i="4"/>
  <c r="G934" i="4"/>
  <c r="I934" i="4" s="1"/>
  <c r="H934" i="4"/>
  <c r="E5733" i="4"/>
  <c r="G5157" i="4"/>
  <c r="G863" i="4"/>
  <c r="N514" i="4"/>
  <c r="N291" i="4"/>
  <c r="G5131" i="4"/>
  <c r="E5707" i="4"/>
  <c r="G5707" i="4" s="1"/>
  <c r="P5176" i="4"/>
  <c r="P5079" i="4"/>
  <c r="G5085" i="4"/>
  <c r="E5661" i="4"/>
  <c r="G5661" i="4" s="1"/>
  <c r="H5661" i="4" s="1"/>
  <c r="L5090" i="4"/>
  <c r="J5666" i="4"/>
  <c r="L5666" i="4" s="1"/>
  <c r="N853" i="4"/>
  <c r="H5243" i="4"/>
  <c r="E5636" i="4"/>
  <c r="G5636" i="4" s="1"/>
  <c r="G5060" i="4"/>
  <c r="L922" i="4"/>
  <c r="M922" i="4" s="1"/>
  <c r="M253" i="4"/>
  <c r="P253" i="4"/>
  <c r="G572" i="4"/>
  <c r="H572" i="4" s="1"/>
  <c r="E5750" i="4"/>
  <c r="G5750" i="4" s="1"/>
  <c r="H5750" i="4" s="1"/>
  <c r="G4982" i="4"/>
  <c r="N5261" i="4"/>
  <c r="K5185" i="4"/>
  <c r="L5185" i="4" s="1"/>
  <c r="L5074" i="4"/>
  <c r="J5650" i="4"/>
  <c r="L5650" i="4" s="1"/>
  <c r="M5650" i="4" s="1"/>
  <c r="M568" i="4"/>
  <c r="M333" i="4"/>
  <c r="P333" i="4"/>
  <c r="J5621" i="4"/>
  <c r="L5045" i="4"/>
  <c r="L5161" i="4"/>
  <c r="P5161" i="4" s="1"/>
  <c r="J5737" i="4"/>
  <c r="L5737" i="4" s="1"/>
  <c r="M5737" i="4" s="1"/>
  <c r="E5738" i="4"/>
  <c r="G5738" i="4" s="1"/>
  <c r="H5738" i="4" s="1"/>
  <c r="G5162" i="4"/>
  <c r="I5162" i="4" s="1"/>
  <c r="M342" i="4"/>
  <c r="J5637" i="4"/>
  <c r="L5061" i="4"/>
  <c r="J5760" i="4"/>
  <c r="M353" i="4"/>
  <c r="M260" i="4"/>
  <c r="P260" i="4"/>
  <c r="G5066" i="4"/>
  <c r="E5642" i="4"/>
  <c r="G5642" i="4" s="1"/>
  <c r="H5642" i="4" s="1"/>
  <c r="M340" i="4"/>
  <c r="P340" i="4"/>
  <c r="H444" i="4"/>
  <c r="E5734" i="4"/>
  <c r="G5734" i="4" s="1"/>
  <c r="G5158" i="4"/>
  <c r="L903" i="4"/>
  <c r="M903" i="4" s="1"/>
  <c r="J5622" i="4"/>
  <c r="L5046" i="4"/>
  <c r="G921" i="4"/>
  <c r="H921" i="4" s="1"/>
  <c r="G5087" i="4"/>
  <c r="E5663" i="4"/>
  <c r="G5663" i="4" s="1"/>
  <c r="G886" i="4"/>
  <c r="H886" i="4" s="1"/>
  <c r="I885" i="4"/>
  <c r="G849" i="4"/>
  <c r="H849" i="4" s="1"/>
  <c r="M359" i="4"/>
  <c r="M278" i="4"/>
  <c r="J5722" i="4"/>
  <c r="L5722" i="4" s="1"/>
  <c r="M5722" i="4" s="1"/>
  <c r="L5146" i="4"/>
  <c r="L5251" i="4"/>
  <c r="N5251" i="4" s="1"/>
  <c r="K5664" i="4"/>
  <c r="E5683" i="4"/>
  <c r="G5683" i="4" s="1"/>
  <c r="G5107" i="4"/>
  <c r="I5107" i="4" s="1"/>
  <c r="E5600" i="4"/>
  <c r="G5600" i="4" s="1"/>
  <c r="G5024" i="4"/>
  <c r="J5675" i="4"/>
  <c r="L5099" i="4"/>
  <c r="M5099" i="4" s="1"/>
  <c r="L838" i="4"/>
  <c r="N5289" i="4"/>
  <c r="P375" i="4"/>
  <c r="N375" i="4"/>
  <c r="K5377" i="4"/>
  <c r="N577" i="4"/>
  <c r="J5664" i="4"/>
  <c r="L5088" i="4"/>
  <c r="I857" i="4"/>
  <c r="G926" i="4"/>
  <c r="H926" i="4" s="1"/>
  <c r="G956" i="4"/>
  <c r="E5632" i="4"/>
  <c r="G5056" i="4"/>
  <c r="L192" i="4"/>
  <c r="K4992" i="4"/>
  <c r="K960" i="4"/>
  <c r="N872" i="4"/>
  <c r="L836" i="4"/>
  <c r="N836" i="4" s="1"/>
  <c r="M836" i="4"/>
  <c r="I923" i="4"/>
  <c r="G830" i="4"/>
  <c r="I830" i="4" s="1"/>
  <c r="F5710" i="4"/>
  <c r="N363" i="4"/>
  <c r="H453" i="4"/>
  <c r="J5756" i="4"/>
  <c r="I864" i="4"/>
  <c r="N809" i="4"/>
  <c r="E5721" i="4"/>
  <c r="G5721" i="4" s="1"/>
  <c r="H5721" i="4" s="1"/>
  <c r="G5145" i="4"/>
  <c r="L955" i="4"/>
  <c r="M955" i="4" s="1"/>
  <c r="G806" i="4"/>
  <c r="I806" i="4" s="1"/>
  <c r="P337" i="4"/>
  <c r="G5110" i="4"/>
  <c r="E5686" i="4"/>
  <c r="G5686" i="4" s="1"/>
  <c r="H5686" i="4" s="1"/>
  <c r="N899" i="4"/>
  <c r="E5649" i="4"/>
  <c r="G5073" i="4"/>
  <c r="G5048" i="4"/>
  <c r="E5624" i="4"/>
  <c r="G5624" i="4" s="1"/>
  <c r="H5624" i="4" s="1"/>
  <c r="J5629" i="4"/>
  <c r="L5053" i="4"/>
  <c r="N5053" i="4" s="1"/>
  <c r="N264" i="4"/>
  <c r="N263" i="4"/>
  <c r="E5748" i="4"/>
  <c r="G5748" i="4" s="1"/>
  <c r="G4980" i="4"/>
  <c r="I834" i="4"/>
  <c r="L5062" i="4"/>
  <c r="J5638" i="4"/>
  <c r="L5638" i="4" s="1"/>
  <c r="M5638" i="4" s="1"/>
  <c r="N898" i="4"/>
  <c r="P5149" i="4"/>
  <c r="L896" i="4"/>
  <c r="N896" i="4" s="1"/>
  <c r="N355" i="4"/>
  <c r="G5150" i="4"/>
  <c r="E5726" i="4"/>
  <c r="G5726" i="4" s="1"/>
  <c r="E5756" i="4"/>
  <c r="G4988" i="4"/>
  <c r="H4988" i="4" s="1"/>
  <c r="G820" i="4"/>
  <c r="G936" i="4"/>
  <c r="H936" i="4" s="1"/>
  <c r="J5729" i="4"/>
  <c r="L5153" i="4"/>
  <c r="L5060" i="4"/>
  <c r="J5636" i="4"/>
  <c r="L5636" i="4" s="1"/>
  <c r="I443" i="4"/>
  <c r="F5723" i="4"/>
  <c r="I5147" i="4"/>
  <c r="N307" i="4"/>
  <c r="G5054" i="4"/>
  <c r="I5054" i="4" s="1"/>
  <c r="E5630" i="4"/>
  <c r="G5630" i="4" s="1"/>
  <c r="H5630" i="4" s="1"/>
  <c r="H5054" i="4"/>
  <c r="J5716" i="4"/>
  <c r="L5716" i="4" s="1"/>
  <c r="M5716" i="4" s="1"/>
  <c r="L5140" i="4"/>
  <c r="J5635" i="4"/>
  <c r="L5635" i="4" s="1"/>
  <c r="M5635" i="4" s="1"/>
  <c r="L5059" i="4"/>
  <c r="G5146" i="4"/>
  <c r="I5146" i="4" s="1"/>
  <c r="E5722" i="4"/>
  <c r="G5722" i="4" s="1"/>
  <c r="K4988" i="4"/>
  <c r="K956" i="4"/>
  <c r="L956" i="4" s="1"/>
  <c r="M956" i="4" s="1"/>
  <c r="H525" i="4"/>
  <c r="G909" i="4"/>
  <c r="H909" i="4" s="1"/>
  <c r="J5755" i="4"/>
  <c r="L5755" i="4" s="1"/>
  <c r="L4987" i="4"/>
  <c r="E5606" i="4"/>
  <c r="G5606" i="4" s="1"/>
  <c r="H5606" i="4" s="1"/>
  <c r="G5222" i="4"/>
  <c r="E5651" i="4"/>
  <c r="G5651" i="4" s="1"/>
  <c r="G5075" i="4"/>
  <c r="N953" i="4"/>
  <c r="G874" i="4"/>
  <c r="H874" i="4" s="1"/>
  <c r="M360" i="4"/>
  <c r="L935" i="4"/>
  <c r="M935" i="4" s="1"/>
  <c r="L854" i="4"/>
  <c r="M854" i="4" s="1"/>
  <c r="N841" i="4"/>
  <c r="H5231" i="4"/>
  <c r="G812" i="4"/>
  <c r="E5671" i="4"/>
  <c r="G5095" i="4"/>
  <c r="F5377" i="4"/>
  <c r="G577" i="4"/>
  <c r="H577" i="4" s="1"/>
  <c r="I577" i="4"/>
  <c r="E5682" i="4"/>
  <c r="G5682" i="4" s="1"/>
  <c r="G5106" i="4"/>
  <c r="F957" i="4"/>
  <c r="N4746" i="4"/>
  <c r="I5578" i="4"/>
  <c r="O4839" i="4"/>
  <c r="M4839" i="4"/>
  <c r="J5597" i="4"/>
  <c r="L5021" i="4"/>
  <c r="F5601" i="4"/>
  <c r="G5601" i="4" s="1"/>
  <c r="H5601" i="4" s="1"/>
  <c r="G5025" i="4"/>
  <c r="J5693" i="4"/>
  <c r="L5117" i="4"/>
  <c r="J5585" i="4"/>
  <c r="I5414" i="4"/>
  <c r="N932" i="4"/>
  <c r="J5663" i="4"/>
  <c r="L5663" i="4" s="1"/>
  <c r="M5663" i="4" s="1"/>
  <c r="L5087" i="4"/>
  <c r="N5087" i="4" s="1"/>
  <c r="N479" i="4"/>
  <c r="N931" i="4"/>
  <c r="N471" i="4"/>
  <c r="L382" i="4"/>
  <c r="L938" i="4"/>
  <c r="M938" i="4" s="1"/>
  <c r="L913" i="4"/>
  <c r="N913" i="4" s="1"/>
  <c r="N800" i="4"/>
  <c r="I845" i="4"/>
  <c r="N331" i="4"/>
  <c r="N825" i="4"/>
  <c r="L5142" i="4"/>
  <c r="J5718" i="4"/>
  <c r="L5718" i="4" s="1"/>
  <c r="N5718" i="4" s="1"/>
  <c r="M249" i="4"/>
  <c r="G5160" i="4"/>
  <c r="E5736" i="4"/>
  <c r="G5736" i="4" s="1"/>
  <c r="M341" i="4"/>
  <c r="P341" i="4"/>
  <c r="M248" i="4"/>
  <c r="N883" i="4"/>
  <c r="H763" i="4"/>
  <c r="G818" i="4"/>
  <c r="H818" i="4" s="1"/>
  <c r="L927" i="4"/>
  <c r="N246" i="4"/>
  <c r="G910" i="4"/>
  <c r="I910" i="4" s="1"/>
  <c r="P306" i="4"/>
  <c r="P234" i="4"/>
  <c r="M233" i="4"/>
  <c r="P233" i="4"/>
  <c r="I535" i="4"/>
  <c r="E5709" i="4"/>
  <c r="G5709" i="4" s="1"/>
  <c r="H5709" i="4" s="1"/>
  <c r="G5133" i="4"/>
  <c r="I944" i="4"/>
  <c r="E5674" i="4"/>
  <c r="G5674" i="4" s="1"/>
  <c r="H5674" i="4" s="1"/>
  <c r="G5098" i="4"/>
  <c r="L5160" i="4"/>
  <c r="J5736" i="4"/>
  <c r="L5736" i="4" s="1"/>
  <c r="G837" i="4"/>
  <c r="I837" i="4" s="1"/>
  <c r="J5735" i="4"/>
  <c r="L5159" i="4"/>
  <c r="J5654" i="4"/>
  <c r="L5654" i="4" s="1"/>
  <c r="L5078" i="4"/>
  <c r="K5641" i="4"/>
  <c r="G5036" i="4"/>
  <c r="E5612" i="4"/>
  <c r="G5612" i="4" s="1"/>
  <c r="L910" i="4"/>
  <c r="K5640" i="4"/>
  <c r="G859" i="4"/>
  <c r="H859" i="4" s="1"/>
  <c r="G870" i="4"/>
  <c r="I870" i="4" s="1"/>
  <c r="E5757" i="4"/>
  <c r="G4989" i="4"/>
  <c r="L894" i="4"/>
  <c r="I363" i="4"/>
  <c r="I246" i="4"/>
  <c r="H4983" i="4"/>
  <c r="E5594" i="4"/>
  <c r="G5594" i="4" s="1"/>
  <c r="H5594" i="4" s="1"/>
  <c r="G5018" i="4"/>
  <c r="G5394" i="4"/>
  <c r="J5609" i="4"/>
  <c r="L5033" i="4"/>
  <c r="K5184" i="4"/>
  <c r="L5184" i="4" s="1"/>
  <c r="N384" i="4"/>
  <c r="L826" i="4"/>
  <c r="N826" i="4" s="1"/>
  <c r="L5162" i="4"/>
  <c r="J5738" i="4"/>
  <c r="L5738" i="4" s="1"/>
  <c r="M263" i="4"/>
  <c r="J5713" i="4"/>
  <c r="L5713" i="4" s="1"/>
  <c r="L5137" i="4"/>
  <c r="L897" i="4"/>
  <c r="M527" i="4"/>
  <c r="L5312" i="4"/>
  <c r="N895" i="4"/>
  <c r="M264" i="4"/>
  <c r="N298" i="4"/>
  <c r="E5714" i="4"/>
  <c r="G5714" i="4" s="1"/>
  <c r="G5138" i="4"/>
  <c r="N249" i="4"/>
  <c r="H477" i="4"/>
  <c r="J5625" i="4"/>
  <c r="L5049" i="4"/>
  <c r="G5724" i="4"/>
  <c r="L917" i="4"/>
  <c r="M917" i="4" s="1"/>
  <c r="I5135" i="4"/>
  <c r="F5711" i="4"/>
  <c r="F5565" i="4"/>
  <c r="I765" i="4"/>
  <c r="G5042" i="4"/>
  <c r="E5618" i="4"/>
  <c r="G5618" i="4" s="1"/>
  <c r="H5618" i="4" s="1"/>
  <c r="P328" i="4"/>
  <c r="P247" i="4"/>
  <c r="N351" i="4"/>
  <c r="L822" i="4"/>
  <c r="E5710" i="4"/>
  <c r="G5134" i="4"/>
  <c r="H5134" i="4" s="1"/>
  <c r="L5106" i="4"/>
  <c r="J5682" i="4"/>
  <c r="J5610" i="4"/>
  <c r="L5034" i="4"/>
  <c r="H544" i="4"/>
  <c r="F5652" i="4"/>
  <c r="I5076" i="4"/>
  <c r="G888" i="4"/>
  <c r="H888" i="4" s="1"/>
  <c r="H455" i="4"/>
  <c r="G5063" i="4"/>
  <c r="E5639" i="4"/>
  <c r="H564" i="4"/>
  <c r="I907" i="4"/>
  <c r="L912" i="4"/>
  <c r="K5655" i="4"/>
  <c r="L5655" i="4" s="1"/>
  <c r="M5655" i="4" s="1"/>
  <c r="G862" i="4"/>
  <c r="I862" i="4" s="1"/>
  <c r="H862" i="4"/>
  <c r="M348" i="4"/>
  <c r="P348" i="4"/>
  <c r="P255" i="4"/>
  <c r="N878" i="4"/>
  <c r="E5637" i="4"/>
  <c r="G5637" i="4" s="1"/>
  <c r="I5637" i="4" s="1"/>
  <c r="G5061" i="4"/>
  <c r="N946" i="4"/>
  <c r="N829" i="4"/>
  <c r="H547" i="4"/>
  <c r="F5180" i="4"/>
  <c r="F5756" i="4" s="1"/>
  <c r="I380" i="4"/>
  <c r="J5710" i="4"/>
  <c r="L5710" i="4" s="1"/>
  <c r="M5710" i="4" s="1"/>
  <c r="L5134" i="4"/>
  <c r="E5659" i="4"/>
  <c r="G5083" i="4"/>
  <c r="N251" i="4"/>
  <c r="G5094" i="4"/>
  <c r="E5670" i="4"/>
  <c r="G5670" i="4" s="1"/>
  <c r="H5670" i="4" s="1"/>
  <c r="I939" i="4"/>
  <c r="I822" i="4"/>
  <c r="G574" i="4"/>
  <c r="M4314" i="4"/>
  <c r="M5439" i="4"/>
  <c r="G5306" i="4"/>
  <c r="J5651" i="4"/>
  <c r="L5075" i="4"/>
  <c r="L943" i="4"/>
  <c r="M943" i="4" s="1"/>
  <c r="J5626" i="4"/>
  <c r="L5626" i="4" s="1"/>
  <c r="M5626" i="4" s="1"/>
  <c r="L5050" i="4"/>
  <c r="L926" i="4"/>
  <c r="M926" i="4" s="1"/>
  <c r="L901" i="4"/>
  <c r="N901" i="4" s="1"/>
  <c r="J5697" i="4"/>
  <c r="L5697" i="4" s="1"/>
  <c r="L5313" i="4"/>
  <c r="N286" i="4"/>
  <c r="G902" i="4"/>
  <c r="H902" i="4" s="1"/>
  <c r="H5176" i="4"/>
  <c r="N5049" i="4"/>
  <c r="E5620" i="4"/>
  <c r="G5044" i="4"/>
  <c r="M237" i="4"/>
  <c r="P237" i="4"/>
  <c r="G5148" i="4"/>
  <c r="J5717" i="4"/>
  <c r="L5141" i="4"/>
  <c r="L824" i="4"/>
  <c r="M824" i="4" s="1"/>
  <c r="I899" i="4"/>
  <c r="N871" i="4"/>
  <c r="L904" i="4"/>
  <c r="J5623" i="4"/>
  <c r="L5623" i="4" s="1"/>
  <c r="M5623" i="4" s="1"/>
  <c r="L5047" i="4"/>
  <c r="P5047" i="4" s="1"/>
  <c r="G889" i="4"/>
  <c r="H889" i="4" s="1"/>
  <c r="H236" i="4"/>
  <c r="I840" i="4"/>
  <c r="E5688" i="4"/>
  <c r="G5688" i="4" s="1"/>
  <c r="H5688" i="4" s="1"/>
  <c r="G5112" i="4"/>
  <c r="G866" i="4"/>
  <c r="H866" i="4" s="1"/>
  <c r="G827" i="4"/>
  <c r="H827" i="4" s="1"/>
  <c r="I914" i="4"/>
  <c r="N267" i="4"/>
  <c r="E5662" i="4"/>
  <c r="G5662" i="4" s="1"/>
  <c r="G5086" i="4"/>
  <c r="I5086" i="4" s="1"/>
  <c r="L924" i="4"/>
  <c r="M924" i="4" s="1"/>
  <c r="L831" i="4"/>
  <c r="M831" i="4" s="1"/>
  <c r="H439" i="4"/>
  <c r="P347" i="4"/>
  <c r="P266" i="4"/>
  <c r="K5629" i="4"/>
  <c r="G941" i="4"/>
  <c r="H941" i="4" s="1"/>
  <c r="L5041" i="4"/>
  <c r="J5617" i="4"/>
  <c r="L5617" i="4" s="1"/>
  <c r="M5617" i="4" s="1"/>
  <c r="G847" i="4"/>
  <c r="N827" i="4"/>
  <c r="G858" i="4"/>
  <c r="H858" i="4" s="1"/>
  <c r="M4983" i="4"/>
  <c r="G5703" i="4"/>
  <c r="J5696" i="4"/>
  <c r="L5696" i="4" s="1"/>
  <c r="L5120" i="4"/>
  <c r="N376" i="4"/>
  <c r="P376" i="4"/>
  <c r="J5743" i="4"/>
  <c r="L5743" i="4" s="1"/>
  <c r="L5167" i="4"/>
  <c r="L814" i="4"/>
  <c r="K5183" i="4"/>
  <c r="N383" i="4"/>
  <c r="J5726" i="4"/>
  <c r="L5726" i="4" s="1"/>
  <c r="L5150" i="4"/>
  <c r="M239" i="4"/>
  <c r="L5338" i="4"/>
  <c r="N5338" i="4" s="1"/>
  <c r="L5125" i="4"/>
  <c r="P5125" i="4" s="1"/>
  <c r="J5701" i="4"/>
  <c r="L5701" i="4" s="1"/>
  <c r="M5701" i="4" s="1"/>
  <c r="M252" i="4"/>
  <c r="P252" i="4"/>
  <c r="L881" i="4"/>
  <c r="M881" i="4" s="1"/>
  <c r="N478" i="4"/>
  <c r="L5064" i="4"/>
  <c r="J5640" i="4"/>
  <c r="N274" i="4"/>
  <c r="E5702" i="4"/>
  <c r="G5702" i="4" s="1"/>
  <c r="H5702" i="4" s="1"/>
  <c r="G5126" i="4"/>
  <c r="I937" i="4"/>
  <c r="K961" i="4"/>
  <c r="P330" i="4"/>
  <c r="L813" i="4"/>
  <c r="N848" i="4"/>
  <c r="G912" i="4"/>
  <c r="H912" i="4" s="1"/>
  <c r="L5048" i="4"/>
  <c r="J5624" i="4"/>
  <c r="L5624" i="4" s="1"/>
  <c r="N295" i="4"/>
  <c r="J5704" i="4"/>
  <c r="L5704" i="4" s="1"/>
  <c r="L5128" i="4"/>
  <c r="I865" i="4"/>
  <c r="N339" i="4"/>
  <c r="L810" i="4"/>
  <c r="E5689" i="4"/>
  <c r="G5689" i="4" s="1"/>
  <c r="G5113" i="4"/>
  <c r="H247" i="4"/>
  <c r="H563" i="4"/>
  <c r="G876" i="4"/>
  <c r="F5732" i="4"/>
  <c r="L954" i="4"/>
  <c r="E5627" i="4"/>
  <c r="G5627" i="4" s="1"/>
  <c r="G5051" i="4"/>
  <c r="I886" i="4"/>
  <c r="G850" i="4"/>
  <c r="H850" i="4" s="1"/>
  <c r="L5148" i="4"/>
  <c r="J5724" i="4"/>
  <c r="L5724" i="4" s="1"/>
  <c r="M255" i="4"/>
  <c r="I849" i="4"/>
  <c r="N290" i="4"/>
  <c r="G825" i="4"/>
  <c r="I825" i="4" s="1"/>
  <c r="L923" i="4"/>
  <c r="M923" i="4" s="1"/>
  <c r="L5066" i="4"/>
  <c r="I824" i="4"/>
  <c r="N241" i="4"/>
  <c r="P313" i="4"/>
  <c r="I811" i="4"/>
  <c r="H557" i="4"/>
  <c r="E5647" i="4"/>
  <c r="G5071" i="4"/>
  <c r="E5658" i="4"/>
  <c r="G5658" i="4" s="1"/>
  <c r="G5082" i="4"/>
  <c r="I810" i="4"/>
  <c r="G959" i="4"/>
  <c r="H959" i="4" s="1"/>
  <c r="G953" i="4"/>
  <c r="H953" i="4" s="1"/>
  <c r="N4645" i="4"/>
  <c r="E5586" i="4"/>
  <c r="G5010" i="4"/>
  <c r="J5639" i="4"/>
  <c r="L5639" i="4" s="1"/>
  <c r="L5063" i="4"/>
  <c r="M355" i="4"/>
  <c r="J5614" i="4"/>
  <c r="L5614" i="4" s="1"/>
  <c r="M5614" i="4" s="1"/>
  <c r="L5038" i="4"/>
  <c r="L942" i="4"/>
  <c r="L914" i="4"/>
  <c r="N914" i="4" s="1"/>
  <c r="N311" i="4"/>
  <c r="M251" i="4"/>
  <c r="L5104" i="4"/>
  <c r="M300" i="4"/>
  <c r="P300" i="4"/>
  <c r="M276" i="4"/>
  <c r="P276" i="4"/>
  <c r="I795" i="4"/>
  <c r="I833" i="4"/>
  <c r="G881" i="4"/>
  <c r="I881" i="4" s="1"/>
  <c r="L385" i="4"/>
  <c r="I5161" i="4"/>
  <c r="F5737" i="4"/>
  <c r="K5761" i="4"/>
  <c r="L5130" i="4"/>
  <c r="J5706" i="4"/>
  <c r="L5706" i="4" s="1"/>
  <c r="M5706" i="4" s="1"/>
  <c r="J5613" i="4"/>
  <c r="L5037" i="4"/>
  <c r="N272" i="4"/>
  <c r="E5712" i="4"/>
  <c r="G5712" i="4" s="1"/>
  <c r="H5712" i="4" s="1"/>
  <c r="G5136" i="4"/>
  <c r="L191" i="4"/>
  <c r="K4991" i="4"/>
  <c r="L4991" i="4" s="1"/>
  <c r="K959" i="4"/>
  <c r="L959" i="4" s="1"/>
  <c r="M959" i="4" s="1"/>
  <c r="P329" i="4"/>
  <c r="M236" i="4"/>
  <c r="P236" i="4"/>
  <c r="I878" i="4"/>
  <c r="L5258" i="4"/>
  <c r="N5258" i="4" s="1"/>
  <c r="M307" i="4"/>
  <c r="L811" i="4"/>
  <c r="M811" i="4" s="1"/>
  <c r="F5665" i="4"/>
  <c r="I5089" i="4"/>
  <c r="N234" i="4"/>
  <c r="G877" i="4"/>
  <c r="I877" i="4" s="1"/>
  <c r="P294" i="4"/>
  <c r="E5676" i="4"/>
  <c r="G5676" i="4" s="1"/>
  <c r="H5676" i="4" s="1"/>
  <c r="G5100" i="4"/>
  <c r="I920" i="4"/>
  <c r="G815" i="4"/>
  <c r="M377" i="4"/>
  <c r="G5074" i="4"/>
  <c r="E5650" i="4"/>
  <c r="G5650" i="4" s="1"/>
  <c r="M336" i="4"/>
  <c r="L5055" i="4"/>
  <c r="N866" i="4"/>
  <c r="E5625" i="4"/>
  <c r="G5625" i="4" s="1"/>
  <c r="H5625" i="4" s="1"/>
  <c r="G5049" i="4"/>
  <c r="J5723" i="4"/>
  <c r="L5723" i="4" s="1"/>
  <c r="M5723" i="4" s="1"/>
  <c r="L5147" i="4"/>
  <c r="N5147" i="4" s="1"/>
  <c r="M254" i="4"/>
  <c r="N358" i="4"/>
  <c r="N817" i="4"/>
  <c r="G929" i="4"/>
  <c r="I929" i="4" s="1"/>
  <c r="L889" i="4"/>
  <c r="M889" i="4" s="1"/>
  <c r="N369" i="4"/>
  <c r="N240" i="4"/>
  <c r="I568" i="4"/>
  <c r="H568" i="4"/>
  <c r="G835" i="4"/>
  <c r="H835" i="4" s="1"/>
  <c r="N239" i="4"/>
  <c r="G846" i="4"/>
  <c r="I846" i="4" s="1"/>
  <c r="I5253" i="4"/>
  <c r="E5759" i="4"/>
  <c r="G4991" i="4"/>
  <c r="H4991" i="4" s="1"/>
  <c r="G4985" i="4"/>
  <c r="N5739" i="4"/>
  <c r="M5739" i="4"/>
  <c r="M5694" i="4"/>
  <c r="M5103" i="4"/>
  <c r="N5103" i="4"/>
  <c r="N5007" i="4"/>
  <c r="M5007" i="4"/>
  <c r="P5007" i="4"/>
  <c r="M5547" i="4"/>
  <c r="N5586" i="4"/>
  <c r="N5709" i="4"/>
  <c r="M4851" i="4"/>
  <c r="N4851" i="4"/>
  <c r="M4911" i="4"/>
  <c r="N5642" i="4"/>
  <c r="N5701" i="4"/>
  <c r="M4947" i="4"/>
  <c r="M5463" i="4"/>
  <c r="M5451" i="4"/>
  <c r="N5163" i="4"/>
  <c r="P5163" i="4"/>
  <c r="N5658" i="4"/>
  <c r="N5581" i="4"/>
  <c r="N5742" i="4"/>
  <c r="N5067" i="4"/>
  <c r="M5499" i="4"/>
  <c r="N5754" i="4"/>
  <c r="M5247" i="4"/>
  <c r="M5559" i="4"/>
  <c r="M5511" i="4"/>
  <c r="M4923" i="4"/>
  <c r="M5223" i="4"/>
  <c r="M5475" i="4"/>
  <c r="M5067" i="4"/>
  <c r="O4923" i="4"/>
  <c r="O4947" i="4"/>
  <c r="N5608" i="4"/>
  <c r="M5427" i="4"/>
  <c r="N5720" i="4"/>
  <c r="M5487" i="4"/>
  <c r="I5643" i="4"/>
  <c r="H5643" i="4"/>
  <c r="H5225" i="4"/>
  <c r="H5575" i="4"/>
  <c r="H5273" i="4"/>
  <c r="I5738" i="4"/>
  <c r="H4997" i="4"/>
  <c r="I4997" i="4"/>
  <c r="P4997" i="4"/>
  <c r="P5057" i="4"/>
  <c r="H5297" i="4"/>
  <c r="P5009" i="4"/>
  <c r="H5321" i="4"/>
  <c r="I5591" i="4"/>
  <c r="H5345" i="4"/>
  <c r="H5357" i="4"/>
  <c r="I5603" i="4"/>
  <c r="H5405" i="4"/>
  <c r="G5715" i="4"/>
  <c r="H5417" i="4"/>
  <c r="I5754" i="4"/>
  <c r="H5685" i="4"/>
  <c r="H5021" i="4"/>
  <c r="P5177" i="4"/>
  <c r="H5033" i="4"/>
  <c r="H5501" i="4"/>
  <c r="H5525" i="4"/>
  <c r="I5661" i="4"/>
  <c r="H5537" i="4"/>
  <c r="I5686" i="4"/>
  <c r="I5602" i="4"/>
  <c r="H5189" i="4"/>
  <c r="H5561" i="4"/>
  <c r="I5712" i="4"/>
  <c r="P5129" i="4"/>
  <c r="I5129" i="4"/>
  <c r="H5201" i="4"/>
  <c r="I5601" i="4"/>
  <c r="H5177" i="4"/>
  <c r="H5213" i="4"/>
  <c r="I5667" i="4"/>
  <c r="H5667" i="4"/>
  <c r="I5655" i="4"/>
  <c r="H4851" i="4"/>
  <c r="O4851" i="4"/>
  <c r="I5697" i="4"/>
  <c r="I4935" i="4"/>
  <c r="H4935" i="4"/>
  <c r="H5589" i="4"/>
  <c r="O4911" i="4"/>
  <c r="H4911" i="4"/>
  <c r="I5572" i="4"/>
  <c r="H5706" i="4"/>
  <c r="H4923" i="4"/>
  <c r="I4827" i="4"/>
  <c r="H4827" i="4"/>
  <c r="I5673" i="4"/>
  <c r="H4947" i="4"/>
  <c r="I5624" i="4"/>
  <c r="I4851" i="4"/>
  <c r="O4983" i="4"/>
  <c r="G5691" i="4"/>
  <c r="I4875" i="4"/>
  <c r="I4899" i="4"/>
  <c r="I5574" i="4"/>
  <c r="I4911" i="4"/>
  <c r="O4899" i="4"/>
  <c r="I5634" i="4"/>
  <c r="I5698" i="4"/>
  <c r="I4947" i="4"/>
  <c r="I5677" i="4"/>
  <c r="M4791" i="4"/>
  <c r="N4791" i="4"/>
  <c r="M4740" i="4"/>
  <c r="N4740" i="4"/>
  <c r="N4664" i="4"/>
  <c r="N4762" i="4"/>
  <c r="N4681" i="4"/>
  <c r="M4692" i="4"/>
  <c r="N4727" i="4"/>
  <c r="N4643" i="4"/>
  <c r="N4688" i="4"/>
  <c r="N4667" i="4"/>
  <c r="N4736" i="4"/>
  <c r="N4734" i="4"/>
  <c r="N4753" i="4"/>
  <c r="M4702" i="4"/>
  <c r="N4790" i="4"/>
  <c r="M4790" i="4"/>
  <c r="N4793" i="4"/>
  <c r="M4793" i="4"/>
  <c r="N4623" i="4"/>
  <c r="M4623" i="4"/>
  <c r="N4776" i="4"/>
  <c r="N4741" i="4"/>
  <c r="N4775" i="4"/>
  <c r="N4796" i="4"/>
  <c r="N4703" i="4"/>
  <c r="N4647" i="4"/>
  <c r="N4771" i="4"/>
  <c r="N4783" i="4"/>
  <c r="M4758" i="4"/>
  <c r="N4782" i="4"/>
  <c r="L4794" i="4"/>
  <c r="M4794" i="4" s="1"/>
  <c r="N4770" i="4"/>
  <c r="M4674" i="4"/>
  <c r="N4700" i="4"/>
  <c r="M4768" i="4"/>
  <c r="M4685" i="4"/>
  <c r="N4406" i="4"/>
  <c r="N4701" i="4"/>
  <c r="M4326" i="4"/>
  <c r="M4795" i="4"/>
  <c r="N4795" i="4"/>
  <c r="N4661" i="4"/>
  <c r="P4059" i="4"/>
  <c r="M4059" i="4"/>
  <c r="N4220" i="4"/>
  <c r="M4220" i="4"/>
  <c r="N4221" i="4"/>
  <c r="L4797" i="4"/>
  <c r="M4797" i="4" s="1"/>
  <c r="M4143" i="4"/>
  <c r="M4722" i="4"/>
  <c r="P4106" i="4"/>
  <c r="M4106" i="4"/>
  <c r="L4658" i="4"/>
  <c r="M4658" i="4" s="1"/>
  <c r="M4660" i="4"/>
  <c r="N4683" i="4"/>
  <c r="N4731" i="4"/>
  <c r="N4786" i="4"/>
  <c r="N4613" i="4"/>
  <c r="M4160" i="4"/>
  <c r="N4143" i="4"/>
  <c r="N4699" i="4"/>
  <c r="N4774" i="4"/>
  <c r="N4095" i="4"/>
  <c r="M4642" i="4"/>
  <c r="N4059" i="4"/>
  <c r="N4689" i="4"/>
  <c r="N4641" i="4"/>
  <c r="N4119" i="4"/>
  <c r="N4739" i="4"/>
  <c r="M4629" i="4"/>
  <c r="N4130" i="4"/>
  <c r="N4106" i="4"/>
  <c r="N4755" i="4"/>
  <c r="N4679" i="4"/>
  <c r="N4224" i="4"/>
  <c r="N4652" i="4"/>
  <c r="N4653" i="4"/>
  <c r="N4614" i="4"/>
  <c r="N4800" i="4"/>
  <c r="M4666" i="4"/>
  <c r="M4626" i="4"/>
  <c r="M4694" i="4"/>
  <c r="M4047" i="4"/>
  <c r="P4047" i="4"/>
  <c r="N4711" i="4"/>
  <c r="N4686" i="4"/>
  <c r="N4638" i="4"/>
  <c r="M4769" i="4"/>
  <c r="N4735" i="4"/>
  <c r="N4710" i="4"/>
  <c r="N4665" i="4"/>
  <c r="N4763" i="4"/>
  <c r="N4798" i="4"/>
  <c r="N4759" i="4"/>
  <c r="N4675" i="4"/>
  <c r="N4687" i="4"/>
  <c r="N4618" i="4"/>
  <c r="N4730" i="4"/>
  <c r="M4698" i="4"/>
  <c r="N4706" i="4"/>
  <c r="N4619" i="4"/>
  <c r="M4650" i="4"/>
  <c r="M4682" i="4"/>
  <c r="N4671" i="4"/>
  <c r="M4646" i="4"/>
  <c r="H4793" i="4"/>
  <c r="I4793" i="4"/>
  <c r="G4722" i="4"/>
  <c r="H4722" i="4" s="1"/>
  <c r="I4618" i="4"/>
  <c r="I4706" i="4"/>
  <c r="I4778" i="4"/>
  <c r="I4625" i="4"/>
  <c r="I4769" i="4"/>
  <c r="I4611" i="4"/>
  <c r="I4697" i="4"/>
  <c r="H4716" i="4"/>
  <c r="I4703" i="4"/>
  <c r="I4726" i="4"/>
  <c r="H4734" i="4"/>
  <c r="I4734" i="4"/>
  <c r="I4782" i="4"/>
  <c r="I4644" i="4"/>
  <c r="I4626" i="4"/>
  <c r="H4699" i="4"/>
  <c r="I4786" i="4"/>
  <c r="I4619" i="4"/>
  <c r="I4760" i="4"/>
  <c r="I4763" i="4"/>
  <c r="I4771" i="4"/>
  <c r="H4633" i="4"/>
  <c r="I4676" i="4"/>
  <c r="I4394" i="4"/>
  <c r="I4610" i="4"/>
  <c r="I4250" i="4"/>
  <c r="H4250" i="4"/>
  <c r="I4636" i="4"/>
  <c r="H4287" i="4"/>
  <c r="H4695" i="4"/>
  <c r="I4797" i="4"/>
  <c r="H4797" i="4"/>
  <c r="H4795" i="4"/>
  <c r="I4795" i="4"/>
  <c r="I4712" i="4"/>
  <c r="H4623" i="4"/>
  <c r="I4688" i="4"/>
  <c r="P4185" i="4"/>
  <c r="I4223" i="4"/>
  <c r="I4221" i="4"/>
  <c r="I4775" i="4"/>
  <c r="I4635" i="4"/>
  <c r="I4758" i="4"/>
  <c r="I4615" i="4"/>
  <c r="I4217" i="4"/>
  <c r="H4217" i="4"/>
  <c r="I4762" i="4"/>
  <c r="H4185" i="4"/>
  <c r="P4158" i="4"/>
  <c r="I4158" i="4"/>
  <c r="H4141" i="4"/>
  <c r="I4613" i="4"/>
  <c r="I4733" i="4"/>
  <c r="P4221" i="4"/>
  <c r="P4223" i="4"/>
  <c r="I4666" i="4"/>
  <c r="H4743" i="4"/>
  <c r="I4694" i="4"/>
  <c r="I4652" i="4"/>
  <c r="I4225" i="4"/>
  <c r="P4225" i="4"/>
  <c r="H4627" i="4"/>
  <c r="H4665" i="4"/>
  <c r="I4772" i="4"/>
  <c r="I4739" i="4"/>
  <c r="H4701" i="4"/>
  <c r="I4691" i="4"/>
  <c r="H4677" i="4"/>
  <c r="I4682" i="4"/>
  <c r="I4651" i="4"/>
  <c r="H4653" i="4"/>
  <c r="I4637" i="4"/>
  <c r="I4714" i="4"/>
  <c r="I4674" i="4"/>
  <c r="H4737" i="4"/>
  <c r="I4727" i="4"/>
  <c r="I4710" i="4"/>
  <c r="M3782" i="4"/>
  <c r="N3782" i="4"/>
  <c r="M3699" i="4"/>
  <c r="N3699" i="4"/>
  <c r="N3813" i="4"/>
  <c r="N3705" i="4"/>
  <c r="N3653" i="4"/>
  <c r="M3822" i="4"/>
  <c r="N3684" i="4"/>
  <c r="N3810" i="4"/>
  <c r="N3773" i="4"/>
  <c r="M3751" i="4"/>
  <c r="N3788" i="4"/>
  <c r="N3808" i="4"/>
  <c r="M3759" i="4"/>
  <c r="N3759" i="4"/>
  <c r="M3795" i="4"/>
  <c r="N3795" i="4"/>
  <c r="M3783" i="4"/>
  <c r="N3783" i="4"/>
  <c r="M3735" i="4"/>
  <c r="N3735" i="4"/>
  <c r="M3818" i="4"/>
  <c r="N3818" i="4"/>
  <c r="N3663" i="4"/>
  <c r="M3714" i="4"/>
  <c r="M3279" i="4"/>
  <c r="N3279" i="4"/>
  <c r="M3665" i="4"/>
  <c r="N3683" i="4"/>
  <c r="N3686" i="4"/>
  <c r="M3715" i="4"/>
  <c r="M3291" i="4"/>
  <c r="N3291" i="4"/>
  <c r="N3747" i="4"/>
  <c r="M3654" i="4"/>
  <c r="N3804" i="4"/>
  <c r="N3728" i="4"/>
  <c r="N3740" i="4"/>
  <c r="M3798" i="4"/>
  <c r="M3734" i="4"/>
  <c r="N3734" i="4"/>
  <c r="M3698" i="4"/>
  <c r="N3698" i="4"/>
  <c r="N3739" i="4"/>
  <c r="N3242" i="4"/>
  <c r="M3242" i="4"/>
  <c r="P3218" i="4"/>
  <c r="N3830" i="4"/>
  <c r="N3721" i="4"/>
  <c r="N3805" i="4"/>
  <c r="P3206" i="4"/>
  <c r="N3685" i="4"/>
  <c r="N3086" i="4"/>
  <c r="N3218" i="4"/>
  <c r="N3182" i="4"/>
  <c r="N3776" i="4"/>
  <c r="N3770" i="4"/>
  <c r="N3761" i="4"/>
  <c r="N3110" i="4"/>
  <c r="P3158" i="4"/>
  <c r="N3716" i="4"/>
  <c r="N3158" i="4"/>
  <c r="N3666" i="4"/>
  <c r="N3194" i="4"/>
  <c r="N3206" i="4"/>
  <c r="N3662" i="4"/>
  <c r="N3762" i="4"/>
  <c r="N3738" i="4"/>
  <c r="N3702" i="4"/>
  <c r="N3774" i="4"/>
  <c r="N3651" i="4"/>
  <c r="N3675" i="4"/>
  <c r="N3726" i="4"/>
  <c r="N3719" i="4"/>
  <c r="N3752" i="4"/>
  <c r="N3742" i="4"/>
  <c r="N3836" i="4"/>
  <c r="N3697" i="4"/>
  <c r="N3820" i="4"/>
  <c r="N3659" i="4"/>
  <c r="N3664" i="4"/>
  <c r="N3709" i="4"/>
  <c r="N3678" i="4"/>
  <c r="N3660" i="4"/>
  <c r="N3800" i="4"/>
  <c r="N3701" i="4"/>
  <c r="H3707" i="4"/>
  <c r="I3707" i="4"/>
  <c r="H3680" i="4"/>
  <c r="I3657" i="4"/>
  <c r="I3727" i="4"/>
  <c r="H3836" i="4"/>
  <c r="I3675" i="4"/>
  <c r="I3805" i="4"/>
  <c r="I3811" i="4"/>
  <c r="I3735" i="4"/>
  <c r="H3784" i="4"/>
  <c r="I3725" i="4"/>
  <c r="I3782" i="4"/>
  <c r="H3812" i="4"/>
  <c r="I3780" i="4"/>
  <c r="I3678" i="4"/>
  <c r="I3664" i="4"/>
  <c r="I3819" i="4"/>
  <c r="I3754" i="4"/>
  <c r="H3182" i="4"/>
  <c r="P3182" i="4"/>
  <c r="H3122" i="4"/>
  <c r="I3122" i="4"/>
  <c r="I3719" i="4"/>
  <c r="I3699" i="4"/>
  <c r="I3721" i="4"/>
  <c r="I3792" i="4"/>
  <c r="I3677" i="4"/>
  <c r="I3242" i="4"/>
  <c r="H3242" i="4"/>
  <c r="P3242" i="4"/>
  <c r="I3666" i="4"/>
  <c r="I3823" i="4"/>
  <c r="P3194" i="4"/>
  <c r="H3194" i="4"/>
  <c r="H3218" i="4"/>
  <c r="H3170" i="4"/>
  <c r="I3170" i="4"/>
  <c r="I3218" i="4"/>
  <c r="H3778" i="4"/>
  <c r="I3182" i="4"/>
  <c r="H3825" i="4"/>
  <c r="I3814" i="4"/>
  <c r="I3254" i="4"/>
  <c r="P3254" i="4"/>
  <c r="I3821" i="4"/>
  <c r="I3802" i="4"/>
  <c r="I3809" i="4"/>
  <c r="H3693" i="4"/>
  <c r="I3711" i="4"/>
  <c r="I3759" i="4"/>
  <c r="I3798" i="4"/>
  <c r="I3834" i="4"/>
  <c r="I3810" i="4"/>
  <c r="I3747" i="4"/>
  <c r="I3822" i="4"/>
  <c r="H3813" i="4"/>
  <c r="I3773" i="4"/>
  <c r="H3752" i="4"/>
  <c r="H3837" i="4"/>
  <c r="I3705" i="4"/>
  <c r="H3681" i="4"/>
  <c r="I3690" i="4"/>
  <c r="I3696" i="4"/>
  <c r="I3753" i="4"/>
  <c r="I3691" i="4"/>
  <c r="H3838" i="4"/>
  <c r="I3761" i="4"/>
  <c r="I3771" i="4"/>
  <c r="I3745" i="4"/>
  <c r="H3826" i="4"/>
  <c r="I3726" i="4"/>
  <c r="I3741" i="4"/>
  <c r="I3701" i="4"/>
  <c r="H3789" i="4"/>
  <c r="M2810" i="4"/>
  <c r="N2810" i="4"/>
  <c r="M2753" i="4"/>
  <c r="N2740" i="4"/>
  <c r="L2762" i="4"/>
  <c r="M2762" i="4" s="1"/>
  <c r="M2730" i="4"/>
  <c r="M2777" i="4"/>
  <c r="N2814" i="4"/>
  <c r="M2871" i="4"/>
  <c r="N2774" i="4"/>
  <c r="N2722" i="4"/>
  <c r="N2697" i="4"/>
  <c r="N2743" i="4"/>
  <c r="N2858" i="4"/>
  <c r="N2694" i="4"/>
  <c r="M2754" i="4"/>
  <c r="N2754" i="4"/>
  <c r="M2766" i="4"/>
  <c r="N2766" i="4"/>
  <c r="M2825" i="4"/>
  <c r="N2345" i="4"/>
  <c r="M2801" i="4"/>
  <c r="M2736" i="4"/>
  <c r="M2715" i="4"/>
  <c r="N2750" i="4"/>
  <c r="N2369" i="4"/>
  <c r="N2860" i="4"/>
  <c r="N2821" i="4"/>
  <c r="M2333" i="4"/>
  <c r="N2798" i="4"/>
  <c r="M2357" i="4"/>
  <c r="L2741" i="4"/>
  <c r="N2741" i="4" s="1"/>
  <c r="N2427" i="4"/>
  <c r="N2404" i="4"/>
  <c r="M2765" i="4"/>
  <c r="L2717" i="4"/>
  <c r="N2717" i="4" s="1"/>
  <c r="M2874" i="4"/>
  <c r="N2745" i="4"/>
  <c r="N2822" i="4"/>
  <c r="N2854" i="4"/>
  <c r="M2786" i="4"/>
  <c r="N2786" i="4"/>
  <c r="M2714" i="4"/>
  <c r="N2714" i="4"/>
  <c r="N2246" i="4"/>
  <c r="M2246" i="4"/>
  <c r="M2259" i="4"/>
  <c r="N2259" i="4"/>
  <c r="L2870" i="4"/>
  <c r="M2870" i="4" s="1"/>
  <c r="N2768" i="4"/>
  <c r="M2235" i="4"/>
  <c r="N2235" i="4"/>
  <c r="N2702" i="4"/>
  <c r="M2718" i="4"/>
  <c r="M2295" i="4"/>
  <c r="N2866" i="4"/>
  <c r="N2769" i="4"/>
  <c r="N2799" i="4"/>
  <c r="N2817" i="4"/>
  <c r="N2834" i="4"/>
  <c r="N2763" i="4"/>
  <c r="N2150" i="4"/>
  <c r="P2246" i="4"/>
  <c r="N2162" i="4"/>
  <c r="M2162" i="4"/>
  <c r="M2139" i="4"/>
  <c r="N2815" i="4"/>
  <c r="M2127" i="4"/>
  <c r="N2294" i="4"/>
  <c r="N2270" i="4"/>
  <c r="N2234" i="4"/>
  <c r="N2829" i="4"/>
  <c r="N2851" i="4"/>
  <c r="N2842" i="4"/>
  <c r="N2770" i="4"/>
  <c r="N2725" i="4"/>
  <c r="N2705" i="4"/>
  <c r="N2873" i="4"/>
  <c r="N2723" i="4"/>
  <c r="N2779" i="4"/>
  <c r="N2839" i="4"/>
  <c r="N2812" i="4"/>
  <c r="M2716" i="4"/>
  <c r="N2788" i="4"/>
  <c r="N2846" i="4"/>
  <c r="M2699" i="4"/>
  <c r="N2872" i="4"/>
  <c r="M2826" i="4"/>
  <c r="N2734" i="4"/>
  <c r="N2793" i="4"/>
  <c r="N2746" i="4"/>
  <c r="N2830" i="4"/>
  <c r="N2853" i="4"/>
  <c r="N2781" i="4"/>
  <c r="N2828" i="4"/>
  <c r="N2850" i="4"/>
  <c r="I2746" i="4"/>
  <c r="I2725" i="4"/>
  <c r="G2759" i="4"/>
  <c r="H2759" i="4" s="1"/>
  <c r="I2764" i="4"/>
  <c r="I2788" i="4"/>
  <c r="H2770" i="4"/>
  <c r="I2715" i="4"/>
  <c r="I2701" i="4"/>
  <c r="I2808" i="4"/>
  <c r="I2823" i="4"/>
  <c r="I2755" i="4"/>
  <c r="I2858" i="4"/>
  <c r="I2809" i="4"/>
  <c r="I2777" i="4"/>
  <c r="I2514" i="4"/>
  <c r="H2514" i="4"/>
  <c r="H2789" i="4"/>
  <c r="I2789" i="4"/>
  <c r="H2722" i="4"/>
  <c r="I2846" i="4"/>
  <c r="I2793" i="4"/>
  <c r="G2702" i="4"/>
  <c r="H2702" i="4" s="1"/>
  <c r="I2796" i="4"/>
  <c r="I2850" i="4"/>
  <c r="I2475" i="4"/>
  <c r="I2375" i="4"/>
  <c r="I2355" i="4"/>
  <c r="I2759" i="4"/>
  <c r="H2826" i="4"/>
  <c r="I2825" i="4"/>
  <c r="I2831" i="4"/>
  <c r="I2404" i="4"/>
  <c r="H2757" i="4"/>
  <c r="I2757" i="4"/>
  <c r="G2805" i="4"/>
  <c r="H2805" i="4" s="1"/>
  <c r="P2175" i="4"/>
  <c r="I2718" i="4"/>
  <c r="I2791" i="4"/>
  <c r="I2749" i="4"/>
  <c r="I2747" i="4"/>
  <c r="I2853" i="4"/>
  <c r="I2145" i="4"/>
  <c r="H2145" i="4"/>
  <c r="P2151" i="4"/>
  <c r="I2855" i="4"/>
  <c r="P2127" i="4"/>
  <c r="H2697" i="4"/>
  <c r="I2787" i="4"/>
  <c r="I2785" i="4"/>
  <c r="I2844" i="4"/>
  <c r="P2210" i="4"/>
  <c r="I2748" i="4"/>
  <c r="I2730" i="4"/>
  <c r="H2732" i="4"/>
  <c r="G2799" i="4"/>
  <c r="H2799" i="4" s="1"/>
  <c r="H2769" i="4"/>
  <c r="P2198" i="4"/>
  <c r="I2751" i="4"/>
  <c r="I2127" i="4"/>
  <c r="I2773" i="4"/>
  <c r="I2294" i="4"/>
  <c r="I2721" i="4"/>
  <c r="I2839" i="4"/>
  <c r="I2737" i="4"/>
  <c r="I2871" i="4"/>
  <c r="H2871" i="4"/>
  <c r="I2150" i="4"/>
  <c r="P2150" i="4"/>
  <c r="I2834" i="4"/>
  <c r="H2876" i="4"/>
  <c r="G2811" i="4"/>
  <c r="H2811" i="4" s="1"/>
  <c r="I2175" i="4"/>
  <c r="I2692" i="4"/>
  <c r="I2762" i="4"/>
  <c r="I2735" i="4"/>
  <c r="I2259" i="4"/>
  <c r="P2259" i="4"/>
  <c r="H2259" i="4"/>
  <c r="P2186" i="4"/>
  <c r="P2126" i="4"/>
  <c r="H2234" i="4"/>
  <c r="I2864" i="4"/>
  <c r="P2234" i="4"/>
  <c r="H2210" i="4"/>
  <c r="I2767" i="4"/>
  <c r="H2733" i="4"/>
  <c r="I2187" i="4"/>
  <c r="P2187" i="4"/>
  <c r="H2187" i="4"/>
  <c r="G2703" i="4"/>
  <c r="H2703" i="4" s="1"/>
  <c r="I2726" i="4"/>
  <c r="H2841" i="4"/>
  <c r="I2139" i="4"/>
  <c r="P2139" i="4"/>
  <c r="I2845" i="4"/>
  <c r="G2859" i="4"/>
  <c r="H2859" i="4" s="1"/>
  <c r="H2150" i="4"/>
  <c r="I2779" i="4"/>
  <c r="H2829" i="4"/>
  <c r="I2817" i="4"/>
  <c r="I2847" i="4"/>
  <c r="H2720" i="4"/>
  <c r="I2803" i="4"/>
  <c r="I2865" i="4"/>
  <c r="H2781" i="4"/>
  <c r="I2693" i="4"/>
  <c r="I2877" i="4"/>
  <c r="I2745" i="4"/>
  <c r="I2835" i="4"/>
  <c r="I2775" i="4"/>
  <c r="I2797" i="4"/>
  <c r="I2729" i="4"/>
  <c r="I2833" i="4"/>
  <c r="I2807" i="4"/>
  <c r="I2819" i="4"/>
  <c r="I2739" i="4"/>
  <c r="I2765" i="4"/>
  <c r="M1826" i="4"/>
  <c r="N1826" i="4"/>
  <c r="N1882" i="4"/>
  <c r="N1847" i="4"/>
  <c r="N1841" i="4"/>
  <c r="N1901" i="4"/>
  <c r="N1858" i="4"/>
  <c r="M1838" i="4"/>
  <c r="N1838" i="4"/>
  <c r="M1910" i="4"/>
  <c r="N1910" i="4"/>
  <c r="M1862" i="4"/>
  <c r="N1862" i="4"/>
  <c r="N1756" i="4"/>
  <c r="N1745" i="4"/>
  <c r="M1908" i="4"/>
  <c r="N1825" i="4"/>
  <c r="N1897" i="4"/>
  <c r="N1840" i="4"/>
  <c r="N1844" i="4"/>
  <c r="N1757" i="4"/>
  <c r="N1537" i="4"/>
  <c r="N1867" i="4"/>
  <c r="M1820" i="4"/>
  <c r="N1820" i="4"/>
  <c r="M1753" i="4"/>
  <c r="N1778" i="4"/>
  <c r="N1839" i="4"/>
  <c r="N1894" i="4"/>
  <c r="N1866" i="4"/>
  <c r="N1751" i="4"/>
  <c r="N1774" i="4"/>
  <c r="N1815" i="4"/>
  <c r="N1746" i="4"/>
  <c r="N1843" i="4"/>
  <c r="N1832" i="4"/>
  <c r="N1800" i="4"/>
  <c r="N1918" i="4"/>
  <c r="N1798" i="4"/>
  <c r="N1768" i="4"/>
  <c r="N1837" i="4"/>
  <c r="N1793" i="4"/>
  <c r="N1801" i="4"/>
  <c r="N1796" i="4"/>
  <c r="N1773" i="4"/>
  <c r="L1870" i="4"/>
  <c r="M1870" i="4" s="1"/>
  <c r="N1914" i="4"/>
  <c r="H1782" i="4"/>
  <c r="I1782" i="4"/>
  <c r="I1830" i="4"/>
  <c r="I1861" i="4"/>
  <c r="I1812" i="4"/>
  <c r="I1743" i="4"/>
  <c r="I1897" i="4"/>
  <c r="I1793" i="4"/>
  <c r="I1833" i="4"/>
  <c r="I1382" i="4"/>
  <c r="I1748" i="4"/>
  <c r="I1896" i="4"/>
  <c r="I1915" i="4"/>
  <c r="I1835" i="4"/>
  <c r="I1750" i="4"/>
  <c r="H1850" i="4"/>
  <c r="I1850" i="4"/>
  <c r="I1895" i="4"/>
  <c r="I1313" i="4"/>
  <c r="I1239" i="4"/>
  <c r="I1241" i="4"/>
  <c r="I1265" i="4"/>
  <c r="I1230" i="4"/>
  <c r="I1785" i="4"/>
  <c r="I1324" i="4"/>
  <c r="I1213" i="4"/>
  <c r="I1764" i="4"/>
  <c r="I1772" i="4"/>
  <c r="I1196" i="4"/>
  <c r="I1763" i="4"/>
  <c r="I1872" i="4"/>
  <c r="I1328" i="4"/>
  <c r="I1892" i="4"/>
  <c r="I1270" i="4"/>
  <c r="H1737" i="4"/>
  <c r="I1776" i="4"/>
  <c r="I1856" i="4"/>
  <c r="I1902" i="4"/>
  <c r="I1818" i="4"/>
  <c r="I1802" i="4"/>
  <c r="I1804" i="4"/>
  <c r="I1797" i="4"/>
  <c r="I1868" i="4"/>
  <c r="I1773" i="4"/>
  <c r="I1887" i="4"/>
  <c r="I1870" i="4"/>
  <c r="I1832" i="4"/>
  <c r="I1145" i="4"/>
  <c r="I5630" i="4"/>
  <c r="N5572" i="4"/>
  <c r="I5670" i="4"/>
  <c r="N5593" i="4"/>
  <c r="I5604" i="4"/>
  <c r="N5643" i="4"/>
  <c r="I5640" i="4"/>
  <c r="N5638" i="4"/>
  <c r="N5626" i="4"/>
  <c r="M5596" i="4"/>
  <c r="N5596" i="4"/>
  <c r="N5620" i="4"/>
  <c r="I5688" i="4"/>
  <c r="N5734" i="4"/>
  <c r="I5606" i="4"/>
  <c r="I5678" i="4"/>
  <c r="I5580" i="4"/>
  <c r="N5590" i="4"/>
  <c r="N5674" i="4"/>
  <c r="N5746" i="4"/>
  <c r="I5618" i="4"/>
  <c r="N5602" i="4"/>
  <c r="N5686" i="4"/>
  <c r="N5662" i="4"/>
  <c r="N5631" i="4"/>
  <c r="N5667" i="4"/>
  <c r="I5690" i="4"/>
  <c r="I5628" i="4"/>
  <c r="I5592" i="4"/>
  <c r="I4776" i="4"/>
  <c r="N4723" i="4"/>
  <c r="N4651" i="4"/>
  <c r="I4752" i="4"/>
  <c r="N4639" i="4"/>
  <c r="N4799" i="4"/>
  <c r="I4630" i="4"/>
  <c r="N4663" i="4"/>
  <c r="I4799" i="4"/>
  <c r="I4800" i="4"/>
  <c r="I4667" i="4"/>
  <c r="I4634" i="4"/>
  <c r="N4747" i="4"/>
  <c r="I4788" i="4"/>
  <c r="I4747" i="4"/>
  <c r="N4635" i="4"/>
  <c r="N4787" i="4"/>
  <c r="I4679" i="4"/>
  <c r="N4622" i="4"/>
  <c r="N3814" i="4"/>
  <c r="I3698" i="4"/>
  <c r="I3685" i="4"/>
  <c r="N3754" i="4"/>
  <c r="I3654" i="4"/>
  <c r="N3730" i="4"/>
  <c r="N3826" i="4"/>
  <c r="N3790" i="4"/>
  <c r="I3662" i="4"/>
  <c r="N3766" i="4"/>
  <c r="I3806" i="4"/>
  <c r="N3824" i="4"/>
  <c r="I3818" i="4"/>
  <c r="I3710" i="4"/>
  <c r="I3734" i="4"/>
  <c r="N3723" i="4"/>
  <c r="N3778" i="4"/>
  <c r="I3783" i="4"/>
  <c r="N3838" i="4"/>
  <c r="I3807" i="4"/>
  <c r="I3795" i="4"/>
  <c r="N3802" i="4"/>
  <c r="I3686" i="4"/>
  <c r="I3722" i="4"/>
  <c r="I3770" i="4"/>
  <c r="I3758" i="4"/>
  <c r="I3651" i="4"/>
  <c r="I3723" i="4"/>
  <c r="I3674" i="4"/>
  <c r="N3711" i="4"/>
  <c r="N3650" i="4"/>
  <c r="I3746" i="4"/>
  <c r="I2867" i="4"/>
  <c r="I2874" i="4"/>
  <c r="N2735" i="4"/>
  <c r="N2818" i="4"/>
  <c r="I2696" i="4"/>
  <c r="I2694" i="4"/>
  <c r="I2695" i="4"/>
  <c r="N2794" i="4"/>
  <c r="N2703" i="4"/>
  <c r="I2870" i="4"/>
  <c r="N2764" i="4"/>
  <c r="N2719" i="4"/>
  <c r="N2824" i="4"/>
  <c r="I2723" i="4"/>
  <c r="N2800" i="4"/>
  <c r="N2806" i="4"/>
  <c r="N2693" i="4"/>
  <c r="N2782" i="4"/>
  <c r="N2731" i="4"/>
  <c r="N2758" i="4"/>
  <c r="I2879" i="4"/>
  <c r="I2786" i="4"/>
  <c r="N2836" i="4"/>
  <c r="N2721" i="4"/>
  <c r="N1772" i="4"/>
  <c r="N1512" i="4"/>
  <c r="N1879" i="4"/>
  <c r="N1742" i="4"/>
  <c r="N1899" i="4"/>
  <c r="N1875" i="4"/>
  <c r="N1907" i="4"/>
  <c r="N1819" i="4"/>
  <c r="N1845" i="4"/>
  <c r="M1740" i="4"/>
  <c r="N1743" i="4"/>
  <c r="N1806" i="4"/>
  <c r="N1799" i="4"/>
  <c r="N1810" i="4"/>
  <c r="N1830" i="4"/>
  <c r="N1787" i="4"/>
  <c r="N1835" i="4"/>
  <c r="N1423" i="4"/>
  <c r="N1853" i="4"/>
  <c r="N1818" i="4"/>
  <c r="N1874" i="4"/>
  <c r="N1850" i="4"/>
  <c r="N1877" i="4"/>
  <c r="N1506" i="4"/>
  <c r="N1888" i="4"/>
  <c r="N1791" i="4"/>
  <c r="N1782" i="4"/>
  <c r="N1771" i="4"/>
  <c r="N1913" i="4"/>
  <c r="N1734" i="4"/>
  <c r="G1877" i="4"/>
  <c r="H1877" i="4" s="1"/>
  <c r="I1729" i="4"/>
  <c r="I1233" i="4"/>
  <c r="I1751" i="4"/>
  <c r="I1864" i="4"/>
  <c r="I1823" i="4"/>
  <c r="I1849" i="4"/>
  <c r="I1808" i="4"/>
  <c r="I1805" i="4"/>
  <c r="I1310" i="4"/>
  <c r="I1510" i="4"/>
  <c r="I1815" i="4"/>
  <c r="G1860" i="4"/>
  <c r="H1860" i="4" s="1"/>
  <c r="I1781" i="4"/>
  <c r="I1236" i="4"/>
  <c r="I1904" i="4"/>
  <c r="I1219" i="4"/>
  <c r="I1778" i="4"/>
  <c r="I1817" i="4"/>
  <c r="I1218" i="4"/>
  <c r="I1269" i="4"/>
  <c r="I1193" i="4"/>
  <c r="I1744" i="4"/>
  <c r="I1252" i="4"/>
  <c r="I1151" i="4"/>
  <c r="I1768" i="4"/>
  <c r="I1906" i="4"/>
  <c r="I1886" i="4"/>
  <c r="I1254" i="4"/>
  <c r="I1852" i="4"/>
  <c r="I1198" i="4"/>
  <c r="I1249" i="4"/>
  <c r="I1749" i="4"/>
  <c r="I1262" i="4"/>
  <c r="I1882" i="4"/>
  <c r="I1291" i="4"/>
  <c r="G1840" i="4"/>
  <c r="H1840" i="4" s="1"/>
  <c r="I1261" i="4"/>
  <c r="G1919" i="4"/>
  <c r="H1919" i="4" s="1"/>
  <c r="P1294" i="4"/>
  <c r="M1294" i="4"/>
  <c r="P1273" i="4"/>
  <c r="M1273" i="4"/>
  <c r="P1328" i="4"/>
  <c r="M1328" i="4"/>
  <c r="P1330" i="4"/>
  <c r="M1330" i="4"/>
  <c r="N1471" i="4"/>
  <c r="M1471" i="4"/>
  <c r="I1305" i="4"/>
  <c r="P1194" i="4"/>
  <c r="M1194" i="4"/>
  <c r="P1272" i="4"/>
  <c r="M1272" i="4"/>
  <c r="P1236" i="4"/>
  <c r="N1236" i="4"/>
  <c r="M1236" i="4"/>
  <c r="P1258" i="4"/>
  <c r="M1258" i="4"/>
  <c r="I1489" i="4"/>
  <c r="I1302" i="4"/>
  <c r="N1273" i="4"/>
  <c r="I1809" i="4"/>
  <c r="N1468" i="4"/>
  <c r="M1468" i="4"/>
  <c r="P1267" i="4"/>
  <c r="M1267" i="4"/>
  <c r="I1232" i="4"/>
  <c r="H1232" i="4"/>
  <c r="P1209" i="4"/>
  <c r="M1209" i="4"/>
  <c r="P1211" i="4"/>
  <c r="M1211" i="4"/>
  <c r="M1283" i="4"/>
  <c r="P1283" i="4"/>
  <c r="I1316" i="4"/>
  <c r="H1316" i="4"/>
  <c r="P1329" i="4"/>
  <c r="N1438" i="4"/>
  <c r="I1878" i="4"/>
  <c r="N1849" i="4"/>
  <c r="P1207" i="4"/>
  <c r="N1895" i="4"/>
  <c r="P1337" i="4"/>
  <c r="M1337" i="4"/>
  <c r="H1212" i="4"/>
  <c r="P1212" i="4"/>
  <c r="P1269" i="4"/>
  <c r="N1269" i="4"/>
  <c r="M1269" i="4"/>
  <c r="P1344" i="4"/>
  <c r="P1204" i="4"/>
  <c r="M1204" i="4"/>
  <c r="P1324" i="4"/>
  <c r="P1233" i="4"/>
  <c r="M1233" i="4"/>
  <c r="P1286" i="4"/>
  <c r="P1257" i="4"/>
  <c r="M1257" i="4"/>
  <c r="O1149" i="4"/>
  <c r="M1149" i="4"/>
  <c r="I1223" i="4"/>
  <c r="H1223" i="4"/>
  <c r="G1534" i="4"/>
  <c r="H1534" i="4" s="1"/>
  <c r="O1146" i="4"/>
  <c r="M1146" i="4"/>
  <c r="P1307" i="4"/>
  <c r="M1307" i="4"/>
  <c r="N1887" i="4"/>
  <c r="O1150" i="4"/>
  <c r="N1150" i="4"/>
  <c r="M1150" i="4"/>
  <c r="P1228" i="4"/>
  <c r="M1228" i="4"/>
  <c r="P1285" i="4"/>
  <c r="M1285" i="4"/>
  <c r="I1260" i="4"/>
  <c r="H1260" i="4"/>
  <c r="P1317" i="4"/>
  <c r="M1317" i="4"/>
  <c r="I1330" i="4"/>
  <c r="H1330" i="4"/>
  <c r="P1327" i="4"/>
  <c r="M1327" i="4"/>
  <c r="H1314" i="4"/>
  <c r="I1314" i="4"/>
  <c r="P1284" i="4"/>
  <c r="M1284" i="4"/>
  <c r="K1917" i="4"/>
  <c r="N1149" i="4"/>
  <c r="N1209" i="4"/>
  <c r="N1883" i="4"/>
  <c r="P1224" i="4"/>
  <c r="M1224" i="4"/>
  <c r="G1814" i="4"/>
  <c r="H1814" i="4" s="1"/>
  <c r="N1228" i="4"/>
  <c r="N1285" i="4"/>
  <c r="P1250" i="4"/>
  <c r="M1250" i="4"/>
  <c r="M1218" i="4"/>
  <c r="P1218" i="4"/>
  <c r="N1218" i="4"/>
  <c r="P1316" i="4"/>
  <c r="M1316" i="4"/>
  <c r="N1385" i="4"/>
  <c r="P1240" i="4"/>
  <c r="N1240" i="4"/>
  <c r="M1240" i="4"/>
  <c r="G1341" i="4"/>
  <c r="H1341" i="4" s="1"/>
  <c r="N1804" i="4"/>
  <c r="N1861" i="4"/>
  <c r="N1328" i="4"/>
  <c r="N1902" i="4"/>
  <c r="I1325" i="4"/>
  <c r="P1322" i="4"/>
  <c r="M1322" i="4"/>
  <c r="N1294" i="4"/>
  <c r="H1258" i="4"/>
  <c r="I1258" i="4"/>
  <c r="I1846" i="4"/>
  <c r="N1783" i="4"/>
  <c r="P1254" i="4"/>
  <c r="M1254" i="4"/>
  <c r="N1316" i="4"/>
  <c r="P1261" i="4"/>
  <c r="N1261" i="4"/>
  <c r="M1261" i="4"/>
  <c r="H1141" i="4"/>
  <c r="I1141" i="4"/>
  <c r="P1265" i="4"/>
  <c r="I1148" i="4"/>
  <c r="H1148" i="4"/>
  <c r="H1197" i="4"/>
  <c r="I1197" i="4"/>
  <c r="P1251" i="4"/>
  <c r="M1251" i="4"/>
  <c r="P1253" i="4"/>
  <c r="N1253" i="4"/>
  <c r="M1253" i="4"/>
  <c r="M1326" i="4"/>
  <c r="N1326" i="4"/>
  <c r="P1326" i="4"/>
  <c r="P1304" i="4"/>
  <c r="M1304" i="4"/>
  <c r="P1323" i="4"/>
  <c r="N1323" i="4"/>
  <c r="M1323" i="4"/>
  <c r="M1255" i="4"/>
  <c r="P1255" i="4"/>
  <c r="O1142" i="4"/>
  <c r="N1142" i="4"/>
  <c r="M1142" i="4"/>
  <c r="N1892" i="4"/>
  <c r="P1256" i="4"/>
  <c r="M1256" i="4"/>
  <c r="N1404" i="4"/>
  <c r="P1287" i="4"/>
  <c r="I1224" i="4"/>
  <c r="I1384" i="4"/>
  <c r="P1293" i="4"/>
  <c r="M1293" i="4"/>
  <c r="P1319" i="4"/>
  <c r="M1319" i="4"/>
  <c r="N1885" i="4"/>
  <c r="L1831" i="4"/>
  <c r="M1831" i="4" s="1"/>
  <c r="I1841" i="4"/>
  <c r="I1477" i="4"/>
  <c r="I1205" i="4"/>
  <c r="H1205" i="4"/>
  <c r="P1231" i="4"/>
  <c r="M1231" i="4"/>
  <c r="I1845" i="4"/>
  <c r="I1251" i="4"/>
  <c r="P1214" i="4"/>
  <c r="I1800" i="4"/>
  <c r="N1317" i="4"/>
  <c r="I1741" i="4"/>
  <c r="P1201" i="4"/>
  <c r="N1201" i="4"/>
  <c r="M1201" i="4"/>
  <c r="H1253" i="4"/>
  <c r="I1253" i="4"/>
  <c r="M1145" i="4"/>
  <c r="O1145" i="4"/>
  <c r="N1145" i="4"/>
  <c r="P1262" i="4"/>
  <c r="M1262" i="4"/>
  <c r="P1243" i="4"/>
  <c r="M1243" i="4"/>
  <c r="I1806" i="4"/>
  <c r="P1345" i="4"/>
  <c r="M1345" i="4"/>
  <c r="I1194" i="4"/>
  <c r="I1828" i="4"/>
  <c r="P1249" i="4"/>
  <c r="M1249" i="4"/>
  <c r="P1217" i="4"/>
  <c r="M1217" i="4"/>
  <c r="I1827" i="4"/>
  <c r="P1208" i="4"/>
  <c r="N1208" i="4"/>
  <c r="M1208" i="4"/>
  <c r="P1213" i="4"/>
  <c r="M1213" i="4"/>
  <c r="I1854" i="4"/>
  <c r="I1322" i="4"/>
  <c r="I1311" i="4"/>
  <c r="M1315" i="4"/>
  <c r="P1315" i="4"/>
  <c r="H1143" i="4"/>
  <c r="I1143" i="4"/>
  <c r="N1898" i="4"/>
  <c r="I1201" i="4"/>
  <c r="N1257" i="4"/>
  <c r="I1221" i="4"/>
  <c r="H1221" i="4"/>
  <c r="P1221" i="4"/>
  <c r="N1345" i="4"/>
  <c r="P1198" i="4"/>
  <c r="N1198" i="4"/>
  <c r="M1198" i="4"/>
  <c r="I1259" i="4"/>
  <c r="K1921" i="4"/>
  <c r="L1153" i="4"/>
  <c r="N1153" i="4" s="1"/>
  <c r="N1249" i="4"/>
  <c r="I1299" i="4"/>
  <c r="P1310" i="4"/>
  <c r="H1320" i="4"/>
  <c r="I1320" i="4"/>
  <c r="H1309" i="4"/>
  <c r="I1309" i="4"/>
  <c r="I1304" i="4"/>
  <c r="I1308" i="4"/>
  <c r="N1327" i="4"/>
  <c r="I1344" i="4"/>
  <c r="I1514" i="4"/>
  <c r="P1270" i="4"/>
  <c r="M1270" i="4"/>
  <c r="P1305" i="4"/>
  <c r="N1305" i="4"/>
  <c r="M1305" i="4"/>
  <c r="N1833" i="4"/>
  <c r="P1216" i="4"/>
  <c r="N1216" i="4"/>
  <c r="M1216" i="4"/>
  <c r="I1293" i="4"/>
  <c r="H1293" i="4"/>
  <c r="N1814" i="4"/>
  <c r="I1875" i="4"/>
  <c r="I1222" i="4"/>
  <c r="O1143" i="4"/>
  <c r="P1321" i="4"/>
  <c r="M1321" i="4"/>
  <c r="N1304" i="4"/>
  <c r="P1325" i="4"/>
  <c r="M1325" i="4"/>
  <c r="N1739" i="4"/>
  <c r="N1857" i="4"/>
  <c r="F1918" i="4"/>
  <c r="P1297" i="4"/>
  <c r="M1297" i="4"/>
  <c r="N1487" i="4"/>
  <c r="P1232" i="4"/>
  <c r="M1232" i="4"/>
  <c r="P1234" i="4"/>
  <c r="M1234" i="4"/>
  <c r="I1536" i="4"/>
  <c r="I1788" i="4"/>
  <c r="P1308" i="4"/>
  <c r="P1229" i="4"/>
  <c r="N1229" i="4"/>
  <c r="M1229" i="4"/>
  <c r="P1311" i="4"/>
  <c r="N1769" i="4"/>
  <c r="G1342" i="4"/>
  <c r="H1342" i="4" s="1"/>
  <c r="P1210" i="4"/>
  <c r="I1728" i="4"/>
  <c r="M1302" i="4"/>
  <c r="P1302" i="4"/>
  <c r="N1302" i="4"/>
  <c r="I1300" i="4"/>
  <c r="P1295" i="4"/>
  <c r="M1295" i="4"/>
  <c r="I1321" i="4"/>
  <c r="H1321" i="4"/>
  <c r="N1854" i="4"/>
  <c r="G1867" i="4"/>
  <c r="H1867" i="4" s="1"/>
  <c r="N1194" i="4"/>
  <c r="I1483" i="4"/>
  <c r="I1203" i="4"/>
  <c r="H1203" i="4"/>
  <c r="P1203" i="4"/>
  <c r="P1300" i="4"/>
  <c r="I1142" i="4"/>
  <c r="H1142" i="4"/>
  <c r="I1272" i="4"/>
  <c r="N1251" i="4"/>
  <c r="N1871" i="4"/>
  <c r="I1329" i="4"/>
  <c r="N1802" i="4"/>
  <c r="P1313" i="4"/>
  <c r="M1313" i="4"/>
  <c r="N1313" i="4"/>
  <c r="G1532" i="4"/>
  <c r="H1532" i="4" s="1"/>
  <c r="P1314" i="4"/>
  <c r="N1314" i="4"/>
  <c r="M1314" i="4"/>
  <c r="N1851" i="4"/>
  <c r="M1239" i="4"/>
  <c r="P1239" i="4"/>
  <c r="N1239" i="4"/>
  <c r="L1846" i="4"/>
  <c r="M1846" i="4" s="1"/>
  <c r="N1873" i="4"/>
  <c r="N1536" i="4"/>
  <c r="P1196" i="4"/>
  <c r="N1196" i="4"/>
  <c r="M1196" i="4"/>
  <c r="I1866" i="4"/>
  <c r="K1919" i="4"/>
  <c r="N1151" i="4"/>
  <c r="I1284" i="4"/>
  <c r="I1139" i="4"/>
  <c r="H1139" i="4"/>
  <c r="I1848" i="4"/>
  <c r="I1245" i="4"/>
  <c r="O1144" i="4"/>
  <c r="N1144" i="4"/>
  <c r="M1144" i="4"/>
  <c r="P1303" i="4"/>
  <c r="M1303" i="4"/>
  <c r="N1916" i="4"/>
  <c r="I1286" i="4"/>
  <c r="P1215" i="4"/>
  <c r="N1215" i="4"/>
  <c r="M1215" i="4"/>
  <c r="I1905" i="4"/>
  <c r="I1798" i="4"/>
  <c r="O1139" i="4"/>
  <c r="N1452" i="4"/>
  <c r="P1306" i="4"/>
  <c r="M1306" i="4"/>
  <c r="I1725" i="4"/>
  <c r="P1299" i="4"/>
  <c r="M1299" i="4"/>
  <c r="P1260" i="4"/>
  <c r="N1260" i="4"/>
  <c r="M1260" i="4"/>
  <c r="I1237" i="4"/>
  <c r="P1223" i="4"/>
  <c r="M1223" i="4"/>
  <c r="I1518" i="4"/>
  <c r="N1511" i="4"/>
  <c r="P1197" i="4"/>
  <c r="M1197" i="4"/>
  <c r="P1246" i="4"/>
  <c r="M1246" i="4"/>
  <c r="N1447" i="4"/>
  <c r="L1729" i="4"/>
  <c r="M1729" i="4" s="1"/>
  <c r="H1285" i="4"/>
  <c r="I1285" i="4"/>
  <c r="N1731" i="4"/>
  <c r="I1513" i="4"/>
  <c r="N1808" i="4"/>
  <c r="N1497" i="4"/>
  <c r="P1238" i="4"/>
  <c r="M1238" i="4"/>
  <c r="I1792" i="4"/>
  <c r="P1292" i="4"/>
  <c r="M1292" i="4"/>
  <c r="G1862" i="4"/>
  <c r="H1862" i="4" s="1"/>
  <c r="I1789" i="4"/>
  <c r="N1246" i="4"/>
  <c r="P1237" i="4"/>
  <c r="M1237" i="4"/>
  <c r="P1252" i="4"/>
  <c r="M1291" i="4"/>
  <c r="P1291" i="4"/>
  <c r="H1297" i="4"/>
  <c r="I1297" i="4"/>
  <c r="N1495" i="4"/>
  <c r="I1894" i="4"/>
  <c r="P1248" i="4"/>
  <c r="N1248" i="4"/>
  <c r="M1248" i="4"/>
  <c r="I1340" i="4"/>
  <c r="M1230" i="4"/>
  <c r="P1230" i="4"/>
  <c r="N1230" i="4"/>
  <c r="L1836" i="4"/>
  <c r="M1836" i="4" s="1"/>
  <c r="I1881" i="4"/>
  <c r="O1151" i="4"/>
  <c r="M1151" i="4"/>
  <c r="N1426" i="4"/>
  <c r="N1803" i="4"/>
  <c r="G1790" i="4"/>
  <c r="H1790" i="4" s="1"/>
  <c r="N1213" i="4"/>
  <c r="N1292" i="4"/>
  <c r="N1807" i="4"/>
  <c r="N1789" i="4"/>
  <c r="I1266" i="4"/>
  <c r="P1206" i="4"/>
  <c r="N1206" i="4"/>
  <c r="M1206" i="4"/>
  <c r="P1268" i="4"/>
  <c r="M1268" i="4"/>
  <c r="I1780" i="4"/>
  <c r="N1822" i="4"/>
  <c r="I1268" i="4"/>
  <c r="N1237" i="4"/>
  <c r="G1727" i="4"/>
  <c r="H1727" i="4" s="1"/>
  <c r="I1298" i="4"/>
  <c r="I1880" i="4"/>
  <c r="F1920" i="4"/>
  <c r="N1322" i="4"/>
  <c r="I1834" i="4"/>
  <c r="N1785" i="4"/>
  <c r="I1810" i="4"/>
  <c r="N1868" i="4"/>
  <c r="I1204" i="4"/>
  <c r="M1341" i="4"/>
  <c r="F1916" i="4"/>
  <c r="K1920" i="4"/>
  <c r="L1920" i="4" s="1"/>
  <c r="M1920" i="4" s="1"/>
  <c r="I1323" i="4"/>
  <c r="I1844" i="4"/>
  <c r="N1813" i="4"/>
  <c r="P1296" i="4"/>
  <c r="I1296" i="4"/>
  <c r="H1296" i="4"/>
  <c r="I1733" i="4"/>
  <c r="H1273" i="4"/>
  <c r="I1273" i="4"/>
  <c r="N1535" i="4"/>
  <c r="P1290" i="4"/>
  <c r="M1290" i="4"/>
  <c r="N1290" i="4"/>
  <c r="G1890" i="4"/>
  <c r="H1890" i="4" s="1"/>
  <c r="I1244" i="4"/>
  <c r="H1244" i="4"/>
  <c r="P1318" i="4"/>
  <c r="M1318" i="4"/>
  <c r="H1226" i="4"/>
  <c r="I1226" i="4"/>
  <c r="I1255" i="4"/>
  <c r="I1248" i="4"/>
  <c r="O1147" i="4"/>
  <c r="M1147" i="4"/>
  <c r="L1881" i="4"/>
  <c r="M1881" i="4" s="1"/>
  <c r="I1795" i="4"/>
  <c r="I1290" i="4"/>
  <c r="I1913" i="4"/>
  <c r="P1259" i="4"/>
  <c r="I1450" i="4"/>
  <c r="I1770" i="4"/>
  <c r="N1805" i="4"/>
  <c r="I1209" i="4"/>
  <c r="I1420" i="4"/>
  <c r="N1224" i="4"/>
  <c r="N1780" i="4"/>
  <c r="P1263" i="4"/>
  <c r="M1263" i="4"/>
  <c r="I1202" i="4"/>
  <c r="H1202" i="4"/>
  <c r="G1842" i="4"/>
  <c r="H1842" i="4" s="1"/>
  <c r="N1341" i="4"/>
  <c r="I1769" i="4"/>
  <c r="L1152" i="4"/>
  <c r="N1152" i="4" s="1"/>
  <c r="P1226" i="4"/>
  <c r="I1899" i="4"/>
  <c r="P1219" i="4"/>
  <c r="P1227" i="4"/>
  <c r="F1921" i="4"/>
  <c r="I1345" i="4"/>
  <c r="I1726" i="4"/>
  <c r="N1472" i="4"/>
  <c r="M1342" i="4"/>
  <c r="N1735" i="4"/>
  <c r="P1301" i="4"/>
  <c r="M1301" i="4"/>
  <c r="N1722" i="4"/>
  <c r="H1217" i="4"/>
  <c r="I1217" i="4"/>
  <c r="I1829" i="4"/>
  <c r="I1301" i="4"/>
  <c r="N1392" i="4"/>
  <c r="I1212" i="4"/>
  <c r="N1863" i="4"/>
  <c r="P1205" i="4"/>
  <c r="M1205" i="4"/>
  <c r="I1250" i="4"/>
  <c r="H1250" i="4"/>
  <c r="I1386" i="4"/>
  <c r="N1435" i="4"/>
  <c r="F1917" i="4"/>
  <c r="I1227" i="4"/>
  <c r="I1501" i="4"/>
  <c r="I1783" i="4"/>
  <c r="P1222" i="4"/>
  <c r="M1222" i="4"/>
  <c r="G1533" i="4"/>
  <c r="H1533" i="4" s="1"/>
  <c r="P1199" i="4"/>
  <c r="M1199" i="4"/>
  <c r="P1193" i="4"/>
  <c r="O1141" i="4"/>
  <c r="N1291" i="4"/>
  <c r="M1266" i="4"/>
  <c r="P1266" i="4"/>
  <c r="N1266" i="4"/>
  <c r="N1469" i="4"/>
  <c r="P1235" i="4"/>
  <c r="I1235" i="4"/>
  <c r="H1235" i="4"/>
  <c r="N1250" i="4"/>
  <c r="P1241" i="4"/>
  <c r="M1241" i="4"/>
  <c r="I1786" i="4"/>
  <c r="N1284" i="4"/>
  <c r="N1401" i="4"/>
  <c r="I1216" i="4"/>
  <c r="I1410" i="4"/>
  <c r="N1204" i="4"/>
  <c r="I1220" i="4"/>
  <c r="N1258" i="4"/>
  <c r="N1197" i="4"/>
  <c r="I1837" i="4"/>
  <c r="I1242" i="4"/>
  <c r="H1242" i="4"/>
  <c r="M1298" i="4"/>
  <c r="P1298" i="4"/>
  <c r="N1199" i="4"/>
  <c r="I1762" i="4"/>
  <c r="P1289" i="4"/>
  <c r="N1289" i="4"/>
  <c r="M1289" i="4"/>
  <c r="N1466" i="4"/>
  <c r="N1856" i="4"/>
  <c r="I1507" i="4"/>
  <c r="H1507" i="4"/>
  <c r="I1871" i="4"/>
  <c r="I1199" i="4"/>
  <c r="P1309" i="4"/>
  <c r="N1309" i="4"/>
  <c r="M1309" i="4"/>
  <c r="N1781" i="4"/>
  <c r="N1860" i="4"/>
  <c r="P1245" i="4"/>
  <c r="N1245" i="4"/>
  <c r="M1245" i="4"/>
  <c r="P1320" i="4"/>
  <c r="I1214" i="4"/>
  <c r="P1220" i="4"/>
  <c r="M1220" i="4"/>
  <c r="P1202" i="4"/>
  <c r="N1202" i="4"/>
  <c r="M1202" i="4"/>
  <c r="H1264" i="4"/>
  <c r="P1264" i="4"/>
  <c r="G1343" i="4"/>
  <c r="I1256" i="4"/>
  <c r="P1195" i="4"/>
  <c r="N1195" i="4"/>
  <c r="M1195" i="4"/>
  <c r="N1827" i="4"/>
  <c r="N1514" i="4"/>
  <c r="N1775" i="4"/>
  <c r="L190" i="4"/>
  <c r="M189" i="4"/>
  <c r="N188" i="4"/>
  <c r="H191" i="4"/>
  <c r="I191" i="4"/>
  <c r="M934" i="4" l="1"/>
  <c r="N934" i="4"/>
  <c r="L5681" i="4"/>
  <c r="N5681" i="4" s="1"/>
  <c r="M5681" i="4"/>
  <c r="G5725" i="4"/>
  <c r="H5725" i="4" s="1"/>
  <c r="M5583" i="4"/>
  <c r="N5583" i="4"/>
  <c r="M5644" i="4"/>
  <c r="H877" i="4"/>
  <c r="L5702" i="4"/>
  <c r="N5181" i="4"/>
  <c r="M5181" i="4"/>
  <c r="I5156" i="4"/>
  <c r="I572" i="4"/>
  <c r="H5619" i="4"/>
  <c r="I848" i="4"/>
  <c r="H5108" i="4"/>
  <c r="I5721" i="4"/>
  <c r="N884" i="4"/>
  <c r="I5664" i="4"/>
  <c r="I872" i="4"/>
  <c r="I905" i="4"/>
  <c r="H5019" i="4"/>
  <c r="P5019" i="4"/>
  <c r="I5613" i="4"/>
  <c r="M5333" i="4"/>
  <c r="H861" i="4"/>
  <c r="I5019" i="4"/>
  <c r="I5705" i="4"/>
  <c r="N5722" i="4"/>
  <c r="I906" i="4"/>
  <c r="L5748" i="4"/>
  <c r="M5748" i="4" s="1"/>
  <c r="I5175" i="4"/>
  <c r="N915" i="4"/>
  <c r="M5230" i="4"/>
  <c r="N5650" i="4"/>
  <c r="G5639" i="4"/>
  <c r="H5639" i="4" s="1"/>
  <c r="I5588" i="4"/>
  <c r="N5127" i="4"/>
  <c r="M5127" i="4"/>
  <c r="N5309" i="4"/>
  <c r="M5309" i="4"/>
  <c r="M843" i="4"/>
  <c r="N843" i="4"/>
  <c r="I5594" i="4"/>
  <c r="N860" i="4"/>
  <c r="N902" i="4"/>
  <c r="H823" i="4"/>
  <c r="I823" i="4"/>
  <c r="I5642" i="4"/>
  <c r="N937" i="4"/>
  <c r="H4671" i="4"/>
  <c r="M914" i="4"/>
  <c r="M913" i="4"/>
  <c r="I5092" i="4"/>
  <c r="N5280" i="4"/>
  <c r="M5280" i="4"/>
  <c r="I5750" i="4"/>
  <c r="N5311" i="4"/>
  <c r="I4796" i="4"/>
  <c r="H870" i="4"/>
  <c r="I5062" i="4"/>
  <c r="I768" i="4"/>
  <c r="I871" i="4"/>
  <c r="N5595" i="4"/>
  <c r="I5709" i="4"/>
  <c r="H809" i="4"/>
  <c r="M870" i="4"/>
  <c r="N870" i="4"/>
  <c r="M5172" i="4"/>
  <c r="N5172" i="4"/>
  <c r="P5172" i="4"/>
  <c r="N5027" i="4"/>
  <c r="M5027" i="4"/>
  <c r="P5027" i="4"/>
  <c r="M5584" i="4"/>
  <c r="N5584" i="4"/>
  <c r="H846" i="4"/>
  <c r="M844" i="4"/>
  <c r="N844" i="4"/>
  <c r="M5221" i="4"/>
  <c r="N5221" i="4"/>
  <c r="H5582" i="4"/>
  <c r="I5582" i="4"/>
  <c r="I5121" i="4"/>
  <c r="H5121" i="4"/>
  <c r="P5121" i="4"/>
  <c r="I2860" i="4"/>
  <c r="N2762" i="4"/>
  <c r="M5210" i="4"/>
  <c r="N5210" i="4"/>
  <c r="H5198" i="4"/>
  <c r="I5198" i="4"/>
  <c r="N890" i="4"/>
  <c r="H900" i="4"/>
  <c r="I900" i="4"/>
  <c r="H5081" i="4"/>
  <c r="M5594" i="4"/>
  <c r="N5594" i="4"/>
  <c r="I5182" i="4"/>
  <c r="H5182" i="4"/>
  <c r="N5013" i="4"/>
  <c r="P5013" i="4"/>
  <c r="M5013" i="4"/>
  <c r="I3815" i="4"/>
  <c r="I5256" i="4"/>
  <c r="H5256" i="4"/>
  <c r="L5589" i="4"/>
  <c r="N5589" i="4" s="1"/>
  <c r="M5589" i="4"/>
  <c r="I5616" i="4"/>
  <c r="L5659" i="4"/>
  <c r="M5659" i="4" s="1"/>
  <c r="M5271" i="4"/>
  <c r="N5271" i="4"/>
  <c r="N5022" i="4"/>
  <c r="M5022" i="4"/>
  <c r="P5022" i="4"/>
  <c r="M909" i="4"/>
  <c r="N909" i="4"/>
  <c r="L5751" i="4"/>
  <c r="N5751" i="4" s="1"/>
  <c r="H1910" i="4"/>
  <c r="I1910" i="4"/>
  <c r="L5598" i="4"/>
  <c r="N5598" i="4" s="1"/>
  <c r="M885" i="4"/>
  <c r="N885" i="4"/>
  <c r="H5015" i="4"/>
  <c r="P5015" i="4"/>
  <c r="I5015" i="4"/>
  <c r="H5012" i="4"/>
  <c r="P5012" i="4"/>
  <c r="I5012" i="4"/>
  <c r="P5165" i="4"/>
  <c r="N768" i="4"/>
  <c r="H829" i="4"/>
  <c r="N5241" i="4"/>
  <c r="M5241" i="4"/>
  <c r="G5596" i="4"/>
  <c r="I5596" i="4" s="1"/>
  <c r="H5596" i="4"/>
  <c r="M5009" i="4"/>
  <c r="N5009" i="4"/>
  <c r="H5729" i="4"/>
  <c r="I5729" i="4"/>
  <c r="M5024" i="4"/>
  <c r="N5024" i="4"/>
  <c r="M5652" i="4"/>
  <c r="N5652" i="4"/>
  <c r="H839" i="4"/>
  <c r="I839" i="4"/>
  <c r="M936" i="4"/>
  <c r="N936" i="4"/>
  <c r="N5748" i="4"/>
  <c r="I945" i="4"/>
  <c r="M5604" i="4"/>
  <c r="N5604" i="4"/>
  <c r="I5217" i="4"/>
  <c r="H5217" i="4"/>
  <c r="L5600" i="4"/>
  <c r="N5600" i="4" s="1"/>
  <c r="I5115" i="4"/>
  <c r="H5696" i="4"/>
  <c r="I5702" i="4"/>
  <c r="H929" i="4"/>
  <c r="N944" i="4"/>
  <c r="M842" i="4"/>
  <c r="M5028" i="4"/>
  <c r="P5028" i="4"/>
  <c r="N5028" i="4"/>
  <c r="M5010" i="4"/>
  <c r="N5010" i="4"/>
  <c r="I5127" i="4"/>
  <c r="H5127" i="4"/>
  <c r="P5127" i="4"/>
  <c r="H807" i="4"/>
  <c r="I807" i="4"/>
  <c r="N5179" i="4"/>
  <c r="P5179" i="4"/>
  <c r="M5179" i="4"/>
  <c r="H855" i="4"/>
  <c r="I855" i="4"/>
  <c r="I932" i="4"/>
  <c r="O4989" i="4"/>
  <c r="I5041" i="4"/>
  <c r="M852" i="4"/>
  <c r="N852" i="4"/>
  <c r="L5592" i="4"/>
  <c r="M5592" i="4" s="1"/>
  <c r="N886" i="4"/>
  <c r="N5232" i="4"/>
  <c r="P5016" i="4"/>
  <c r="M5016" i="4"/>
  <c r="N5016" i="4"/>
  <c r="N5207" i="4"/>
  <c r="M5207" i="4"/>
  <c r="M5588" i="4"/>
  <c r="N5588" i="4"/>
  <c r="N869" i="4"/>
  <c r="M869" i="4"/>
  <c r="N5318" i="4"/>
  <c r="M5318" i="4"/>
  <c r="I927" i="4"/>
  <c r="M5591" i="4"/>
  <c r="N5591" i="4"/>
  <c r="N5204" i="4"/>
  <c r="M5204" i="4"/>
  <c r="N5324" i="4"/>
  <c r="I918" i="4"/>
  <c r="P5026" i="4"/>
  <c r="N5026" i="4"/>
  <c r="N5173" i="4"/>
  <c r="P5173" i="4"/>
  <c r="M5173" i="4"/>
  <c r="H903" i="4"/>
  <c r="I903" i="4"/>
  <c r="I5676" i="4"/>
  <c r="M5125" i="4"/>
  <c r="F5760" i="4"/>
  <c r="G5760" i="4" s="1"/>
  <c r="H5760" i="4" s="1"/>
  <c r="M5079" i="4"/>
  <c r="N5079" i="4"/>
  <c r="I5043" i="4"/>
  <c r="H5043" i="4"/>
  <c r="M851" i="4"/>
  <c r="N851" i="4"/>
  <c r="H5093" i="4"/>
  <c r="I5693" i="4"/>
  <c r="I936" i="4"/>
  <c r="N940" i="4"/>
  <c r="M5695" i="4"/>
  <c r="I5026" i="4"/>
  <c r="H5026" i="4"/>
  <c r="H911" i="4"/>
  <c r="I911" i="4"/>
  <c r="N893" i="4"/>
  <c r="M893" i="4"/>
  <c r="N5614" i="4"/>
  <c r="M5599" i="4"/>
  <c r="N5599" i="4"/>
  <c r="I5216" i="4"/>
  <c r="H5216" i="4"/>
  <c r="M5030" i="4"/>
  <c r="N5030" i="4"/>
  <c r="M5200" i="4"/>
  <c r="I5255" i="4"/>
  <c r="M5177" i="4"/>
  <c r="I5116" i="4"/>
  <c r="H5116" i="4"/>
  <c r="I5122" i="4"/>
  <c r="P5122" i="4"/>
  <c r="H5122" i="4"/>
  <c r="L5727" i="4"/>
  <c r="N5727" i="4" s="1"/>
  <c r="M5727" i="4"/>
  <c r="P5178" i="4"/>
  <c r="M5178" i="4"/>
  <c r="I859" i="4"/>
  <c r="P5014" i="4"/>
  <c r="M5014" i="4"/>
  <c r="N5014" i="4"/>
  <c r="M5011" i="4"/>
  <c r="N5011" i="4"/>
  <c r="P5011" i="4"/>
  <c r="M918" i="4"/>
  <c r="N918" i="4"/>
  <c r="N5290" i="4"/>
  <c r="M5290" i="4"/>
  <c r="I5375" i="4"/>
  <c r="H5375" i="4"/>
  <c r="M868" i="4"/>
  <c r="N868" i="4"/>
  <c r="N5118" i="4"/>
  <c r="M5118" i="4"/>
  <c r="I5163" i="4"/>
  <c r="H5163" i="4"/>
  <c r="I3803" i="4"/>
  <c r="H825" i="4"/>
  <c r="L5747" i="4"/>
  <c r="M5747" i="4" s="1"/>
  <c r="N5203" i="4"/>
  <c r="M5203" i="4"/>
  <c r="N5710" i="4"/>
  <c r="H5637" i="4"/>
  <c r="N5706" i="4"/>
  <c r="N938" i="4"/>
  <c r="I931" i="4"/>
  <c r="I843" i="4"/>
  <c r="H884" i="4"/>
  <c r="I884" i="4"/>
  <c r="M892" i="4"/>
  <c r="N892" i="4"/>
  <c r="L5603" i="4"/>
  <c r="M5603" i="4" s="1"/>
  <c r="N5719" i="4"/>
  <c r="I5567" i="4"/>
  <c r="H5567" i="4"/>
  <c r="M4991" i="4"/>
  <c r="O4991" i="4"/>
  <c r="I5372" i="4"/>
  <c r="H5372" i="4"/>
  <c r="I5181" i="4"/>
  <c r="H5181" i="4"/>
  <c r="P5181" i="4"/>
  <c r="I5373" i="4"/>
  <c r="H5373" i="4"/>
  <c r="P5185" i="4"/>
  <c r="M5185" i="4"/>
  <c r="N5568" i="4"/>
  <c r="M5568" i="4"/>
  <c r="N5376" i="4"/>
  <c r="M5376" i="4"/>
  <c r="N5567" i="4"/>
  <c r="M5567" i="4"/>
  <c r="M5130" i="4"/>
  <c r="N5130" i="4"/>
  <c r="P5130" i="4"/>
  <c r="M5063" i="4"/>
  <c r="N5063" i="4"/>
  <c r="P5063" i="4"/>
  <c r="H5148" i="4"/>
  <c r="I5148" i="4"/>
  <c r="I5306" i="4"/>
  <c r="H5306" i="4"/>
  <c r="M5713" i="4"/>
  <c r="N5713" i="4"/>
  <c r="P382" i="4"/>
  <c r="M382" i="4"/>
  <c r="K5756" i="4"/>
  <c r="L5756" i="4" s="1"/>
  <c r="M5756" i="4" s="1"/>
  <c r="H5726" i="4"/>
  <c r="I5726" i="4"/>
  <c r="H5600" i="4"/>
  <c r="I5600" i="4"/>
  <c r="I5128" i="4"/>
  <c r="H5128" i="4"/>
  <c r="N811" i="4"/>
  <c r="N917" i="4"/>
  <c r="M5732" i="4"/>
  <c r="N5732" i="4"/>
  <c r="P5095" i="4"/>
  <c r="M5095" i="4"/>
  <c r="N5095" i="4"/>
  <c r="I938" i="4"/>
  <c r="G5622" i="4"/>
  <c r="I5622" i="4" s="1"/>
  <c r="H5622" i="4"/>
  <c r="I5091" i="4"/>
  <c r="H5091" i="4"/>
  <c r="G5653" i="4"/>
  <c r="I5653" i="4" s="1"/>
  <c r="H5742" i="4"/>
  <c r="I5742" i="4"/>
  <c r="I958" i="4"/>
  <c r="P5115" i="4"/>
  <c r="N5115" i="4"/>
  <c r="G5737" i="4"/>
  <c r="I5737" i="4" s="1"/>
  <c r="M5627" i="4"/>
  <c r="N5627" i="4"/>
  <c r="M5639" i="4"/>
  <c r="N5639" i="4"/>
  <c r="I912" i="4"/>
  <c r="M910" i="4"/>
  <c r="N910" i="4"/>
  <c r="H5722" i="4"/>
  <c r="I5722" i="4"/>
  <c r="I5150" i="4"/>
  <c r="H5150" i="4"/>
  <c r="K5760" i="4"/>
  <c r="L5760" i="4" s="1"/>
  <c r="M5760" i="4" s="1"/>
  <c r="M5648" i="4"/>
  <c r="N5648" i="4"/>
  <c r="G5704" i="4"/>
  <c r="I5704" i="4" s="1"/>
  <c r="H5704" i="4"/>
  <c r="P5132" i="4"/>
  <c r="N5132" i="4"/>
  <c r="M5132" i="4"/>
  <c r="I5009" i="4"/>
  <c r="H5009" i="4"/>
  <c r="N5006" i="4"/>
  <c r="P5006" i="4"/>
  <c r="M5006" i="4"/>
  <c r="I818" i="4"/>
  <c r="L5569" i="4"/>
  <c r="M5569" i="4" s="1"/>
  <c r="G5684" i="4"/>
  <c r="I5684" i="4" s="1"/>
  <c r="M5671" i="4"/>
  <c r="N5671" i="4"/>
  <c r="M5145" i="4"/>
  <c r="P5145" i="4"/>
  <c r="H5046" i="4"/>
  <c r="I5046" i="4"/>
  <c r="L5685" i="4"/>
  <c r="N5685" i="4" s="1"/>
  <c r="M5685" i="4"/>
  <c r="M5115" i="4"/>
  <c r="L5670" i="4"/>
  <c r="N5670" i="4" s="1"/>
  <c r="H5010" i="4"/>
  <c r="I5010" i="4"/>
  <c r="P5010" i="4"/>
  <c r="M5724" i="4"/>
  <c r="N5724" i="4"/>
  <c r="M813" i="4"/>
  <c r="N813" i="4"/>
  <c r="M814" i="4"/>
  <c r="N814" i="4"/>
  <c r="H5662" i="4"/>
  <c r="I5662" i="4"/>
  <c r="I5042" i="4"/>
  <c r="H5042" i="4"/>
  <c r="M5738" i="4"/>
  <c r="N5738" i="4"/>
  <c r="H5612" i="4"/>
  <c r="I5612" i="4"/>
  <c r="H910" i="4"/>
  <c r="N5184" i="4"/>
  <c r="M5184" i="4"/>
  <c r="I5110" i="4"/>
  <c r="H5110" i="4"/>
  <c r="M192" i="4"/>
  <c r="O192" i="4"/>
  <c r="N192" i="4"/>
  <c r="H5683" i="4"/>
  <c r="I5683" i="4"/>
  <c r="M5666" i="4"/>
  <c r="N5666" i="4"/>
  <c r="P5072" i="4"/>
  <c r="N5072" i="4"/>
  <c r="H5170" i="4"/>
  <c r="I5097" i="4"/>
  <c r="H5097" i="4"/>
  <c r="M5708" i="4"/>
  <c r="N5708" i="4"/>
  <c r="N5723" i="4"/>
  <c r="M908" i="4"/>
  <c r="L5582" i="4"/>
  <c r="M5582" i="4" s="1"/>
  <c r="I5130" i="4"/>
  <c r="H5130" i="4"/>
  <c r="N4986" i="4"/>
  <c r="O4986" i="4"/>
  <c r="M4986" i="4"/>
  <c r="G5183" i="4"/>
  <c r="M5744" i="4"/>
  <c r="N5744" i="4"/>
  <c r="M5618" i="4"/>
  <c r="N5618" i="4"/>
  <c r="N5257" i="4"/>
  <c r="H5137" i="4"/>
  <c r="I5137" i="4"/>
  <c r="N850" i="4"/>
  <c r="I5364" i="4"/>
  <c r="H5364" i="4"/>
  <c r="I4981" i="4"/>
  <c r="O4981" i="4"/>
  <c r="H4981" i="4"/>
  <c r="I961" i="4"/>
  <c r="M5109" i="4"/>
  <c r="N5109" i="4"/>
  <c r="P5109" i="4"/>
  <c r="I5114" i="4"/>
  <c r="P5114" i="4"/>
  <c r="H5114" i="4"/>
  <c r="N5094" i="4"/>
  <c r="P5094" i="4"/>
  <c r="M5094" i="4"/>
  <c r="N5750" i="4"/>
  <c r="G5586" i="4"/>
  <c r="I5586" i="4" s="1"/>
  <c r="P5148" i="4"/>
  <c r="N5148" i="4"/>
  <c r="M5148" i="4"/>
  <c r="M5167" i="4"/>
  <c r="P5167" i="4"/>
  <c r="N5167" i="4"/>
  <c r="H5086" i="4"/>
  <c r="H574" i="4"/>
  <c r="I574" i="4"/>
  <c r="N5162" i="4"/>
  <c r="M5162" i="4"/>
  <c r="P5162" i="4"/>
  <c r="H5036" i="4"/>
  <c r="I5036" i="4"/>
  <c r="I5095" i="4"/>
  <c r="H5095" i="4"/>
  <c r="H5146" i="4"/>
  <c r="M896" i="4"/>
  <c r="H5107" i="4"/>
  <c r="H5158" i="4"/>
  <c r="I5158" i="4"/>
  <c r="M5161" i="4"/>
  <c r="N5090" i="4"/>
  <c r="P5090" i="4"/>
  <c r="M5090" i="4"/>
  <c r="M5072" i="4"/>
  <c r="H5746" i="4"/>
  <c r="I5746" i="4"/>
  <c r="N856" i="4"/>
  <c r="M856" i="4"/>
  <c r="L5749" i="4"/>
  <c r="M5749" i="4" s="1"/>
  <c r="H817" i="4"/>
  <c r="I5132" i="4"/>
  <c r="H5132" i="4"/>
  <c r="I5739" i="4"/>
  <c r="H5739" i="4"/>
  <c r="H5633" i="4"/>
  <c r="I5633" i="4"/>
  <c r="N935" i="4"/>
  <c r="M5042" i="4"/>
  <c r="N5042" i="4"/>
  <c r="P5042" i="4"/>
  <c r="G5713" i="4"/>
  <c r="I5713" i="4" s="1"/>
  <c r="M5043" i="4"/>
  <c r="P5043" i="4"/>
  <c r="N5043" i="4"/>
  <c r="G5749" i="4"/>
  <c r="I5749" i="4" s="1"/>
  <c r="H5749" i="4"/>
  <c r="F5761" i="4"/>
  <c r="G5761" i="4" s="1"/>
  <c r="H5761" i="4" s="1"/>
  <c r="I5185" i="4"/>
  <c r="L5761" i="4"/>
  <c r="M5761" i="4" s="1"/>
  <c r="I826" i="4"/>
  <c r="I5101" i="4"/>
  <c r="H5101" i="4"/>
  <c r="N919" i="4"/>
  <c r="N5687" i="4"/>
  <c r="P385" i="4"/>
  <c r="M385" i="4"/>
  <c r="M5743" i="4"/>
  <c r="N5743" i="4"/>
  <c r="I5044" i="4"/>
  <c r="H5044" i="4"/>
  <c r="N912" i="4"/>
  <c r="M912" i="4"/>
  <c r="G5565" i="4"/>
  <c r="H5565" i="4" s="1"/>
  <c r="G5180" i="4"/>
  <c r="M927" i="4"/>
  <c r="N927" i="4"/>
  <c r="G5671" i="4"/>
  <c r="I5671" i="4" s="1"/>
  <c r="I889" i="4"/>
  <c r="I5056" i="4"/>
  <c r="H5056" i="4"/>
  <c r="H5734" i="4"/>
  <c r="I5734" i="4"/>
  <c r="N5045" i="4"/>
  <c r="P5045" i="4"/>
  <c r="M5045" i="4"/>
  <c r="N5065" i="4"/>
  <c r="M5065" i="4"/>
  <c r="M846" i="4"/>
  <c r="N846" i="4"/>
  <c r="I5569" i="4"/>
  <c r="H5569" i="4"/>
  <c r="M941" i="4"/>
  <c r="N941" i="4"/>
  <c r="N5365" i="4"/>
  <c r="M5365" i="4"/>
  <c r="H868" i="4"/>
  <c r="I868" i="4"/>
  <c r="H5144" i="4"/>
  <c r="P5144" i="4"/>
  <c r="I5030" i="4"/>
  <c r="P5030" i="4"/>
  <c r="H5030" i="4"/>
  <c r="G5711" i="4"/>
  <c r="H5711" i="4" s="1"/>
  <c r="N5663" i="4"/>
  <c r="I5047" i="4"/>
  <c r="H5047" i="4"/>
  <c r="I5708" i="4"/>
  <c r="H5708" i="4"/>
  <c r="N4993" i="4"/>
  <c r="O4993" i="4"/>
  <c r="N874" i="4"/>
  <c r="H881" i="4"/>
  <c r="G5620" i="4"/>
  <c r="I5620" i="4" s="1"/>
  <c r="M826" i="4"/>
  <c r="M5087" i="4"/>
  <c r="P5087" i="4"/>
  <c r="H812" i="4"/>
  <c r="I812" i="4"/>
  <c r="P5059" i="4"/>
  <c r="N5059" i="4"/>
  <c r="M5059" i="4"/>
  <c r="H806" i="4"/>
  <c r="G5632" i="4"/>
  <c r="I5632" i="4" s="1"/>
  <c r="L5621" i="4"/>
  <c r="N5621" i="4" s="1"/>
  <c r="H5085" i="4"/>
  <c r="I5085" i="4"/>
  <c r="L5641" i="4"/>
  <c r="M5641" i="4" s="1"/>
  <c r="H5718" i="4"/>
  <c r="I5718" i="4"/>
  <c r="H5055" i="4"/>
  <c r="I5055" i="4"/>
  <c r="H919" i="4"/>
  <c r="I919" i="4"/>
  <c r="L5606" i="4"/>
  <c r="M5606" i="4" s="1"/>
  <c r="M858" i="4"/>
  <c r="N858" i="4"/>
  <c r="I902" i="4"/>
  <c r="I5152" i="4"/>
  <c r="H5152" i="4"/>
  <c r="N5085" i="4"/>
  <c r="P5085" i="4"/>
  <c r="M5085" i="4"/>
  <c r="G5720" i="4"/>
  <c r="I5720" i="4" s="1"/>
  <c r="I926" i="4"/>
  <c r="M575" i="4"/>
  <c r="N575" i="4"/>
  <c r="N5366" i="4"/>
  <c r="M5366" i="4"/>
  <c r="G5723" i="4"/>
  <c r="H5723" i="4" s="1"/>
  <c r="I5023" i="4"/>
  <c r="P5023" i="4"/>
  <c r="H5023" i="4"/>
  <c r="G5623" i="4"/>
  <c r="I5623" i="4" s="1"/>
  <c r="M4993" i="4"/>
  <c r="I5725" i="4"/>
  <c r="H5059" i="4"/>
  <c r="I5059" i="4"/>
  <c r="I853" i="4"/>
  <c r="H5051" i="4"/>
  <c r="I5051" i="4"/>
  <c r="I5126" i="4"/>
  <c r="H5126" i="4"/>
  <c r="M5078" i="4"/>
  <c r="N5078" i="4"/>
  <c r="P5078" i="4"/>
  <c r="H956" i="4"/>
  <c r="I956" i="4"/>
  <c r="M5251" i="4"/>
  <c r="I953" i="4"/>
  <c r="N5222" i="4"/>
  <c r="M5222" i="4"/>
  <c r="N5112" i="4"/>
  <c r="P5112" i="4"/>
  <c r="M5112" i="4"/>
  <c r="G5728" i="4"/>
  <c r="I5728" i="4" s="1"/>
  <c r="H5728" i="4"/>
  <c r="L5661" i="4"/>
  <c r="N5661" i="4" s="1"/>
  <c r="N5133" i="4"/>
  <c r="P5133" i="4"/>
  <c r="M5133" i="4"/>
  <c r="H4979" i="4"/>
  <c r="I4979" i="4"/>
  <c r="O4979" i="4"/>
  <c r="I5366" i="4"/>
  <c r="H5366" i="4"/>
  <c r="H5701" i="4"/>
  <c r="I5701" i="4"/>
  <c r="I5599" i="4"/>
  <c r="H5599" i="4"/>
  <c r="N5157" i="4"/>
  <c r="P5157" i="4"/>
  <c r="H5088" i="4"/>
  <c r="H5070" i="4"/>
  <c r="I5070" i="4"/>
  <c r="P5035" i="4"/>
  <c r="M5035" i="4"/>
  <c r="N5035" i="4"/>
  <c r="G5635" i="4"/>
  <c r="I5635" i="4" s="1"/>
  <c r="H5627" i="4"/>
  <c r="I5627" i="4"/>
  <c r="P5120" i="4"/>
  <c r="N5120" i="4"/>
  <c r="M5120" i="4"/>
  <c r="H5094" i="4"/>
  <c r="I5094" i="4"/>
  <c r="M5654" i="4"/>
  <c r="N5654" i="4"/>
  <c r="M5140" i="4"/>
  <c r="P5140" i="4"/>
  <c r="I5145" i="4"/>
  <c r="H5145" i="4"/>
  <c r="N5146" i="4"/>
  <c r="P5146" i="4"/>
  <c r="M5146" i="4"/>
  <c r="L960" i="4"/>
  <c r="M960" i="4" s="1"/>
  <c r="N5057" i="4"/>
  <c r="M5057" i="4"/>
  <c r="H766" i="4"/>
  <c r="I766" i="4"/>
  <c r="G5184" i="4"/>
  <c r="M5688" i="4"/>
  <c r="N5688" i="4"/>
  <c r="H5053" i="4"/>
  <c r="I5045" i="4"/>
  <c r="H5045" i="4"/>
  <c r="H4990" i="4"/>
  <c r="I4990" i="4"/>
  <c r="G5680" i="4"/>
  <c r="I5680" i="4" s="1"/>
  <c r="H5747" i="4"/>
  <c r="I5747" i="4"/>
  <c r="I5125" i="4"/>
  <c r="H5125" i="4"/>
  <c r="M5707" i="4"/>
  <c r="N5707" i="4"/>
  <c r="I5154" i="4"/>
  <c r="H5154" i="4"/>
  <c r="N5124" i="4"/>
  <c r="P5124" i="4"/>
  <c r="F5758" i="4"/>
  <c r="G5758" i="4" s="1"/>
  <c r="H5758" i="4" s="1"/>
  <c r="M5157" i="4"/>
  <c r="H5646" i="4"/>
  <c r="I5646" i="4"/>
  <c r="M5611" i="4"/>
  <c r="N5611" i="4"/>
  <c r="I954" i="4"/>
  <c r="N958" i="4"/>
  <c r="I5625" i="4"/>
  <c r="M954" i="4"/>
  <c r="N954" i="4"/>
  <c r="M5696" i="4"/>
  <c r="N5696" i="4"/>
  <c r="I5112" i="4"/>
  <c r="H5112" i="4"/>
  <c r="I5063" i="4"/>
  <c r="H5063" i="4"/>
  <c r="N5033" i="4"/>
  <c r="P5033" i="4"/>
  <c r="M5033" i="4"/>
  <c r="N5159" i="4"/>
  <c r="M5159" i="4"/>
  <c r="P5159" i="4"/>
  <c r="P5062" i="4"/>
  <c r="N5062" i="4"/>
  <c r="M5062" i="4"/>
  <c r="H5707" i="4"/>
  <c r="I5707" i="4"/>
  <c r="M5692" i="4"/>
  <c r="N5692" i="4"/>
  <c r="L5633" i="4"/>
  <c r="N5633" i="4" s="1"/>
  <c r="M5633" i="4"/>
  <c r="I5566" i="4"/>
  <c r="H5566" i="4"/>
  <c r="H916" i="4"/>
  <c r="I916" i="4"/>
  <c r="M5740" i="4"/>
  <c r="N5740" i="4"/>
  <c r="N5310" i="4"/>
  <c r="M5310" i="4"/>
  <c r="H5629" i="4"/>
  <c r="I5629" i="4"/>
  <c r="I5104" i="4"/>
  <c r="H5104" i="4"/>
  <c r="H5052" i="4"/>
  <c r="I5034" i="4"/>
  <c r="H5034" i="4"/>
  <c r="H828" i="4"/>
  <c r="I828" i="4"/>
  <c r="N5131" i="4"/>
  <c r="M5131" i="4"/>
  <c r="P5131" i="4"/>
  <c r="H5730" i="4"/>
  <c r="I5730" i="4"/>
  <c r="M5700" i="4"/>
  <c r="N5700" i="4"/>
  <c r="P5108" i="4"/>
  <c r="M5108" i="4"/>
  <c r="N5108" i="4"/>
  <c r="I5040" i="4"/>
  <c r="M5733" i="4"/>
  <c r="N5733" i="4"/>
  <c r="N4874" i="4"/>
  <c r="O4874" i="4"/>
  <c r="M4874" i="4"/>
  <c r="I913" i="4"/>
  <c r="M4990" i="4"/>
  <c r="O4990" i="4"/>
  <c r="K5758" i="4"/>
  <c r="N4990" i="4"/>
  <c r="L5640" i="4"/>
  <c r="M5640" i="4" s="1"/>
  <c r="I5703" i="4"/>
  <c r="H5703" i="4"/>
  <c r="I5083" i="4"/>
  <c r="H5083" i="4"/>
  <c r="H5724" i="4"/>
  <c r="I5724" i="4"/>
  <c r="L5609" i="4"/>
  <c r="N5609" i="4" s="1"/>
  <c r="L5735" i="4"/>
  <c r="N5735" i="4" s="1"/>
  <c r="L5585" i="4"/>
  <c r="N5585" i="4" s="1"/>
  <c r="I5131" i="4"/>
  <c r="H5131" i="4"/>
  <c r="N5308" i="4"/>
  <c r="M5308" i="4"/>
  <c r="M5071" i="4"/>
  <c r="P5071" i="4"/>
  <c r="N5071" i="4"/>
  <c r="H5719" i="4"/>
  <c r="I5719" i="4"/>
  <c r="I5151" i="4"/>
  <c r="H5151" i="4"/>
  <c r="P5151" i="4"/>
  <c r="I5111" i="4"/>
  <c r="H5111" i="4"/>
  <c r="P5111" i="4"/>
  <c r="H5084" i="4"/>
  <c r="I5084" i="4"/>
  <c r="M5164" i="4"/>
  <c r="N5164" i="4"/>
  <c r="P5164" i="4"/>
  <c r="H5610" i="4"/>
  <c r="I5610" i="4"/>
  <c r="M5124" i="4"/>
  <c r="M5684" i="4"/>
  <c r="N5684" i="4"/>
  <c r="I816" i="4"/>
  <c r="L5758" i="4"/>
  <c r="M5758" i="4" s="1"/>
  <c r="I821" i="4"/>
  <c r="M5113" i="4"/>
  <c r="N5113" i="4"/>
  <c r="P5113" i="4"/>
  <c r="M5258" i="4"/>
  <c r="I5082" i="4"/>
  <c r="H5082" i="4"/>
  <c r="P5064" i="4"/>
  <c r="N5064" i="4"/>
  <c r="M5064" i="4"/>
  <c r="G5659" i="4"/>
  <c r="I5659" i="4" s="1"/>
  <c r="I5394" i="4"/>
  <c r="H5394" i="4"/>
  <c r="H837" i="4"/>
  <c r="N5117" i="4"/>
  <c r="M5117" i="4"/>
  <c r="P5117" i="4"/>
  <c r="I873" i="4"/>
  <c r="I4980" i="4"/>
  <c r="O4980" i="4"/>
  <c r="H4980" i="4"/>
  <c r="M5088" i="4"/>
  <c r="N5088" i="4"/>
  <c r="P5088" i="4"/>
  <c r="P5066" i="4"/>
  <c r="H5066" i="4"/>
  <c r="I5066" i="4"/>
  <c r="P5074" i="4"/>
  <c r="N5074" i="4"/>
  <c r="M5074" i="4"/>
  <c r="N837" i="4"/>
  <c r="M837" i="4"/>
  <c r="M5647" i="4"/>
  <c r="N5647" i="4"/>
  <c r="I5143" i="4"/>
  <c r="P5143" i="4"/>
  <c r="H5143" i="4"/>
  <c r="H5687" i="4"/>
  <c r="I5687" i="4"/>
  <c r="G5660" i="4"/>
  <c r="I5660" i="4" s="1"/>
  <c r="I5090" i="4"/>
  <c r="H5090" i="4"/>
  <c r="N5056" i="4"/>
  <c r="P5056" i="4"/>
  <c r="M5056" i="4"/>
  <c r="N5077" i="4"/>
  <c r="P5077" i="4"/>
  <c r="M5077" i="4"/>
  <c r="I5167" i="4"/>
  <c r="H5167" i="4"/>
  <c r="H940" i="4"/>
  <c r="I940" i="4"/>
  <c r="I4987" i="4"/>
  <c r="H4987" i="4"/>
  <c r="N887" i="4"/>
  <c r="N5125" i="4"/>
  <c r="N824" i="4"/>
  <c r="H4984" i="4"/>
  <c r="N922" i="4"/>
  <c r="H5669" i="4"/>
  <c r="I5669" i="4"/>
  <c r="H935" i="4"/>
  <c r="I935" i="4"/>
  <c r="N5169" i="4"/>
  <c r="P5169" i="4"/>
  <c r="M5169" i="4"/>
  <c r="M5689" i="4"/>
  <c r="N5689" i="4"/>
  <c r="M5147" i="4"/>
  <c r="P5147" i="4"/>
  <c r="H5658" i="4"/>
  <c r="I5658" i="4"/>
  <c r="H876" i="4"/>
  <c r="I876" i="4"/>
  <c r="N5313" i="4"/>
  <c r="M5313" i="4"/>
  <c r="P5134" i="4"/>
  <c r="N5134" i="4"/>
  <c r="M5134" i="4"/>
  <c r="P5049" i="4"/>
  <c r="M5049" i="4"/>
  <c r="H5018" i="4"/>
  <c r="I5018" i="4"/>
  <c r="P5018" i="4"/>
  <c r="H5736" i="4"/>
  <c r="I5736" i="4"/>
  <c r="L5693" i="4"/>
  <c r="N5693" i="4" s="1"/>
  <c r="H5748" i="4"/>
  <c r="I5748" i="4"/>
  <c r="L4988" i="4"/>
  <c r="L5664" i="4"/>
  <c r="M5664" i="4" s="1"/>
  <c r="N385" i="4"/>
  <c r="M5154" i="4"/>
  <c r="P5154" i="4"/>
  <c r="N5154" i="4"/>
  <c r="I5078" i="4"/>
  <c r="H5078" i="4"/>
  <c r="H831" i="4"/>
  <c r="I831" i="4"/>
  <c r="M5632" i="4"/>
  <c r="N5632" i="4"/>
  <c r="M5653" i="4"/>
  <c r="N5653" i="4"/>
  <c r="H5743" i="4"/>
  <c r="I5743" i="4"/>
  <c r="I5164" i="4"/>
  <c r="H5164" i="4"/>
  <c r="N5070" i="4"/>
  <c r="M5070" i="4"/>
  <c r="P5070" i="4"/>
  <c r="H5755" i="4"/>
  <c r="I5755" i="4"/>
  <c r="I5038" i="4"/>
  <c r="H5038" i="4"/>
  <c r="M812" i="4"/>
  <c r="N812" i="4"/>
  <c r="H5626" i="4"/>
  <c r="I5626" i="4"/>
  <c r="G5752" i="4"/>
  <c r="I5752" i="4" s="1"/>
  <c r="G5665" i="4"/>
  <c r="H5665" i="4" s="1"/>
  <c r="I576" i="4"/>
  <c r="I866" i="4"/>
  <c r="M5745" i="4"/>
  <c r="N5745" i="4"/>
  <c r="N5617" i="4"/>
  <c r="I5071" i="4"/>
  <c r="H5071" i="4"/>
  <c r="M5697" i="4"/>
  <c r="N5697" i="4"/>
  <c r="L5625" i="4"/>
  <c r="N5625" i="4" s="1"/>
  <c r="M5736" i="4"/>
  <c r="N5736" i="4"/>
  <c r="I5160" i="4"/>
  <c r="H5160" i="4"/>
  <c r="I5025" i="4"/>
  <c r="P5025" i="4"/>
  <c r="H5025" i="4"/>
  <c r="G5377" i="4"/>
  <c r="H5377" i="4" s="1"/>
  <c r="N5185" i="4"/>
  <c r="H863" i="4"/>
  <c r="I863" i="4"/>
  <c r="L5730" i="4"/>
  <c r="N5730" i="4" s="1"/>
  <c r="H5654" i="4"/>
  <c r="I5654" i="4"/>
  <c r="N5073" i="4"/>
  <c r="P5073" i="4"/>
  <c r="M5073" i="4"/>
  <c r="G5716" i="4"/>
  <c r="I5716" i="4" s="1"/>
  <c r="I5639" i="4"/>
  <c r="H767" i="4"/>
  <c r="I767" i="4"/>
  <c r="N5047" i="4"/>
  <c r="H860" i="4"/>
  <c r="I860" i="4"/>
  <c r="M5083" i="4"/>
  <c r="P5083" i="4"/>
  <c r="N5083" i="4"/>
  <c r="M832" i="4"/>
  <c r="N832" i="4"/>
  <c r="H908" i="4"/>
  <c r="I908" i="4"/>
  <c r="G5740" i="4"/>
  <c r="I5740" i="4" s="1"/>
  <c r="L5646" i="4"/>
  <c r="N5646" i="4" s="1"/>
  <c r="P5166" i="4"/>
  <c r="M5166" i="4"/>
  <c r="N5166" i="4"/>
  <c r="N5089" i="4"/>
  <c r="P5089" i="4"/>
  <c r="M5089" i="4"/>
  <c r="H575" i="4"/>
  <c r="I575" i="4"/>
  <c r="H5614" i="4"/>
  <c r="I5614" i="4"/>
  <c r="G2705" i="4"/>
  <c r="H2705" i="4" s="1"/>
  <c r="H5050" i="4"/>
  <c r="N903" i="4"/>
  <c r="I5376" i="4"/>
  <c r="H5376" i="4"/>
  <c r="P5036" i="4"/>
  <c r="I5049" i="4"/>
  <c r="H5049" i="4"/>
  <c r="N5104" i="4"/>
  <c r="P5104" i="4"/>
  <c r="M5104" i="4"/>
  <c r="G5647" i="4"/>
  <c r="I5647" i="4" s="1"/>
  <c r="H847" i="4"/>
  <c r="I847" i="4"/>
  <c r="M901" i="4"/>
  <c r="P5160" i="4"/>
  <c r="M5160" i="4"/>
  <c r="N5160" i="4"/>
  <c r="I5157" i="4"/>
  <c r="H5157" i="4"/>
  <c r="H5068" i="4"/>
  <c r="I5068" i="4"/>
  <c r="M5102" i="4"/>
  <c r="P5102" i="4"/>
  <c r="N5102" i="4"/>
  <c r="N5623" i="4"/>
  <c r="L5665" i="4"/>
  <c r="M5665" i="4" s="1"/>
  <c r="N5165" i="4"/>
  <c r="I2513" i="4"/>
  <c r="H2513" i="4"/>
  <c r="I850" i="4"/>
  <c r="I928" i="4"/>
  <c r="M5092" i="4"/>
  <c r="P5092" i="4"/>
  <c r="N5092" i="4"/>
  <c r="N5054" i="4"/>
  <c r="P5054" i="4"/>
  <c r="M5054" i="4"/>
  <c r="I841" i="4"/>
  <c r="M5036" i="4"/>
  <c r="M880" i="4"/>
  <c r="N880" i="4"/>
  <c r="I5105" i="4"/>
  <c r="P5105" i="4"/>
  <c r="H5105" i="4"/>
  <c r="H5113" i="4"/>
  <c r="I5113" i="4"/>
  <c r="P5034" i="4"/>
  <c r="N5034" i="4"/>
  <c r="M5034" i="4"/>
  <c r="I5098" i="4"/>
  <c r="H5098" i="4"/>
  <c r="M5718" i="4"/>
  <c r="N5021" i="4"/>
  <c r="P5021" i="4"/>
  <c r="M5021" i="4"/>
  <c r="I5075" i="4"/>
  <c r="H5075" i="4"/>
  <c r="I5723" i="4"/>
  <c r="L4992" i="4"/>
  <c r="I4982" i="4"/>
  <c r="H4982" i="4"/>
  <c r="G5733" i="4"/>
  <c r="I5733" i="4" s="1"/>
  <c r="G5644" i="4"/>
  <c r="I5644" i="4" s="1"/>
  <c r="N5140" i="4"/>
  <c r="L5605" i="4"/>
  <c r="M5605" i="4" s="1"/>
  <c r="I5080" i="4"/>
  <c r="H5080" i="4"/>
  <c r="P5080" i="4"/>
  <c r="M5678" i="4"/>
  <c r="N5678" i="4"/>
  <c r="P5170" i="4"/>
  <c r="M5170" i="4"/>
  <c r="N5170" i="4"/>
  <c r="G5564" i="4"/>
  <c r="H5564" i="4" s="1"/>
  <c r="I5035" i="4"/>
  <c r="H5035" i="4"/>
  <c r="I5393" i="4"/>
  <c r="H5393" i="4"/>
  <c r="N924" i="4"/>
  <c r="P5168" i="4"/>
  <c r="I5168" i="4"/>
  <c r="H5168" i="4"/>
  <c r="P5101" i="4"/>
  <c r="M5101" i="4"/>
  <c r="N5101" i="4"/>
  <c r="M5281" i="4"/>
  <c r="N5281" i="4"/>
  <c r="M5668" i="4"/>
  <c r="N5668" i="4"/>
  <c r="M5630" i="4"/>
  <c r="N5630" i="4"/>
  <c r="N576" i="4"/>
  <c r="L5612" i="4"/>
  <c r="N5612" i="4" s="1"/>
  <c r="M5698" i="4"/>
  <c r="N5698" i="4"/>
  <c r="H5681" i="4"/>
  <c r="I5681" i="4"/>
  <c r="N959" i="4"/>
  <c r="H5689" i="4"/>
  <c r="I5689" i="4"/>
  <c r="P5041" i="4"/>
  <c r="M5041" i="4"/>
  <c r="N5041" i="4"/>
  <c r="M5047" i="4"/>
  <c r="L5610" i="4"/>
  <c r="N5610" i="4" s="1"/>
  <c r="I5138" i="4"/>
  <c r="H5138" i="4"/>
  <c r="F5757" i="4"/>
  <c r="G5757" i="4" s="1"/>
  <c r="H5757" i="4" s="1"/>
  <c r="P5142" i="4"/>
  <c r="N5142" i="4"/>
  <c r="M5142" i="4"/>
  <c r="L5597" i="4"/>
  <c r="N5597" i="4" s="1"/>
  <c r="H5651" i="4"/>
  <c r="I5651" i="4"/>
  <c r="H5211" i="4"/>
  <c r="N5716" i="4"/>
  <c r="M5029" i="4"/>
  <c r="P5029" i="4"/>
  <c r="G5656" i="4"/>
  <c r="I5656" i="4" s="1"/>
  <c r="H5609" i="4"/>
  <c r="I5609" i="4"/>
  <c r="M5660" i="4"/>
  <c r="N5660" i="4"/>
  <c r="I921" i="4"/>
  <c r="M859" i="4"/>
  <c r="N859" i="4"/>
  <c r="N5110" i="4"/>
  <c r="P5110" i="4"/>
  <c r="M5110" i="4"/>
  <c r="M5275" i="4"/>
  <c r="N5275" i="4"/>
  <c r="G5611" i="4"/>
  <c r="I5611" i="4" s="1"/>
  <c r="N5097" i="4"/>
  <c r="P5097" i="4"/>
  <c r="M5097" i="4"/>
  <c r="G5587" i="4"/>
  <c r="I5587" i="4" s="1"/>
  <c r="G5744" i="4"/>
  <c r="I5744" i="4" s="1"/>
  <c r="M5677" i="4"/>
  <c r="N5677" i="4"/>
  <c r="L5705" i="4"/>
  <c r="N5705" i="4" s="1"/>
  <c r="N5314" i="4"/>
  <c r="M5314" i="4"/>
  <c r="N5052" i="4"/>
  <c r="M5052" i="4"/>
  <c r="P5052" i="4"/>
  <c r="M5607" i="4"/>
  <c r="N5607" i="4"/>
  <c r="M5055" i="4"/>
  <c r="N5055" i="4"/>
  <c r="P5055" i="4"/>
  <c r="K5759" i="4"/>
  <c r="L5759" i="4" s="1"/>
  <c r="M5759" i="4" s="1"/>
  <c r="N4991" i="4"/>
  <c r="M810" i="4"/>
  <c r="N810" i="4"/>
  <c r="L5183" i="4"/>
  <c r="M5183" i="4" s="1"/>
  <c r="L5682" i="4"/>
  <c r="N5682" i="4" s="1"/>
  <c r="M5682" i="4"/>
  <c r="H5714" i="4"/>
  <c r="I5714" i="4"/>
  <c r="I5222" i="4"/>
  <c r="H5222" i="4"/>
  <c r="M5636" i="4"/>
  <c r="N5636" i="4"/>
  <c r="I835" i="4"/>
  <c r="I5134" i="4"/>
  <c r="P5061" i="4"/>
  <c r="M5061" i="4"/>
  <c r="N5061" i="4"/>
  <c r="I769" i="4"/>
  <c r="P5118" i="4"/>
  <c r="I5118" i="4"/>
  <c r="H5118" i="4"/>
  <c r="N5029" i="4"/>
  <c r="I827" i="4"/>
  <c r="N5158" i="4"/>
  <c r="P5158" i="4"/>
  <c r="P5084" i="4"/>
  <c r="M5084" i="4"/>
  <c r="N5084" i="4"/>
  <c r="M920" i="4"/>
  <c r="I5102" i="4"/>
  <c r="H5102" i="4"/>
  <c r="H5096" i="4"/>
  <c r="H5699" i="4"/>
  <c r="I5699" i="4"/>
  <c r="N5721" i="4"/>
  <c r="G5732" i="4"/>
  <c r="I5732" i="4" s="1"/>
  <c r="H5732" i="4"/>
  <c r="I5395" i="4"/>
  <c r="H5395" i="4"/>
  <c r="I875" i="4"/>
  <c r="I901" i="4"/>
  <c r="P5107" i="4"/>
  <c r="M5107" i="4"/>
  <c r="N5107" i="4"/>
  <c r="M5628" i="4"/>
  <c r="N5628" i="4"/>
  <c r="O4985" i="4"/>
  <c r="I4985" i="4"/>
  <c r="H4985" i="4"/>
  <c r="O191" i="4"/>
  <c r="M191" i="4"/>
  <c r="N191" i="4"/>
  <c r="M904" i="4"/>
  <c r="N904" i="4"/>
  <c r="P5050" i="4"/>
  <c r="M5050" i="4"/>
  <c r="N5050" i="4"/>
  <c r="N5106" i="4"/>
  <c r="M5106" i="4"/>
  <c r="P5106" i="4"/>
  <c r="P5060" i="4"/>
  <c r="M5060" i="4"/>
  <c r="N5060" i="4"/>
  <c r="P5053" i="4"/>
  <c r="M5053" i="4"/>
  <c r="N926" i="4"/>
  <c r="H5663" i="4"/>
  <c r="I5663" i="4"/>
  <c r="L5637" i="4"/>
  <c r="N5637" i="4" s="1"/>
  <c r="G5694" i="4"/>
  <c r="H5694" i="4" s="1"/>
  <c r="I858" i="4"/>
  <c r="I5169" i="4"/>
  <c r="H5169" i="4"/>
  <c r="M5158" i="4"/>
  <c r="I5109" i="4"/>
  <c r="H5109" i="4"/>
  <c r="I5067" i="4"/>
  <c r="H5067" i="4"/>
  <c r="G5672" i="4"/>
  <c r="I5672" i="4" s="1"/>
  <c r="N5068" i="4"/>
  <c r="P5068" i="4"/>
  <c r="M5068" i="4"/>
  <c r="N889" i="4"/>
  <c r="H5123" i="4"/>
  <c r="I5123" i="4"/>
  <c r="O4982" i="4"/>
  <c r="N4982" i="4"/>
  <c r="M4982" i="4"/>
  <c r="N5145" i="4"/>
  <c r="N847" i="4"/>
  <c r="M5683" i="4"/>
  <c r="N5683" i="4"/>
  <c r="H5037" i="4"/>
  <c r="I5037" i="4"/>
  <c r="I5124" i="4"/>
  <c r="H5124" i="4"/>
  <c r="N5306" i="4"/>
  <c r="M5306" i="4"/>
  <c r="I959" i="4"/>
  <c r="H5650" i="4"/>
  <c r="I5650" i="4"/>
  <c r="I5136" i="4"/>
  <c r="H5136" i="4"/>
  <c r="I5061" i="4"/>
  <c r="H5061" i="4"/>
  <c r="M894" i="4"/>
  <c r="N894" i="4"/>
  <c r="I5133" i="4"/>
  <c r="H5133" i="4"/>
  <c r="N4987" i="4"/>
  <c r="M4987" i="4"/>
  <c r="O4987" i="4"/>
  <c r="P5153" i="4"/>
  <c r="N5153" i="4"/>
  <c r="M5153" i="4"/>
  <c r="L5629" i="4"/>
  <c r="M5629" i="4" s="1"/>
  <c r="M838" i="4"/>
  <c r="N838" i="4"/>
  <c r="I5087" i="4"/>
  <c r="H5087" i="4"/>
  <c r="L5741" i="4"/>
  <c r="M5741" i="4" s="1"/>
  <c r="H5745" i="4"/>
  <c r="I5745" i="4"/>
  <c r="P5069" i="4"/>
  <c r="M5069" i="4"/>
  <c r="N5069" i="4"/>
  <c r="N823" i="4"/>
  <c r="G960" i="4"/>
  <c r="H960" i="4" s="1"/>
  <c r="N5635" i="4"/>
  <c r="I5140" i="4"/>
  <c r="I5064" i="4"/>
  <c r="H5064" i="4"/>
  <c r="I5695" i="4"/>
  <c r="N382" i="4"/>
  <c r="G5652" i="4"/>
  <c r="H5657" i="4"/>
  <c r="I5657" i="4"/>
  <c r="I941" i="4"/>
  <c r="I854" i="4"/>
  <c r="N819" i="4"/>
  <c r="M819" i="4"/>
  <c r="I5159" i="4"/>
  <c r="H5159" i="4"/>
  <c r="N5126" i="4"/>
  <c r="M5126" i="4"/>
  <c r="P5126" i="4"/>
  <c r="H5700" i="4"/>
  <c r="I5700" i="4"/>
  <c r="M5690" i="4"/>
  <c r="N5690" i="4"/>
  <c r="F5759" i="4"/>
  <c r="G5759" i="4" s="1"/>
  <c r="H5759" i="4" s="1"/>
  <c r="I4991" i="4"/>
  <c r="I5074" i="4"/>
  <c r="H5074" i="4"/>
  <c r="M942" i="4"/>
  <c r="N942" i="4"/>
  <c r="N5066" i="4"/>
  <c r="M5066" i="4"/>
  <c r="P5128" i="4"/>
  <c r="N5128" i="4"/>
  <c r="M5128" i="4"/>
  <c r="M5338" i="4"/>
  <c r="G5710" i="4"/>
  <c r="H5710" i="4" s="1"/>
  <c r="I4989" i="4"/>
  <c r="H4989" i="4"/>
  <c r="M5755" i="4"/>
  <c r="N5755" i="4"/>
  <c r="L5729" i="4"/>
  <c r="N5729" i="4" s="1"/>
  <c r="H830" i="4"/>
  <c r="N943" i="4"/>
  <c r="L5649" i="4"/>
  <c r="N5649" i="4" s="1"/>
  <c r="M4989" i="4"/>
  <c r="H950" i="4"/>
  <c r="I943" i="4"/>
  <c r="P5100" i="4"/>
  <c r="N5100" i="4"/>
  <c r="M5100" i="4"/>
  <c r="M5058" i="4"/>
  <c r="N5058" i="4"/>
  <c r="P5058" i="4"/>
  <c r="L5645" i="4"/>
  <c r="N5645" i="4" s="1"/>
  <c r="N923" i="4"/>
  <c r="N5098" i="4"/>
  <c r="P5098" i="4"/>
  <c r="M5098" i="4"/>
  <c r="M867" i="4"/>
  <c r="N867" i="4"/>
  <c r="N5081" i="4"/>
  <c r="M5081" i="4"/>
  <c r="N5680" i="4"/>
  <c r="G5568" i="4"/>
  <c r="H5568" i="4" s="1"/>
  <c r="N5020" i="4"/>
  <c r="P5020" i="4"/>
  <c r="M5020" i="4"/>
  <c r="N5182" i="4"/>
  <c r="L5182" i="4"/>
  <c r="H5076" i="4"/>
  <c r="P5040" i="4"/>
  <c r="M5040" i="4"/>
  <c r="N5040" i="4"/>
  <c r="M5039" i="4"/>
  <c r="P5039" i="4"/>
  <c r="N5039" i="4"/>
  <c r="H5735" i="4"/>
  <c r="I5735" i="4"/>
  <c r="M5702" i="4"/>
  <c r="N5702" i="4"/>
  <c r="N854" i="4"/>
  <c r="N831" i="4"/>
  <c r="N957" i="4"/>
  <c r="N5038" i="4"/>
  <c r="P5038" i="4"/>
  <c r="M5704" i="4"/>
  <c r="N5704" i="4"/>
  <c r="N5075" i="4"/>
  <c r="P5075" i="4"/>
  <c r="M822" i="4"/>
  <c r="N822" i="4"/>
  <c r="N5312" i="4"/>
  <c r="M5312" i="4"/>
  <c r="I5048" i="4"/>
  <c r="H5048" i="4"/>
  <c r="I5099" i="4"/>
  <c r="H5099" i="4"/>
  <c r="I888" i="4"/>
  <c r="M5676" i="4"/>
  <c r="N5676" i="4"/>
  <c r="L5634" i="4"/>
  <c r="N5634" i="4" s="1"/>
  <c r="M5634" i="4"/>
  <c r="P5091" i="4"/>
  <c r="M5091" i="4"/>
  <c r="N5091" i="4"/>
  <c r="I4992" i="4"/>
  <c r="H4992" i="4"/>
  <c r="I5224" i="4"/>
  <c r="L5657" i="4"/>
  <c r="N5657" i="4" s="1"/>
  <c r="L5699" i="4"/>
  <c r="N5699" i="4" s="1"/>
  <c r="M5093" i="4"/>
  <c r="P5093" i="4"/>
  <c r="N5093" i="4"/>
  <c r="M865" i="4"/>
  <c r="N865" i="4"/>
  <c r="I880" i="4"/>
  <c r="M5234" i="4"/>
  <c r="N955" i="4"/>
  <c r="L5616" i="4"/>
  <c r="M5616" i="4" s="1"/>
  <c r="M5711" i="4"/>
  <c r="N5711" i="4"/>
  <c r="M5615" i="4"/>
  <c r="N5615" i="4"/>
  <c r="N5659" i="4"/>
  <c r="M5731" i="4"/>
  <c r="N5731" i="4"/>
  <c r="I874" i="4"/>
  <c r="N5161" i="4"/>
  <c r="K5757" i="4"/>
  <c r="L5757" i="4" s="1"/>
  <c r="M5757" i="4" s="1"/>
  <c r="N4989" i="4"/>
  <c r="H5631" i="4"/>
  <c r="H815" i="4"/>
  <c r="I815" i="4"/>
  <c r="N5037" i="4"/>
  <c r="M5037" i="4"/>
  <c r="P5037" i="4"/>
  <c r="M5038" i="4"/>
  <c r="N5150" i="4"/>
  <c r="M5150" i="4"/>
  <c r="P5150" i="4"/>
  <c r="L5651" i="4"/>
  <c r="N5651" i="4" s="1"/>
  <c r="G957" i="4"/>
  <c r="H957" i="4" s="1"/>
  <c r="H820" i="4"/>
  <c r="I820" i="4"/>
  <c r="N5099" i="4"/>
  <c r="P5099" i="4"/>
  <c r="P5046" i="4"/>
  <c r="M5046" i="4"/>
  <c r="N5046" i="4"/>
  <c r="H5675" i="4"/>
  <c r="I5675" i="4"/>
  <c r="H5648" i="4"/>
  <c r="I5648" i="4"/>
  <c r="P5139" i="4"/>
  <c r="N5139" i="4"/>
  <c r="M5139" i="4"/>
  <c r="I4993" i="4"/>
  <c r="H4993" i="4"/>
  <c r="I5155" i="4"/>
  <c r="H5155" i="4"/>
  <c r="G5668" i="4"/>
  <c r="H5668" i="4" s="1"/>
  <c r="M4985" i="4"/>
  <c r="M862" i="4"/>
  <c r="N862" i="4"/>
  <c r="N4984" i="4"/>
  <c r="O4984" i="4"/>
  <c r="M5672" i="4"/>
  <c r="N5672" i="4"/>
  <c r="N5123" i="4"/>
  <c r="M5123" i="4"/>
  <c r="P5123" i="4"/>
  <c r="L5669" i="4"/>
  <c r="N5669" i="4" s="1"/>
  <c r="P5065" i="4"/>
  <c r="H5065" i="4"/>
  <c r="I5065" i="4"/>
  <c r="I842" i="4"/>
  <c r="I5727" i="4"/>
  <c r="H5727" i="4"/>
  <c r="M5082" i="4"/>
  <c r="N5082" i="4"/>
  <c r="P5082" i="4"/>
  <c r="N881" i="4"/>
  <c r="P5135" i="4"/>
  <c r="M5135" i="4"/>
  <c r="N5135" i="4"/>
  <c r="H5103" i="4"/>
  <c r="I5103" i="4"/>
  <c r="M5136" i="4"/>
  <c r="N5136" i="4"/>
  <c r="P5136" i="4"/>
  <c r="P5155" i="4"/>
  <c r="N5155" i="4"/>
  <c r="M5155" i="4"/>
  <c r="I5039" i="4"/>
  <c r="H5039" i="4"/>
  <c r="N5737" i="4"/>
  <c r="N189" i="4"/>
  <c r="O189" i="4"/>
  <c r="N5655" i="4"/>
  <c r="I5674" i="4"/>
  <c r="L5613" i="4"/>
  <c r="N5613" i="4" s="1"/>
  <c r="M5613" i="4"/>
  <c r="M5624" i="4"/>
  <c r="N5624" i="4"/>
  <c r="M5726" i="4"/>
  <c r="N5726" i="4"/>
  <c r="M5141" i="4"/>
  <c r="P5141" i="4"/>
  <c r="N5141" i="4"/>
  <c r="M5075" i="4"/>
  <c r="M897" i="4"/>
  <c r="N897" i="4"/>
  <c r="I5106" i="4"/>
  <c r="H5106" i="4"/>
  <c r="I5073" i="4"/>
  <c r="H5073" i="4"/>
  <c r="L5675" i="4"/>
  <c r="N5675" i="4" s="1"/>
  <c r="L5622" i="4"/>
  <c r="N5622" i="4" s="1"/>
  <c r="H5162" i="4"/>
  <c r="H5060" i="4"/>
  <c r="I5060" i="4"/>
  <c r="M5152" i="4"/>
  <c r="P5152" i="4"/>
  <c r="P5086" i="4"/>
  <c r="M5086" i="4"/>
  <c r="N5086" i="4"/>
  <c r="H5731" i="4"/>
  <c r="I5731" i="4"/>
  <c r="L5753" i="4"/>
  <c r="N5753" i="4" s="1"/>
  <c r="M5753" i="4"/>
  <c r="M4984" i="4"/>
  <c r="N5096" i="4"/>
  <c r="P5096" i="4"/>
  <c r="G5641" i="4"/>
  <c r="I5641" i="4" s="1"/>
  <c r="I5069" i="4"/>
  <c r="H5069" i="4"/>
  <c r="F5585" i="4"/>
  <c r="I5751" i="4"/>
  <c r="H5751" i="4"/>
  <c r="G5638" i="4"/>
  <c r="H5638" i="4" s="1"/>
  <c r="M5712" i="4"/>
  <c r="N5712" i="4"/>
  <c r="H5615" i="4"/>
  <c r="I5615" i="4"/>
  <c r="M5138" i="4"/>
  <c r="P5138" i="4"/>
  <c r="N5138" i="4"/>
  <c r="M190" i="4"/>
  <c r="O190" i="4"/>
  <c r="I5100" i="4"/>
  <c r="H5100" i="4"/>
  <c r="N5048" i="4"/>
  <c r="M5048" i="4"/>
  <c r="P5048" i="4"/>
  <c r="L5717" i="4"/>
  <c r="N5717" i="4" s="1"/>
  <c r="P5137" i="4"/>
  <c r="N5137" i="4"/>
  <c r="M5137" i="4"/>
  <c r="H5682" i="4"/>
  <c r="I5682" i="4"/>
  <c r="N956" i="4"/>
  <c r="G5756" i="4"/>
  <c r="I5756" i="4" s="1"/>
  <c r="G5649" i="4"/>
  <c r="I5649" i="4" s="1"/>
  <c r="H5024" i="4"/>
  <c r="I5024" i="4"/>
  <c r="P5024" i="4"/>
  <c r="L5377" i="4"/>
  <c r="M5377" i="4" s="1"/>
  <c r="H5636" i="4"/>
  <c r="I5636" i="4"/>
  <c r="L5728" i="4"/>
  <c r="M5728" i="4" s="1"/>
  <c r="I5139" i="4"/>
  <c r="H5139" i="4"/>
  <c r="H5072" i="4"/>
  <c r="P5044" i="4"/>
  <c r="N5044" i="4"/>
  <c r="M5044" i="4"/>
  <c r="G5617" i="4"/>
  <c r="I5617" i="4" s="1"/>
  <c r="H887" i="4"/>
  <c r="I887" i="4"/>
  <c r="L5673" i="4"/>
  <c r="N5673" i="4" s="1"/>
  <c r="N769" i="4"/>
  <c r="M5156" i="4"/>
  <c r="P5156" i="4"/>
  <c r="N5156" i="4"/>
  <c r="M5752" i="4"/>
  <c r="N5752" i="4"/>
  <c r="H5119" i="4"/>
  <c r="P5119" i="4"/>
  <c r="H5142" i="4"/>
  <c r="I5142" i="4"/>
  <c r="I4986" i="4"/>
  <c r="H4986" i="4"/>
  <c r="M767" i="4"/>
  <c r="N767" i="4"/>
  <c r="H5645" i="4"/>
  <c r="I5645" i="4"/>
  <c r="I5077" i="4"/>
  <c r="H5077" i="4"/>
  <c r="H5166" i="4"/>
  <c r="H879" i="4"/>
  <c r="I879" i="4"/>
  <c r="L961" i="4"/>
  <c r="M961" i="4" s="1"/>
  <c r="N5051" i="4"/>
  <c r="P5051" i="4"/>
  <c r="M5051" i="4"/>
  <c r="M5714" i="4"/>
  <c r="N5714" i="4"/>
  <c r="I5715" i="4"/>
  <c r="H5715" i="4"/>
  <c r="I5691" i="4"/>
  <c r="H5691" i="4"/>
  <c r="N4794" i="4"/>
  <c r="N4658" i="4"/>
  <c r="N4797" i="4"/>
  <c r="I4722" i="4"/>
  <c r="M2717" i="4"/>
  <c r="M2741" i="4"/>
  <c r="N2870" i="4"/>
  <c r="I2702" i="4"/>
  <c r="I2805" i="4"/>
  <c r="I2703" i="4"/>
  <c r="I2799" i="4"/>
  <c r="I2859" i="4"/>
  <c r="I2811" i="4"/>
  <c r="N1870" i="4"/>
  <c r="I1860" i="4"/>
  <c r="I1341" i="4"/>
  <c r="I1862" i="4"/>
  <c r="P1341" i="4"/>
  <c r="I1877" i="4"/>
  <c r="N1831" i="4"/>
  <c r="N1846" i="4"/>
  <c r="N1836" i="4"/>
  <c r="I1842" i="4"/>
  <c r="I1342" i="4"/>
  <c r="I1840" i="4"/>
  <c r="I1814" i="4"/>
  <c r="P1342" i="4"/>
  <c r="L1921" i="4"/>
  <c r="M1921" i="4" s="1"/>
  <c r="G1921" i="4"/>
  <c r="H1921" i="4" s="1"/>
  <c r="G1917" i="4"/>
  <c r="H1917" i="4" s="1"/>
  <c r="N1920" i="4"/>
  <c r="G1918" i="4"/>
  <c r="H1918" i="4" s="1"/>
  <c r="I1532" i="4"/>
  <c r="I1533" i="4"/>
  <c r="O1152" i="4"/>
  <c r="M1152" i="4"/>
  <c r="H1343" i="4"/>
  <c r="P1343" i="4"/>
  <c r="N1881" i="4"/>
  <c r="I1890" i="4"/>
  <c r="I1343" i="4"/>
  <c r="I1790" i="4"/>
  <c r="G1916" i="4"/>
  <c r="H1916" i="4" s="1"/>
  <c r="G1920" i="4"/>
  <c r="H1920" i="4" s="1"/>
  <c r="I1867" i="4"/>
  <c r="L1919" i="4"/>
  <c r="M1919" i="4" s="1"/>
  <c r="I1534" i="4"/>
  <c r="N1729" i="4"/>
  <c r="L1917" i="4"/>
  <c r="M1917" i="4" s="1"/>
  <c r="I1727" i="4"/>
  <c r="O1153" i="4"/>
  <c r="M1153" i="4"/>
  <c r="I1919" i="4"/>
  <c r="N190" i="4"/>
  <c r="M5751" i="4" l="1"/>
  <c r="H5671" i="4"/>
  <c r="M5600" i="4"/>
  <c r="M5657" i="4"/>
  <c r="M5637" i="4"/>
  <c r="N5747" i="4"/>
  <c r="M5649" i="4"/>
  <c r="M5622" i="4"/>
  <c r="M5699" i="4"/>
  <c r="H5737" i="4"/>
  <c r="N960" i="4"/>
  <c r="N5749" i="4"/>
  <c r="M5730" i="4"/>
  <c r="M5610" i="4"/>
  <c r="H5647" i="4"/>
  <c r="M5585" i="4"/>
  <c r="H5740" i="4"/>
  <c r="I5638" i="4"/>
  <c r="H5586" i="4"/>
  <c r="H5632" i="4"/>
  <c r="M5598" i="4"/>
  <c r="H5720" i="4"/>
  <c r="N5603" i="4"/>
  <c r="M5651" i="4"/>
  <c r="H5744" i="4"/>
  <c r="I2705" i="4"/>
  <c r="H5684" i="4"/>
  <c r="M5717" i="4"/>
  <c r="N5641" i="4"/>
  <c r="H5611" i="4"/>
  <c r="N5592" i="4"/>
  <c r="G5585" i="4"/>
  <c r="H5585" i="4" s="1"/>
  <c r="H5587" i="4"/>
  <c r="M5612" i="4"/>
  <c r="H5752" i="4"/>
  <c r="M5621" i="4"/>
  <c r="N5183" i="4"/>
  <c r="M5675" i="4"/>
  <c r="I5668" i="4"/>
  <c r="N5664" i="4"/>
  <c r="N5569" i="4"/>
  <c r="H5641" i="4"/>
  <c r="M5597" i="4"/>
  <c r="N5761" i="4"/>
  <c r="I5761" i="4"/>
  <c r="I5694" i="4"/>
  <c r="N5759" i="4"/>
  <c r="I5760" i="4"/>
  <c r="O4988" i="4"/>
  <c r="M4988" i="4"/>
  <c r="M5645" i="4"/>
  <c r="N5605" i="4"/>
  <c r="I960" i="4"/>
  <c r="H5680" i="4"/>
  <c r="H5652" i="4"/>
  <c r="I5652" i="4"/>
  <c r="I5757" i="4"/>
  <c r="M5693" i="4"/>
  <c r="M5735" i="4"/>
  <c r="I5665" i="4"/>
  <c r="I5180" i="4"/>
  <c r="H5180" i="4"/>
  <c r="P5180" i="4"/>
  <c r="H5644" i="4"/>
  <c r="N5741" i="4"/>
  <c r="H5660" i="4"/>
  <c r="H5713" i="4"/>
  <c r="I5710" i="4"/>
  <c r="M5625" i="4"/>
  <c r="M5609" i="4"/>
  <c r="I5565" i="4"/>
  <c r="P5183" i="4"/>
  <c r="H5183" i="4"/>
  <c r="N4988" i="4"/>
  <c r="H5733" i="4"/>
  <c r="N5377" i="4"/>
  <c r="M5661" i="4"/>
  <c r="I5183" i="4"/>
  <c r="N5756" i="4"/>
  <c r="I957" i="4"/>
  <c r="N5665" i="4"/>
  <c r="N5606" i="4"/>
  <c r="H5653" i="4"/>
  <c r="N5616" i="4"/>
  <c r="I5711" i="4"/>
  <c r="I5377" i="4"/>
  <c r="M5670" i="4"/>
  <c r="M5182" i="4"/>
  <c r="P5182" i="4"/>
  <c r="H5716" i="4"/>
  <c r="H5635" i="4"/>
  <c r="H5623" i="4"/>
  <c r="N5640" i="4"/>
  <c r="I5759" i="4"/>
  <c r="M5673" i="4"/>
  <c r="N4992" i="4"/>
  <c r="O4992" i="4"/>
  <c r="M4992" i="4"/>
  <c r="H5659" i="4"/>
  <c r="I5184" i="4"/>
  <c r="H5184" i="4"/>
  <c r="H5620" i="4"/>
  <c r="P5184" i="4"/>
  <c r="N5760" i="4"/>
  <c r="N5629" i="4"/>
  <c r="H5672" i="4"/>
  <c r="M5705" i="4"/>
  <c r="H5656" i="4"/>
  <c r="N961" i="4"/>
  <c r="N5582" i="4"/>
  <c r="H5617" i="4"/>
  <c r="I5758" i="4"/>
  <c r="H5756" i="4"/>
  <c r="M5729" i="4"/>
  <c r="I5564" i="4"/>
  <c r="I5568" i="4"/>
  <c r="N5758" i="4"/>
  <c r="N5728" i="4"/>
  <c r="H5649" i="4"/>
  <c r="M5669" i="4"/>
  <c r="N5757" i="4"/>
  <c r="M5646" i="4"/>
  <c r="I1918" i="4"/>
  <c r="I1916" i="4"/>
  <c r="N1917" i="4"/>
  <c r="I1917" i="4"/>
  <c r="I1921" i="4"/>
  <c r="I1920" i="4"/>
  <c r="N1919" i="4"/>
  <c r="N1921" i="4"/>
  <c r="I5585" i="4" l="1"/>
  <c r="G2137" i="4" l="1"/>
  <c r="I2137" i="4" s="1"/>
  <c r="H2137" i="4" l="1"/>
  <c r="G2136" i="4"/>
  <c r="I2136" i="4" s="1"/>
  <c r="G2135" i="4"/>
  <c r="H2135" i="4" s="1"/>
  <c r="H2136" i="4" l="1"/>
  <c r="I2135" i="4"/>
  <c r="G2134" i="4"/>
  <c r="H2134" i="4" s="1"/>
  <c r="I2134" i="4" l="1"/>
  <c r="G2133" i="4"/>
  <c r="I2133" i="4" s="1"/>
  <c r="H2133" i="4" l="1"/>
  <c r="G2132" i="4"/>
  <c r="I2132" i="4" s="1"/>
  <c r="H2132" i="4" l="1"/>
  <c r="G2324" i="4"/>
  <c r="H2324" i="4" s="1"/>
  <c r="I2324" i="4" l="1"/>
  <c r="G2325" i="4"/>
  <c r="H2325" i="4" s="1"/>
  <c r="I2325" i="4" l="1"/>
  <c r="G2326" i="4"/>
  <c r="H2326" i="4" s="1"/>
  <c r="I2326" i="4"/>
  <c r="G2327" i="4"/>
  <c r="H2327" i="4" s="1"/>
  <c r="I2327" i="4" l="1"/>
  <c r="G2328" i="4"/>
  <c r="I2328" i="4" s="1"/>
  <c r="H2328" i="4" l="1"/>
  <c r="G2329" i="4"/>
  <c r="H2329" i="4" s="1"/>
  <c r="F2708" i="4"/>
  <c r="G2516" i="4"/>
  <c r="H2516" i="4" s="1"/>
  <c r="I2329" i="4" l="1"/>
  <c r="I2516" i="4"/>
  <c r="G2708" i="4"/>
  <c r="H2708" i="4" s="1"/>
  <c r="I2708" i="4" l="1"/>
  <c r="G2517" i="4"/>
  <c r="H2517" i="4" s="1"/>
  <c r="I2517" i="4" l="1"/>
  <c r="G2518" i="4"/>
  <c r="H2518" i="4" s="1"/>
  <c r="I2518" i="4" l="1"/>
  <c r="G2519" i="4"/>
  <c r="I2519" i="4" s="1"/>
  <c r="H2519" i="4"/>
  <c r="G2520" i="4"/>
  <c r="I2520" i="4" s="1"/>
  <c r="H2520" i="4" l="1"/>
  <c r="G2521" i="4"/>
  <c r="H2521" i="4" s="1"/>
  <c r="I2521" i="4" l="1"/>
  <c r="F2709" i="4"/>
  <c r="G2709" i="4" s="1"/>
  <c r="H2709" i="4" s="1"/>
  <c r="G1941" i="4"/>
  <c r="H1941" i="4" s="1"/>
  <c r="I2709" i="4" l="1"/>
  <c r="I1941" i="4"/>
  <c r="F2710" i="4"/>
  <c r="G2710" i="4" s="1"/>
  <c r="H2710" i="4" s="1"/>
  <c r="G1942" i="4"/>
  <c r="H1942" i="4" s="1"/>
  <c r="I1942" i="4" l="1"/>
  <c r="I2710" i="4"/>
  <c r="F2711" i="4"/>
  <c r="G1943" i="4"/>
  <c r="H1943" i="4" s="1"/>
  <c r="G2711" i="4" l="1"/>
  <c r="H2711" i="4" s="1"/>
  <c r="I1943" i="4"/>
  <c r="F2712" i="4"/>
  <c r="G1944" i="4"/>
  <c r="H1944" i="4" s="1"/>
  <c r="I2711" i="4" l="1"/>
  <c r="G2712" i="4"/>
  <c r="H2712" i="4" s="1"/>
  <c r="I1944" i="4"/>
  <c r="I2712" i="4" l="1"/>
  <c r="G1945" i="4"/>
  <c r="F2713" i="4"/>
  <c r="G2713" i="4" s="1"/>
  <c r="H2713" i="4" s="1"/>
  <c r="I2713" i="4" l="1"/>
  <c r="I1945" i="4"/>
  <c r="H1945" i="4"/>
  <c r="L1940" i="4"/>
  <c r="M1940" i="4" s="1"/>
  <c r="N1940" i="4" l="1"/>
  <c r="O1940" i="4"/>
  <c r="L1941" i="4" l="1"/>
  <c r="O1941" i="4" s="1"/>
  <c r="N1941" i="4" l="1"/>
  <c r="M1941" i="4"/>
  <c r="L1942" i="4" l="1"/>
  <c r="M1942" i="4" s="1"/>
  <c r="N1942" i="4" l="1"/>
  <c r="O1942" i="4"/>
  <c r="L1943" i="4"/>
  <c r="O1943" i="4" s="1"/>
  <c r="L1944" i="4"/>
  <c r="M1944" i="4" s="1"/>
  <c r="M1943" i="4" l="1"/>
  <c r="N1944" i="4"/>
  <c r="N1943" i="4"/>
  <c r="O1944" i="4"/>
  <c r="L1945" i="4" l="1"/>
  <c r="N1945" i="4" s="1"/>
  <c r="O1945" i="4" l="1"/>
  <c r="M1945" i="4"/>
  <c r="L2132" i="4"/>
  <c r="N2132" i="4" s="1"/>
  <c r="M2132" i="4" l="1"/>
  <c r="P2132" i="4"/>
  <c r="L2133" i="4"/>
  <c r="N2133" i="4" s="1"/>
  <c r="P2133" i="4" l="1"/>
  <c r="M2133" i="4"/>
  <c r="L2134" i="4" l="1"/>
  <c r="N2134" i="4" s="1"/>
  <c r="M2134" i="4" l="1"/>
  <c r="P2134" i="4"/>
  <c r="L2135" i="4" l="1"/>
  <c r="P2135" i="4" s="1"/>
  <c r="M2135" i="4" l="1"/>
  <c r="N2135" i="4"/>
  <c r="L2136" i="4" l="1"/>
  <c r="P2136" i="4" s="1"/>
  <c r="N2136" i="4" l="1"/>
  <c r="M2136" i="4"/>
  <c r="L2137" i="4"/>
  <c r="N2137" i="4" s="1"/>
  <c r="M2137" i="4" l="1"/>
  <c r="P2137" i="4"/>
  <c r="L2324" i="4"/>
  <c r="M2324" i="4" s="1"/>
  <c r="N2324" i="4" l="1"/>
  <c r="L2325" i="4"/>
  <c r="M2325" i="4" s="1"/>
  <c r="N2325" i="4" l="1"/>
  <c r="L2326" i="4"/>
  <c r="N2326" i="4" s="1"/>
  <c r="M2326" i="4" l="1"/>
  <c r="L2327" i="4"/>
  <c r="N2327" i="4" s="1"/>
  <c r="M2327" i="4" l="1"/>
  <c r="L2328" i="4"/>
  <c r="M2328" i="4" s="1"/>
  <c r="N2328" i="4" l="1"/>
  <c r="L2329" i="4" l="1"/>
  <c r="N2329" i="4" s="1"/>
  <c r="M2329" i="4" l="1"/>
  <c r="K2708" i="4"/>
  <c r="L2516" i="4"/>
  <c r="M2516" i="4" s="1"/>
  <c r="L2708" i="4" l="1"/>
  <c r="M2708" i="4" s="1"/>
  <c r="N2516" i="4"/>
  <c r="N2708" i="4" l="1"/>
  <c r="K2709" i="4"/>
  <c r="L2709" i="4" s="1"/>
  <c r="M2709" i="4" s="1"/>
  <c r="L2517" i="4"/>
  <c r="M2517" i="4" s="1"/>
  <c r="N2709" i="4" l="1"/>
  <c r="N2517" i="4"/>
  <c r="K2710" i="4"/>
  <c r="L2710" i="4" s="1"/>
  <c r="M2710" i="4" s="1"/>
  <c r="L2518" i="4"/>
  <c r="M2518" i="4" s="1"/>
  <c r="N2710" i="4" l="1"/>
  <c r="N2518" i="4"/>
  <c r="K2711" i="4"/>
  <c r="L2711" i="4" s="1"/>
  <c r="M2711" i="4" s="1"/>
  <c r="L2519" i="4"/>
  <c r="M2519" i="4" s="1"/>
  <c r="N2519" i="4" l="1"/>
  <c r="N2711" i="4"/>
  <c r="K2712" i="4"/>
  <c r="L2520" i="4"/>
  <c r="N2520" i="4" s="1"/>
  <c r="M2520" i="4"/>
  <c r="L2712" i="4" l="1"/>
  <c r="M2712" i="4" s="1"/>
  <c r="N2712" i="4" l="1"/>
  <c r="L2521" i="4"/>
  <c r="N2521" i="4" s="1"/>
  <c r="K2713" i="4"/>
  <c r="L2713" i="4" l="1"/>
  <c r="M2713" i="4" s="1"/>
  <c r="M2521" i="4"/>
  <c r="G2900" i="4"/>
  <c r="H2900" i="4" s="1"/>
  <c r="N2713" i="4" l="1"/>
  <c r="I2900" i="4"/>
  <c r="G2901" i="4"/>
  <c r="H2901" i="4" s="1"/>
  <c r="I2901" i="4" l="1"/>
  <c r="G2902" i="4"/>
  <c r="H2902" i="4" s="1"/>
  <c r="I2902" i="4"/>
  <c r="G2903" i="4" l="1"/>
  <c r="I2903" i="4" s="1"/>
  <c r="O2903" i="4" l="1"/>
  <c r="H2903" i="4"/>
  <c r="G2904" i="4"/>
  <c r="I2904" i="4" s="1"/>
  <c r="H2904" i="4" l="1"/>
  <c r="O2904" i="4"/>
  <c r="G2905" i="4"/>
  <c r="H2905" i="4" s="1"/>
  <c r="I2905" i="4" l="1"/>
  <c r="O2905" i="4"/>
  <c r="G3092" i="4" l="1"/>
  <c r="H3092" i="4" s="1"/>
  <c r="I3092" i="4" l="1"/>
  <c r="G3093" i="4" l="1"/>
  <c r="I3093" i="4" l="1"/>
  <c r="H3093" i="4"/>
  <c r="G3094" i="4"/>
  <c r="H3094" i="4" l="1"/>
  <c r="I3094" i="4"/>
  <c r="G3284" i="4"/>
  <c r="H3284" i="4" s="1"/>
  <c r="I3284" i="4" l="1"/>
  <c r="G3285" i="4"/>
  <c r="I3285" i="4" s="1"/>
  <c r="H3285" i="4" l="1"/>
  <c r="G3286" i="4" l="1"/>
  <c r="H3286" i="4" s="1"/>
  <c r="I3286" i="4" l="1"/>
  <c r="E3668" i="4"/>
  <c r="G3476" i="4"/>
  <c r="I3476" i="4" s="1"/>
  <c r="G3668" i="4" l="1"/>
  <c r="I3668" i="4" s="1"/>
  <c r="H3476" i="4"/>
  <c r="H3668" i="4" l="1"/>
  <c r="E3669" i="4"/>
  <c r="G3669" i="4" s="1"/>
  <c r="I3669" i="4" s="1"/>
  <c r="G3477" i="4"/>
  <c r="I3477" i="4" s="1"/>
  <c r="H3477" i="4" l="1"/>
  <c r="H3669" i="4"/>
  <c r="E3670" i="4"/>
  <c r="G3670" i="4" s="1"/>
  <c r="I3670" i="4" s="1"/>
  <c r="G3478" i="4"/>
  <c r="I3478" i="4" s="1"/>
  <c r="H3670" i="4" l="1"/>
  <c r="H3478" i="4"/>
  <c r="F3671" i="4"/>
  <c r="G3479" i="4"/>
  <c r="I3479" i="4" s="1"/>
  <c r="G3671" i="4" l="1"/>
  <c r="H3671" i="4" s="1"/>
  <c r="H3479" i="4"/>
  <c r="I3671" i="4" l="1"/>
  <c r="F3672" i="4"/>
  <c r="G3672" i="4" s="1"/>
  <c r="H3672" i="4" s="1"/>
  <c r="G3480" i="4"/>
  <c r="I3480" i="4" s="1"/>
  <c r="H3480" i="4" l="1"/>
  <c r="I3672" i="4"/>
  <c r="F3673" i="4"/>
  <c r="G3673" i="4" s="1"/>
  <c r="H3673" i="4" s="1"/>
  <c r="G3481" i="4"/>
  <c r="I3481" i="4" s="1"/>
  <c r="H3481" i="4" l="1"/>
  <c r="I3673" i="4"/>
  <c r="J3668" i="4"/>
  <c r="L2900" i="4"/>
  <c r="M2900" i="4" s="1"/>
  <c r="O2900" i="4" l="1"/>
  <c r="N2900" i="4"/>
  <c r="J3669" i="4"/>
  <c r="L2901" i="4"/>
  <c r="N2901" i="4" s="1"/>
  <c r="M2901" i="4" l="1"/>
  <c r="O2901" i="4"/>
  <c r="L2902" i="4"/>
  <c r="M2902" i="4" s="1"/>
  <c r="J3670" i="4"/>
  <c r="N2902" i="4" l="1"/>
  <c r="O2902" i="4"/>
  <c r="K3668" i="4"/>
  <c r="L3668" i="4" s="1"/>
  <c r="M3668" i="4" s="1"/>
  <c r="L3092" i="4"/>
  <c r="M3092" i="4" s="1"/>
  <c r="N3668" i="4" l="1"/>
  <c r="N3092" i="4"/>
  <c r="P3092" i="4"/>
  <c r="K3669" i="4"/>
  <c r="L3093" i="4"/>
  <c r="N3093" i="4" s="1"/>
  <c r="P3093" i="4" l="1"/>
  <c r="M3093" i="4"/>
  <c r="L3669" i="4"/>
  <c r="M3669" i="4" s="1"/>
  <c r="N3669" i="4" l="1"/>
  <c r="K3670" i="4"/>
  <c r="L3094" i="4"/>
  <c r="N3094" i="4" s="1"/>
  <c r="P3094" i="4" l="1"/>
  <c r="M3094" i="4"/>
  <c r="L3670" i="4"/>
  <c r="M3670" i="4" s="1"/>
  <c r="N3670" i="4" l="1"/>
  <c r="K3671" i="4"/>
  <c r="L3479" i="4"/>
  <c r="M3479" i="4" s="1"/>
  <c r="N3479" i="4" l="1"/>
  <c r="L3671" i="4"/>
  <c r="M3671" i="4" s="1"/>
  <c r="N3671" i="4" l="1"/>
  <c r="K3672" i="4"/>
  <c r="L3672" i="4" s="1"/>
  <c r="M3672" i="4" s="1"/>
  <c r="L3480" i="4"/>
  <c r="M3480" i="4" s="1"/>
  <c r="N3480" i="4"/>
  <c r="N3672" i="4" l="1"/>
  <c r="K3673" i="4"/>
  <c r="L3673" i="4" s="1"/>
  <c r="M3673" i="4" s="1"/>
  <c r="L3481" i="4"/>
  <c r="N3481" i="4" s="1"/>
  <c r="M3481" i="4" l="1"/>
  <c r="N367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ccollier</author>
  </authors>
  <commentList>
    <comment ref="E194" authorId="0" shapeId="0" xr:uid="{C27D7081-4E08-46E0-B08C-8F527994640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used feb numbers
</t>
        </r>
      </text>
    </comment>
    <comment ref="J194" authorId="0" shapeId="0" xr:uid="{F08DDA0C-8E93-42B8-BC93-4A265750C29E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K194" authorId="0" shapeId="0" xr:uid="{431F3368-908E-4F15-877C-2E97AB492071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Did not include (852.8) for Enron
</t>
        </r>
      </text>
    </comment>
    <comment ref="E386" authorId="0" shapeId="0" xr:uid="{2BEE9A06-5769-4746-B8F8-5D3FB987E5E4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numbers
</t>
        </r>
      </text>
    </comment>
    <comment ref="J386" authorId="0" shapeId="0" xr:uid="{65E906E3-7A9F-422A-8799-5D9B9A9FBDA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E578" authorId="0" shapeId="0" xr:uid="{CE690308-405A-4FB6-A1DA-3039AD7B8374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578" authorId="0" shapeId="0" xr:uid="{917A50E8-24C0-415C-AB55-5BF57748B1D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E962" authorId="0" shapeId="0" xr:uid="{D24F3377-3A1E-4ECC-B353-FAA3C6769D9E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962" authorId="0" shapeId="0" xr:uid="{3BAE1AA7-D9AA-4D2E-9655-1AE153DAA73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963" authorId="0" shapeId="0" xr:uid="{92D731EC-7574-41A2-88D0-50FC3AC7B88A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974" authorId="0" shapeId="0" xr:uid="{EA7657B3-7642-4CD2-858A-F765B9C49B6B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975" authorId="0" shapeId="0" xr:uid="{6E31FE30-E4CD-4559-B274-65B789BE1FB9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E1154" authorId="0" shapeId="0" xr:uid="{CF112A6D-12E0-47CA-AEAF-41CCE9708D41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
</t>
        </r>
      </text>
    </comment>
    <comment ref="J1154" authorId="0" shapeId="0" xr:uid="{DCD9AE2C-D969-4D49-B0DF-51F6942F7FFC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E1155" authorId="0" shapeId="0" xr:uid="{AC17FB8F-5B18-49E2-97BA-437501E5000D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
</t>
        </r>
      </text>
    </comment>
    <comment ref="J1155" authorId="0" shapeId="0" xr:uid="{A1942D89-7138-42CF-9B15-A27227D6BA6B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1166" authorId="0" shapeId="0" xr:uid="{67C71376-3801-4A91-B57A-691D6228D7C8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1167" authorId="0" shapeId="0" xr:uid="{CF17ED16-FD5D-4EB2-AD88-1AED1AE130D4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E1346" authorId="0" shapeId="0" xr:uid="{269F29BA-BFBE-4C73-96B9-185109E01E99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1346" authorId="0" shapeId="0" xr:uid="{21CF126A-0B9B-4180-815C-645428A5B273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
</t>
        </r>
      </text>
    </comment>
    <comment ref="J1347" authorId="0" shapeId="0" xr:uid="{95B807E0-CD5C-4604-A545-EA0132F4B51A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1358" authorId="0" shapeId="0" xr:uid="{58748B01-1119-4D54-986A-5C4A5C1CD1B2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
</t>
        </r>
      </text>
    </comment>
    <comment ref="J1359" authorId="0" shapeId="0" xr:uid="{083B1600-9EF2-4541-A95C-21EFFE2C9FE7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E1538" authorId="0" shapeId="0" xr:uid="{E54D7865-EA66-4368-A695-EF577CE5F0D2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1538" authorId="0" shapeId="0" xr:uid="{D82D80D9-D01C-42B2-9D4E-AC6E197FA98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J1550" authorId="0" shapeId="0" xr:uid="{EFAB1D34-DEF4-4FDB-8072-CC4A7AC171DC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J1922" authorId="0" shapeId="0" xr:uid="{F32825D4-DFAA-4316-923E-5962FA154BB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2114" authorId="0" shapeId="0" xr:uid="{A5A2E4A6-A25F-43A8-A910-0A66D2AFB99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2306" authorId="0" shapeId="0" xr:uid="{0D01FB38-140B-4082-BF7C-287C44E820D5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2882" authorId="0" shapeId="0" xr:uid="{F5C13596-162A-4E5A-8E86-E689EDA2F57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2883" authorId="0" shapeId="0" xr:uid="{38C669C3-3006-44F1-A6F4-CE7370C94ACD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March number</t>
        </r>
      </text>
    </comment>
    <comment ref="J3074" authorId="0" shapeId="0" xr:uid="{14052822-13AC-4A30-988E-E625FE963235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J3266" authorId="0" shapeId="0" xr:uid="{74A231B5-86AB-4394-B25C-BA2E81A33051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J3458" authorId="0" shapeId="0" xr:uid="{8082691C-BB5A-43C4-90B6-7D1DC387B8DD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E3842" authorId="0" shapeId="0" xr:uid="{DE064663-2A2C-4619-BEC2-A16C20B65B8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used Feb number
</t>
        </r>
      </text>
    </comment>
    <comment ref="E4226" authorId="0" shapeId="0" xr:uid="{515DEDA3-7752-4769-8ECD-F1A46303388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4226" authorId="0" shapeId="0" xr:uid="{350A9A91-6268-4906-9EAE-594795EE4085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J4238" authorId="0" shapeId="0" xr:uid="{39DEEEA2-EA2E-4CB7-8898-10C83E514F43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  <comment ref="E4994" authorId="0" shapeId="0" xr:uid="{72472D55-782A-4475-ACCA-99AEBA21534F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used feb numbers
</t>
        </r>
      </text>
    </comment>
    <comment ref="J4994" authorId="0" shapeId="0" xr:uid="{0DC19D6A-AA4E-4D1E-A04A-0B5CE16BDE27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K4994" authorId="0" shapeId="0" xr:uid="{08D1D8A7-34FE-4BB7-A216-0E170F2A7B2D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Did not include (852.8) for Enron
</t>
        </r>
      </text>
    </comment>
    <comment ref="E5186" authorId="0" shapeId="0" xr:uid="{0DF64C7E-4003-4D64-99A0-A08A8656B020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numbers
</t>
        </r>
      </text>
    </comment>
    <comment ref="J5186" authorId="0" shapeId="0" xr:uid="{576A956A-D58F-4325-9706-03EE82C19181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E5378" authorId="0" shapeId="0" xr:uid="{A1261963-402A-4B11-AE4C-6DF611CD6AA8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
</t>
        </r>
      </text>
    </comment>
    <comment ref="J5378" authorId="0" shapeId="0" xr:uid="{808AAEFB-9DF5-4003-B4B8-B56AA1CA4B56}">
      <text>
        <r>
          <rPr>
            <b/>
            <sz val="8"/>
            <color indexed="81"/>
            <rFont val="Tahoma"/>
            <family val="2"/>
          </rPr>
          <t>ccollier:</t>
        </r>
        <r>
          <rPr>
            <sz val="8"/>
            <color indexed="81"/>
            <rFont val="Tahoma"/>
            <family val="2"/>
          </rPr>
          <t xml:space="preserve">
Feb number</t>
        </r>
      </text>
    </comment>
  </commentList>
</comments>
</file>

<file path=xl/sharedStrings.xml><?xml version="1.0" encoding="utf-8"?>
<sst xmlns="http://schemas.openxmlformats.org/spreadsheetml/2006/main" count="17296" uniqueCount="39">
  <si>
    <t>Company</t>
  </si>
  <si>
    <t>Month</t>
  </si>
  <si>
    <t>Year</t>
  </si>
  <si>
    <t>Type</t>
  </si>
  <si>
    <t>NOC_Affiliate</t>
  </si>
  <si>
    <t>NOC_Non-Affiliate</t>
  </si>
  <si>
    <t>NOC_Total</t>
  </si>
  <si>
    <t>NOC_% Affiliate</t>
  </si>
  <si>
    <t>NOC_% Non-Affiliate</t>
  </si>
  <si>
    <t>MWHS_Affiliate</t>
  </si>
  <si>
    <t>MWHS_Non-Affiliate</t>
  </si>
  <si>
    <t>MWHS_Total</t>
  </si>
  <si>
    <t>MWHS_% Affiliate</t>
  </si>
  <si>
    <t>MWHS_% Non-Affiliate</t>
  </si>
  <si>
    <t>Avg_Res_kWH_Usage</t>
  </si>
  <si>
    <t>Avg_SmCom_kWH_Usage</t>
  </si>
  <si>
    <t>Oncor</t>
  </si>
  <si>
    <t>January</t>
  </si>
  <si>
    <t>Residential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</si>
  <si>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</si>
  <si>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</si>
  <si>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</si>
  <si>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</si>
  <si>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</si>
  <si>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</si>
  <si>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</si>
  <si>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</si>
  <si>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</si>
  <si>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</si>
  <si>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</si>
  <si>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Small Commercial (Secondary voltage)</t>
  </si>
  <si>
    <t>Large Industrial (Primary/Transmission)</t>
  </si>
  <si>
    <t>Lighting</t>
  </si>
  <si>
    <t>Total Customers</t>
  </si>
  <si>
    <t>Centerpoint</t>
  </si>
  <si>
    <t>AEP Central</t>
  </si>
  <si>
    <t>AEP North</t>
  </si>
  <si>
    <t>TNMP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</si>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</sst>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 Unicode MS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164" fontId="0" fillId="0" borderId="0" xfId="0" applyNumberFormat="1"/>
    <xf numFmtId="10" fontId="0" fillId="0" borderId="0" xfId="0" applyNumberFormat="1"/>
    <xf numFmtId="164" fontId="3" fillId="0" borderId="0" xfId="1" applyNumberFormat="1" applyFont="1" applyFill="1" applyBorder="1"/>
    <xf numFmtId="164" fontId="3" fillId="0" borderId="0" xfId="1" applyNumberFormat="1" applyFont="1" applyFill="1" applyBorder="1" applyProtection="1">
      <protection locked="0"/>
    </xf>
    <xf numFmtId="1" fontId="0" fillId="0" borderId="0" xfId="0" applyNumberFormat="1"/>
    <xf numFmtId="164" fontId="3" fillId="0" borderId="0" xfId="1" applyNumberFormat="1" applyFont="1" applyFill="1" applyBorder="1" applyProtection="1"/>
    <xf numFmtId="164" fontId="3" fillId="0" borderId="0" xfId="1" applyNumberFormat="1" applyFont="1" applyFill="1" applyBorder="1" applyAlignment="1"/>
    <xf numFmtId="3" fontId="3" fillId="0" borderId="0" xfId="0" applyNumberFormat="1" applyFont="1"/>
    <xf numFmtId="0" fontId="3" fillId="0" borderId="0" xfId="0" applyFont="1"/>
    <xf numFmtId="164" fontId="6" fillId="0" borderId="0" xfId="1" applyNumberFormat="1" applyFont="1" applyFill="1" applyBorder="1"/>
    <xf numFmtId="0" fontId="7" fillId="0" borderId="0" xfId="0" applyFont="1" applyAlignment="1">
      <alignment vertical="center"/>
    </xf>
    <xf numFmtId="164" fontId="3" fillId="0" borderId="0" xfId="1" applyNumberFormat="1" applyFill="1" applyBorder="1" applyAlignment="1">
      <alignment horizontal="right"/>
    </xf>
    <xf numFmtId="164" fontId="3" fillId="0" borderId="0" xfId="4" applyNumberFormat="1" applyFill="1" applyBorder="1" applyAlignment="1">
      <alignment horizontal="right"/>
    </xf>
    <xf numFmtId="4" fontId="3" fillId="0" borderId="0" xfId="0" applyNumberFormat="1" applyFont="1"/>
    <xf numFmtId="4" fontId="3" fillId="0" borderId="0" xfId="0" applyNumberFormat="1" applyFont="1" applyProtection="1">
      <protection locked="0"/>
    </xf>
    <xf numFmtId="164" fontId="3" fillId="0" borderId="0" xfId="0" applyNumberFormat="1" applyFont="1"/>
    <xf numFmtId="38" fontId="3" fillId="0" borderId="0" xfId="0" applyNumberFormat="1" applyFont="1"/>
    <xf numFmtId="0" fontId="3" fillId="0" borderId="0" xfId="0" applyFont="1" applyAlignment="1">
      <alignment vertical="center"/>
    </xf>
    <xf numFmtId="1" fontId="3" fillId="0" borderId="0" xfId="0" applyNumberFormat="1" applyFont="1"/>
    <xf numFmtId="164" fontId="3" fillId="0" borderId="0" xfId="5" applyNumberFormat="1" applyFont="1" applyFill="1" applyBorder="1"/>
    <xf numFmtId="164" fontId="3" fillId="0" borderId="0" xfId="0" applyNumberFormat="1" applyFont="1" applyProtection="1">
      <protection locked="0"/>
    </xf>
    <xf numFmtId="1" fontId="3" fillId="0" borderId="0" xfId="0" applyNumberFormat="1" applyFont="1" applyProtection="1">
      <protection locked="0"/>
    </xf>
    <xf numFmtId="0" fontId="3" fillId="0" borderId="0" xfId="0" applyFont="1" applyProtection="1">
      <protection locked="0"/>
    </xf>
    <xf numFmtId="2" fontId="3" fillId="0" borderId="0" xfId="0" applyNumberFormat="1" applyFont="1" applyProtection="1">
      <protection locked="0"/>
    </xf>
  </cellXfs>
  <cellStyles count="6">
    <cellStyle name="Comma 10" xfId="1" xr:uid="{32CCF7FF-37B3-41A0-9F63-0887E62E3426}"/>
    <cellStyle name="Comma 5" xfId="4" xr:uid="{12B7970B-78C7-4C72-B003-F898B369E29B}"/>
    <cellStyle name="Normal" xfId="0" builtinId="0"/>
    <cellStyle name="Normal 4" xfId="3" xr:uid="{2280DAFC-709D-4B34-B4A1-3279651FB808}"/>
    <cellStyle name="Percent 10" xfId="2" xr:uid="{F38E1D6D-83C6-48AC-AAAF-2299054B2E11}"/>
    <cellStyle name="Percent 7" xfId="5" xr:uid="{FA7577E4-1BC7-48F5-B516-107359F2BE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FFE6-6547-4D96-869E-A3EF5AAF1BAA}">
  <dimension ref="A1:P5761"/>
  <sheetViews>
    <sheetView tabSelected="1" topLeftCell="G82" workbookViewId="0">
      <selection activeCell="P86" sqref="P86"/>
    </sheetView>
  </sheetViews>
  <sheetFormatPr defaultRowHeight="14.5" x14ac:dyDescent="0.35"/>
  <cols>
    <col min="1" max="1" width="9.26953125" bestFit="1" customWidth="1"/>
    <col min="2" max="2" width="10.26953125" bestFit="1" customWidth="1"/>
    <col min="3" max="3" width="4.81640625" bestFit="1" customWidth="1"/>
    <col min="4" max="4" width="16" customWidth="1"/>
    <col min="5" max="5" width="12.54296875" bestFit="1" customWidth="1"/>
    <col min="6" max="6" width="17.26953125" bestFit="1" customWidth="1"/>
    <col min="7" max="7" width="10.26953125" bestFit="1" customWidth="1"/>
    <col min="8" max="8" width="14.7265625" bestFit="1" customWidth="1"/>
    <col min="9" max="9" width="19.26953125" bestFit="1" customWidth="1"/>
    <col min="10" max="10" width="14.26953125" bestFit="1" customWidth="1"/>
    <col min="11" max="11" width="18.81640625" bestFit="1" customWidth="1"/>
    <col min="12" max="12" width="11.81640625" bestFit="1" customWidth="1"/>
    <col min="13" max="13" width="16.26953125" bestFit="1" customWidth="1"/>
    <col min="14" max="14" width="20.81640625" bestFit="1" customWidth="1"/>
    <col min="15" max="15" width="19.453125" bestFit="1" customWidth="1"/>
    <col min="16" max="16" width="23.179687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>
        <v>2002</v>
      </c>
      <c r="D2" t="s">
        <v>18</v>
      </c>
      <c r="E2" s="3">
        <v>1948790</v>
      </c>
      <c r="F2" s="3">
        <v>37211</v>
      </c>
      <c r="G2" s="1">
        <f>SUM(E2:F2)</f>
        <v>1986001</v>
      </c>
      <c r="H2" s="2">
        <f>SUM(E2)/G2</f>
        <v>0.98126335283819088</v>
      </c>
      <c r="I2" s="2">
        <f>SUM(F2/G2)</f>
        <v>1.8736647161809082E-2</v>
      </c>
      <c r="J2" s="3">
        <v>2250091.827</v>
      </c>
      <c r="K2" s="3">
        <v>102.00900000000001</v>
      </c>
      <c r="L2" s="1">
        <f>SUM(J2:K2)</f>
        <v>2250193.8360000001</v>
      </c>
      <c r="M2" s="2">
        <f>SUM(J2)/L2</f>
        <v>0.99995466657211118</v>
      </c>
      <c r="N2" s="2">
        <f>SUM(K2/L2)</f>
        <v>4.5333427888743007E-5</v>
      </c>
      <c r="O2" s="5">
        <f>SUM(1000*L2)/G2</f>
        <v>1133.027544296302</v>
      </c>
    </row>
    <row r="3" spans="1:16" x14ac:dyDescent="0.35">
      <c r="A3" t="s">
        <v>16</v>
      </c>
      <c r="B3" t="s">
        <v>19</v>
      </c>
      <c r="C3">
        <v>2002</v>
      </c>
      <c r="D3" t="s">
        <v>18</v>
      </c>
      <c r="E3" s="3">
        <v>1948790</v>
      </c>
      <c r="F3" s="3">
        <v>46099</v>
      </c>
      <c r="G3" s="1">
        <f t="shared" ref="G3:G13" si="0">SUM(E3:F3)</f>
        <v>1994889</v>
      </c>
      <c r="H3" s="2">
        <f t="shared" ref="H3:H13" si="1">SUM(E3)/G3</f>
        <v>0.97689144609048428</v>
      </c>
      <c r="I3" s="2">
        <f t="shared" ref="I3:I13" si="2">SUM(F3/G3)</f>
        <v>2.3108553909515769E-2</v>
      </c>
      <c r="J3" s="3">
        <v>2250091.827</v>
      </c>
      <c r="K3" s="3">
        <v>55123.199000000022</v>
      </c>
      <c r="L3" s="1">
        <f t="shared" ref="L3:L14" si="3">SUM(J3:K3)</f>
        <v>2305215.0260000001</v>
      </c>
      <c r="M3" s="2">
        <f t="shared" ref="M3:M14" si="4">SUM(J3)/L3</f>
        <v>0.97608761075288952</v>
      </c>
      <c r="N3" s="2">
        <f t="shared" ref="N3:N14" si="5">SUM(K3/L3)</f>
        <v>2.3912389247110529E-2</v>
      </c>
      <c r="O3" s="5">
        <f t="shared" ref="O3:O66" si="6">SUM(1000*L3)/G3</f>
        <v>1155.5605479803637</v>
      </c>
    </row>
    <row r="4" spans="1:16" x14ac:dyDescent="0.35">
      <c r="A4" t="s">
        <v>16</v>
      </c>
      <c r="B4" t="s">
        <v>20</v>
      </c>
      <c r="C4">
        <v>2002</v>
      </c>
      <c r="D4" t="s">
        <v>18</v>
      </c>
      <c r="E4" s="3">
        <v>2284493</v>
      </c>
      <c r="F4" s="3">
        <v>50137</v>
      </c>
      <c r="G4" s="1">
        <f t="shared" si="0"/>
        <v>2334630</v>
      </c>
      <c r="H4" s="2">
        <f t="shared" si="1"/>
        <v>0.97852464844536391</v>
      </c>
      <c r="I4" s="2">
        <f t="shared" si="2"/>
        <v>2.1475351554636066E-2</v>
      </c>
      <c r="J4" s="3">
        <v>2748938.9850000003</v>
      </c>
      <c r="K4" s="3">
        <v>70005.60999999987</v>
      </c>
      <c r="L4" s="1">
        <f t="shared" si="3"/>
        <v>2818944.5950000002</v>
      </c>
      <c r="M4" s="2">
        <f t="shared" si="4"/>
        <v>0.97516602131018471</v>
      </c>
      <c r="N4" s="2">
        <f t="shared" si="5"/>
        <v>2.4833978689815243E-2</v>
      </c>
      <c r="O4" s="5">
        <f t="shared" si="6"/>
        <v>1207.4481159755508</v>
      </c>
    </row>
    <row r="5" spans="1:16" x14ac:dyDescent="0.35">
      <c r="A5" t="s">
        <v>16</v>
      </c>
      <c r="B5" t="s">
        <v>21</v>
      </c>
      <c r="C5">
        <v>2002</v>
      </c>
      <c r="D5" t="s">
        <v>18</v>
      </c>
      <c r="E5" s="3">
        <v>2289730</v>
      </c>
      <c r="F5" s="3">
        <v>52660</v>
      </c>
      <c r="G5" s="1">
        <f t="shared" si="0"/>
        <v>2342390</v>
      </c>
      <c r="H5" s="2">
        <f t="shared" si="1"/>
        <v>0.97751868817745979</v>
      </c>
      <c r="I5" s="2">
        <f t="shared" si="2"/>
        <v>2.2481311822540227E-2</v>
      </c>
      <c r="J5" s="3">
        <v>2246461.7400000002</v>
      </c>
      <c r="K5" s="3">
        <v>61022.503000000026</v>
      </c>
      <c r="L5" s="1">
        <f t="shared" si="3"/>
        <v>2307484.2430000002</v>
      </c>
      <c r="M5" s="2">
        <f t="shared" si="4"/>
        <v>0.97355453100704015</v>
      </c>
      <c r="N5" s="2">
        <f t="shared" si="5"/>
        <v>2.6445468992959888E-2</v>
      </c>
      <c r="O5" s="5">
        <f t="shared" si="6"/>
        <v>985.09823001293569</v>
      </c>
    </row>
    <row r="6" spans="1:16" x14ac:dyDescent="0.35">
      <c r="A6" t="s">
        <v>16</v>
      </c>
      <c r="B6" t="s">
        <v>22</v>
      </c>
      <c r="C6">
        <v>2002</v>
      </c>
      <c r="D6" t="s">
        <v>18</v>
      </c>
      <c r="E6" s="3">
        <v>2268645</v>
      </c>
      <c r="F6" s="3">
        <v>64636</v>
      </c>
      <c r="G6" s="1">
        <f t="shared" si="0"/>
        <v>2333281</v>
      </c>
      <c r="H6" s="2">
        <f t="shared" si="1"/>
        <v>0.97229823583186081</v>
      </c>
      <c r="I6" s="2">
        <f t="shared" si="2"/>
        <v>2.7701764168139201E-2</v>
      </c>
      <c r="J6" s="3">
        <v>2453433.7400000002</v>
      </c>
      <c r="K6" s="3">
        <v>78841.80700000003</v>
      </c>
      <c r="L6" s="1">
        <f t="shared" si="3"/>
        <v>2532275.5470000003</v>
      </c>
      <c r="M6" s="2">
        <f t="shared" si="4"/>
        <v>0.96886523384336898</v>
      </c>
      <c r="N6" s="2">
        <f t="shared" si="5"/>
        <v>3.1134766156631067E-2</v>
      </c>
      <c r="O6" s="5">
        <f t="shared" si="6"/>
        <v>1085.2852901129356</v>
      </c>
    </row>
    <row r="7" spans="1:16" x14ac:dyDescent="0.35">
      <c r="A7" t="s">
        <v>16</v>
      </c>
      <c r="B7" t="s">
        <v>23</v>
      </c>
      <c r="C7">
        <v>2002</v>
      </c>
      <c r="D7" t="s">
        <v>18</v>
      </c>
      <c r="E7" s="3">
        <v>2303681</v>
      </c>
      <c r="F7" s="3">
        <v>80778</v>
      </c>
      <c r="G7" s="1">
        <f t="shared" si="0"/>
        <v>2384459</v>
      </c>
      <c r="H7" s="2">
        <f t="shared" si="1"/>
        <v>0.966123133171927</v>
      </c>
      <c r="I7" s="2">
        <f t="shared" si="2"/>
        <v>3.3876866828072949E-2</v>
      </c>
      <c r="J7" s="3">
        <v>3109992.588</v>
      </c>
      <c r="K7" s="3">
        <v>120122.875</v>
      </c>
      <c r="L7" s="1">
        <f t="shared" si="3"/>
        <v>3230115.463</v>
      </c>
      <c r="M7" s="2">
        <f t="shared" si="4"/>
        <v>0.96281158479442253</v>
      </c>
      <c r="N7" s="2">
        <f t="shared" si="5"/>
        <v>3.7188415205577439E-2</v>
      </c>
      <c r="O7" s="5">
        <f t="shared" si="6"/>
        <v>1354.6533880431577</v>
      </c>
    </row>
    <row r="8" spans="1:16" x14ac:dyDescent="0.35">
      <c r="A8" t="s">
        <v>16</v>
      </c>
      <c r="B8" t="s">
        <v>24</v>
      </c>
      <c r="C8">
        <v>2002</v>
      </c>
      <c r="D8" t="s">
        <v>18</v>
      </c>
      <c r="E8" s="3">
        <v>2285233</v>
      </c>
      <c r="F8" s="3">
        <v>65117</v>
      </c>
      <c r="G8" s="1">
        <f t="shared" si="0"/>
        <v>2350350</v>
      </c>
      <c r="H8" s="2">
        <f t="shared" si="1"/>
        <v>0.97229476460952624</v>
      </c>
      <c r="I8" s="2">
        <f t="shared" si="2"/>
        <v>2.7705235390473759E-2</v>
      </c>
      <c r="J8" s="3">
        <v>3751043.3750000005</v>
      </c>
      <c r="K8" s="3">
        <v>178294.39199999953</v>
      </c>
      <c r="L8" s="1">
        <f t="shared" si="3"/>
        <v>3929337.767</v>
      </c>
      <c r="M8" s="2">
        <f t="shared" si="4"/>
        <v>0.95462482418859984</v>
      </c>
      <c r="N8" s="2">
        <f t="shared" si="5"/>
        <v>4.5375175811400159E-2</v>
      </c>
      <c r="O8" s="5">
        <f t="shared" si="6"/>
        <v>1671.8096313315039</v>
      </c>
    </row>
    <row r="9" spans="1:16" x14ac:dyDescent="0.35">
      <c r="A9" t="s">
        <v>16</v>
      </c>
      <c r="B9" t="s">
        <v>25</v>
      </c>
      <c r="C9">
        <v>2002</v>
      </c>
      <c r="D9" t="s">
        <v>18</v>
      </c>
      <c r="E9" s="3">
        <v>2261967</v>
      </c>
      <c r="F9" s="3">
        <v>140535</v>
      </c>
      <c r="G9" s="1">
        <f t="shared" si="0"/>
        <v>2402502</v>
      </c>
      <c r="H9" s="2">
        <f t="shared" si="1"/>
        <v>0.94150473131760137</v>
      </c>
      <c r="I9" s="2">
        <f t="shared" si="2"/>
        <v>5.8495268682398599E-2</v>
      </c>
      <c r="J9" s="3">
        <v>4156383.2960000001</v>
      </c>
      <c r="K9" s="3">
        <v>226919.06799999997</v>
      </c>
      <c r="L9" s="1">
        <f t="shared" si="3"/>
        <v>4383302.3640000001</v>
      </c>
      <c r="M9" s="2">
        <f t="shared" si="4"/>
        <v>0.94823102557019956</v>
      </c>
      <c r="N9" s="2">
        <f t="shared" si="5"/>
        <v>5.1768974429800475E-2</v>
      </c>
      <c r="O9" s="5">
        <f t="shared" si="6"/>
        <v>1824.4739708853519</v>
      </c>
    </row>
    <row r="10" spans="1:16" x14ac:dyDescent="0.35">
      <c r="A10" t="s">
        <v>16</v>
      </c>
      <c r="B10" t="s">
        <v>26</v>
      </c>
      <c r="C10">
        <v>2002</v>
      </c>
      <c r="D10" t="s">
        <v>18</v>
      </c>
      <c r="E10" s="3">
        <v>2258073</v>
      </c>
      <c r="F10" s="3">
        <v>146814</v>
      </c>
      <c r="G10" s="1">
        <f t="shared" si="0"/>
        <v>2404887</v>
      </c>
      <c r="H10" s="2">
        <f t="shared" si="1"/>
        <v>0.9389518093781537</v>
      </c>
      <c r="I10" s="2">
        <f t="shared" si="2"/>
        <v>6.1048190621846264E-2</v>
      </c>
      <c r="J10" s="3">
        <v>4234606.6569999997</v>
      </c>
      <c r="K10" s="3">
        <v>268259.1939999992</v>
      </c>
      <c r="L10" s="1">
        <f t="shared" si="3"/>
        <v>4502865.8509999989</v>
      </c>
      <c r="M10" s="2">
        <f t="shared" si="4"/>
        <v>0.94042478659664619</v>
      </c>
      <c r="N10" s="2">
        <f t="shared" si="5"/>
        <v>5.957521340335379E-2</v>
      </c>
      <c r="O10" s="5">
        <f t="shared" si="6"/>
        <v>1872.3814678194856</v>
      </c>
    </row>
    <row r="11" spans="1:16" x14ac:dyDescent="0.35">
      <c r="A11" t="s">
        <v>16</v>
      </c>
      <c r="B11" t="s">
        <v>27</v>
      </c>
      <c r="C11">
        <v>2002</v>
      </c>
      <c r="D11" t="s">
        <v>18</v>
      </c>
      <c r="E11" s="3">
        <v>2267179</v>
      </c>
      <c r="F11" s="3">
        <v>152383</v>
      </c>
      <c r="G11" s="1">
        <f t="shared" si="0"/>
        <v>2419562</v>
      </c>
      <c r="H11" s="2">
        <f t="shared" si="1"/>
        <v>0.93702041939822167</v>
      </c>
      <c r="I11" s="2">
        <f t="shared" si="2"/>
        <v>6.2979580601778343E-2</v>
      </c>
      <c r="J11" s="3">
        <v>2909383.9470000002</v>
      </c>
      <c r="K11" s="3">
        <v>191629.14199999999</v>
      </c>
      <c r="L11" s="1">
        <f t="shared" si="3"/>
        <v>3101013.0890000002</v>
      </c>
      <c r="M11" s="2">
        <f t="shared" si="4"/>
        <v>0.93820434274213416</v>
      </c>
      <c r="N11" s="2">
        <f t="shared" si="5"/>
        <v>6.1795657257865892E-2</v>
      </c>
      <c r="O11" s="5">
        <f t="shared" si="6"/>
        <v>1281.6423340257452</v>
      </c>
    </row>
    <row r="12" spans="1:16" x14ac:dyDescent="0.35">
      <c r="A12" t="s">
        <v>16</v>
      </c>
      <c r="B12" t="s">
        <v>28</v>
      </c>
      <c r="C12">
        <v>2002</v>
      </c>
      <c r="D12" t="s">
        <v>18</v>
      </c>
      <c r="E12" s="3">
        <v>2260939</v>
      </c>
      <c r="F12" s="3">
        <v>160174</v>
      </c>
      <c r="G12" s="1">
        <f t="shared" si="0"/>
        <v>2421113</v>
      </c>
      <c r="H12" s="2">
        <f t="shared" si="1"/>
        <v>0.93384282352785686</v>
      </c>
      <c r="I12" s="2">
        <f t="shared" si="2"/>
        <v>6.6157176472143184E-2</v>
      </c>
      <c r="J12" s="3">
        <v>2028026.327</v>
      </c>
      <c r="K12" s="3">
        <v>143144.30599999987</v>
      </c>
      <c r="L12" s="1">
        <f t="shared" si="3"/>
        <v>2171170.6329999999</v>
      </c>
      <c r="M12" s="2">
        <f t="shared" si="4"/>
        <v>0.9340704485293212</v>
      </c>
      <c r="N12" s="2">
        <f t="shared" si="5"/>
        <v>6.5929551470678846E-2</v>
      </c>
      <c r="O12" s="5">
        <f t="shared" si="6"/>
        <v>896.7655094991436</v>
      </c>
    </row>
    <row r="13" spans="1:16" x14ac:dyDescent="0.35">
      <c r="A13" t="s">
        <v>16</v>
      </c>
      <c r="B13" t="s">
        <v>29</v>
      </c>
      <c r="C13">
        <v>2002</v>
      </c>
      <c r="D13" t="s">
        <v>18</v>
      </c>
      <c r="E13" s="3">
        <v>2255644</v>
      </c>
      <c r="F13" s="3">
        <v>169885</v>
      </c>
      <c r="G13" s="1">
        <f t="shared" si="0"/>
        <v>2425529</v>
      </c>
      <c r="H13" s="2">
        <f t="shared" si="1"/>
        <v>0.92995960881110884</v>
      </c>
      <c r="I13" s="2">
        <f t="shared" si="2"/>
        <v>7.004039118889116E-2</v>
      </c>
      <c r="J13" s="3">
        <v>2546107.2349999999</v>
      </c>
      <c r="K13" s="3">
        <v>186822.64100000029</v>
      </c>
      <c r="L13" s="1">
        <f t="shared" si="3"/>
        <v>2732929.8760000002</v>
      </c>
      <c r="M13" s="2">
        <f t="shared" si="4"/>
        <v>0.9316401629472324</v>
      </c>
      <c r="N13" s="2">
        <f t="shared" si="5"/>
        <v>6.8359837052767575E-2</v>
      </c>
      <c r="O13" s="5">
        <f t="shared" si="6"/>
        <v>1126.7356011822576</v>
      </c>
    </row>
    <row r="14" spans="1:16" x14ac:dyDescent="0.35">
      <c r="A14" t="s">
        <v>16</v>
      </c>
      <c r="B14" t="s">
        <v>17</v>
      </c>
      <c r="C14">
        <v>2003</v>
      </c>
      <c r="D14" t="s">
        <v>18</v>
      </c>
      <c r="E14" s="3">
        <v>2257450</v>
      </c>
      <c r="F14" s="3">
        <v>168843</v>
      </c>
      <c r="G14" s="1">
        <f>SUM(E14:F14)</f>
        <v>2426293</v>
      </c>
      <c r="H14" s="2">
        <f>SUM(E14)/G14</f>
        <v>0.93041112511967849</v>
      </c>
      <c r="I14" s="2">
        <f>SUM(F14/G14)</f>
        <v>6.9588874880321547E-2</v>
      </c>
      <c r="J14" s="3">
        <v>2951308</v>
      </c>
      <c r="K14" s="3">
        <v>233845</v>
      </c>
      <c r="L14" s="1">
        <f t="shared" si="3"/>
        <v>3185153</v>
      </c>
      <c r="M14" s="2">
        <f t="shared" si="4"/>
        <v>0.92658280465647958</v>
      </c>
      <c r="N14" s="2">
        <f t="shared" si="5"/>
        <v>7.3417195343520383E-2</v>
      </c>
      <c r="O14" s="5">
        <f t="shared" si="6"/>
        <v>1312.7651936513851</v>
      </c>
    </row>
    <row r="15" spans="1:16" x14ac:dyDescent="0.35">
      <c r="A15" t="s">
        <v>16</v>
      </c>
      <c r="B15" t="s">
        <v>19</v>
      </c>
      <c r="C15">
        <v>2003</v>
      </c>
      <c r="D15" t="s">
        <v>18</v>
      </c>
      <c r="E15" s="3">
        <v>2250480</v>
      </c>
      <c r="F15" s="3">
        <v>178248</v>
      </c>
      <c r="G15" s="1">
        <f t="shared" ref="G15:G25" si="7">SUM(E15:F15)</f>
        <v>2428728</v>
      </c>
      <c r="H15" s="2">
        <f t="shared" ref="H15:H25" si="8">SUM(E15)/G15</f>
        <v>0.92660849629929742</v>
      </c>
      <c r="I15" s="2">
        <f t="shared" ref="I15:I25" si="9">SUM(F15/G15)</f>
        <v>7.339150370070259E-2</v>
      </c>
      <c r="J15" s="3">
        <v>3074950</v>
      </c>
      <c r="K15" s="3">
        <v>242868</v>
      </c>
      <c r="L15" s="1">
        <f t="shared" ref="L15:L78" si="10">SUM(J15:K15)</f>
        <v>3317818</v>
      </c>
      <c r="M15" s="2">
        <f t="shared" ref="M15:M78" si="11">SUM(J15)/L15</f>
        <v>0.92679887805780792</v>
      </c>
      <c r="N15" s="2">
        <f t="shared" ref="N15:N78" si="12">SUM(K15/L15)</f>
        <v>7.3201121942192124E-2</v>
      </c>
      <c r="O15" s="5">
        <f t="shared" si="6"/>
        <v>1366.0722814576191</v>
      </c>
    </row>
    <row r="16" spans="1:16" x14ac:dyDescent="0.35">
      <c r="A16" t="s">
        <v>16</v>
      </c>
      <c r="B16" t="s">
        <v>20</v>
      </c>
      <c r="C16">
        <v>2003</v>
      </c>
      <c r="D16" t="s">
        <v>18</v>
      </c>
      <c r="E16" s="3">
        <v>2234292</v>
      </c>
      <c r="F16" s="3">
        <v>193826</v>
      </c>
      <c r="G16" s="1">
        <f t="shared" si="7"/>
        <v>2428118</v>
      </c>
      <c r="H16" s="2">
        <f t="shared" si="8"/>
        <v>0.92017439020673619</v>
      </c>
      <c r="I16" s="2">
        <f t="shared" si="9"/>
        <v>7.9825609793263752E-2</v>
      </c>
      <c r="J16" s="3">
        <v>2703864</v>
      </c>
      <c r="K16" s="3">
        <v>224489</v>
      </c>
      <c r="L16" s="1">
        <f t="shared" si="10"/>
        <v>2928353</v>
      </c>
      <c r="M16" s="2">
        <f t="shared" si="11"/>
        <v>0.92333950176088742</v>
      </c>
      <c r="N16" s="2">
        <f t="shared" si="12"/>
        <v>7.6660498239112571E-2</v>
      </c>
      <c r="O16" s="5">
        <f t="shared" si="6"/>
        <v>1206.0175823415502</v>
      </c>
    </row>
    <row r="17" spans="1:15" x14ac:dyDescent="0.35">
      <c r="A17" t="s">
        <v>16</v>
      </c>
      <c r="B17" t="s">
        <v>21</v>
      </c>
      <c r="C17">
        <v>2003</v>
      </c>
      <c r="D17" t="s">
        <v>18</v>
      </c>
      <c r="E17" s="3">
        <v>2214981</v>
      </c>
      <c r="F17" s="3">
        <v>209371</v>
      </c>
      <c r="G17" s="1">
        <f t="shared" si="7"/>
        <v>2424352</v>
      </c>
      <c r="H17" s="2">
        <f t="shared" si="8"/>
        <v>0.91363836604585469</v>
      </c>
      <c r="I17" s="2">
        <f t="shared" si="9"/>
        <v>8.636163395414527E-2</v>
      </c>
      <c r="J17" s="3">
        <v>1935958.956</v>
      </c>
      <c r="K17" s="3">
        <v>173176.54</v>
      </c>
      <c r="L17" s="1">
        <f t="shared" si="10"/>
        <v>2109135.4959999998</v>
      </c>
      <c r="M17" s="2">
        <f t="shared" si="11"/>
        <v>0.91789216940854146</v>
      </c>
      <c r="N17" s="2">
        <f t="shared" si="12"/>
        <v>8.2107830591458611E-2</v>
      </c>
      <c r="O17" s="5">
        <f t="shared" si="6"/>
        <v>869.97906904607908</v>
      </c>
    </row>
    <row r="18" spans="1:15" x14ac:dyDescent="0.35">
      <c r="A18" t="s">
        <v>16</v>
      </c>
      <c r="B18" t="s">
        <v>22</v>
      </c>
      <c r="C18">
        <v>2003</v>
      </c>
      <c r="D18" t="s">
        <v>18</v>
      </c>
      <c r="E18" s="3">
        <v>2206419</v>
      </c>
      <c r="F18" s="3">
        <v>221366</v>
      </c>
      <c r="G18" s="1">
        <f t="shared" si="7"/>
        <v>2427785</v>
      </c>
      <c r="H18" s="2">
        <f t="shared" si="8"/>
        <v>0.90881976781304774</v>
      </c>
      <c r="I18" s="2">
        <f t="shared" si="9"/>
        <v>9.1180232186952301E-2</v>
      </c>
      <c r="J18" s="3">
        <v>2351595.9379999996</v>
      </c>
      <c r="K18" s="3">
        <v>236499.99899999984</v>
      </c>
      <c r="L18" s="1">
        <f t="shared" si="10"/>
        <v>2588095.9369999995</v>
      </c>
      <c r="M18" s="2">
        <f t="shared" si="11"/>
        <v>0.90862008026095831</v>
      </c>
      <c r="N18" s="2">
        <f t="shared" si="12"/>
        <v>9.1379919739041679E-2</v>
      </c>
      <c r="O18" s="5">
        <f t="shared" si="6"/>
        <v>1066.0317684638464</v>
      </c>
    </row>
    <row r="19" spans="1:15" x14ac:dyDescent="0.35">
      <c r="A19" t="s">
        <v>16</v>
      </c>
      <c r="B19" t="s">
        <v>23</v>
      </c>
      <c r="C19">
        <v>2003</v>
      </c>
      <c r="D19" t="s">
        <v>18</v>
      </c>
      <c r="E19" s="3">
        <v>2187170</v>
      </c>
      <c r="F19" s="3">
        <v>237454</v>
      </c>
      <c r="G19" s="1">
        <f t="shared" si="7"/>
        <v>2424624</v>
      </c>
      <c r="H19" s="2">
        <f t="shared" si="8"/>
        <v>0.9020656398682847</v>
      </c>
      <c r="I19" s="2">
        <f t="shared" si="9"/>
        <v>9.7934360131715262E-2</v>
      </c>
      <c r="J19" s="3">
        <v>2954056.37</v>
      </c>
      <c r="K19" s="3">
        <v>312421.62600000016</v>
      </c>
      <c r="L19" s="1">
        <f t="shared" si="10"/>
        <v>3266477.9960000003</v>
      </c>
      <c r="M19" s="2">
        <f t="shared" si="11"/>
        <v>0.90435520264254665</v>
      </c>
      <c r="N19" s="2">
        <f t="shared" si="12"/>
        <v>9.5644797357453293E-2</v>
      </c>
      <c r="O19" s="5">
        <f t="shared" si="6"/>
        <v>1347.2101224767223</v>
      </c>
    </row>
    <row r="20" spans="1:15" x14ac:dyDescent="0.35">
      <c r="A20" t="s">
        <v>16</v>
      </c>
      <c r="B20" t="s">
        <v>24</v>
      </c>
      <c r="C20">
        <v>2003</v>
      </c>
      <c r="D20" t="s">
        <v>18</v>
      </c>
      <c r="E20" s="3">
        <v>2175973</v>
      </c>
      <c r="F20" s="3">
        <v>251290</v>
      </c>
      <c r="G20" s="1">
        <f t="shared" si="7"/>
        <v>2427263</v>
      </c>
      <c r="H20" s="2">
        <f t="shared" si="8"/>
        <v>0.8964718697561822</v>
      </c>
      <c r="I20" s="2">
        <f t="shared" si="9"/>
        <v>0.10352813024381784</v>
      </c>
      <c r="J20" s="3">
        <v>3701249.99</v>
      </c>
      <c r="K20" s="3">
        <v>424184.04600000009</v>
      </c>
      <c r="L20" s="1">
        <f t="shared" si="10"/>
        <v>4125434.0360000003</v>
      </c>
      <c r="M20" s="2">
        <f t="shared" si="11"/>
        <v>0.89717832298409828</v>
      </c>
      <c r="N20" s="2">
        <f t="shared" si="12"/>
        <v>0.10282167701590177</v>
      </c>
      <c r="O20" s="5">
        <f t="shared" si="6"/>
        <v>1699.6238298033632</v>
      </c>
    </row>
    <row r="21" spans="1:15" x14ac:dyDescent="0.35">
      <c r="A21" t="s">
        <v>16</v>
      </c>
      <c r="B21" t="s">
        <v>25</v>
      </c>
      <c r="C21">
        <v>2003</v>
      </c>
      <c r="D21" t="s">
        <v>18</v>
      </c>
      <c r="E21" s="3">
        <v>2165060</v>
      </c>
      <c r="F21" s="3">
        <v>267181</v>
      </c>
      <c r="G21" s="1">
        <f t="shared" si="7"/>
        <v>2432241</v>
      </c>
      <c r="H21" s="2">
        <f t="shared" si="8"/>
        <v>0.89015027704902594</v>
      </c>
      <c r="I21" s="2">
        <f t="shared" si="9"/>
        <v>0.10984972295097402</v>
      </c>
      <c r="J21" s="3">
        <v>4321666.5750000002</v>
      </c>
      <c r="K21" s="3">
        <v>543178.57299999986</v>
      </c>
      <c r="L21" s="1">
        <f t="shared" si="10"/>
        <v>4864845.148</v>
      </c>
      <c r="M21" s="2">
        <f t="shared" si="11"/>
        <v>0.8883461741380797</v>
      </c>
      <c r="N21" s="2">
        <f t="shared" si="12"/>
        <v>0.1116538258619203</v>
      </c>
      <c r="O21" s="5">
        <f t="shared" si="6"/>
        <v>2000.1493059281543</v>
      </c>
    </row>
    <row r="22" spans="1:15" x14ac:dyDescent="0.35">
      <c r="A22" t="s">
        <v>16</v>
      </c>
      <c r="B22" t="s">
        <v>26</v>
      </c>
      <c r="C22">
        <v>2003</v>
      </c>
      <c r="D22" t="s">
        <v>18</v>
      </c>
      <c r="E22" s="3">
        <v>2144898</v>
      </c>
      <c r="F22" s="3">
        <v>289871</v>
      </c>
      <c r="G22" s="1">
        <f t="shared" si="7"/>
        <v>2434769</v>
      </c>
      <c r="H22" s="2">
        <f t="shared" si="8"/>
        <v>0.88094517385427529</v>
      </c>
      <c r="I22" s="2">
        <f t="shared" si="9"/>
        <v>0.11905482614572471</v>
      </c>
      <c r="J22" s="3">
        <v>3530947.2880000002</v>
      </c>
      <c r="K22" s="3">
        <v>472036.00600000005</v>
      </c>
      <c r="L22" s="1">
        <f t="shared" si="10"/>
        <v>4002983.2940000002</v>
      </c>
      <c r="M22" s="2">
        <f t="shared" si="11"/>
        <v>0.88207894679262677</v>
      </c>
      <c r="N22" s="2">
        <f t="shared" si="12"/>
        <v>0.1179210532073732</v>
      </c>
      <c r="O22" s="5">
        <f t="shared" si="6"/>
        <v>1644.0916136191975</v>
      </c>
    </row>
    <row r="23" spans="1:15" x14ac:dyDescent="0.35">
      <c r="A23" t="s">
        <v>16</v>
      </c>
      <c r="B23" t="s">
        <v>27</v>
      </c>
      <c r="C23">
        <v>2003</v>
      </c>
      <c r="D23" t="s">
        <v>18</v>
      </c>
      <c r="E23" s="3">
        <v>2127762</v>
      </c>
      <c r="F23" s="3">
        <v>309011</v>
      </c>
      <c r="G23" s="1">
        <f t="shared" si="7"/>
        <v>2436773</v>
      </c>
      <c r="H23" s="2">
        <f t="shared" si="8"/>
        <v>0.87318843404781654</v>
      </c>
      <c r="I23" s="2">
        <f t="shared" si="9"/>
        <v>0.12681156595218349</v>
      </c>
      <c r="J23" s="3">
        <v>2382697</v>
      </c>
      <c r="K23" s="3">
        <v>348406</v>
      </c>
      <c r="L23" s="1">
        <f t="shared" si="10"/>
        <v>2731103</v>
      </c>
      <c r="M23" s="2">
        <f t="shared" si="11"/>
        <v>0.8724302964772841</v>
      </c>
      <c r="N23" s="2">
        <f t="shared" si="12"/>
        <v>0.1275697035227159</v>
      </c>
      <c r="O23" s="5">
        <f t="shared" si="6"/>
        <v>1120.7867946665529</v>
      </c>
    </row>
    <row r="24" spans="1:15" x14ac:dyDescent="0.35">
      <c r="A24" t="s">
        <v>16</v>
      </c>
      <c r="B24" t="s">
        <v>28</v>
      </c>
      <c r="C24">
        <v>2003</v>
      </c>
      <c r="D24" t="s">
        <v>18</v>
      </c>
      <c r="E24" s="3">
        <v>2118773</v>
      </c>
      <c r="F24" s="3">
        <v>320784</v>
      </c>
      <c r="G24" s="1">
        <f t="shared" si="7"/>
        <v>2439557</v>
      </c>
      <c r="H24" s="2">
        <f t="shared" si="8"/>
        <v>0.86850727406656203</v>
      </c>
      <c r="I24" s="2">
        <f t="shared" si="9"/>
        <v>0.13149272593343792</v>
      </c>
      <c r="J24" s="3">
        <v>1969072</v>
      </c>
      <c r="K24" s="3">
        <v>311875</v>
      </c>
      <c r="L24" s="1">
        <f t="shared" si="10"/>
        <v>2280947</v>
      </c>
      <c r="M24" s="2">
        <f t="shared" si="11"/>
        <v>0.86326951042702882</v>
      </c>
      <c r="N24" s="2">
        <f t="shared" si="12"/>
        <v>0.13673048957297124</v>
      </c>
      <c r="O24" s="5">
        <f t="shared" si="6"/>
        <v>934.98409752262398</v>
      </c>
    </row>
    <row r="25" spans="1:15" x14ac:dyDescent="0.35">
      <c r="A25" t="s">
        <v>16</v>
      </c>
      <c r="B25" t="s">
        <v>29</v>
      </c>
      <c r="C25">
        <v>2003</v>
      </c>
      <c r="D25" t="s">
        <v>18</v>
      </c>
      <c r="E25" s="3">
        <v>2113383</v>
      </c>
      <c r="F25" s="3">
        <v>332118</v>
      </c>
      <c r="G25" s="1">
        <f t="shared" si="7"/>
        <v>2445501</v>
      </c>
      <c r="H25" s="2">
        <f t="shared" si="8"/>
        <v>0.86419224526998761</v>
      </c>
      <c r="I25" s="2">
        <f t="shared" si="9"/>
        <v>0.13580775473001239</v>
      </c>
      <c r="J25" s="3">
        <v>2253724</v>
      </c>
      <c r="K25" s="3">
        <v>370123</v>
      </c>
      <c r="L25" s="1">
        <f t="shared" si="10"/>
        <v>2623847</v>
      </c>
      <c r="M25" s="2">
        <f t="shared" si="11"/>
        <v>0.85893880245303933</v>
      </c>
      <c r="N25" s="2">
        <f t="shared" si="12"/>
        <v>0.14106119754696061</v>
      </c>
      <c r="O25" s="5">
        <f t="shared" si="6"/>
        <v>1072.9282057132668</v>
      </c>
    </row>
    <row r="26" spans="1:15" x14ac:dyDescent="0.35">
      <c r="A26" t="s">
        <v>16</v>
      </c>
      <c r="B26" t="s">
        <v>17</v>
      </c>
      <c r="C26">
        <v>2004</v>
      </c>
      <c r="D26" t="s">
        <v>18</v>
      </c>
      <c r="E26" s="3">
        <v>2116576</v>
      </c>
      <c r="F26" s="3">
        <v>334148</v>
      </c>
      <c r="G26" s="1">
        <f>SUM(E26:F26)</f>
        <v>2450724</v>
      </c>
      <c r="H26" s="2">
        <f>SUM(E26)/G26</f>
        <v>0.86365335304995583</v>
      </c>
      <c r="I26" s="2">
        <f>SUM(F26/G26)</f>
        <v>0.13634664695004414</v>
      </c>
      <c r="J26" s="3">
        <v>2659431.5</v>
      </c>
      <c r="K26" s="3">
        <v>445981</v>
      </c>
      <c r="L26" s="1">
        <f t="shared" si="10"/>
        <v>3105412.5</v>
      </c>
      <c r="M26" s="2">
        <f t="shared" si="11"/>
        <v>0.856385906864225</v>
      </c>
      <c r="N26" s="2">
        <f t="shared" si="12"/>
        <v>0.14361409313577503</v>
      </c>
      <c r="O26" s="5">
        <f t="shared" si="6"/>
        <v>1267.1408530703579</v>
      </c>
    </row>
    <row r="27" spans="1:15" x14ac:dyDescent="0.35">
      <c r="A27" t="s">
        <v>16</v>
      </c>
      <c r="B27" t="s">
        <v>19</v>
      </c>
      <c r="C27">
        <v>2004</v>
      </c>
      <c r="D27" t="s">
        <v>18</v>
      </c>
      <c r="E27" s="3">
        <v>2114840</v>
      </c>
      <c r="F27" s="3">
        <v>338671</v>
      </c>
      <c r="G27" s="1">
        <f t="shared" ref="G27:G37" si="13">SUM(E27:F27)</f>
        <v>2453511</v>
      </c>
      <c r="H27" s="2">
        <f t="shared" ref="H27:H37" si="14">SUM(E27)/G27</f>
        <v>0.86196475173740816</v>
      </c>
      <c r="I27" s="2">
        <f t="shared" ref="I27:I37" si="15">SUM(F27/G27)</f>
        <v>0.13803524826259186</v>
      </c>
      <c r="J27" s="3">
        <v>2696471.6</v>
      </c>
      <c r="K27" s="3">
        <v>454904.2</v>
      </c>
      <c r="L27" s="1">
        <f t="shared" si="10"/>
        <v>3151375.8000000003</v>
      </c>
      <c r="M27" s="2">
        <f t="shared" si="11"/>
        <v>0.85564901526501536</v>
      </c>
      <c r="N27" s="2">
        <f t="shared" si="12"/>
        <v>0.14435098473498462</v>
      </c>
      <c r="O27" s="5">
        <f t="shared" si="6"/>
        <v>1284.4351625079328</v>
      </c>
    </row>
    <row r="28" spans="1:15" x14ac:dyDescent="0.35">
      <c r="A28" t="s">
        <v>16</v>
      </c>
      <c r="B28" t="s">
        <v>20</v>
      </c>
      <c r="C28">
        <v>2004</v>
      </c>
      <c r="D28" t="s">
        <v>18</v>
      </c>
      <c r="E28" s="3">
        <v>2113568</v>
      </c>
      <c r="F28" s="3">
        <v>343023</v>
      </c>
      <c r="G28" s="1">
        <f t="shared" si="13"/>
        <v>2456591</v>
      </c>
      <c r="H28" s="2">
        <f t="shared" si="14"/>
        <v>0.86036625551424717</v>
      </c>
      <c r="I28" s="2">
        <f t="shared" si="15"/>
        <v>0.13963374448575283</v>
      </c>
      <c r="J28" s="3">
        <v>2241493.6</v>
      </c>
      <c r="K28" s="3">
        <v>381846.9</v>
      </c>
      <c r="L28" s="1">
        <f t="shared" si="10"/>
        <v>2623340.5</v>
      </c>
      <c r="M28" s="2">
        <f t="shared" si="11"/>
        <v>0.85444249421682017</v>
      </c>
      <c r="N28" s="2">
        <f t="shared" si="12"/>
        <v>0.14555750578317989</v>
      </c>
      <c r="O28" s="5">
        <f t="shared" si="6"/>
        <v>1067.8784136227805</v>
      </c>
    </row>
    <row r="29" spans="1:15" x14ac:dyDescent="0.35">
      <c r="A29" t="s">
        <v>16</v>
      </c>
      <c r="B29" t="s">
        <v>21</v>
      </c>
      <c r="C29">
        <v>2004</v>
      </c>
      <c r="D29" t="s">
        <v>18</v>
      </c>
      <c r="E29" s="3">
        <v>2112506</v>
      </c>
      <c r="F29" s="3">
        <v>348687</v>
      </c>
      <c r="G29" s="1">
        <f t="shared" si="13"/>
        <v>2461193</v>
      </c>
      <c r="H29" s="2">
        <f t="shared" si="14"/>
        <v>0.85832602319281748</v>
      </c>
      <c r="I29" s="2">
        <f t="shared" si="15"/>
        <v>0.14167397680718252</v>
      </c>
      <c r="J29" s="3">
        <v>1832362</v>
      </c>
      <c r="K29" s="3">
        <v>318088.40000000002</v>
      </c>
      <c r="L29" s="1">
        <f t="shared" si="10"/>
        <v>2150450.4</v>
      </c>
      <c r="M29" s="2">
        <f t="shared" si="11"/>
        <v>0.85208289389050784</v>
      </c>
      <c r="N29" s="2">
        <f t="shared" si="12"/>
        <v>0.14791710610949224</v>
      </c>
      <c r="O29" s="5">
        <f t="shared" si="6"/>
        <v>873.7430993831041</v>
      </c>
    </row>
    <row r="30" spans="1:15" x14ac:dyDescent="0.35">
      <c r="A30" t="s">
        <v>16</v>
      </c>
      <c r="B30" t="s">
        <v>22</v>
      </c>
      <c r="C30">
        <v>2004</v>
      </c>
      <c r="D30" t="s">
        <v>18</v>
      </c>
      <c r="E30" s="3">
        <v>2107225</v>
      </c>
      <c r="F30" s="3">
        <v>355546</v>
      </c>
      <c r="G30" s="1">
        <f t="shared" si="13"/>
        <v>2462771</v>
      </c>
      <c r="H30" s="2">
        <f t="shared" si="14"/>
        <v>0.85563172540199639</v>
      </c>
      <c r="I30" s="2">
        <f t="shared" si="15"/>
        <v>0.14436827459800364</v>
      </c>
      <c r="J30" s="3">
        <v>2055037.3</v>
      </c>
      <c r="K30" s="3">
        <v>362873.5</v>
      </c>
      <c r="L30" s="1">
        <f t="shared" si="10"/>
        <v>2417910.7999999998</v>
      </c>
      <c r="M30" s="2">
        <f t="shared" si="11"/>
        <v>0.84992271013471643</v>
      </c>
      <c r="N30" s="2">
        <f t="shared" si="12"/>
        <v>0.15007728986528371</v>
      </c>
      <c r="O30" s="5">
        <f t="shared" si="6"/>
        <v>981.78466451001736</v>
      </c>
    </row>
    <row r="31" spans="1:15" x14ac:dyDescent="0.35">
      <c r="A31" t="s">
        <v>16</v>
      </c>
      <c r="B31" t="s">
        <v>23</v>
      </c>
      <c r="C31">
        <v>2004</v>
      </c>
      <c r="D31" t="s">
        <v>18</v>
      </c>
      <c r="E31" s="3">
        <v>2101401</v>
      </c>
      <c r="F31" s="3">
        <v>365081</v>
      </c>
      <c r="G31" s="1">
        <f t="shared" si="13"/>
        <v>2466482</v>
      </c>
      <c r="H31" s="2">
        <f t="shared" si="14"/>
        <v>0.85198310792456622</v>
      </c>
      <c r="I31" s="2">
        <f t="shared" si="15"/>
        <v>0.14801689207543375</v>
      </c>
      <c r="J31" s="3">
        <v>2958480.5</v>
      </c>
      <c r="K31" s="3">
        <v>536044.19999999995</v>
      </c>
      <c r="L31" s="1">
        <f t="shared" si="10"/>
        <v>3494524.7</v>
      </c>
      <c r="M31" s="2">
        <f t="shared" si="11"/>
        <v>0.846604546821489</v>
      </c>
      <c r="N31" s="2">
        <f t="shared" si="12"/>
        <v>0.15339545317851092</v>
      </c>
      <c r="O31" s="5">
        <f t="shared" si="6"/>
        <v>1416.8052716379036</v>
      </c>
    </row>
    <row r="32" spans="1:15" x14ac:dyDescent="0.35">
      <c r="A32" t="s">
        <v>16</v>
      </c>
      <c r="B32" t="s">
        <v>24</v>
      </c>
      <c r="C32">
        <v>2004</v>
      </c>
      <c r="D32" t="s">
        <v>18</v>
      </c>
      <c r="E32" s="3">
        <v>2090762</v>
      </c>
      <c r="F32" s="3">
        <v>378515</v>
      </c>
      <c r="G32" s="1">
        <f t="shared" si="13"/>
        <v>2469277</v>
      </c>
      <c r="H32" s="2">
        <f t="shared" si="14"/>
        <v>0.84671019087773469</v>
      </c>
      <c r="I32" s="2">
        <f t="shared" si="15"/>
        <v>0.15328980912226534</v>
      </c>
      <c r="J32" s="3">
        <v>3355023.8</v>
      </c>
      <c r="K32" s="3">
        <v>614732.69999999995</v>
      </c>
      <c r="L32" s="1">
        <f t="shared" si="10"/>
        <v>3969756.5</v>
      </c>
      <c r="M32" s="2">
        <f t="shared" si="11"/>
        <v>0.84514599321142236</v>
      </c>
      <c r="N32" s="2">
        <f t="shared" si="12"/>
        <v>0.15485400678857758</v>
      </c>
      <c r="O32" s="5">
        <f t="shared" si="6"/>
        <v>1607.6594484944378</v>
      </c>
    </row>
    <row r="33" spans="1:15" x14ac:dyDescent="0.35">
      <c r="A33" t="s">
        <v>16</v>
      </c>
      <c r="B33" t="s">
        <v>25</v>
      </c>
      <c r="C33">
        <v>2004</v>
      </c>
      <c r="D33" t="s">
        <v>18</v>
      </c>
      <c r="E33" s="3">
        <v>2076908</v>
      </c>
      <c r="F33" s="3">
        <v>396924</v>
      </c>
      <c r="G33" s="1">
        <f t="shared" si="13"/>
        <v>2473832</v>
      </c>
      <c r="H33" s="2">
        <f t="shared" si="14"/>
        <v>0.83955094767955141</v>
      </c>
      <c r="I33" s="2">
        <f t="shared" si="15"/>
        <v>0.16044905232044859</v>
      </c>
      <c r="J33" s="3">
        <v>3424122.5</v>
      </c>
      <c r="K33" s="3">
        <v>662514.9</v>
      </c>
      <c r="L33" s="1">
        <f t="shared" si="10"/>
        <v>4086637.4</v>
      </c>
      <c r="M33" s="2">
        <f t="shared" si="11"/>
        <v>0.83788263181852152</v>
      </c>
      <c r="N33" s="2">
        <f t="shared" si="12"/>
        <v>0.16211736818147851</v>
      </c>
      <c r="O33" s="5">
        <f t="shared" si="6"/>
        <v>1651.9462113837965</v>
      </c>
    </row>
    <row r="34" spans="1:15" x14ac:dyDescent="0.35">
      <c r="A34" t="s">
        <v>16</v>
      </c>
      <c r="B34" t="s">
        <v>26</v>
      </c>
      <c r="C34">
        <v>2004</v>
      </c>
      <c r="D34" t="s">
        <v>18</v>
      </c>
      <c r="E34" s="3">
        <v>2058538</v>
      </c>
      <c r="F34" s="3">
        <v>416488</v>
      </c>
      <c r="G34" s="1">
        <f t="shared" si="13"/>
        <v>2475026</v>
      </c>
      <c r="H34" s="2">
        <f t="shared" si="14"/>
        <v>0.83172378795212654</v>
      </c>
      <c r="I34" s="2">
        <f t="shared" si="15"/>
        <v>0.16827621204787344</v>
      </c>
      <c r="J34" s="3">
        <v>3121763.8</v>
      </c>
      <c r="K34" s="3">
        <v>640551.1</v>
      </c>
      <c r="L34" s="1">
        <f t="shared" si="10"/>
        <v>3762314.9</v>
      </c>
      <c r="M34" s="2">
        <f t="shared" si="11"/>
        <v>0.82974548462171516</v>
      </c>
      <c r="N34" s="2">
        <f t="shared" si="12"/>
        <v>0.17025451537828479</v>
      </c>
      <c r="O34" s="5">
        <f t="shared" si="6"/>
        <v>1520.1112634776362</v>
      </c>
    </row>
    <row r="35" spans="1:15" x14ac:dyDescent="0.35">
      <c r="A35" t="s">
        <v>16</v>
      </c>
      <c r="B35" t="s">
        <v>27</v>
      </c>
      <c r="C35">
        <v>2004</v>
      </c>
      <c r="D35" t="s">
        <v>18</v>
      </c>
      <c r="E35" s="3">
        <v>2042747</v>
      </c>
      <c r="F35" s="3">
        <v>435415</v>
      </c>
      <c r="G35" s="1">
        <f t="shared" si="13"/>
        <v>2478162</v>
      </c>
      <c r="H35" s="2">
        <f t="shared" si="14"/>
        <v>0.82429921853373589</v>
      </c>
      <c r="I35" s="2">
        <f t="shared" si="15"/>
        <v>0.17570078146626411</v>
      </c>
      <c r="J35" s="3">
        <v>2415777.5079999999</v>
      </c>
      <c r="K35" s="3">
        <v>525237.89</v>
      </c>
      <c r="L35" s="1">
        <f t="shared" si="10"/>
        <v>2941015.398</v>
      </c>
      <c r="M35" s="2">
        <f t="shared" si="11"/>
        <v>0.82140933693948648</v>
      </c>
      <c r="N35" s="2">
        <f t="shared" si="12"/>
        <v>0.17859066306051349</v>
      </c>
      <c r="O35" s="5">
        <f t="shared" si="6"/>
        <v>1186.7728574645241</v>
      </c>
    </row>
    <row r="36" spans="1:15" x14ac:dyDescent="0.35">
      <c r="A36" t="s">
        <v>16</v>
      </c>
      <c r="B36" t="s">
        <v>28</v>
      </c>
      <c r="C36">
        <v>2004</v>
      </c>
      <c r="D36" t="s">
        <v>18</v>
      </c>
      <c r="E36" s="3">
        <v>2027210</v>
      </c>
      <c r="F36" s="3">
        <v>454206</v>
      </c>
      <c r="G36" s="1">
        <f t="shared" si="13"/>
        <v>2481416</v>
      </c>
      <c r="H36" s="2">
        <f t="shared" si="14"/>
        <v>0.81695693104259826</v>
      </c>
      <c r="I36" s="2">
        <f t="shared" si="15"/>
        <v>0.18304306895740174</v>
      </c>
      <c r="J36" s="3">
        <v>1928761.2749999999</v>
      </c>
      <c r="K36" s="3">
        <v>439558.82</v>
      </c>
      <c r="L36" s="1">
        <f t="shared" si="10"/>
        <v>2368320.0949999997</v>
      </c>
      <c r="M36" s="2">
        <f t="shared" si="11"/>
        <v>0.81440058675852267</v>
      </c>
      <c r="N36" s="2">
        <f t="shared" si="12"/>
        <v>0.18559941324147741</v>
      </c>
      <c r="O36" s="5">
        <f t="shared" si="6"/>
        <v>954.4228355906464</v>
      </c>
    </row>
    <row r="37" spans="1:15" x14ac:dyDescent="0.35">
      <c r="A37" t="s">
        <v>16</v>
      </c>
      <c r="B37" t="s">
        <v>29</v>
      </c>
      <c r="C37">
        <v>2004</v>
      </c>
      <c r="D37" t="s">
        <v>18</v>
      </c>
      <c r="E37" s="3">
        <v>2015832</v>
      </c>
      <c r="F37" s="3">
        <v>467926</v>
      </c>
      <c r="G37" s="1">
        <f t="shared" si="13"/>
        <v>2483758</v>
      </c>
      <c r="H37" s="2">
        <f t="shared" si="14"/>
        <v>0.81160563951882592</v>
      </c>
      <c r="I37" s="2">
        <f t="shared" si="15"/>
        <v>0.18839436048117408</v>
      </c>
      <c r="J37" s="3">
        <v>2085870.2760000001</v>
      </c>
      <c r="K37" s="3">
        <v>498827.1</v>
      </c>
      <c r="L37" s="1">
        <f t="shared" si="10"/>
        <v>2584697.3760000002</v>
      </c>
      <c r="M37" s="2">
        <f t="shared" si="11"/>
        <v>0.80700754191503454</v>
      </c>
      <c r="N37" s="2">
        <f t="shared" si="12"/>
        <v>0.19299245808496535</v>
      </c>
      <c r="O37" s="5">
        <f t="shared" si="6"/>
        <v>1040.6397789156592</v>
      </c>
    </row>
    <row r="38" spans="1:15" x14ac:dyDescent="0.35">
      <c r="A38" t="s">
        <v>16</v>
      </c>
      <c r="B38" t="s">
        <v>17</v>
      </c>
      <c r="C38">
        <v>2005</v>
      </c>
      <c r="D38" t="s">
        <v>18</v>
      </c>
      <c r="E38" s="3">
        <v>2006271</v>
      </c>
      <c r="F38" s="3">
        <v>481159</v>
      </c>
      <c r="G38" s="1">
        <f>SUM(E38:F38)</f>
        <v>2487430</v>
      </c>
      <c r="H38" s="2">
        <f>SUM(E38)/G38</f>
        <v>0.80656380280048079</v>
      </c>
      <c r="I38" s="2">
        <f>SUM(F38/G38)</f>
        <v>0.19343619719951918</v>
      </c>
      <c r="J38" s="3">
        <v>2623302</v>
      </c>
      <c r="K38" s="3">
        <v>648686</v>
      </c>
      <c r="L38" s="1">
        <f t="shared" si="10"/>
        <v>3271988</v>
      </c>
      <c r="M38" s="2">
        <f t="shared" si="11"/>
        <v>0.80174560542398077</v>
      </c>
      <c r="N38" s="2">
        <f t="shared" si="12"/>
        <v>0.19825439457601923</v>
      </c>
      <c r="O38" s="5">
        <f t="shared" si="6"/>
        <v>1315.4090768383433</v>
      </c>
    </row>
    <row r="39" spans="1:15" x14ac:dyDescent="0.35">
      <c r="A39" t="s">
        <v>16</v>
      </c>
      <c r="B39" t="s">
        <v>19</v>
      </c>
      <c r="C39">
        <v>2005</v>
      </c>
      <c r="D39" t="s">
        <v>18</v>
      </c>
      <c r="E39" s="3">
        <v>1998264</v>
      </c>
      <c r="F39" s="3">
        <v>494563</v>
      </c>
      <c r="G39" s="1">
        <f t="shared" ref="G39:G49" si="16">SUM(E39:F39)</f>
        <v>2492827</v>
      </c>
      <c r="H39" s="2">
        <f t="shared" ref="H39:H49" si="17">SUM(E39)/G39</f>
        <v>0.8016055666919526</v>
      </c>
      <c r="I39" s="2">
        <f t="shared" ref="I39:I49" si="18">SUM(F39/G39)</f>
        <v>0.19839443330804746</v>
      </c>
      <c r="J39" s="3">
        <v>2315955</v>
      </c>
      <c r="K39" s="3">
        <v>593784</v>
      </c>
      <c r="L39" s="1">
        <f t="shared" si="10"/>
        <v>2909739</v>
      </c>
      <c r="M39" s="2">
        <f t="shared" si="11"/>
        <v>0.79593221247678914</v>
      </c>
      <c r="N39" s="2">
        <f t="shared" si="12"/>
        <v>0.20406778752321084</v>
      </c>
      <c r="O39" s="5">
        <f t="shared" si="6"/>
        <v>1167.244658373806</v>
      </c>
    </row>
    <row r="40" spans="1:15" x14ac:dyDescent="0.35">
      <c r="A40" t="s">
        <v>16</v>
      </c>
      <c r="B40" t="s">
        <v>20</v>
      </c>
      <c r="C40">
        <v>2005</v>
      </c>
      <c r="D40" t="s">
        <v>18</v>
      </c>
      <c r="E40" s="3">
        <v>1985627</v>
      </c>
      <c r="F40" s="3">
        <v>512730</v>
      </c>
      <c r="G40" s="1">
        <f t="shared" si="16"/>
        <v>2498357</v>
      </c>
      <c r="H40" s="2">
        <f t="shared" si="17"/>
        <v>0.7947731248976827</v>
      </c>
      <c r="I40" s="2">
        <f t="shared" si="18"/>
        <v>0.20522687510231724</v>
      </c>
      <c r="J40" s="3">
        <v>2019849</v>
      </c>
      <c r="K40" s="3">
        <v>530019</v>
      </c>
      <c r="L40" s="1">
        <f t="shared" si="10"/>
        <v>2549868</v>
      </c>
      <c r="M40" s="2">
        <f t="shared" si="11"/>
        <v>0.79213865188315635</v>
      </c>
      <c r="N40" s="2">
        <f t="shared" si="12"/>
        <v>0.2078613481168437</v>
      </c>
      <c r="O40" s="5">
        <f t="shared" si="6"/>
        <v>1020.6179501168168</v>
      </c>
    </row>
    <row r="41" spans="1:15" x14ac:dyDescent="0.35">
      <c r="A41" t="s">
        <v>16</v>
      </c>
      <c r="B41" t="s">
        <v>21</v>
      </c>
      <c r="C41">
        <v>2005</v>
      </c>
      <c r="D41" t="s">
        <v>18</v>
      </c>
      <c r="E41" s="3">
        <v>1970553</v>
      </c>
      <c r="F41" s="3">
        <v>531643</v>
      </c>
      <c r="G41" s="1">
        <f t="shared" si="16"/>
        <v>2502196</v>
      </c>
      <c r="H41" s="2">
        <f t="shared" si="17"/>
        <v>0.78752943414504695</v>
      </c>
      <c r="I41" s="2">
        <f t="shared" si="18"/>
        <v>0.212470565854953</v>
      </c>
      <c r="J41" s="3">
        <v>1718896</v>
      </c>
      <c r="K41" s="3">
        <v>469105.9</v>
      </c>
      <c r="L41" s="1">
        <f t="shared" si="10"/>
        <v>2188001.9</v>
      </c>
      <c r="M41" s="2">
        <f t="shared" si="11"/>
        <v>0.78560078032839009</v>
      </c>
      <c r="N41" s="2">
        <f t="shared" si="12"/>
        <v>0.21439921967160999</v>
      </c>
      <c r="O41" s="5">
        <f t="shared" si="6"/>
        <v>874.43265835290276</v>
      </c>
    </row>
    <row r="42" spans="1:15" x14ac:dyDescent="0.35">
      <c r="A42" t="s">
        <v>16</v>
      </c>
      <c r="B42" t="s">
        <v>22</v>
      </c>
      <c r="C42">
        <v>2005</v>
      </c>
      <c r="D42" t="s">
        <v>18</v>
      </c>
      <c r="E42" s="3">
        <v>1950803</v>
      </c>
      <c r="F42" s="3">
        <v>556444</v>
      </c>
      <c r="G42" s="1">
        <f t="shared" si="16"/>
        <v>2507247</v>
      </c>
      <c r="H42" s="2">
        <f t="shared" si="17"/>
        <v>0.77806574302412168</v>
      </c>
      <c r="I42" s="2">
        <f t="shared" si="18"/>
        <v>0.22193425697587832</v>
      </c>
      <c r="J42" s="3">
        <v>1753670.2</v>
      </c>
      <c r="K42" s="3">
        <v>498150.1</v>
      </c>
      <c r="L42" s="1">
        <f t="shared" si="10"/>
        <v>2251820.2999999998</v>
      </c>
      <c r="M42" s="2">
        <f t="shared" si="11"/>
        <v>0.77877892831856965</v>
      </c>
      <c r="N42" s="2">
        <f t="shared" si="12"/>
        <v>0.22122107168143035</v>
      </c>
      <c r="O42" s="5">
        <f t="shared" si="6"/>
        <v>898.12463630428113</v>
      </c>
    </row>
    <row r="43" spans="1:15" x14ac:dyDescent="0.35">
      <c r="A43" t="s">
        <v>16</v>
      </c>
      <c r="B43" t="s">
        <v>23</v>
      </c>
      <c r="C43">
        <v>2005</v>
      </c>
      <c r="D43" t="s">
        <v>18</v>
      </c>
      <c r="E43" s="3">
        <v>1923973</v>
      </c>
      <c r="F43" s="3">
        <v>587729</v>
      </c>
      <c r="G43" s="1">
        <f t="shared" si="16"/>
        <v>2511702</v>
      </c>
      <c r="H43" s="2">
        <f t="shared" si="17"/>
        <v>0.76600368992818413</v>
      </c>
      <c r="I43" s="2">
        <f t="shared" si="18"/>
        <v>0.23399631007181584</v>
      </c>
      <c r="J43" s="3">
        <v>2810337.9</v>
      </c>
      <c r="K43" s="3">
        <v>844464</v>
      </c>
      <c r="L43" s="1">
        <f t="shared" si="10"/>
        <v>3654801.9</v>
      </c>
      <c r="M43" s="2">
        <f t="shared" si="11"/>
        <v>0.76894397477466558</v>
      </c>
      <c r="N43" s="2">
        <f t="shared" si="12"/>
        <v>0.23105602522533439</v>
      </c>
      <c r="O43" s="5">
        <f t="shared" si="6"/>
        <v>1455.1096825976967</v>
      </c>
    </row>
    <row r="44" spans="1:15" x14ac:dyDescent="0.35">
      <c r="A44" t="s">
        <v>16</v>
      </c>
      <c r="B44" t="s">
        <v>24</v>
      </c>
      <c r="C44">
        <v>2005</v>
      </c>
      <c r="D44" t="s">
        <v>18</v>
      </c>
      <c r="E44" s="3">
        <v>1902679</v>
      </c>
      <c r="F44" s="3">
        <v>613654</v>
      </c>
      <c r="G44" s="1">
        <f t="shared" si="16"/>
        <v>2516333</v>
      </c>
      <c r="H44" s="2">
        <f t="shared" si="17"/>
        <v>0.75613164076455697</v>
      </c>
      <c r="I44" s="2">
        <f t="shared" si="18"/>
        <v>0.24386835923544301</v>
      </c>
      <c r="J44" s="3">
        <v>3449361.8</v>
      </c>
      <c r="K44" s="3">
        <v>1101974.7</v>
      </c>
      <c r="L44" s="1">
        <f t="shared" si="10"/>
        <v>4551336.5</v>
      </c>
      <c r="M44" s="2">
        <f t="shared" si="11"/>
        <v>0.75787887799550746</v>
      </c>
      <c r="N44" s="2">
        <f t="shared" si="12"/>
        <v>0.24212112200449251</v>
      </c>
      <c r="O44" s="5">
        <f t="shared" si="6"/>
        <v>1808.7178843181725</v>
      </c>
    </row>
    <row r="45" spans="1:15" x14ac:dyDescent="0.35">
      <c r="A45" t="s">
        <v>16</v>
      </c>
      <c r="B45" t="s">
        <v>25</v>
      </c>
      <c r="C45">
        <v>2005</v>
      </c>
      <c r="D45" t="s">
        <v>18</v>
      </c>
      <c r="E45" s="3">
        <v>1881169</v>
      </c>
      <c r="F45" s="3">
        <v>637797</v>
      </c>
      <c r="G45" s="1">
        <f t="shared" si="16"/>
        <v>2518966</v>
      </c>
      <c r="H45" s="2">
        <f t="shared" si="17"/>
        <v>0.74680206084560097</v>
      </c>
      <c r="I45" s="2">
        <f t="shared" si="18"/>
        <v>0.25319793915439909</v>
      </c>
      <c r="J45" s="3">
        <v>3232096.3</v>
      </c>
      <c r="K45" s="3">
        <v>1090163.3</v>
      </c>
      <c r="L45" s="1">
        <f t="shared" si="10"/>
        <v>4322259.5999999996</v>
      </c>
      <c r="M45" s="2">
        <f t="shared" si="11"/>
        <v>0.74777930969255069</v>
      </c>
      <c r="N45" s="2">
        <f t="shared" si="12"/>
        <v>0.25222069030744942</v>
      </c>
      <c r="O45" s="5">
        <f t="shared" si="6"/>
        <v>1715.8864391182731</v>
      </c>
    </row>
    <row r="46" spans="1:15" x14ac:dyDescent="0.35">
      <c r="A46" t="s">
        <v>16</v>
      </c>
      <c r="B46" t="s">
        <v>26</v>
      </c>
      <c r="C46">
        <v>2005</v>
      </c>
      <c r="D46" t="s">
        <v>18</v>
      </c>
      <c r="E46" s="3">
        <v>1860322</v>
      </c>
      <c r="F46" s="3">
        <v>663514</v>
      </c>
      <c r="G46" s="1">
        <f t="shared" si="16"/>
        <v>2523836</v>
      </c>
      <c r="H46" s="2">
        <f t="shared" si="17"/>
        <v>0.73710098437457905</v>
      </c>
      <c r="I46" s="2">
        <f t="shared" si="18"/>
        <v>0.26289901562542101</v>
      </c>
      <c r="J46" s="3">
        <v>3496485.1</v>
      </c>
      <c r="K46" s="3">
        <v>1239368.8999999999</v>
      </c>
      <c r="L46" s="1">
        <f t="shared" si="10"/>
        <v>4735854</v>
      </c>
      <c r="M46" s="2">
        <f t="shared" si="11"/>
        <v>0.73830086400467587</v>
      </c>
      <c r="N46" s="2">
        <f t="shared" si="12"/>
        <v>0.26169913599532418</v>
      </c>
      <c r="O46" s="5">
        <f t="shared" si="6"/>
        <v>1876.4507677994925</v>
      </c>
    </row>
    <row r="47" spans="1:15" x14ac:dyDescent="0.35">
      <c r="A47" t="s">
        <v>16</v>
      </c>
      <c r="B47" t="s">
        <v>27</v>
      </c>
      <c r="C47">
        <v>2005</v>
      </c>
      <c r="D47" t="s">
        <v>18</v>
      </c>
      <c r="E47" s="3">
        <v>1844895</v>
      </c>
      <c r="F47" s="3">
        <v>680442</v>
      </c>
      <c r="G47" s="1">
        <f t="shared" si="16"/>
        <v>2525337</v>
      </c>
      <c r="H47" s="2">
        <f t="shared" si="17"/>
        <v>0.7305539815082106</v>
      </c>
      <c r="I47" s="2">
        <f t="shared" si="18"/>
        <v>0.2694460184917894</v>
      </c>
      <c r="J47" s="3">
        <v>2553613</v>
      </c>
      <c r="K47" s="3">
        <v>954037.8</v>
      </c>
      <c r="L47" s="1">
        <f t="shared" si="10"/>
        <v>3507650.8</v>
      </c>
      <c r="M47" s="2">
        <f t="shared" si="11"/>
        <v>0.72801232095281554</v>
      </c>
      <c r="N47" s="2">
        <f t="shared" si="12"/>
        <v>0.27198767904718452</v>
      </c>
      <c r="O47" s="5">
        <f t="shared" si="6"/>
        <v>1388.9832525322363</v>
      </c>
    </row>
    <row r="48" spans="1:15" x14ac:dyDescent="0.35">
      <c r="A48" t="s">
        <v>16</v>
      </c>
      <c r="B48" t="s">
        <v>28</v>
      </c>
      <c r="C48">
        <v>2005</v>
      </c>
      <c r="D48" t="s">
        <v>18</v>
      </c>
      <c r="E48" s="3">
        <v>1830428</v>
      </c>
      <c r="F48" s="3">
        <v>695410</v>
      </c>
      <c r="G48" s="1">
        <f t="shared" si="16"/>
        <v>2525838</v>
      </c>
      <c r="H48" s="2">
        <f t="shared" si="17"/>
        <v>0.72468147205006817</v>
      </c>
      <c r="I48" s="2">
        <f t="shared" si="18"/>
        <v>0.27531852794993189</v>
      </c>
      <c r="J48" s="3">
        <v>1616381.5</v>
      </c>
      <c r="K48" s="3">
        <v>630758.40000000002</v>
      </c>
      <c r="L48" s="1">
        <f t="shared" si="10"/>
        <v>2247139.9</v>
      </c>
      <c r="M48" s="2">
        <f t="shared" si="11"/>
        <v>0.71930612775822278</v>
      </c>
      <c r="N48" s="2">
        <f t="shared" si="12"/>
        <v>0.28069387224177722</v>
      </c>
      <c r="O48" s="5">
        <f t="shared" si="6"/>
        <v>889.66113424534751</v>
      </c>
    </row>
    <row r="49" spans="1:15" x14ac:dyDescent="0.35">
      <c r="A49" t="s">
        <v>16</v>
      </c>
      <c r="B49" t="s">
        <v>29</v>
      </c>
      <c r="C49">
        <v>2005</v>
      </c>
      <c r="D49" t="s">
        <v>18</v>
      </c>
      <c r="E49" s="3">
        <v>1822619</v>
      </c>
      <c r="F49" s="3">
        <v>705578</v>
      </c>
      <c r="G49" s="1">
        <f t="shared" si="16"/>
        <v>2528197</v>
      </c>
      <c r="H49" s="2">
        <f t="shared" si="17"/>
        <v>0.72091652667889405</v>
      </c>
      <c r="I49" s="2">
        <f t="shared" si="18"/>
        <v>0.27908347332110589</v>
      </c>
      <c r="J49" s="3">
        <v>2008083.3</v>
      </c>
      <c r="K49" s="3">
        <v>810892.1</v>
      </c>
      <c r="L49" s="1">
        <f t="shared" si="10"/>
        <v>2818975.4</v>
      </c>
      <c r="M49" s="2">
        <f t="shared" si="11"/>
        <v>0.71234509531370871</v>
      </c>
      <c r="N49" s="2">
        <f t="shared" si="12"/>
        <v>0.28765490468629135</v>
      </c>
      <c r="O49" s="5">
        <f t="shared" si="6"/>
        <v>1115.0141385342993</v>
      </c>
    </row>
    <row r="50" spans="1:15" x14ac:dyDescent="0.35">
      <c r="A50" t="s">
        <v>16</v>
      </c>
      <c r="B50" t="s">
        <v>17</v>
      </c>
      <c r="C50">
        <v>2006</v>
      </c>
      <c r="D50" t="s">
        <v>18</v>
      </c>
      <c r="E50" s="3">
        <v>1815208</v>
      </c>
      <c r="F50" s="3">
        <v>714643</v>
      </c>
      <c r="G50" s="1">
        <f>SUM(E50:F50)</f>
        <v>2529851</v>
      </c>
      <c r="H50" s="2">
        <f>SUM(E50)/G50</f>
        <v>0.71751577464443561</v>
      </c>
      <c r="I50" s="2">
        <f>SUM(F50/G50)</f>
        <v>0.28248422535556444</v>
      </c>
      <c r="J50" s="3">
        <v>2097269</v>
      </c>
      <c r="K50" s="3">
        <v>858002.8</v>
      </c>
      <c r="L50" s="1">
        <f t="shared" si="10"/>
        <v>2955271.8</v>
      </c>
      <c r="M50" s="2">
        <f t="shared" si="11"/>
        <v>0.70967042692993587</v>
      </c>
      <c r="N50" s="2">
        <f t="shared" si="12"/>
        <v>0.29032957307006418</v>
      </c>
      <c r="O50" s="5">
        <f t="shared" si="6"/>
        <v>1168.1604173526425</v>
      </c>
    </row>
    <row r="51" spans="1:15" x14ac:dyDescent="0.35">
      <c r="A51" t="s">
        <v>16</v>
      </c>
      <c r="B51" t="s">
        <v>19</v>
      </c>
      <c r="C51">
        <v>2006</v>
      </c>
      <c r="D51" t="s">
        <v>18</v>
      </c>
      <c r="E51" s="3">
        <v>1809662</v>
      </c>
      <c r="F51" s="3">
        <v>726393</v>
      </c>
      <c r="G51" s="1">
        <f t="shared" ref="G51:G61" si="19">SUM(E51:F51)</f>
        <v>2536055</v>
      </c>
      <c r="H51" s="2">
        <f t="shared" ref="H51:H61" si="20">SUM(E51)/G51</f>
        <v>0.71357364095021603</v>
      </c>
      <c r="I51" s="2">
        <f t="shared" ref="I51:I61" si="21">SUM(F51/G51)</f>
        <v>0.28642635904978403</v>
      </c>
      <c r="J51" s="3">
        <v>1741488</v>
      </c>
      <c r="K51" s="3">
        <v>727331.1</v>
      </c>
      <c r="L51" s="1">
        <f t="shared" si="10"/>
        <v>2468819.1</v>
      </c>
      <c r="M51" s="2">
        <f t="shared" si="11"/>
        <v>0.70539311689544204</v>
      </c>
      <c r="N51" s="2">
        <f t="shared" si="12"/>
        <v>0.29460688310455796</v>
      </c>
      <c r="O51" s="5">
        <f t="shared" si="6"/>
        <v>973.48799611995798</v>
      </c>
    </row>
    <row r="52" spans="1:15" x14ac:dyDescent="0.35">
      <c r="A52" t="s">
        <v>16</v>
      </c>
      <c r="B52" t="s">
        <v>20</v>
      </c>
      <c r="C52">
        <v>2006</v>
      </c>
      <c r="D52" t="s">
        <v>18</v>
      </c>
      <c r="E52" s="3">
        <v>1801834</v>
      </c>
      <c r="F52" s="3">
        <v>738250</v>
      </c>
      <c r="G52" s="1">
        <f t="shared" si="19"/>
        <v>2540084</v>
      </c>
      <c r="H52" s="2">
        <f t="shared" si="20"/>
        <v>0.70936000541714372</v>
      </c>
      <c r="I52" s="2">
        <f t="shared" si="21"/>
        <v>0.29063999458285633</v>
      </c>
      <c r="J52" s="3">
        <v>1831413</v>
      </c>
      <c r="K52" s="3">
        <v>782179.5</v>
      </c>
      <c r="L52" s="1">
        <f t="shared" si="10"/>
        <v>2613592.5</v>
      </c>
      <c r="M52" s="2">
        <f t="shared" si="11"/>
        <v>0.70072629914571605</v>
      </c>
      <c r="N52" s="2">
        <f t="shared" si="12"/>
        <v>0.2992737008542839</v>
      </c>
      <c r="O52" s="5">
        <f t="shared" si="6"/>
        <v>1028.939397279775</v>
      </c>
    </row>
    <row r="53" spans="1:15" x14ac:dyDescent="0.35">
      <c r="A53" t="s">
        <v>16</v>
      </c>
      <c r="B53" t="s">
        <v>21</v>
      </c>
      <c r="C53">
        <v>2006</v>
      </c>
      <c r="D53" t="s">
        <v>18</v>
      </c>
      <c r="E53" s="3">
        <v>1792211</v>
      </c>
      <c r="F53" s="3">
        <v>751821</v>
      </c>
      <c r="G53" s="1">
        <f t="shared" si="19"/>
        <v>2544032</v>
      </c>
      <c r="H53" s="2">
        <f t="shared" si="20"/>
        <v>0.70447659463402978</v>
      </c>
      <c r="I53" s="2">
        <f t="shared" si="21"/>
        <v>0.29552340536597022</v>
      </c>
      <c r="J53" s="3">
        <v>1714488</v>
      </c>
      <c r="K53" s="3">
        <v>742257</v>
      </c>
      <c r="L53" s="1">
        <f t="shared" si="10"/>
        <v>2456745</v>
      </c>
      <c r="M53" s="2">
        <f t="shared" si="11"/>
        <v>0.69786974228094489</v>
      </c>
      <c r="N53" s="2">
        <f t="shared" si="12"/>
        <v>0.30213025771905511</v>
      </c>
      <c r="O53" s="5">
        <f t="shared" si="6"/>
        <v>965.68950390561122</v>
      </c>
    </row>
    <row r="54" spans="1:15" x14ac:dyDescent="0.35">
      <c r="A54" t="s">
        <v>16</v>
      </c>
      <c r="B54" t="s">
        <v>22</v>
      </c>
      <c r="C54">
        <v>2006</v>
      </c>
      <c r="D54" t="s">
        <v>18</v>
      </c>
      <c r="E54" s="3">
        <v>1781467</v>
      </c>
      <c r="F54" s="3">
        <v>766635</v>
      </c>
      <c r="G54" s="1">
        <f t="shared" si="19"/>
        <v>2548102</v>
      </c>
      <c r="H54" s="2">
        <f t="shared" si="20"/>
        <v>0.69913488549516467</v>
      </c>
      <c r="I54" s="2">
        <f t="shared" si="21"/>
        <v>0.30086511450483538</v>
      </c>
      <c r="J54" s="3">
        <v>1841811</v>
      </c>
      <c r="K54" s="3">
        <v>810776</v>
      </c>
      <c r="L54" s="1">
        <f t="shared" si="10"/>
        <v>2652587</v>
      </c>
      <c r="M54" s="2">
        <f t="shared" si="11"/>
        <v>0.69434518076127194</v>
      </c>
      <c r="N54" s="2">
        <f t="shared" si="12"/>
        <v>0.30565481923872806</v>
      </c>
      <c r="O54" s="5">
        <f t="shared" si="6"/>
        <v>1041.0050304108706</v>
      </c>
    </row>
    <row r="55" spans="1:15" x14ac:dyDescent="0.35">
      <c r="A55" t="s">
        <v>16</v>
      </c>
      <c r="B55" t="s">
        <v>23</v>
      </c>
      <c r="C55">
        <v>2006</v>
      </c>
      <c r="D55" t="s">
        <v>18</v>
      </c>
      <c r="E55" s="3">
        <v>1768043</v>
      </c>
      <c r="F55" s="3">
        <v>783944</v>
      </c>
      <c r="G55" s="1">
        <f t="shared" si="19"/>
        <v>2551987</v>
      </c>
      <c r="H55" s="2">
        <f t="shared" si="20"/>
        <v>0.6928103473881333</v>
      </c>
      <c r="I55" s="2">
        <f t="shared" si="21"/>
        <v>0.30718965261186676</v>
      </c>
      <c r="J55" s="3">
        <v>2636452</v>
      </c>
      <c r="K55" s="3">
        <v>1184802</v>
      </c>
      <c r="L55" s="1">
        <f t="shared" si="10"/>
        <v>3821254</v>
      </c>
      <c r="M55" s="2">
        <f t="shared" si="11"/>
        <v>0.68994419109538385</v>
      </c>
      <c r="N55" s="2">
        <f t="shared" si="12"/>
        <v>0.31005580890461615</v>
      </c>
      <c r="O55" s="5">
        <f t="shared" si="6"/>
        <v>1497.3642107111048</v>
      </c>
    </row>
    <row r="56" spans="1:15" x14ac:dyDescent="0.35">
      <c r="A56" t="s">
        <v>16</v>
      </c>
      <c r="B56" t="s">
        <v>24</v>
      </c>
      <c r="C56">
        <v>2006</v>
      </c>
      <c r="D56" t="s">
        <v>18</v>
      </c>
      <c r="E56" s="3">
        <v>1756263</v>
      </c>
      <c r="F56" s="3">
        <v>800220</v>
      </c>
      <c r="G56" s="1">
        <f t="shared" si="19"/>
        <v>2556483</v>
      </c>
      <c r="H56" s="2">
        <f t="shared" si="20"/>
        <v>0.68698403236008221</v>
      </c>
      <c r="I56" s="2">
        <f t="shared" si="21"/>
        <v>0.31301596763991779</v>
      </c>
      <c r="J56" s="3">
        <v>2984228</v>
      </c>
      <c r="K56" s="3">
        <v>1374461.9</v>
      </c>
      <c r="L56" s="1">
        <f t="shared" si="10"/>
        <v>4358689.9000000004</v>
      </c>
      <c r="M56" s="2">
        <f t="shared" si="11"/>
        <v>0.68466169157847168</v>
      </c>
      <c r="N56" s="2">
        <f t="shared" si="12"/>
        <v>0.31533830842152816</v>
      </c>
      <c r="O56" s="5">
        <f t="shared" si="6"/>
        <v>1704.9555580850724</v>
      </c>
    </row>
    <row r="57" spans="1:15" x14ac:dyDescent="0.35">
      <c r="A57" t="s">
        <v>16</v>
      </c>
      <c r="B57" t="s">
        <v>25</v>
      </c>
      <c r="C57">
        <v>2006</v>
      </c>
      <c r="D57" t="s">
        <v>18</v>
      </c>
      <c r="E57" s="3">
        <v>1739987</v>
      </c>
      <c r="F57" s="3">
        <v>821571</v>
      </c>
      <c r="G57" s="1">
        <f t="shared" si="19"/>
        <v>2561558</v>
      </c>
      <c r="H57" s="2">
        <f t="shared" si="20"/>
        <v>0.67926902299303782</v>
      </c>
      <c r="I57" s="2">
        <f t="shared" si="21"/>
        <v>0.32073097700696218</v>
      </c>
      <c r="J57" s="3">
        <v>3383600.6</v>
      </c>
      <c r="K57" s="3">
        <v>1597176.5</v>
      </c>
      <c r="L57" s="1">
        <f t="shared" si="10"/>
        <v>4980777.0999999996</v>
      </c>
      <c r="M57" s="2">
        <f t="shared" si="11"/>
        <v>0.6793318657042493</v>
      </c>
      <c r="N57" s="2">
        <f t="shared" si="12"/>
        <v>0.32066813429575081</v>
      </c>
      <c r="O57" s="5">
        <f t="shared" si="6"/>
        <v>1944.4326851080475</v>
      </c>
    </row>
    <row r="58" spans="1:15" x14ac:dyDescent="0.35">
      <c r="A58" t="s">
        <v>16</v>
      </c>
      <c r="B58" t="s">
        <v>26</v>
      </c>
      <c r="C58">
        <v>2006</v>
      </c>
      <c r="D58" t="s">
        <v>18</v>
      </c>
      <c r="E58" s="3">
        <v>1720981</v>
      </c>
      <c r="F58" s="3">
        <v>844256</v>
      </c>
      <c r="G58" s="1">
        <f t="shared" si="19"/>
        <v>2565237</v>
      </c>
      <c r="H58" s="2">
        <f t="shared" si="20"/>
        <v>0.67088577000877503</v>
      </c>
      <c r="I58" s="2">
        <f t="shared" si="21"/>
        <v>0.32911422999122497</v>
      </c>
      <c r="J58" s="3">
        <v>3068938.2</v>
      </c>
      <c r="K58" s="3">
        <v>1496406.7</v>
      </c>
      <c r="L58" s="1">
        <f t="shared" si="10"/>
        <v>4565344.9000000004</v>
      </c>
      <c r="M58" s="2">
        <f t="shared" si="11"/>
        <v>0.67222483015467238</v>
      </c>
      <c r="N58" s="2">
        <f t="shared" si="12"/>
        <v>0.32777516984532751</v>
      </c>
      <c r="O58" s="5">
        <f t="shared" si="6"/>
        <v>1779.6971196033739</v>
      </c>
    </row>
    <row r="59" spans="1:15" x14ac:dyDescent="0.35">
      <c r="A59" t="s">
        <v>16</v>
      </c>
      <c r="B59" t="s">
        <v>27</v>
      </c>
      <c r="C59">
        <v>2006</v>
      </c>
      <c r="D59" t="s">
        <v>18</v>
      </c>
      <c r="E59" s="3">
        <v>1702831</v>
      </c>
      <c r="F59" s="3">
        <v>861009</v>
      </c>
      <c r="G59" s="1">
        <f t="shared" si="19"/>
        <v>2563840</v>
      </c>
      <c r="H59" s="2">
        <f t="shared" si="20"/>
        <v>0.66417210122316528</v>
      </c>
      <c r="I59" s="2">
        <f t="shared" si="21"/>
        <v>0.33582789877683472</v>
      </c>
      <c r="J59" s="3">
        <v>1944021.4</v>
      </c>
      <c r="K59" s="3">
        <v>988454.5</v>
      </c>
      <c r="L59" s="1">
        <f t="shared" si="10"/>
        <v>2932475.9</v>
      </c>
      <c r="M59" s="2">
        <f t="shared" si="11"/>
        <v>0.66292834665751221</v>
      </c>
      <c r="N59" s="2">
        <f t="shared" si="12"/>
        <v>0.33707165334248784</v>
      </c>
      <c r="O59" s="5">
        <f t="shared" si="6"/>
        <v>1143.7827243509735</v>
      </c>
    </row>
    <row r="60" spans="1:15" x14ac:dyDescent="0.35">
      <c r="A60" t="s">
        <v>16</v>
      </c>
      <c r="B60" t="s">
        <v>28</v>
      </c>
      <c r="C60">
        <v>2006</v>
      </c>
      <c r="D60" t="s">
        <v>18</v>
      </c>
      <c r="E60" s="3">
        <v>1686520</v>
      </c>
      <c r="F60" s="3">
        <v>879093</v>
      </c>
      <c r="G60" s="1">
        <f t="shared" si="19"/>
        <v>2565613</v>
      </c>
      <c r="H60" s="2">
        <f t="shared" si="20"/>
        <v>0.65735557155346502</v>
      </c>
      <c r="I60" s="2">
        <f t="shared" si="21"/>
        <v>0.34264442844653498</v>
      </c>
      <c r="J60" s="3">
        <v>1389710.1</v>
      </c>
      <c r="K60" s="3">
        <v>735975.8</v>
      </c>
      <c r="L60" s="1">
        <f t="shared" si="10"/>
        <v>2125685.9000000004</v>
      </c>
      <c r="M60" s="2">
        <f t="shared" si="11"/>
        <v>0.65377020189106949</v>
      </c>
      <c r="N60" s="2">
        <f t="shared" si="12"/>
        <v>0.34622979810893034</v>
      </c>
      <c r="O60" s="5">
        <f t="shared" si="6"/>
        <v>828.52943916327229</v>
      </c>
    </row>
    <row r="61" spans="1:15" x14ac:dyDescent="0.35">
      <c r="A61" t="s">
        <v>16</v>
      </c>
      <c r="B61" t="s">
        <v>29</v>
      </c>
      <c r="C61">
        <v>2006</v>
      </c>
      <c r="D61" t="s">
        <v>18</v>
      </c>
      <c r="E61" s="3">
        <v>1675485</v>
      </c>
      <c r="F61" s="3">
        <v>896087</v>
      </c>
      <c r="G61" s="1">
        <f t="shared" si="19"/>
        <v>2571572</v>
      </c>
      <c r="H61" s="2">
        <f t="shared" si="20"/>
        <v>0.65154115848204908</v>
      </c>
      <c r="I61" s="2">
        <f t="shared" si="21"/>
        <v>0.34845884151795087</v>
      </c>
      <c r="J61" s="3">
        <v>1732876.8</v>
      </c>
      <c r="K61" s="3">
        <v>952582.1</v>
      </c>
      <c r="L61" s="1">
        <f t="shared" si="10"/>
        <v>2685458.9</v>
      </c>
      <c r="M61" s="2">
        <f t="shared" si="11"/>
        <v>0.64528144519359432</v>
      </c>
      <c r="N61" s="2">
        <f t="shared" si="12"/>
        <v>0.35471855480640574</v>
      </c>
      <c r="O61" s="5">
        <f t="shared" si="6"/>
        <v>1044.2868797762615</v>
      </c>
    </row>
    <row r="62" spans="1:15" x14ac:dyDescent="0.35">
      <c r="A62" t="s">
        <v>16</v>
      </c>
      <c r="B62" t="s">
        <v>17</v>
      </c>
      <c r="C62">
        <v>2007</v>
      </c>
      <c r="D62" t="s">
        <v>18</v>
      </c>
      <c r="E62" s="3">
        <v>1668179</v>
      </c>
      <c r="F62" s="3">
        <v>907611</v>
      </c>
      <c r="G62" s="1">
        <f>SUM(E62:F62)</f>
        <v>2575790</v>
      </c>
      <c r="H62" s="2">
        <f>SUM(E62)/G62</f>
        <v>0.6476378120887184</v>
      </c>
      <c r="I62" s="2">
        <f>SUM(F62/G62)</f>
        <v>0.3523621879112816</v>
      </c>
      <c r="J62" s="3">
        <v>2099832.9</v>
      </c>
      <c r="K62" s="3">
        <v>1185819.1000000001</v>
      </c>
      <c r="L62" s="1">
        <f t="shared" si="10"/>
        <v>3285652</v>
      </c>
      <c r="M62" s="2">
        <f t="shared" si="11"/>
        <v>0.63909169321644532</v>
      </c>
      <c r="N62" s="2">
        <f t="shared" si="12"/>
        <v>0.36090830678355473</v>
      </c>
      <c r="O62" s="5">
        <f t="shared" si="6"/>
        <v>1275.5900131610108</v>
      </c>
    </row>
    <row r="63" spans="1:15" x14ac:dyDescent="0.35">
      <c r="A63" t="s">
        <v>16</v>
      </c>
      <c r="B63" t="s">
        <v>19</v>
      </c>
      <c r="C63">
        <v>2007</v>
      </c>
      <c r="D63" t="s">
        <v>18</v>
      </c>
      <c r="E63" s="3">
        <v>1660357</v>
      </c>
      <c r="F63" s="3">
        <v>920846</v>
      </c>
      <c r="G63" s="1">
        <f t="shared" ref="G63:G73" si="22">SUM(E63:F63)</f>
        <v>2581203</v>
      </c>
      <c r="H63" s="2">
        <f t="shared" ref="H63:H73" si="23">SUM(E63)/G63</f>
        <v>0.6432492911251072</v>
      </c>
      <c r="I63" s="2">
        <f t="shared" ref="I63:I73" si="24">SUM(F63/G63)</f>
        <v>0.35675070887489285</v>
      </c>
      <c r="J63" s="3">
        <v>2270122.9</v>
      </c>
      <c r="K63" s="3">
        <v>1318363.8999999999</v>
      </c>
      <c r="L63" s="1">
        <f t="shared" si="10"/>
        <v>3588486.8</v>
      </c>
      <c r="M63" s="2">
        <f t="shared" si="11"/>
        <v>0.63261286066316313</v>
      </c>
      <c r="N63" s="2">
        <f t="shared" si="12"/>
        <v>0.36738713933683692</v>
      </c>
      <c r="O63" s="5">
        <f t="shared" si="6"/>
        <v>1390.2381176528929</v>
      </c>
    </row>
    <row r="64" spans="1:15" x14ac:dyDescent="0.35">
      <c r="A64" t="s">
        <v>16</v>
      </c>
      <c r="B64" t="s">
        <v>20</v>
      </c>
      <c r="C64">
        <v>2007</v>
      </c>
      <c r="D64" t="s">
        <v>18</v>
      </c>
      <c r="E64" s="3">
        <v>1646565</v>
      </c>
      <c r="F64" s="3">
        <v>935974</v>
      </c>
      <c r="G64" s="1">
        <f t="shared" si="22"/>
        <v>2582539</v>
      </c>
      <c r="H64" s="2">
        <f t="shared" si="23"/>
        <v>0.63757604435015314</v>
      </c>
      <c r="I64" s="2">
        <f t="shared" si="24"/>
        <v>0.36242395564984692</v>
      </c>
      <c r="J64" s="3">
        <v>1669004.9</v>
      </c>
      <c r="K64" s="3">
        <v>971282.1</v>
      </c>
      <c r="L64" s="1">
        <f t="shared" si="10"/>
        <v>2640287</v>
      </c>
      <c r="M64" s="2">
        <f t="shared" si="11"/>
        <v>0.63213010555291904</v>
      </c>
      <c r="N64" s="2">
        <f t="shared" si="12"/>
        <v>0.36786989444708096</v>
      </c>
      <c r="O64" s="5">
        <f t="shared" si="6"/>
        <v>1022.3609401445632</v>
      </c>
    </row>
    <row r="65" spans="1:15" x14ac:dyDescent="0.35">
      <c r="A65" t="s">
        <v>16</v>
      </c>
      <c r="B65" t="s">
        <v>21</v>
      </c>
      <c r="C65">
        <v>2007</v>
      </c>
      <c r="D65" t="s">
        <v>18</v>
      </c>
      <c r="E65" s="3">
        <v>1630635</v>
      </c>
      <c r="F65" s="3">
        <v>955011</v>
      </c>
      <c r="G65" s="1">
        <f t="shared" si="22"/>
        <v>2585646</v>
      </c>
      <c r="H65" s="2">
        <f t="shared" si="23"/>
        <v>0.63064897514973051</v>
      </c>
      <c r="I65" s="2">
        <f t="shared" si="24"/>
        <v>0.36935102485026955</v>
      </c>
      <c r="J65" s="3">
        <v>1328060.227</v>
      </c>
      <c r="K65" s="3">
        <v>784140.28799999994</v>
      </c>
      <c r="L65" s="1">
        <f t="shared" si="10"/>
        <v>2112200.5149999997</v>
      </c>
      <c r="M65" s="2">
        <f t="shared" si="11"/>
        <v>0.6287567006866297</v>
      </c>
      <c r="N65" s="2">
        <f t="shared" si="12"/>
        <v>0.37124329931337036</v>
      </c>
      <c r="O65" s="5">
        <f t="shared" si="6"/>
        <v>816.89470058933034</v>
      </c>
    </row>
    <row r="66" spans="1:15" x14ac:dyDescent="0.35">
      <c r="A66" t="s">
        <v>16</v>
      </c>
      <c r="B66" t="s">
        <v>22</v>
      </c>
      <c r="C66">
        <v>2007</v>
      </c>
      <c r="D66" t="s">
        <v>18</v>
      </c>
      <c r="E66" s="3">
        <v>1617961</v>
      </c>
      <c r="F66" s="3">
        <v>970281</v>
      </c>
      <c r="G66" s="1">
        <f t="shared" si="22"/>
        <v>2588242</v>
      </c>
      <c r="H66" s="2">
        <f t="shared" si="23"/>
        <v>0.62511967582629446</v>
      </c>
      <c r="I66" s="2">
        <f t="shared" si="24"/>
        <v>0.37488032417370554</v>
      </c>
      <c r="J66" s="3">
        <v>1416387.2</v>
      </c>
      <c r="K66" s="3">
        <v>864511.55799999996</v>
      </c>
      <c r="L66" s="1">
        <f t="shared" si="10"/>
        <v>2280898.7579999999</v>
      </c>
      <c r="M66" s="2">
        <f t="shared" si="11"/>
        <v>0.6209776716446439</v>
      </c>
      <c r="N66" s="2">
        <f t="shared" si="12"/>
        <v>0.37902232835535615</v>
      </c>
      <c r="O66" s="5">
        <f t="shared" si="6"/>
        <v>881.25405506903917</v>
      </c>
    </row>
    <row r="67" spans="1:15" x14ac:dyDescent="0.35">
      <c r="A67" t="s">
        <v>16</v>
      </c>
      <c r="B67" t="s">
        <v>23</v>
      </c>
      <c r="C67">
        <v>2007</v>
      </c>
      <c r="D67" t="s">
        <v>18</v>
      </c>
      <c r="E67" s="3">
        <v>1610252</v>
      </c>
      <c r="F67" s="3">
        <v>982242</v>
      </c>
      <c r="G67" s="1">
        <f t="shared" si="22"/>
        <v>2592494</v>
      </c>
      <c r="H67" s="2">
        <f t="shared" si="23"/>
        <v>0.62112082033748195</v>
      </c>
      <c r="I67" s="2">
        <f t="shared" si="24"/>
        <v>0.37887917966251805</v>
      </c>
      <c r="J67" s="3">
        <v>1823341.93</v>
      </c>
      <c r="K67" s="3">
        <v>1134917.977</v>
      </c>
      <c r="L67" s="1">
        <f t="shared" si="10"/>
        <v>2958259.9069999997</v>
      </c>
      <c r="M67" s="2">
        <f t="shared" si="11"/>
        <v>0.61635623215036195</v>
      </c>
      <c r="N67" s="2">
        <f t="shared" si="12"/>
        <v>0.38364376784963811</v>
      </c>
      <c r="O67" s="5">
        <f t="shared" ref="O67:O130" si="25">SUM(1000*L67)/G67</f>
        <v>1141.0865008752189</v>
      </c>
    </row>
    <row r="68" spans="1:15" x14ac:dyDescent="0.35">
      <c r="A68" t="s">
        <v>16</v>
      </c>
      <c r="B68" t="s">
        <v>24</v>
      </c>
      <c r="C68">
        <v>2007</v>
      </c>
      <c r="D68" t="s">
        <v>18</v>
      </c>
      <c r="E68" s="3">
        <v>1605805</v>
      </c>
      <c r="F68" s="3">
        <v>992478</v>
      </c>
      <c r="G68" s="1">
        <f t="shared" si="22"/>
        <v>2598283</v>
      </c>
      <c r="H68" s="2">
        <f t="shared" si="23"/>
        <v>0.61802544218624378</v>
      </c>
      <c r="I68" s="2">
        <f t="shared" si="24"/>
        <v>0.38197455781375622</v>
      </c>
      <c r="J68" s="3">
        <v>2214387</v>
      </c>
      <c r="K68" s="3">
        <v>1397917</v>
      </c>
      <c r="L68" s="1">
        <f t="shared" si="10"/>
        <v>3612304</v>
      </c>
      <c r="M68" s="2">
        <f t="shared" si="11"/>
        <v>0.61301235997856218</v>
      </c>
      <c r="N68" s="2">
        <f t="shared" si="12"/>
        <v>0.38698764002143782</v>
      </c>
      <c r="O68" s="5">
        <f t="shared" si="25"/>
        <v>1390.2658024549289</v>
      </c>
    </row>
    <row r="69" spans="1:15" x14ac:dyDescent="0.35">
      <c r="A69" t="s">
        <v>16</v>
      </c>
      <c r="B69" t="s">
        <v>25</v>
      </c>
      <c r="C69">
        <v>2007</v>
      </c>
      <c r="D69" t="s">
        <v>18</v>
      </c>
      <c r="E69" s="3">
        <v>1601643</v>
      </c>
      <c r="F69" s="3">
        <v>1000979</v>
      </c>
      <c r="G69" s="1">
        <f t="shared" si="22"/>
        <v>2602622</v>
      </c>
      <c r="H69" s="2">
        <f t="shared" si="23"/>
        <v>0.61539593532983272</v>
      </c>
      <c r="I69" s="2">
        <f t="shared" si="24"/>
        <v>0.38460406467016722</v>
      </c>
      <c r="J69" s="3">
        <v>2455081</v>
      </c>
      <c r="K69" s="3">
        <v>1562562</v>
      </c>
      <c r="L69" s="1">
        <f t="shared" si="10"/>
        <v>4017643</v>
      </c>
      <c r="M69" s="2">
        <f t="shared" si="11"/>
        <v>0.61107495115917465</v>
      </c>
      <c r="N69" s="2">
        <f t="shared" si="12"/>
        <v>0.38892504884082535</v>
      </c>
      <c r="O69" s="5">
        <f t="shared" si="25"/>
        <v>1543.6905551401626</v>
      </c>
    </row>
    <row r="70" spans="1:15" x14ac:dyDescent="0.35">
      <c r="A70" t="s">
        <v>16</v>
      </c>
      <c r="B70" t="s">
        <v>26</v>
      </c>
      <c r="C70">
        <v>2007</v>
      </c>
      <c r="D70" t="s">
        <v>18</v>
      </c>
      <c r="E70" s="3">
        <v>1598981</v>
      </c>
      <c r="F70" s="3">
        <v>1007290</v>
      </c>
      <c r="G70" s="1">
        <f t="shared" si="22"/>
        <v>2606271</v>
      </c>
      <c r="H70" s="2">
        <f t="shared" si="23"/>
        <v>0.61351294627458153</v>
      </c>
      <c r="I70" s="2">
        <f t="shared" si="24"/>
        <v>0.38648705372541842</v>
      </c>
      <c r="J70" s="3">
        <v>2659682</v>
      </c>
      <c r="K70" s="3">
        <v>1699954</v>
      </c>
      <c r="L70" s="1">
        <f t="shared" si="10"/>
        <v>4359636</v>
      </c>
      <c r="M70" s="2">
        <f t="shared" si="11"/>
        <v>0.61006973976726497</v>
      </c>
      <c r="N70" s="2">
        <f t="shared" si="12"/>
        <v>0.38993026023273503</v>
      </c>
      <c r="O70" s="5">
        <f t="shared" si="25"/>
        <v>1672.7485361269032</v>
      </c>
    </row>
    <row r="71" spans="1:15" x14ac:dyDescent="0.35">
      <c r="A71" t="s">
        <v>16</v>
      </c>
      <c r="B71" t="s">
        <v>27</v>
      </c>
      <c r="C71">
        <v>2007</v>
      </c>
      <c r="D71" t="s">
        <v>18</v>
      </c>
      <c r="E71" s="3">
        <v>1596915</v>
      </c>
      <c r="F71" s="3">
        <v>1011049</v>
      </c>
      <c r="G71" s="1">
        <f t="shared" si="22"/>
        <v>2607964</v>
      </c>
      <c r="H71" s="2">
        <f t="shared" si="23"/>
        <v>0.61232248604658657</v>
      </c>
      <c r="I71" s="2">
        <f t="shared" si="24"/>
        <v>0.38767751395341349</v>
      </c>
      <c r="J71" s="3">
        <v>2126193.2999999998</v>
      </c>
      <c r="K71" s="3">
        <v>1374861.4</v>
      </c>
      <c r="L71" s="1">
        <f t="shared" si="10"/>
        <v>3501054.6999999997</v>
      </c>
      <c r="M71" s="2">
        <f t="shared" si="11"/>
        <v>0.60730079424351757</v>
      </c>
      <c r="N71" s="2">
        <f t="shared" si="12"/>
        <v>0.39269920575648248</v>
      </c>
      <c r="O71" s="5">
        <f t="shared" si="25"/>
        <v>1342.4474801032527</v>
      </c>
    </row>
    <row r="72" spans="1:15" x14ac:dyDescent="0.35">
      <c r="A72" t="s">
        <v>16</v>
      </c>
      <c r="B72" t="s">
        <v>28</v>
      </c>
      <c r="C72">
        <v>2007</v>
      </c>
      <c r="D72" t="s">
        <v>18</v>
      </c>
      <c r="E72" s="3">
        <v>1595047</v>
      </c>
      <c r="F72" s="3">
        <v>1015974</v>
      </c>
      <c r="G72" s="1">
        <f t="shared" si="22"/>
        <v>2611021</v>
      </c>
      <c r="H72" s="2">
        <f t="shared" si="23"/>
        <v>0.61089014603865688</v>
      </c>
      <c r="I72" s="2">
        <f t="shared" si="24"/>
        <v>0.38910985396134307</v>
      </c>
      <c r="J72" s="3">
        <v>1418628.6</v>
      </c>
      <c r="K72" s="3">
        <v>922340.9</v>
      </c>
      <c r="L72" s="1">
        <f t="shared" si="10"/>
        <v>2340969.5</v>
      </c>
      <c r="M72" s="2">
        <f t="shared" si="11"/>
        <v>0.60600046262883822</v>
      </c>
      <c r="N72" s="2">
        <f t="shared" si="12"/>
        <v>0.39399953737116183</v>
      </c>
      <c r="O72" s="5">
        <f t="shared" si="25"/>
        <v>896.57245192589414</v>
      </c>
    </row>
    <row r="73" spans="1:15" x14ac:dyDescent="0.35">
      <c r="A73" t="s">
        <v>16</v>
      </c>
      <c r="B73" t="s">
        <v>29</v>
      </c>
      <c r="C73">
        <v>2007</v>
      </c>
      <c r="D73" t="s">
        <v>18</v>
      </c>
      <c r="E73" s="3">
        <v>1593092</v>
      </c>
      <c r="F73" s="3">
        <v>1020357</v>
      </c>
      <c r="G73" s="1">
        <f t="shared" si="22"/>
        <v>2613449</v>
      </c>
      <c r="H73" s="2">
        <f t="shared" si="23"/>
        <v>0.60957455071822719</v>
      </c>
      <c r="I73" s="2">
        <f t="shared" si="24"/>
        <v>0.39042544928177286</v>
      </c>
      <c r="J73" s="3">
        <v>1657732.6</v>
      </c>
      <c r="K73" s="3">
        <v>1102622.8999999999</v>
      </c>
      <c r="L73" s="1">
        <f t="shared" si="10"/>
        <v>2760355.5</v>
      </c>
      <c r="M73" s="2">
        <f t="shared" si="11"/>
        <v>0.60055040012056427</v>
      </c>
      <c r="N73" s="2">
        <f t="shared" si="12"/>
        <v>0.39944959987943579</v>
      </c>
      <c r="O73" s="5">
        <f t="shared" si="25"/>
        <v>1056.211733995957</v>
      </c>
    </row>
    <row r="74" spans="1:15" x14ac:dyDescent="0.35">
      <c r="A74" t="s">
        <v>16</v>
      </c>
      <c r="B74" t="s">
        <v>17</v>
      </c>
      <c r="C74">
        <v>2008</v>
      </c>
      <c r="D74" t="s">
        <v>18</v>
      </c>
      <c r="E74" s="3">
        <v>1593195</v>
      </c>
      <c r="F74" s="3">
        <v>1023687</v>
      </c>
      <c r="G74" s="1">
        <f>SUM(E74:F74)</f>
        <v>2616882</v>
      </c>
      <c r="H74" s="2">
        <f>SUM(E74)/G74</f>
        <v>0.6088142300646342</v>
      </c>
      <c r="I74" s="2">
        <f>SUM(F74/G74)</f>
        <v>0.3911857699353658</v>
      </c>
      <c r="J74" s="3">
        <f>2190117</f>
        <v>2190117</v>
      </c>
      <c r="K74" s="3">
        <v>1472888</v>
      </c>
      <c r="L74" s="1">
        <f t="shared" si="10"/>
        <v>3663005</v>
      </c>
      <c r="M74" s="2">
        <f t="shared" si="11"/>
        <v>0.59790172276587117</v>
      </c>
      <c r="N74" s="2">
        <f t="shared" si="12"/>
        <v>0.40209827723412883</v>
      </c>
      <c r="O74" s="5">
        <f t="shared" si="25"/>
        <v>1399.7593319072087</v>
      </c>
    </row>
    <row r="75" spans="1:15" x14ac:dyDescent="0.35">
      <c r="A75" t="s">
        <v>16</v>
      </c>
      <c r="B75" t="s">
        <v>19</v>
      </c>
      <c r="C75">
        <v>2008</v>
      </c>
      <c r="D75" t="s">
        <v>18</v>
      </c>
      <c r="E75" s="3">
        <v>1589354</v>
      </c>
      <c r="F75" s="3">
        <v>1029490</v>
      </c>
      <c r="G75" s="1">
        <f t="shared" ref="G75:G85" si="26">SUM(E75:F75)</f>
        <v>2618844</v>
      </c>
      <c r="H75" s="2">
        <f t="shared" ref="H75:H85" si="27">SUM(E75)/G75</f>
        <v>0.60689143759613018</v>
      </c>
      <c r="I75" s="2">
        <f t="shared" ref="I75:I85" si="28">SUM(F75/G75)</f>
        <v>0.39310856240386982</v>
      </c>
      <c r="J75" s="3">
        <v>1946109</v>
      </c>
      <c r="K75" s="3">
        <v>1309585</v>
      </c>
      <c r="L75" s="1">
        <f t="shared" si="10"/>
        <v>3255694</v>
      </c>
      <c r="M75" s="2">
        <f t="shared" si="11"/>
        <v>0.5977555015919801</v>
      </c>
      <c r="N75" s="2">
        <f t="shared" si="12"/>
        <v>0.4022444984080199</v>
      </c>
      <c r="O75" s="5">
        <f t="shared" si="25"/>
        <v>1243.1798152161793</v>
      </c>
    </row>
    <row r="76" spans="1:15" x14ac:dyDescent="0.35">
      <c r="A76" t="s">
        <v>16</v>
      </c>
      <c r="B76" t="s">
        <v>20</v>
      </c>
      <c r="C76">
        <v>2008</v>
      </c>
      <c r="D76" t="s">
        <v>18</v>
      </c>
      <c r="E76" s="3">
        <v>1586971</v>
      </c>
      <c r="F76" s="3">
        <v>1035458</v>
      </c>
      <c r="G76" s="1">
        <f t="shared" si="26"/>
        <v>2622429</v>
      </c>
      <c r="H76" s="2">
        <f t="shared" si="27"/>
        <v>0.60515308517408861</v>
      </c>
      <c r="I76" s="2">
        <f t="shared" si="28"/>
        <v>0.39484691482591139</v>
      </c>
      <c r="J76" s="3">
        <v>1597263</v>
      </c>
      <c r="K76" s="3">
        <v>1075038</v>
      </c>
      <c r="L76" s="1">
        <f t="shared" si="10"/>
        <v>2672301</v>
      </c>
      <c r="M76" s="2">
        <f t="shared" si="11"/>
        <v>0.59771073692671595</v>
      </c>
      <c r="N76" s="2">
        <f t="shared" si="12"/>
        <v>0.40228926307328405</v>
      </c>
      <c r="O76" s="5">
        <f t="shared" si="25"/>
        <v>1019.0174834094651</v>
      </c>
    </row>
    <row r="77" spans="1:15" x14ac:dyDescent="0.35">
      <c r="A77" t="s">
        <v>16</v>
      </c>
      <c r="B77" t="s">
        <v>21</v>
      </c>
      <c r="C77">
        <v>2008</v>
      </c>
      <c r="D77" t="s">
        <v>18</v>
      </c>
      <c r="E77" s="3">
        <v>1581724</v>
      </c>
      <c r="F77" s="3">
        <v>1041326</v>
      </c>
      <c r="G77" s="1">
        <f t="shared" si="26"/>
        <v>2623050</v>
      </c>
      <c r="H77" s="2">
        <f t="shared" si="27"/>
        <v>0.6030094737042756</v>
      </c>
      <c r="I77" s="2">
        <f t="shared" si="28"/>
        <v>0.39699052629572446</v>
      </c>
      <c r="J77" s="3">
        <v>1344118.9</v>
      </c>
      <c r="K77" s="3">
        <v>898356.9</v>
      </c>
      <c r="L77" s="1">
        <f t="shared" si="10"/>
        <v>2242475.7999999998</v>
      </c>
      <c r="M77" s="2">
        <f t="shared" si="11"/>
        <v>0.59939059320060439</v>
      </c>
      <c r="N77" s="2">
        <f t="shared" si="12"/>
        <v>0.40060940679939561</v>
      </c>
      <c r="O77" s="5">
        <f t="shared" si="25"/>
        <v>854.91157240616837</v>
      </c>
    </row>
    <row r="78" spans="1:15" x14ac:dyDescent="0.35">
      <c r="A78" t="s">
        <v>16</v>
      </c>
      <c r="B78" t="s">
        <v>22</v>
      </c>
      <c r="C78">
        <v>2008</v>
      </c>
      <c r="D78" t="s">
        <v>18</v>
      </c>
      <c r="E78" s="3">
        <v>1581157</v>
      </c>
      <c r="F78" s="3">
        <v>1079173</v>
      </c>
      <c r="G78" s="1">
        <f t="shared" si="26"/>
        <v>2660330</v>
      </c>
      <c r="H78" s="2">
        <f t="shared" si="27"/>
        <v>0.59434619013430667</v>
      </c>
      <c r="I78" s="2">
        <f t="shared" si="28"/>
        <v>0.40565380986569333</v>
      </c>
      <c r="J78" s="3">
        <v>1331067.7</v>
      </c>
      <c r="K78" s="3">
        <v>900570</v>
      </c>
      <c r="L78" s="1">
        <f t="shared" si="10"/>
        <v>2231637.7000000002</v>
      </c>
      <c r="M78" s="2">
        <f t="shared" si="11"/>
        <v>0.59645331318788886</v>
      </c>
      <c r="N78" s="2">
        <f t="shared" si="12"/>
        <v>0.40354668681211109</v>
      </c>
      <c r="O78" s="5">
        <f t="shared" si="25"/>
        <v>838.85747256919251</v>
      </c>
    </row>
    <row r="79" spans="1:15" x14ac:dyDescent="0.35">
      <c r="A79" t="s">
        <v>16</v>
      </c>
      <c r="B79" t="s">
        <v>23</v>
      </c>
      <c r="C79">
        <v>2008</v>
      </c>
      <c r="D79" t="s">
        <v>18</v>
      </c>
      <c r="E79" s="3">
        <v>1581094</v>
      </c>
      <c r="F79" s="3">
        <v>1047195</v>
      </c>
      <c r="G79" s="1">
        <f t="shared" si="26"/>
        <v>2628289</v>
      </c>
      <c r="H79" s="2">
        <f t="shared" si="27"/>
        <v>0.60156778801722333</v>
      </c>
      <c r="I79" s="2">
        <f t="shared" si="28"/>
        <v>0.39843221198277662</v>
      </c>
      <c r="J79" s="3">
        <v>2255917.2000000002</v>
      </c>
      <c r="K79" s="3">
        <v>1514225.5</v>
      </c>
      <c r="L79" s="1">
        <f t="shared" ref="L79:L142" si="29">SUM(J79:K79)</f>
        <v>3770142.7</v>
      </c>
      <c r="M79" s="2">
        <f t="shared" ref="M79:M142" si="30">SUM(J79)/L79</f>
        <v>0.59836387625327814</v>
      </c>
      <c r="N79" s="2">
        <f t="shared" ref="N79:N142" si="31">SUM(K79/L79)</f>
        <v>0.40163612374672181</v>
      </c>
      <c r="O79" s="5">
        <f t="shared" si="25"/>
        <v>1434.4475436300954</v>
      </c>
    </row>
    <row r="80" spans="1:15" x14ac:dyDescent="0.35">
      <c r="A80" t="s">
        <v>16</v>
      </c>
      <c r="B80" t="s">
        <v>24</v>
      </c>
      <c r="C80">
        <v>2008</v>
      </c>
      <c r="D80" t="s">
        <v>18</v>
      </c>
      <c r="E80" s="3">
        <v>1579104</v>
      </c>
      <c r="F80" s="3">
        <v>1054733</v>
      </c>
      <c r="G80" s="1">
        <f t="shared" si="26"/>
        <v>2633837</v>
      </c>
      <c r="H80" s="2">
        <f t="shared" si="27"/>
        <v>0.59954507435350024</v>
      </c>
      <c r="I80" s="2">
        <f t="shared" si="28"/>
        <v>0.40045492564649976</v>
      </c>
      <c r="J80" s="3">
        <v>2634943.7289999998</v>
      </c>
      <c r="K80" s="3">
        <v>1764601.5589999999</v>
      </c>
      <c r="L80" s="1">
        <f t="shared" si="29"/>
        <v>4399545.2879999997</v>
      </c>
      <c r="M80" s="2">
        <f t="shared" si="30"/>
        <v>0.59891274132055261</v>
      </c>
      <c r="N80" s="2">
        <f t="shared" si="31"/>
        <v>0.40108725867944744</v>
      </c>
      <c r="O80" s="5">
        <f t="shared" si="25"/>
        <v>1670.393911240521</v>
      </c>
    </row>
    <row r="81" spans="1:15" x14ac:dyDescent="0.35">
      <c r="A81" t="s">
        <v>16</v>
      </c>
      <c r="B81" t="s">
        <v>25</v>
      </c>
      <c r="C81">
        <v>2008</v>
      </c>
      <c r="D81" t="s">
        <v>18</v>
      </c>
      <c r="E81" s="3">
        <v>1581675</v>
      </c>
      <c r="F81" s="3">
        <v>1056005</v>
      </c>
      <c r="G81" s="1">
        <f t="shared" si="26"/>
        <v>2637680</v>
      </c>
      <c r="H81" s="2">
        <f t="shared" si="27"/>
        <v>0.59964628006429888</v>
      </c>
      <c r="I81" s="2">
        <f t="shared" si="28"/>
        <v>0.40035371993570107</v>
      </c>
      <c r="J81" s="3">
        <v>2808218.983</v>
      </c>
      <c r="K81" s="3">
        <v>1891806.4480000001</v>
      </c>
      <c r="L81" s="1">
        <f t="shared" si="29"/>
        <v>4700025.4309999999</v>
      </c>
      <c r="M81" s="2">
        <f t="shared" si="30"/>
        <v>0.59749016770798835</v>
      </c>
      <c r="N81" s="2">
        <f t="shared" si="31"/>
        <v>0.4025098322920117</v>
      </c>
      <c r="O81" s="5">
        <f t="shared" si="25"/>
        <v>1781.8785565345304</v>
      </c>
    </row>
    <row r="82" spans="1:15" x14ac:dyDescent="0.35">
      <c r="A82" t="s">
        <v>16</v>
      </c>
      <c r="B82" t="s">
        <v>26</v>
      </c>
      <c r="C82">
        <v>2008</v>
      </c>
      <c r="D82" t="s">
        <v>18</v>
      </c>
      <c r="E82" s="3">
        <v>1583868</v>
      </c>
      <c r="F82" s="3">
        <v>1053602</v>
      </c>
      <c r="G82" s="1">
        <f t="shared" si="26"/>
        <v>2637470</v>
      </c>
      <c r="H82" s="2">
        <f t="shared" si="27"/>
        <v>0.60052550360762402</v>
      </c>
      <c r="I82" s="2">
        <f t="shared" si="28"/>
        <v>0.39947449639237603</v>
      </c>
      <c r="J82" s="3">
        <v>2390329.7289999998</v>
      </c>
      <c r="K82" s="3">
        <v>1602206.7479999999</v>
      </c>
      <c r="L82" s="1">
        <f t="shared" si="29"/>
        <v>3992536.477</v>
      </c>
      <c r="M82" s="2">
        <f t="shared" si="30"/>
        <v>0.5986995341858713</v>
      </c>
      <c r="N82" s="2">
        <f t="shared" si="31"/>
        <v>0.40130046581412859</v>
      </c>
      <c r="O82" s="5">
        <f t="shared" si="25"/>
        <v>1513.7751242668162</v>
      </c>
    </row>
    <row r="83" spans="1:15" x14ac:dyDescent="0.35">
      <c r="A83" t="s">
        <v>16</v>
      </c>
      <c r="B83" t="s">
        <v>27</v>
      </c>
      <c r="C83">
        <v>2008</v>
      </c>
      <c r="D83" t="s">
        <v>18</v>
      </c>
      <c r="E83" s="3">
        <v>1584367</v>
      </c>
      <c r="F83" s="3">
        <v>1055612</v>
      </c>
      <c r="G83" s="1">
        <f t="shared" si="26"/>
        <v>2639979</v>
      </c>
      <c r="H83" s="2">
        <f t="shared" si="27"/>
        <v>0.60014378902256416</v>
      </c>
      <c r="I83" s="2">
        <f t="shared" si="28"/>
        <v>0.39985621097743579</v>
      </c>
      <c r="J83" s="3">
        <v>1710079</v>
      </c>
      <c r="K83" s="3">
        <v>1144780</v>
      </c>
      <c r="L83" s="1">
        <f t="shared" si="29"/>
        <v>2854859</v>
      </c>
      <c r="M83" s="2">
        <f t="shared" si="30"/>
        <v>0.59900646581845196</v>
      </c>
      <c r="N83" s="2">
        <f t="shared" si="31"/>
        <v>0.40099353418154804</v>
      </c>
      <c r="O83" s="5">
        <f t="shared" si="25"/>
        <v>1081.3945868508802</v>
      </c>
    </row>
    <row r="84" spans="1:15" x14ac:dyDescent="0.35">
      <c r="A84" t="s">
        <v>16</v>
      </c>
      <c r="B84" t="s">
        <v>28</v>
      </c>
      <c r="C84">
        <v>2008</v>
      </c>
      <c r="D84" t="s">
        <v>18</v>
      </c>
      <c r="E84" s="3">
        <v>1585266</v>
      </c>
      <c r="F84" s="3">
        <v>1057367</v>
      </c>
      <c r="G84" s="1">
        <f t="shared" si="26"/>
        <v>2642633</v>
      </c>
      <c r="H84" s="2">
        <f t="shared" si="27"/>
        <v>0.59988125479398768</v>
      </c>
      <c r="I84" s="2">
        <f t="shared" si="28"/>
        <v>0.40011874520601232</v>
      </c>
      <c r="J84" s="3">
        <v>1278707</v>
      </c>
      <c r="K84" s="3">
        <v>859772</v>
      </c>
      <c r="L84" s="1">
        <f t="shared" si="29"/>
        <v>2138479</v>
      </c>
      <c r="M84" s="2">
        <f t="shared" si="30"/>
        <v>0.59795162823670467</v>
      </c>
      <c r="N84" s="2">
        <f t="shared" si="31"/>
        <v>0.40204837176329533</v>
      </c>
      <c r="O84" s="5">
        <f t="shared" si="25"/>
        <v>809.22284706200219</v>
      </c>
    </row>
    <row r="85" spans="1:15" x14ac:dyDescent="0.35">
      <c r="A85" t="s">
        <v>16</v>
      </c>
      <c r="B85" t="s">
        <v>29</v>
      </c>
      <c r="C85">
        <v>2008</v>
      </c>
      <c r="D85" t="s">
        <v>18</v>
      </c>
      <c r="E85" s="3">
        <v>1587417</v>
      </c>
      <c r="F85" s="3">
        <v>1059010</v>
      </c>
      <c r="G85" s="1">
        <f t="shared" si="26"/>
        <v>2646427</v>
      </c>
      <c r="H85" s="2">
        <f t="shared" si="27"/>
        <v>0.5998340403872845</v>
      </c>
      <c r="I85" s="2">
        <f t="shared" si="28"/>
        <v>0.40016595961271556</v>
      </c>
      <c r="J85" s="3">
        <v>1670803</v>
      </c>
      <c r="K85" s="3">
        <v>1136619</v>
      </c>
      <c r="L85" s="1">
        <f t="shared" si="29"/>
        <v>2807422</v>
      </c>
      <c r="M85" s="2">
        <f t="shared" si="30"/>
        <v>0.59513781682981748</v>
      </c>
      <c r="N85" s="2">
        <f t="shared" si="31"/>
        <v>0.40486218317018247</v>
      </c>
      <c r="O85" s="5">
        <f t="shared" si="25"/>
        <v>1060.8348539370252</v>
      </c>
    </row>
    <row r="86" spans="1:15" x14ac:dyDescent="0.35">
      <c r="A86" t="s">
        <v>16</v>
      </c>
      <c r="B86" t="s">
        <v>17</v>
      </c>
      <c r="C86">
        <v>2009</v>
      </c>
      <c r="D86" t="s">
        <v>18</v>
      </c>
      <c r="E86" s="3">
        <v>1585913</v>
      </c>
      <c r="F86" s="3">
        <v>1060240</v>
      </c>
      <c r="G86" s="1">
        <f>SUM(E86:F86)</f>
        <v>2646153</v>
      </c>
      <c r="H86" s="2">
        <f>SUM(E86)/G86</f>
        <v>0.59932777885481303</v>
      </c>
      <c r="I86" s="2">
        <f>SUM(F86/G86)</f>
        <v>0.40067222114518697</v>
      </c>
      <c r="J86" s="3">
        <v>2184435</v>
      </c>
      <c r="K86" s="3">
        <v>1492755</v>
      </c>
      <c r="L86" s="1">
        <f t="shared" si="29"/>
        <v>3677190</v>
      </c>
      <c r="M86" s="2">
        <f t="shared" si="30"/>
        <v>0.59405007628107331</v>
      </c>
      <c r="N86" s="2">
        <f t="shared" si="31"/>
        <v>0.40594992371892669</v>
      </c>
      <c r="O86" s="5">
        <f t="shared" si="25"/>
        <v>1389.6362001743664</v>
      </c>
    </row>
    <row r="87" spans="1:15" x14ac:dyDescent="0.35">
      <c r="A87" t="s">
        <v>16</v>
      </c>
      <c r="B87" t="s">
        <v>19</v>
      </c>
      <c r="C87">
        <v>2009</v>
      </c>
      <c r="D87" t="s">
        <v>18</v>
      </c>
      <c r="E87" s="3">
        <v>1586839</v>
      </c>
      <c r="F87" s="3">
        <v>1061880</v>
      </c>
      <c r="G87" s="1">
        <f t="shared" ref="G87:G97" si="32">SUM(E87:F87)</f>
        <v>2648719</v>
      </c>
      <c r="H87" s="2">
        <f t="shared" ref="H87:H97" si="33">SUM(E87)/G87</f>
        <v>0.59909677092964564</v>
      </c>
      <c r="I87" s="2">
        <f t="shared" ref="I87:I97" si="34">SUM(F87/G87)</f>
        <v>0.40090322907035436</v>
      </c>
      <c r="J87" s="3">
        <v>1790975</v>
      </c>
      <c r="K87" s="3">
        <v>1217456</v>
      </c>
      <c r="L87" s="1">
        <f t="shared" si="29"/>
        <v>3008431</v>
      </c>
      <c r="M87" s="2">
        <f t="shared" si="30"/>
        <v>0.59531862289678572</v>
      </c>
      <c r="N87" s="2">
        <f t="shared" si="31"/>
        <v>0.40468137710321428</v>
      </c>
      <c r="O87" s="5">
        <f t="shared" si="25"/>
        <v>1135.8060254787315</v>
      </c>
    </row>
    <row r="88" spans="1:15" x14ac:dyDescent="0.35">
      <c r="A88" t="s">
        <v>16</v>
      </c>
      <c r="B88" t="s">
        <v>20</v>
      </c>
      <c r="C88">
        <v>2009</v>
      </c>
      <c r="D88" t="s">
        <v>18</v>
      </c>
      <c r="E88" s="3">
        <v>1590152</v>
      </c>
      <c r="F88" s="3">
        <v>1063135</v>
      </c>
      <c r="G88" s="1">
        <f t="shared" si="32"/>
        <v>2653287</v>
      </c>
      <c r="H88" s="2">
        <f t="shared" si="33"/>
        <v>0.5993139829954317</v>
      </c>
      <c r="I88" s="2">
        <f t="shared" si="34"/>
        <v>0.4006860170045683</v>
      </c>
      <c r="J88" s="3">
        <v>1463204</v>
      </c>
      <c r="K88" s="3">
        <v>984510</v>
      </c>
      <c r="L88" s="1">
        <f t="shared" si="29"/>
        <v>2447714</v>
      </c>
      <c r="M88" s="2">
        <f t="shared" si="30"/>
        <v>0.59778389141868704</v>
      </c>
      <c r="N88" s="2">
        <f t="shared" si="31"/>
        <v>0.40221610858131301</v>
      </c>
      <c r="O88" s="5">
        <f t="shared" si="25"/>
        <v>922.52138573776597</v>
      </c>
    </row>
    <row r="89" spans="1:15" x14ac:dyDescent="0.35">
      <c r="A89" t="s">
        <v>16</v>
      </c>
      <c r="B89" t="s">
        <v>21</v>
      </c>
      <c r="C89">
        <v>2009</v>
      </c>
      <c r="D89" t="s">
        <v>18</v>
      </c>
      <c r="E89" s="3">
        <v>1589694</v>
      </c>
      <c r="F89" s="3">
        <v>1066087</v>
      </c>
      <c r="G89" s="1">
        <f t="shared" si="32"/>
        <v>2655781</v>
      </c>
      <c r="H89" s="2">
        <f t="shared" si="33"/>
        <v>0.59857872317032168</v>
      </c>
      <c r="I89" s="2">
        <f t="shared" si="34"/>
        <v>0.40142127682967838</v>
      </c>
      <c r="J89" s="3">
        <v>1404862</v>
      </c>
      <c r="K89" s="3">
        <v>939867</v>
      </c>
      <c r="L89" s="1">
        <f t="shared" si="29"/>
        <v>2344729</v>
      </c>
      <c r="M89" s="2">
        <f t="shared" si="30"/>
        <v>0.5991575145784438</v>
      </c>
      <c r="N89" s="2">
        <f t="shared" si="31"/>
        <v>0.4008424854215562</v>
      </c>
      <c r="O89" s="5">
        <f t="shared" si="25"/>
        <v>882.87739086920192</v>
      </c>
    </row>
    <row r="90" spans="1:15" x14ac:dyDescent="0.35">
      <c r="A90" t="s">
        <v>16</v>
      </c>
      <c r="B90" t="s">
        <v>22</v>
      </c>
      <c r="C90">
        <v>2009</v>
      </c>
      <c r="D90" t="s">
        <v>18</v>
      </c>
      <c r="E90" s="3">
        <v>1585879</v>
      </c>
      <c r="F90" s="3">
        <v>1071684</v>
      </c>
      <c r="G90" s="1">
        <f t="shared" si="32"/>
        <v>2657563</v>
      </c>
      <c r="H90" s="2">
        <f t="shared" si="33"/>
        <v>0.5967418270046656</v>
      </c>
      <c r="I90" s="2">
        <f t="shared" si="34"/>
        <v>0.40325817299533445</v>
      </c>
      <c r="J90" s="3">
        <v>1426427</v>
      </c>
      <c r="K90" s="3">
        <v>956670</v>
      </c>
      <c r="L90" s="1">
        <f t="shared" si="29"/>
        <v>2383097</v>
      </c>
      <c r="M90" s="2">
        <f t="shared" si="30"/>
        <v>0.59856019289185458</v>
      </c>
      <c r="N90" s="2">
        <f t="shared" si="31"/>
        <v>0.40143980710814542</v>
      </c>
      <c r="O90" s="5">
        <f t="shared" si="25"/>
        <v>896.72267411910832</v>
      </c>
    </row>
    <row r="91" spans="1:15" x14ac:dyDescent="0.35">
      <c r="A91" t="s">
        <v>16</v>
      </c>
      <c r="B91" t="s">
        <v>23</v>
      </c>
      <c r="C91">
        <v>2009</v>
      </c>
      <c r="D91" t="s">
        <v>18</v>
      </c>
      <c r="E91" s="3">
        <v>1580690</v>
      </c>
      <c r="F91" s="3">
        <v>1080230</v>
      </c>
      <c r="G91" s="1">
        <f t="shared" si="32"/>
        <v>2660920</v>
      </c>
      <c r="H91" s="2">
        <f t="shared" si="33"/>
        <v>0.59403890383777036</v>
      </c>
      <c r="I91" s="2">
        <f t="shared" si="34"/>
        <v>0.40596109616222958</v>
      </c>
      <c r="J91" s="3">
        <v>1986439</v>
      </c>
      <c r="K91" s="3">
        <v>1333486</v>
      </c>
      <c r="L91" s="1">
        <f t="shared" si="29"/>
        <v>3319925</v>
      </c>
      <c r="M91" s="2">
        <f t="shared" si="30"/>
        <v>0.5983385166833588</v>
      </c>
      <c r="N91" s="2">
        <f t="shared" si="31"/>
        <v>0.4016614833166412</v>
      </c>
      <c r="O91" s="5">
        <f t="shared" si="25"/>
        <v>1247.6605835575665</v>
      </c>
    </row>
    <row r="92" spans="1:15" x14ac:dyDescent="0.35">
      <c r="A92" t="s">
        <v>16</v>
      </c>
      <c r="B92" t="s">
        <v>24</v>
      </c>
      <c r="C92">
        <v>2009</v>
      </c>
      <c r="D92" t="s">
        <v>18</v>
      </c>
      <c r="E92" s="3">
        <v>1573118</v>
      </c>
      <c r="F92" s="3">
        <v>1091271</v>
      </c>
      <c r="G92" s="1">
        <f t="shared" si="32"/>
        <v>2664389</v>
      </c>
      <c r="H92" s="2">
        <f t="shared" si="33"/>
        <v>0.59042354551080944</v>
      </c>
      <c r="I92" s="2">
        <f t="shared" si="34"/>
        <v>0.40957645448919056</v>
      </c>
      <c r="J92" s="3">
        <v>2869249.9</v>
      </c>
      <c r="K92" s="3">
        <v>1929131.2</v>
      </c>
      <c r="L92" s="1">
        <f t="shared" si="29"/>
        <v>4798381.0999999996</v>
      </c>
      <c r="M92" s="2">
        <f t="shared" si="30"/>
        <v>0.59796207099932108</v>
      </c>
      <c r="N92" s="2">
        <f t="shared" si="31"/>
        <v>0.40203792900067903</v>
      </c>
      <c r="O92" s="5">
        <f t="shared" si="25"/>
        <v>1800.9311328038061</v>
      </c>
    </row>
    <row r="93" spans="1:15" x14ac:dyDescent="0.35">
      <c r="A93" t="s">
        <v>16</v>
      </c>
      <c r="B93" t="s">
        <v>25</v>
      </c>
      <c r="C93">
        <v>2009</v>
      </c>
      <c r="D93" t="s">
        <v>18</v>
      </c>
      <c r="E93" s="3">
        <v>1563403</v>
      </c>
      <c r="F93" s="3">
        <v>1103253</v>
      </c>
      <c r="G93" s="1">
        <f t="shared" si="32"/>
        <v>2666656</v>
      </c>
      <c r="H93" s="2">
        <f t="shared" si="33"/>
        <v>0.58627847011388046</v>
      </c>
      <c r="I93" s="2">
        <f t="shared" si="34"/>
        <v>0.41372152988611954</v>
      </c>
      <c r="J93" s="3">
        <v>2663736.1</v>
      </c>
      <c r="K93" s="3">
        <v>1819649</v>
      </c>
      <c r="L93" s="1">
        <f t="shared" si="29"/>
        <v>4483385.0999999996</v>
      </c>
      <c r="M93" s="2">
        <f t="shared" si="30"/>
        <v>0.59413502087964742</v>
      </c>
      <c r="N93" s="2">
        <f t="shared" si="31"/>
        <v>0.40586497912035263</v>
      </c>
      <c r="O93" s="5">
        <f t="shared" si="25"/>
        <v>1681.2761376045505</v>
      </c>
    </row>
    <row r="94" spans="1:15" x14ac:dyDescent="0.35">
      <c r="A94" t="s">
        <v>16</v>
      </c>
      <c r="B94" t="s">
        <v>26</v>
      </c>
      <c r="C94">
        <v>2009</v>
      </c>
      <c r="D94" t="s">
        <v>18</v>
      </c>
      <c r="E94" s="3">
        <v>1549154</v>
      </c>
      <c r="F94" s="3">
        <v>1116738</v>
      </c>
      <c r="G94" s="1">
        <f t="shared" si="32"/>
        <v>2665892</v>
      </c>
      <c r="H94" s="2">
        <f t="shared" si="33"/>
        <v>0.58110156000318092</v>
      </c>
      <c r="I94" s="2">
        <f t="shared" si="34"/>
        <v>0.41889843999681908</v>
      </c>
      <c r="J94" s="3">
        <v>2432742.2000000002</v>
      </c>
      <c r="K94" s="3">
        <v>1700173.2</v>
      </c>
      <c r="L94" s="1">
        <f t="shared" si="29"/>
        <v>4132915.4000000004</v>
      </c>
      <c r="M94" s="2">
        <f t="shared" si="30"/>
        <v>0.58862617899219516</v>
      </c>
      <c r="N94" s="2">
        <f t="shared" si="31"/>
        <v>0.41137382100780473</v>
      </c>
      <c r="O94" s="5">
        <f t="shared" si="25"/>
        <v>1550.2936353010552</v>
      </c>
    </row>
    <row r="95" spans="1:15" x14ac:dyDescent="0.35">
      <c r="A95" t="s">
        <v>16</v>
      </c>
      <c r="B95" t="s">
        <v>27</v>
      </c>
      <c r="C95">
        <v>2009</v>
      </c>
      <c r="D95" t="s">
        <v>18</v>
      </c>
      <c r="E95" s="3">
        <v>1539878</v>
      </c>
      <c r="F95" s="3">
        <v>1125694</v>
      </c>
      <c r="G95" s="1">
        <f t="shared" si="32"/>
        <v>2665572</v>
      </c>
      <c r="H95" s="2">
        <f t="shared" si="33"/>
        <v>0.57769139231654598</v>
      </c>
      <c r="I95" s="2">
        <f t="shared" si="34"/>
        <v>0.42230860768345407</v>
      </c>
      <c r="J95" s="3">
        <v>1545630.9</v>
      </c>
      <c r="K95" s="3">
        <v>1114768.5</v>
      </c>
      <c r="L95" s="1">
        <f t="shared" si="29"/>
        <v>2660399.4</v>
      </c>
      <c r="M95" s="2">
        <f t="shared" si="30"/>
        <v>0.58097701420320569</v>
      </c>
      <c r="N95" s="2">
        <f t="shared" si="31"/>
        <v>0.41902298579679431</v>
      </c>
      <c r="O95" s="5">
        <f t="shared" si="25"/>
        <v>998.05947841588977</v>
      </c>
    </row>
    <row r="96" spans="1:15" x14ac:dyDescent="0.35">
      <c r="A96" t="s">
        <v>16</v>
      </c>
      <c r="B96" t="s">
        <v>28</v>
      </c>
      <c r="C96">
        <v>2009</v>
      </c>
      <c r="D96" t="s">
        <v>18</v>
      </c>
      <c r="E96" s="3">
        <v>1532696</v>
      </c>
      <c r="F96" s="3">
        <v>1134667</v>
      </c>
      <c r="G96" s="1">
        <f t="shared" si="32"/>
        <v>2667363</v>
      </c>
      <c r="H96" s="2">
        <f t="shared" si="33"/>
        <v>0.57461095471445023</v>
      </c>
      <c r="I96" s="2">
        <f t="shared" si="34"/>
        <v>0.42538904528554983</v>
      </c>
      <c r="J96" s="3">
        <v>1172016.2</v>
      </c>
      <c r="K96" s="3">
        <v>864713.2</v>
      </c>
      <c r="L96" s="1">
        <f t="shared" si="29"/>
        <v>2036729.4</v>
      </c>
      <c r="M96" s="2">
        <f t="shared" si="30"/>
        <v>0.57544031131479711</v>
      </c>
      <c r="N96" s="2">
        <f t="shared" si="31"/>
        <v>0.42455968868520283</v>
      </c>
      <c r="O96" s="5">
        <f t="shared" si="25"/>
        <v>763.57413670355334</v>
      </c>
    </row>
    <row r="97" spans="1:15" x14ac:dyDescent="0.35">
      <c r="A97" t="s">
        <v>16</v>
      </c>
      <c r="B97" t="s">
        <v>29</v>
      </c>
      <c r="C97">
        <v>2009</v>
      </c>
      <c r="D97" t="s">
        <v>18</v>
      </c>
      <c r="E97" s="3">
        <v>1525725</v>
      </c>
      <c r="F97" s="3">
        <v>1144950</v>
      </c>
      <c r="G97" s="1">
        <f t="shared" si="32"/>
        <v>2670675</v>
      </c>
      <c r="H97" s="2">
        <f t="shared" si="33"/>
        <v>0.57128815748827544</v>
      </c>
      <c r="I97" s="2">
        <f t="shared" si="34"/>
        <v>0.42871184251172456</v>
      </c>
      <c r="J97" s="3">
        <v>1714968</v>
      </c>
      <c r="K97" s="3">
        <v>1291594</v>
      </c>
      <c r="L97" s="1">
        <f t="shared" si="29"/>
        <v>3006562</v>
      </c>
      <c r="M97" s="2">
        <f t="shared" si="30"/>
        <v>0.57040832685306342</v>
      </c>
      <c r="N97" s="2">
        <f t="shared" si="31"/>
        <v>0.42959167314693658</v>
      </c>
      <c r="O97" s="5">
        <f t="shared" si="25"/>
        <v>1125.7685791045335</v>
      </c>
    </row>
    <row r="98" spans="1:15" x14ac:dyDescent="0.35">
      <c r="A98" t="s">
        <v>16</v>
      </c>
      <c r="B98" t="s">
        <v>17</v>
      </c>
      <c r="C98">
        <v>2010</v>
      </c>
      <c r="D98" t="s">
        <v>18</v>
      </c>
      <c r="E98" s="3">
        <v>1520976</v>
      </c>
      <c r="F98" s="3">
        <v>1152693</v>
      </c>
      <c r="G98" s="1">
        <f>SUM(E98:F98)</f>
        <v>2673669</v>
      </c>
      <c r="H98" s="2">
        <f>SUM(E98)/G98</f>
        <v>0.56887221267853272</v>
      </c>
      <c r="I98" s="2">
        <f>SUM(F98/G98)</f>
        <v>0.43112778732146723</v>
      </c>
      <c r="J98" s="3">
        <v>2468482.21</v>
      </c>
      <c r="K98" s="3">
        <v>1888084.53</v>
      </c>
      <c r="L98" s="1">
        <f t="shared" si="29"/>
        <v>4356566.74</v>
      </c>
      <c r="M98" s="2">
        <f t="shared" si="30"/>
        <v>0.56661182011411115</v>
      </c>
      <c r="N98" s="2">
        <f t="shared" si="31"/>
        <v>0.43338817988588874</v>
      </c>
      <c r="O98" s="5">
        <f t="shared" si="25"/>
        <v>1629.4338379208496</v>
      </c>
    </row>
    <row r="99" spans="1:15" x14ac:dyDescent="0.35">
      <c r="A99" t="s">
        <v>16</v>
      </c>
      <c r="B99" t="s">
        <v>19</v>
      </c>
      <c r="C99">
        <v>2010</v>
      </c>
      <c r="D99" t="s">
        <v>18</v>
      </c>
      <c r="E99" s="3">
        <v>1512575</v>
      </c>
      <c r="F99" s="3">
        <v>1166328</v>
      </c>
      <c r="G99" s="1">
        <f t="shared" ref="G99:G109" si="35">SUM(E99:F99)</f>
        <v>2678903</v>
      </c>
      <c r="H99" s="2">
        <f t="shared" ref="H99:H109" si="36">SUM(E99)/G99</f>
        <v>0.56462477364801933</v>
      </c>
      <c r="I99" s="2">
        <f t="shared" ref="I99:I109" si="37">SUM(F99/G99)</f>
        <v>0.43537522635198062</v>
      </c>
      <c r="J99" s="3">
        <v>1994897.159</v>
      </c>
      <c r="K99" s="3">
        <v>1549230.108</v>
      </c>
      <c r="L99" s="1">
        <f t="shared" si="29"/>
        <v>3544127.267</v>
      </c>
      <c r="M99" s="2">
        <f t="shared" si="30"/>
        <v>0.5628740191061542</v>
      </c>
      <c r="N99" s="2">
        <f t="shared" si="31"/>
        <v>0.4371259808938458</v>
      </c>
      <c r="O99" s="5">
        <f t="shared" si="25"/>
        <v>1322.9770794239284</v>
      </c>
    </row>
    <row r="100" spans="1:15" x14ac:dyDescent="0.35">
      <c r="A100" t="s">
        <v>16</v>
      </c>
      <c r="B100" t="s">
        <v>20</v>
      </c>
      <c r="C100">
        <v>2010</v>
      </c>
      <c r="D100" t="s">
        <v>18</v>
      </c>
      <c r="E100" s="3">
        <v>1503827</v>
      </c>
      <c r="F100" s="3">
        <v>1176959</v>
      </c>
      <c r="G100" s="1">
        <f t="shared" si="35"/>
        <v>2680786</v>
      </c>
      <c r="H100" s="2">
        <f t="shared" si="36"/>
        <v>0.5609649558002765</v>
      </c>
      <c r="I100" s="2">
        <f t="shared" si="37"/>
        <v>0.4390350441997235</v>
      </c>
      <c r="J100" s="3">
        <v>1772290.767</v>
      </c>
      <c r="K100" s="3">
        <v>1384465.4040000001</v>
      </c>
      <c r="L100" s="1">
        <f t="shared" si="29"/>
        <v>3156756.1710000001</v>
      </c>
      <c r="M100" s="2">
        <f t="shared" si="30"/>
        <v>0.56142783002418972</v>
      </c>
      <c r="N100" s="2">
        <f t="shared" si="31"/>
        <v>0.43857216997581028</v>
      </c>
      <c r="O100" s="5">
        <f t="shared" si="25"/>
        <v>1177.548737944767</v>
      </c>
    </row>
    <row r="101" spans="1:15" x14ac:dyDescent="0.35">
      <c r="A101" t="s">
        <v>16</v>
      </c>
      <c r="B101" t="s">
        <v>21</v>
      </c>
      <c r="C101">
        <v>2010</v>
      </c>
      <c r="D101" t="s">
        <v>18</v>
      </c>
      <c r="E101" s="3">
        <v>1496385</v>
      </c>
      <c r="F101" s="3">
        <v>1184597</v>
      </c>
      <c r="G101" s="1">
        <f t="shared" si="35"/>
        <v>2680982</v>
      </c>
      <c r="H101" s="2">
        <f t="shared" si="36"/>
        <v>0.55814809648106556</v>
      </c>
      <c r="I101" s="2">
        <f t="shared" si="37"/>
        <v>0.4418519035189345</v>
      </c>
      <c r="J101" s="3">
        <v>1289033.6000000001</v>
      </c>
      <c r="K101" s="3">
        <v>1008587.8</v>
      </c>
      <c r="L101" s="1">
        <f t="shared" si="29"/>
        <v>2297621.4000000004</v>
      </c>
      <c r="M101" s="2">
        <f t="shared" si="30"/>
        <v>0.56102959347436432</v>
      </c>
      <c r="N101" s="2">
        <f t="shared" si="31"/>
        <v>0.43897040652563557</v>
      </c>
      <c r="O101" s="5">
        <f t="shared" si="25"/>
        <v>857.00739505151489</v>
      </c>
    </row>
    <row r="102" spans="1:15" x14ac:dyDescent="0.35">
      <c r="A102" t="s">
        <v>16</v>
      </c>
      <c r="B102" t="s">
        <v>22</v>
      </c>
      <c r="C102">
        <v>2010</v>
      </c>
      <c r="D102" t="s">
        <v>18</v>
      </c>
      <c r="E102" s="3">
        <v>1489552</v>
      </c>
      <c r="F102" s="3">
        <v>1193798</v>
      </c>
      <c r="G102" s="1">
        <f t="shared" si="35"/>
        <v>2683350</v>
      </c>
      <c r="H102" s="2">
        <f t="shared" si="36"/>
        <v>0.55510909870125025</v>
      </c>
      <c r="I102" s="2">
        <f t="shared" si="37"/>
        <v>0.4448909012987497</v>
      </c>
      <c r="J102" s="3">
        <v>1260043.5</v>
      </c>
      <c r="K102" s="3">
        <v>1006039.3</v>
      </c>
      <c r="L102" s="1">
        <f t="shared" si="29"/>
        <v>2266082.7999999998</v>
      </c>
      <c r="M102" s="2">
        <f t="shared" si="30"/>
        <v>0.5560447747099091</v>
      </c>
      <c r="N102" s="2">
        <f t="shared" si="31"/>
        <v>0.44395522529009096</v>
      </c>
      <c r="O102" s="5">
        <f t="shared" si="25"/>
        <v>844.49766150520804</v>
      </c>
    </row>
    <row r="103" spans="1:15" x14ac:dyDescent="0.35">
      <c r="A103" t="s">
        <v>16</v>
      </c>
      <c r="B103" t="s">
        <v>23</v>
      </c>
      <c r="C103">
        <v>2010</v>
      </c>
      <c r="D103" t="s">
        <v>18</v>
      </c>
      <c r="E103" s="3">
        <v>1481432</v>
      </c>
      <c r="F103" s="3">
        <v>1204501</v>
      </c>
      <c r="G103" s="1">
        <f t="shared" si="35"/>
        <v>2685933</v>
      </c>
      <c r="H103" s="2">
        <f t="shared" si="36"/>
        <v>0.5515521049854929</v>
      </c>
      <c r="I103" s="2">
        <f t="shared" si="37"/>
        <v>0.44844789501450705</v>
      </c>
      <c r="J103" s="3">
        <v>2146209.4</v>
      </c>
      <c r="K103" s="3">
        <v>1709202.8</v>
      </c>
      <c r="L103" s="1">
        <f t="shared" si="29"/>
        <v>3855412.2</v>
      </c>
      <c r="M103" s="2">
        <f t="shared" si="30"/>
        <v>0.55667443289202634</v>
      </c>
      <c r="N103" s="2">
        <f t="shared" si="31"/>
        <v>0.44332556710797355</v>
      </c>
      <c r="O103" s="5">
        <f t="shared" si="25"/>
        <v>1435.4089249433996</v>
      </c>
    </row>
    <row r="104" spans="1:15" x14ac:dyDescent="0.35">
      <c r="A104" t="s">
        <v>16</v>
      </c>
      <c r="B104" t="s">
        <v>24</v>
      </c>
      <c r="C104">
        <v>2010</v>
      </c>
      <c r="D104" t="s">
        <v>18</v>
      </c>
      <c r="E104" s="3">
        <v>1472397</v>
      </c>
      <c r="F104" s="3">
        <v>1216648</v>
      </c>
      <c r="G104" s="1">
        <f t="shared" si="35"/>
        <v>2689045</v>
      </c>
      <c r="H104" s="2">
        <f t="shared" si="36"/>
        <v>0.5475538713558159</v>
      </c>
      <c r="I104" s="2">
        <f t="shared" si="37"/>
        <v>0.4524461286441841</v>
      </c>
      <c r="J104" s="3">
        <v>2519770.2999999998</v>
      </c>
      <c r="K104" s="3">
        <v>2021437.5</v>
      </c>
      <c r="L104" s="1">
        <f t="shared" si="29"/>
        <v>4541207.8</v>
      </c>
      <c r="M104" s="2">
        <f t="shared" si="30"/>
        <v>0.55486787017321693</v>
      </c>
      <c r="N104" s="2">
        <f t="shared" si="31"/>
        <v>0.44513212982678313</v>
      </c>
      <c r="O104" s="5">
        <f t="shared" si="25"/>
        <v>1688.7808868947898</v>
      </c>
    </row>
    <row r="105" spans="1:15" x14ac:dyDescent="0.35">
      <c r="A105" t="s">
        <v>16</v>
      </c>
      <c r="B105" t="s">
        <v>25</v>
      </c>
      <c r="C105">
        <v>2010</v>
      </c>
      <c r="D105" t="s">
        <v>18</v>
      </c>
      <c r="E105" s="3">
        <v>1461285</v>
      </c>
      <c r="F105" s="3">
        <v>1232087</v>
      </c>
      <c r="G105" s="1">
        <f t="shared" si="35"/>
        <v>2693372</v>
      </c>
      <c r="H105" s="2">
        <f t="shared" si="36"/>
        <v>0.54254852281823673</v>
      </c>
      <c r="I105" s="2">
        <f t="shared" si="37"/>
        <v>0.45745147718176321</v>
      </c>
      <c r="J105" s="3">
        <v>2707113.7</v>
      </c>
      <c r="K105" s="3">
        <v>2204830.5</v>
      </c>
      <c r="L105" s="1">
        <f t="shared" si="29"/>
        <v>4911944.2</v>
      </c>
      <c r="M105" s="2">
        <f t="shared" si="30"/>
        <v>0.55112875671511086</v>
      </c>
      <c r="N105" s="2">
        <f t="shared" si="31"/>
        <v>0.44887124328488909</v>
      </c>
      <c r="O105" s="5">
        <f t="shared" si="25"/>
        <v>1823.7154763619731</v>
      </c>
    </row>
    <row r="106" spans="1:15" x14ac:dyDescent="0.35">
      <c r="A106" t="s">
        <v>16</v>
      </c>
      <c r="B106" t="s">
        <v>26</v>
      </c>
      <c r="C106">
        <v>2010</v>
      </c>
      <c r="D106" t="s">
        <v>18</v>
      </c>
      <c r="E106" s="3">
        <v>1448021</v>
      </c>
      <c r="F106" s="3">
        <v>1245118</v>
      </c>
      <c r="G106" s="1">
        <f t="shared" si="35"/>
        <v>2693139</v>
      </c>
      <c r="H106" s="2">
        <f t="shared" si="36"/>
        <v>0.53767035418520914</v>
      </c>
      <c r="I106" s="2">
        <f t="shared" si="37"/>
        <v>0.46232964581479086</v>
      </c>
      <c r="J106" s="3">
        <v>2554077.2999999998</v>
      </c>
      <c r="K106" s="3">
        <v>2125893.1</v>
      </c>
      <c r="L106" s="1">
        <f t="shared" si="29"/>
        <v>4679970.4000000004</v>
      </c>
      <c r="M106" s="2">
        <f t="shared" si="30"/>
        <v>0.54574646455028852</v>
      </c>
      <c r="N106" s="2">
        <f t="shared" si="31"/>
        <v>0.45425353544971137</v>
      </c>
      <c r="O106" s="5">
        <f t="shared" si="25"/>
        <v>1737.7381561070558</v>
      </c>
    </row>
    <row r="107" spans="1:15" x14ac:dyDescent="0.35">
      <c r="A107" t="s">
        <v>16</v>
      </c>
      <c r="B107" t="s">
        <v>27</v>
      </c>
      <c r="C107">
        <v>2010</v>
      </c>
      <c r="D107" t="s">
        <v>18</v>
      </c>
      <c r="E107" s="3">
        <v>1434459</v>
      </c>
      <c r="F107" s="3">
        <v>1258186</v>
      </c>
      <c r="G107" s="1">
        <f t="shared" si="35"/>
        <v>2692645</v>
      </c>
      <c r="H107" s="2">
        <f t="shared" si="36"/>
        <v>0.53273231339445049</v>
      </c>
      <c r="I107" s="2">
        <f t="shared" si="37"/>
        <v>0.46726768660554957</v>
      </c>
      <c r="J107" s="3">
        <v>1653592.9</v>
      </c>
      <c r="K107" s="3">
        <v>1424380.5</v>
      </c>
      <c r="L107" s="1">
        <f t="shared" si="29"/>
        <v>3077973.4</v>
      </c>
      <c r="M107" s="2">
        <f t="shared" si="30"/>
        <v>0.53723430488385637</v>
      </c>
      <c r="N107" s="2">
        <f t="shared" si="31"/>
        <v>0.46276569511614363</v>
      </c>
      <c r="O107" s="5">
        <f t="shared" si="25"/>
        <v>1143.104048249955</v>
      </c>
    </row>
    <row r="108" spans="1:15" x14ac:dyDescent="0.35">
      <c r="A108" t="s">
        <v>16</v>
      </c>
      <c r="B108" t="s">
        <v>28</v>
      </c>
      <c r="C108">
        <v>2010</v>
      </c>
      <c r="D108" t="s">
        <v>18</v>
      </c>
      <c r="E108" s="3">
        <v>1424882</v>
      </c>
      <c r="F108" s="3">
        <v>1270104</v>
      </c>
      <c r="G108" s="1">
        <f t="shared" si="35"/>
        <v>2694986</v>
      </c>
      <c r="H108" s="2">
        <f t="shared" si="36"/>
        <v>0.52871591911794713</v>
      </c>
      <c r="I108" s="2">
        <f t="shared" si="37"/>
        <v>0.47128408088205281</v>
      </c>
      <c r="J108" s="3">
        <v>1178316.1000000001</v>
      </c>
      <c r="K108" s="3">
        <v>1051901.3</v>
      </c>
      <c r="L108" s="1">
        <f t="shared" si="29"/>
        <v>2230217.4000000004</v>
      </c>
      <c r="M108" s="2">
        <f t="shared" si="30"/>
        <v>0.52834136259541331</v>
      </c>
      <c r="N108" s="2">
        <f t="shared" si="31"/>
        <v>0.47165863740458658</v>
      </c>
      <c r="O108" s="5">
        <f t="shared" si="25"/>
        <v>827.54322285904288</v>
      </c>
    </row>
    <row r="109" spans="1:15" x14ac:dyDescent="0.35">
      <c r="A109" t="s">
        <v>16</v>
      </c>
      <c r="B109" t="s">
        <v>29</v>
      </c>
      <c r="C109">
        <v>2010</v>
      </c>
      <c r="D109" t="s">
        <v>18</v>
      </c>
      <c r="E109" s="3">
        <v>1415689</v>
      </c>
      <c r="F109" s="3">
        <v>1281328</v>
      </c>
      <c r="G109" s="1">
        <f t="shared" si="35"/>
        <v>2697017</v>
      </c>
      <c r="H109" s="2">
        <f t="shared" si="36"/>
        <v>0.52490918670516351</v>
      </c>
      <c r="I109" s="2">
        <f t="shared" si="37"/>
        <v>0.47509081329483649</v>
      </c>
      <c r="J109" s="3">
        <v>1517452.8</v>
      </c>
      <c r="K109" s="3">
        <v>1387693.4</v>
      </c>
      <c r="L109" s="1">
        <f t="shared" si="29"/>
        <v>2905146.2</v>
      </c>
      <c r="M109" s="2">
        <f t="shared" si="30"/>
        <v>0.52233267984929643</v>
      </c>
      <c r="N109" s="2">
        <f t="shared" si="31"/>
        <v>0.47766732015070357</v>
      </c>
      <c r="O109" s="5">
        <f t="shared" si="25"/>
        <v>1077.1701476112312</v>
      </c>
    </row>
    <row r="110" spans="1:15" x14ac:dyDescent="0.35">
      <c r="A110" t="s">
        <v>16</v>
      </c>
      <c r="B110" t="s">
        <v>17</v>
      </c>
      <c r="C110">
        <v>2011</v>
      </c>
      <c r="D110" t="s">
        <v>18</v>
      </c>
      <c r="E110" s="3">
        <v>1406262</v>
      </c>
      <c r="F110" s="3">
        <v>1293710</v>
      </c>
      <c r="G110" s="1">
        <f>SUM(E110:F110)</f>
        <v>2699972</v>
      </c>
      <c r="H110" s="2">
        <f>SUM(E110)/G110</f>
        <v>0.52084317911445011</v>
      </c>
      <c r="I110" s="2">
        <f>SUM(F110/G110)</f>
        <v>0.47915682088554995</v>
      </c>
      <c r="J110" s="3">
        <v>1995753.4</v>
      </c>
      <c r="K110" s="3">
        <v>1860368.3</v>
      </c>
      <c r="L110" s="1">
        <f t="shared" si="29"/>
        <v>3856121.7</v>
      </c>
      <c r="M110" s="2">
        <f t="shared" si="30"/>
        <v>0.51755456784468179</v>
      </c>
      <c r="N110" s="2">
        <f t="shared" si="31"/>
        <v>0.4824454321553181</v>
      </c>
      <c r="O110" s="5">
        <f t="shared" si="25"/>
        <v>1428.2080332684932</v>
      </c>
    </row>
    <row r="111" spans="1:15" x14ac:dyDescent="0.35">
      <c r="A111" t="s">
        <v>16</v>
      </c>
      <c r="B111" t="s">
        <v>19</v>
      </c>
      <c r="C111">
        <v>2011</v>
      </c>
      <c r="D111" t="s">
        <v>18</v>
      </c>
      <c r="E111" s="3">
        <v>1395906</v>
      </c>
      <c r="F111" s="3">
        <v>1307711</v>
      </c>
      <c r="G111" s="1">
        <f t="shared" ref="G111:G121" si="38">SUM(E111:F111)</f>
        <v>2703617</v>
      </c>
      <c r="H111" s="2">
        <f t="shared" ref="H111:H121" si="39">SUM(E111)/G111</f>
        <v>0.51631055730157049</v>
      </c>
      <c r="I111" s="2">
        <f t="shared" ref="I111:I121" si="40">SUM(F111/G111)</f>
        <v>0.48368944269842956</v>
      </c>
      <c r="J111" s="3">
        <v>2024930</v>
      </c>
      <c r="K111" s="3">
        <v>1948684.1</v>
      </c>
      <c r="L111" s="1">
        <f t="shared" si="29"/>
        <v>3973614.1</v>
      </c>
      <c r="M111" s="2">
        <f t="shared" si="30"/>
        <v>0.50959402424105549</v>
      </c>
      <c r="N111" s="2">
        <f t="shared" si="31"/>
        <v>0.49040597575894451</v>
      </c>
      <c r="O111" s="5">
        <f t="shared" si="25"/>
        <v>1469.7400186490911</v>
      </c>
    </row>
    <row r="112" spans="1:15" x14ac:dyDescent="0.35">
      <c r="A112" t="s">
        <v>16</v>
      </c>
      <c r="B112" t="s">
        <v>20</v>
      </c>
      <c r="C112">
        <v>2011</v>
      </c>
      <c r="D112" t="s">
        <v>18</v>
      </c>
      <c r="E112" s="3">
        <v>1384383</v>
      </c>
      <c r="F112" s="3">
        <v>1321941</v>
      </c>
      <c r="G112" s="1">
        <f t="shared" si="38"/>
        <v>2706324</v>
      </c>
      <c r="H112" s="2">
        <f t="shared" si="39"/>
        <v>0.51153631272530564</v>
      </c>
      <c r="I112" s="2">
        <f t="shared" si="40"/>
        <v>0.48846368727469436</v>
      </c>
      <c r="J112" s="3">
        <v>1222760.1000000001</v>
      </c>
      <c r="K112" s="3">
        <v>1164461.7</v>
      </c>
      <c r="L112" s="1">
        <f t="shared" si="29"/>
        <v>2387221.7999999998</v>
      </c>
      <c r="M112" s="2">
        <f t="shared" si="30"/>
        <v>0.51221051181754462</v>
      </c>
      <c r="N112" s="2">
        <f t="shared" si="31"/>
        <v>0.48778948818245543</v>
      </c>
      <c r="O112" s="5">
        <f t="shared" si="25"/>
        <v>882.09017102165149</v>
      </c>
    </row>
    <row r="113" spans="1:15" x14ac:dyDescent="0.35">
      <c r="A113" t="s">
        <v>16</v>
      </c>
      <c r="B113" t="s">
        <v>21</v>
      </c>
      <c r="C113">
        <v>2011</v>
      </c>
      <c r="D113" t="s">
        <v>18</v>
      </c>
      <c r="E113" s="3">
        <v>1373444</v>
      </c>
      <c r="F113" s="3">
        <v>1335007</v>
      </c>
      <c r="G113" s="1">
        <f t="shared" si="38"/>
        <v>2708451</v>
      </c>
      <c r="H113" s="2">
        <f t="shared" si="39"/>
        <v>0.50709575325527401</v>
      </c>
      <c r="I113" s="2">
        <f t="shared" si="40"/>
        <v>0.49290424674472605</v>
      </c>
      <c r="J113" s="3">
        <v>1182243.3</v>
      </c>
      <c r="K113" s="3">
        <v>1153208.1000000001</v>
      </c>
      <c r="L113" s="1">
        <f t="shared" si="29"/>
        <v>2335451.4000000004</v>
      </c>
      <c r="M113" s="2">
        <f t="shared" si="30"/>
        <v>0.50621618587310357</v>
      </c>
      <c r="N113" s="2">
        <f t="shared" si="31"/>
        <v>0.49378381412689637</v>
      </c>
      <c r="O113" s="5">
        <f t="shared" si="25"/>
        <v>862.28305404085233</v>
      </c>
    </row>
    <row r="114" spans="1:15" x14ac:dyDescent="0.35">
      <c r="A114" t="s">
        <v>16</v>
      </c>
      <c r="B114" t="s">
        <v>22</v>
      </c>
      <c r="C114">
        <v>2011</v>
      </c>
      <c r="D114" t="s">
        <v>18</v>
      </c>
      <c r="E114" s="3">
        <v>1364248</v>
      </c>
      <c r="F114" s="3">
        <v>1345181</v>
      </c>
      <c r="G114" s="1">
        <f t="shared" si="38"/>
        <v>2709429</v>
      </c>
      <c r="H114" s="2">
        <f t="shared" si="39"/>
        <v>0.50351863805990116</v>
      </c>
      <c r="I114" s="2">
        <f t="shared" si="40"/>
        <v>0.49648136194009884</v>
      </c>
      <c r="J114" s="3">
        <v>1340317.2</v>
      </c>
      <c r="K114" s="3">
        <v>1320910.2</v>
      </c>
      <c r="L114" s="1">
        <f t="shared" si="29"/>
        <v>2661227.4</v>
      </c>
      <c r="M114" s="2">
        <f t="shared" si="30"/>
        <v>0.50364624984696915</v>
      </c>
      <c r="N114" s="2">
        <f t="shared" si="31"/>
        <v>0.4963537501530309</v>
      </c>
      <c r="O114" s="5">
        <f t="shared" si="25"/>
        <v>982.20968329489347</v>
      </c>
    </row>
    <row r="115" spans="1:15" x14ac:dyDescent="0.35">
      <c r="A115" t="s">
        <v>16</v>
      </c>
      <c r="B115" t="s">
        <v>23</v>
      </c>
      <c r="C115">
        <v>2011</v>
      </c>
      <c r="D115" t="s">
        <v>18</v>
      </c>
      <c r="E115" s="3">
        <v>1354778</v>
      </c>
      <c r="F115" s="3">
        <v>1356071</v>
      </c>
      <c r="G115" s="1">
        <f t="shared" si="38"/>
        <v>2710849</v>
      </c>
      <c r="H115" s="2">
        <f t="shared" si="39"/>
        <v>0.49976151382832462</v>
      </c>
      <c r="I115" s="2">
        <f t="shared" si="40"/>
        <v>0.50023848617167532</v>
      </c>
      <c r="J115" s="3">
        <v>2053028.7</v>
      </c>
      <c r="K115" s="3">
        <v>2017573.6</v>
      </c>
      <c r="L115" s="1">
        <f t="shared" si="29"/>
        <v>4070602.3</v>
      </c>
      <c r="M115" s="2">
        <f t="shared" si="30"/>
        <v>0.50435501891206613</v>
      </c>
      <c r="N115" s="2">
        <f t="shared" si="31"/>
        <v>0.49564498108793387</v>
      </c>
      <c r="O115" s="5">
        <f t="shared" si="25"/>
        <v>1501.596842907886</v>
      </c>
    </row>
    <row r="116" spans="1:15" x14ac:dyDescent="0.35">
      <c r="A116" t="s">
        <v>16</v>
      </c>
      <c r="B116" t="s">
        <v>24</v>
      </c>
      <c r="C116">
        <v>2011</v>
      </c>
      <c r="D116" t="s">
        <v>18</v>
      </c>
      <c r="E116" s="3">
        <v>1342744</v>
      </c>
      <c r="F116" s="3">
        <v>1371321</v>
      </c>
      <c r="G116" s="1">
        <f t="shared" si="38"/>
        <v>2714065</v>
      </c>
      <c r="H116" s="2">
        <f t="shared" si="39"/>
        <v>0.49473538769336772</v>
      </c>
      <c r="I116" s="2">
        <f t="shared" si="40"/>
        <v>0.50526461230663233</v>
      </c>
      <c r="J116" s="3">
        <v>2708462.5</v>
      </c>
      <c r="K116" s="3">
        <v>2669108.7000000002</v>
      </c>
      <c r="L116" s="1">
        <f t="shared" si="29"/>
        <v>5377571.2000000002</v>
      </c>
      <c r="M116" s="2">
        <f t="shared" si="30"/>
        <v>0.50365906824255524</v>
      </c>
      <c r="N116" s="2">
        <f t="shared" si="31"/>
        <v>0.4963409317574447</v>
      </c>
      <c r="O116" s="5">
        <f t="shared" si="25"/>
        <v>1981.3715588978157</v>
      </c>
    </row>
    <row r="117" spans="1:15" x14ac:dyDescent="0.35">
      <c r="A117" t="s">
        <v>16</v>
      </c>
      <c r="B117" t="s">
        <v>25</v>
      </c>
      <c r="C117">
        <v>2011</v>
      </c>
      <c r="D117" t="s">
        <v>18</v>
      </c>
      <c r="E117" s="3">
        <v>1328922</v>
      </c>
      <c r="F117" s="3">
        <v>1389477</v>
      </c>
      <c r="G117" s="1">
        <f t="shared" si="38"/>
        <v>2718399</v>
      </c>
      <c r="H117" s="2">
        <f t="shared" si="39"/>
        <v>0.48886201032298793</v>
      </c>
      <c r="I117" s="2">
        <f t="shared" si="40"/>
        <v>0.51113798967701207</v>
      </c>
      <c r="J117" s="3">
        <v>2849665.8</v>
      </c>
      <c r="K117" s="3">
        <v>2869739.2</v>
      </c>
      <c r="L117" s="1">
        <f t="shared" si="29"/>
        <v>5719405</v>
      </c>
      <c r="M117" s="2">
        <f t="shared" si="30"/>
        <v>0.49824514962657823</v>
      </c>
      <c r="N117" s="2">
        <f t="shared" si="31"/>
        <v>0.50175485037342171</v>
      </c>
      <c r="O117" s="5">
        <f t="shared" si="25"/>
        <v>2103.9608239997146</v>
      </c>
    </row>
    <row r="118" spans="1:15" x14ac:dyDescent="0.35">
      <c r="A118" t="s">
        <v>16</v>
      </c>
      <c r="B118" t="s">
        <v>26</v>
      </c>
      <c r="C118">
        <v>2011</v>
      </c>
      <c r="D118" t="s">
        <v>18</v>
      </c>
      <c r="E118" s="3">
        <v>1316384</v>
      </c>
      <c r="F118" s="3">
        <v>1400549</v>
      </c>
      <c r="G118" s="1">
        <f t="shared" si="38"/>
        <v>2716933</v>
      </c>
      <c r="H118" s="2">
        <f t="shared" si="39"/>
        <v>0.48451102769188642</v>
      </c>
      <c r="I118" s="2">
        <f t="shared" si="40"/>
        <v>0.51548897230811364</v>
      </c>
      <c r="J118" s="3">
        <v>2456355.7000000002</v>
      </c>
      <c r="K118" s="3">
        <v>2544534.6</v>
      </c>
      <c r="L118" s="1">
        <f t="shared" si="29"/>
        <v>5000890.3000000007</v>
      </c>
      <c r="M118" s="2">
        <f t="shared" si="30"/>
        <v>0.49118367983396871</v>
      </c>
      <c r="N118" s="2">
        <f t="shared" si="31"/>
        <v>0.50881632016603118</v>
      </c>
      <c r="O118" s="5">
        <f t="shared" si="25"/>
        <v>1840.6380650535</v>
      </c>
    </row>
    <row r="119" spans="1:15" x14ac:dyDescent="0.35">
      <c r="A119" t="s">
        <v>16</v>
      </c>
      <c r="B119" t="s">
        <v>27</v>
      </c>
      <c r="C119">
        <v>2011</v>
      </c>
      <c r="D119" t="s">
        <v>18</v>
      </c>
      <c r="E119" s="3">
        <v>1304988</v>
      </c>
      <c r="F119" s="3">
        <v>1412171</v>
      </c>
      <c r="G119" s="1">
        <f t="shared" si="38"/>
        <v>2717159</v>
      </c>
      <c r="H119" s="2">
        <f t="shared" si="39"/>
        <v>0.48027664188956187</v>
      </c>
      <c r="I119" s="2">
        <f t="shared" si="40"/>
        <v>0.51972335811043813</v>
      </c>
      <c r="J119" s="3">
        <v>1500363.6</v>
      </c>
      <c r="K119" s="3">
        <v>1608552.2</v>
      </c>
      <c r="L119" s="1">
        <f t="shared" si="29"/>
        <v>3108915.8</v>
      </c>
      <c r="M119" s="2">
        <f t="shared" si="30"/>
        <v>0.48260026855664606</v>
      </c>
      <c r="N119" s="2">
        <f t="shared" si="31"/>
        <v>0.51739973144335405</v>
      </c>
      <c r="O119" s="5">
        <f t="shared" si="25"/>
        <v>1144.1788279596447</v>
      </c>
    </row>
    <row r="120" spans="1:15" x14ac:dyDescent="0.35">
      <c r="A120" t="s">
        <v>16</v>
      </c>
      <c r="B120" t="s">
        <v>28</v>
      </c>
      <c r="C120">
        <v>2011</v>
      </c>
      <c r="D120" t="s">
        <v>18</v>
      </c>
      <c r="E120" s="3">
        <v>1297375</v>
      </c>
      <c r="F120" s="3">
        <v>1423443</v>
      </c>
      <c r="G120" s="1">
        <f t="shared" si="38"/>
        <v>2720818</v>
      </c>
      <c r="H120" s="2">
        <f t="shared" si="39"/>
        <v>0.47683270251813975</v>
      </c>
      <c r="I120" s="2">
        <f t="shared" si="40"/>
        <v>0.52316729748186019</v>
      </c>
      <c r="J120" s="3">
        <v>1083664.3</v>
      </c>
      <c r="K120" s="3">
        <v>1203661.8</v>
      </c>
      <c r="L120" s="1">
        <f t="shared" si="29"/>
        <v>2287326.1</v>
      </c>
      <c r="M120" s="2">
        <f t="shared" si="30"/>
        <v>0.47376904412536541</v>
      </c>
      <c r="N120" s="2">
        <f t="shared" si="31"/>
        <v>0.52623095587463453</v>
      </c>
      <c r="O120" s="5">
        <f t="shared" si="25"/>
        <v>840.67589232355863</v>
      </c>
    </row>
    <row r="121" spans="1:15" x14ac:dyDescent="0.35">
      <c r="A121" t="s">
        <v>16</v>
      </c>
      <c r="B121" t="s">
        <v>29</v>
      </c>
      <c r="C121">
        <v>2011</v>
      </c>
      <c r="D121" t="s">
        <v>18</v>
      </c>
      <c r="E121" s="3">
        <v>1290879</v>
      </c>
      <c r="F121" s="3">
        <v>1433186</v>
      </c>
      <c r="G121" s="1">
        <f t="shared" si="38"/>
        <v>2724065</v>
      </c>
      <c r="H121" s="2">
        <f t="shared" si="39"/>
        <v>0.4738796614618227</v>
      </c>
      <c r="I121" s="2">
        <f t="shared" si="40"/>
        <v>0.5261203385381773</v>
      </c>
      <c r="J121" s="3">
        <v>1453965.7</v>
      </c>
      <c r="K121" s="3">
        <v>1655157</v>
      </c>
      <c r="L121" s="1">
        <f t="shared" si="29"/>
        <v>3109122.7</v>
      </c>
      <c r="M121" s="2">
        <f t="shared" si="30"/>
        <v>0.46764500481116422</v>
      </c>
      <c r="N121" s="2">
        <f t="shared" si="31"/>
        <v>0.53235499518883567</v>
      </c>
      <c r="O121" s="5">
        <f t="shared" si="25"/>
        <v>1141.354079289591</v>
      </c>
    </row>
    <row r="122" spans="1:15" x14ac:dyDescent="0.35">
      <c r="A122" t="s">
        <v>16</v>
      </c>
      <c r="B122" t="s">
        <v>17</v>
      </c>
      <c r="C122">
        <v>2012</v>
      </c>
      <c r="D122" t="s">
        <v>18</v>
      </c>
      <c r="E122" s="3">
        <v>1283915</v>
      </c>
      <c r="F122" s="3">
        <v>1442255</v>
      </c>
      <c r="G122" s="1">
        <f>SUM(E122:F122)</f>
        <v>2726170</v>
      </c>
      <c r="H122" s="2">
        <f>SUM(E122)/G122</f>
        <v>0.47095925785992804</v>
      </c>
      <c r="I122" s="2">
        <f>SUM(F122/G122)</f>
        <v>0.52904074214007202</v>
      </c>
      <c r="J122" s="3">
        <v>1650004.3</v>
      </c>
      <c r="K122" s="3">
        <v>1882418.8</v>
      </c>
      <c r="L122" s="1">
        <f t="shared" si="29"/>
        <v>3532423.1</v>
      </c>
      <c r="M122" s="2">
        <f t="shared" si="30"/>
        <v>0.46710268087647827</v>
      </c>
      <c r="N122" s="2">
        <f t="shared" si="31"/>
        <v>0.53289731912352178</v>
      </c>
      <c r="O122" s="5">
        <f t="shared" si="25"/>
        <v>1295.7457165180454</v>
      </c>
    </row>
    <row r="123" spans="1:15" x14ac:dyDescent="0.35">
      <c r="A123" t="s">
        <v>16</v>
      </c>
      <c r="B123" t="s">
        <v>19</v>
      </c>
      <c r="C123">
        <v>2012</v>
      </c>
      <c r="D123" t="s">
        <v>18</v>
      </c>
      <c r="E123" s="3">
        <v>1277014</v>
      </c>
      <c r="F123" s="3">
        <v>1453156</v>
      </c>
      <c r="G123" s="1">
        <f t="shared" ref="G123:G133" si="41">SUM(E123:F123)</f>
        <v>2730170</v>
      </c>
      <c r="H123" s="2">
        <f t="shared" ref="H123:H133" si="42">SUM(E123)/G123</f>
        <v>0.46774156920631316</v>
      </c>
      <c r="I123" s="2">
        <f t="shared" ref="I123:I133" si="43">SUM(F123/G123)</f>
        <v>0.53225843079368684</v>
      </c>
      <c r="J123" s="3">
        <v>1342302</v>
      </c>
      <c r="K123" s="3">
        <v>1566390.1</v>
      </c>
      <c r="L123" s="1">
        <f t="shared" si="29"/>
        <v>2908692.1</v>
      </c>
      <c r="M123" s="2">
        <f t="shared" si="30"/>
        <v>0.4614795770236389</v>
      </c>
      <c r="N123" s="2">
        <f t="shared" si="31"/>
        <v>0.53852042297636116</v>
      </c>
      <c r="O123" s="5">
        <f t="shared" si="25"/>
        <v>1065.388638802712</v>
      </c>
    </row>
    <row r="124" spans="1:15" x14ac:dyDescent="0.35">
      <c r="A124" t="s">
        <v>16</v>
      </c>
      <c r="B124" t="s">
        <v>20</v>
      </c>
      <c r="C124">
        <v>2012</v>
      </c>
      <c r="D124" t="s">
        <v>18</v>
      </c>
      <c r="E124" s="3">
        <v>1270312</v>
      </c>
      <c r="F124" s="3">
        <v>1463750</v>
      </c>
      <c r="G124" s="1">
        <f t="shared" si="41"/>
        <v>2734062</v>
      </c>
      <c r="H124" s="2">
        <f t="shared" si="42"/>
        <v>0.46462443060910835</v>
      </c>
      <c r="I124" s="2">
        <f t="shared" si="43"/>
        <v>0.53537556939089159</v>
      </c>
      <c r="J124" s="3">
        <v>1120815</v>
      </c>
      <c r="K124" s="3">
        <v>1310795.2</v>
      </c>
      <c r="L124" s="1">
        <f t="shared" si="29"/>
        <v>2431610.2000000002</v>
      </c>
      <c r="M124" s="2">
        <f t="shared" si="30"/>
        <v>0.46093530945050315</v>
      </c>
      <c r="N124" s="2">
        <f t="shared" si="31"/>
        <v>0.53906469054949668</v>
      </c>
      <c r="O124" s="5">
        <f t="shared" si="25"/>
        <v>889.37639307374889</v>
      </c>
    </row>
    <row r="125" spans="1:15" x14ac:dyDescent="0.35">
      <c r="A125" t="s">
        <v>16</v>
      </c>
      <c r="B125" t="s">
        <v>21</v>
      </c>
      <c r="C125">
        <v>2012</v>
      </c>
      <c r="D125" t="s">
        <v>18</v>
      </c>
      <c r="E125" s="3">
        <v>1261255</v>
      </c>
      <c r="F125" s="3">
        <v>1474673</v>
      </c>
      <c r="G125" s="1">
        <f t="shared" si="41"/>
        <v>2735928</v>
      </c>
      <c r="H125" s="2">
        <f t="shared" si="42"/>
        <v>0.46099714612372839</v>
      </c>
      <c r="I125" s="2">
        <f t="shared" si="43"/>
        <v>0.53900285387627156</v>
      </c>
      <c r="J125" s="3">
        <v>1096393.7</v>
      </c>
      <c r="K125" s="3">
        <v>1308006.7</v>
      </c>
      <c r="L125" s="1">
        <f t="shared" si="29"/>
        <v>2404400.4</v>
      </c>
      <c r="M125" s="2">
        <f t="shared" si="30"/>
        <v>0.45599464215693858</v>
      </c>
      <c r="N125" s="2">
        <f t="shared" si="31"/>
        <v>0.54400535784306137</v>
      </c>
      <c r="O125" s="5">
        <f t="shared" si="25"/>
        <v>878.82444274849342</v>
      </c>
    </row>
    <row r="126" spans="1:15" x14ac:dyDescent="0.35">
      <c r="A126" t="s">
        <v>16</v>
      </c>
      <c r="B126" t="s">
        <v>22</v>
      </c>
      <c r="C126">
        <v>2012</v>
      </c>
      <c r="D126" t="s">
        <v>18</v>
      </c>
      <c r="E126" s="3">
        <v>1256269</v>
      </c>
      <c r="F126" s="3">
        <v>1482824</v>
      </c>
      <c r="G126" s="1">
        <f t="shared" si="41"/>
        <v>2739093</v>
      </c>
      <c r="H126" s="2">
        <f t="shared" si="42"/>
        <v>0.45864415702570155</v>
      </c>
      <c r="I126" s="2">
        <f t="shared" si="43"/>
        <v>0.5413558429742984</v>
      </c>
      <c r="J126" s="3">
        <v>1296701.2</v>
      </c>
      <c r="K126" s="3">
        <v>1558132.5</v>
      </c>
      <c r="L126" s="1">
        <f t="shared" si="29"/>
        <v>2854833.7</v>
      </c>
      <c r="M126" s="2">
        <f t="shared" si="30"/>
        <v>0.45421251682716224</v>
      </c>
      <c r="N126" s="2">
        <f t="shared" si="31"/>
        <v>0.54578748317283765</v>
      </c>
      <c r="O126" s="5">
        <f t="shared" si="25"/>
        <v>1042.2551187564643</v>
      </c>
    </row>
    <row r="127" spans="1:15" x14ac:dyDescent="0.35">
      <c r="A127" t="s">
        <v>16</v>
      </c>
      <c r="B127" t="s">
        <v>23</v>
      </c>
      <c r="C127">
        <v>2012</v>
      </c>
      <c r="D127" t="s">
        <v>18</v>
      </c>
      <c r="E127" s="3">
        <v>1250102</v>
      </c>
      <c r="F127" s="3">
        <v>1491630</v>
      </c>
      <c r="G127" s="1">
        <f t="shared" si="41"/>
        <v>2741732</v>
      </c>
      <c r="H127" s="2">
        <f t="shared" si="42"/>
        <v>0.45595339004687546</v>
      </c>
      <c r="I127" s="2">
        <f t="shared" si="43"/>
        <v>0.54404660995312448</v>
      </c>
      <c r="J127" s="3">
        <v>1773451</v>
      </c>
      <c r="K127" s="3">
        <v>2113669.7999999998</v>
      </c>
      <c r="L127" s="1">
        <f t="shared" si="29"/>
        <v>3887120.8</v>
      </c>
      <c r="M127" s="2">
        <f t="shared" si="30"/>
        <v>0.45623768625868277</v>
      </c>
      <c r="N127" s="2">
        <f t="shared" si="31"/>
        <v>0.54376231374131723</v>
      </c>
      <c r="O127" s="5">
        <f t="shared" si="25"/>
        <v>1417.7610357248629</v>
      </c>
    </row>
    <row r="128" spans="1:15" x14ac:dyDescent="0.35">
      <c r="A128" t="s">
        <v>16</v>
      </c>
      <c r="B128" t="s">
        <v>24</v>
      </c>
      <c r="C128">
        <v>2012</v>
      </c>
      <c r="D128" t="s">
        <v>18</v>
      </c>
      <c r="E128" s="3">
        <v>1244021</v>
      </c>
      <c r="F128" s="3">
        <v>1499126</v>
      </c>
      <c r="G128" s="1">
        <f t="shared" si="41"/>
        <v>2743147</v>
      </c>
      <c r="H128" s="2">
        <f t="shared" si="42"/>
        <v>0.45350139821161606</v>
      </c>
      <c r="I128" s="2">
        <f t="shared" si="43"/>
        <v>0.54649860178838394</v>
      </c>
      <c r="J128" s="3">
        <v>2171828.9</v>
      </c>
      <c r="K128" s="3">
        <v>2583950.6</v>
      </c>
      <c r="L128" s="1">
        <f t="shared" si="29"/>
        <v>4755779.5</v>
      </c>
      <c r="M128" s="2">
        <f t="shared" si="30"/>
        <v>0.45667148781813788</v>
      </c>
      <c r="N128" s="2">
        <f t="shared" si="31"/>
        <v>0.54332851218186207</v>
      </c>
      <c r="O128" s="5">
        <f t="shared" si="25"/>
        <v>1733.6947309057809</v>
      </c>
    </row>
    <row r="129" spans="1:15" x14ac:dyDescent="0.35">
      <c r="A129" t="s">
        <v>16</v>
      </c>
      <c r="B129" t="s">
        <v>25</v>
      </c>
      <c r="C129">
        <v>2012</v>
      </c>
      <c r="D129" t="s">
        <v>18</v>
      </c>
      <c r="E129" s="3">
        <v>1237492</v>
      </c>
      <c r="F129" s="3">
        <v>1507378</v>
      </c>
      <c r="G129" s="1">
        <f t="shared" si="41"/>
        <v>2744870</v>
      </c>
      <c r="H129" s="2">
        <f t="shared" si="42"/>
        <v>0.45083810890861864</v>
      </c>
      <c r="I129" s="2">
        <f t="shared" si="43"/>
        <v>0.54916189109138136</v>
      </c>
      <c r="J129" s="3">
        <v>2315624.7000000002</v>
      </c>
      <c r="K129" s="3">
        <v>2778401.2</v>
      </c>
      <c r="L129" s="1">
        <f t="shared" si="29"/>
        <v>5094025.9000000004</v>
      </c>
      <c r="M129" s="2">
        <f t="shared" si="30"/>
        <v>0.45457654622447052</v>
      </c>
      <c r="N129" s="2">
        <f t="shared" si="31"/>
        <v>0.54542345377552948</v>
      </c>
      <c r="O129" s="5">
        <f t="shared" si="25"/>
        <v>1855.8350304385999</v>
      </c>
    </row>
    <row r="130" spans="1:15" x14ac:dyDescent="0.35">
      <c r="A130" t="s">
        <v>16</v>
      </c>
      <c r="B130" t="s">
        <v>26</v>
      </c>
      <c r="C130">
        <v>2012</v>
      </c>
      <c r="D130" t="s">
        <v>18</v>
      </c>
      <c r="E130" s="3">
        <v>1231318</v>
      </c>
      <c r="F130" s="3">
        <v>1515605</v>
      </c>
      <c r="G130" s="1">
        <f t="shared" si="41"/>
        <v>2746923</v>
      </c>
      <c r="H130" s="2">
        <f t="shared" si="42"/>
        <v>0.44825355497769687</v>
      </c>
      <c r="I130" s="2">
        <f t="shared" si="43"/>
        <v>0.55174644502230319</v>
      </c>
      <c r="J130" s="3">
        <v>1986975.3</v>
      </c>
      <c r="K130" s="3">
        <v>2422637.7999999998</v>
      </c>
      <c r="L130" s="1">
        <f t="shared" si="29"/>
        <v>4409613.0999999996</v>
      </c>
      <c r="M130" s="2">
        <f t="shared" si="30"/>
        <v>0.45060082482066288</v>
      </c>
      <c r="N130" s="2">
        <f t="shared" si="31"/>
        <v>0.54939917517933712</v>
      </c>
      <c r="O130" s="5">
        <f t="shared" si="25"/>
        <v>1605.2918483699762</v>
      </c>
    </row>
    <row r="131" spans="1:15" x14ac:dyDescent="0.35">
      <c r="A131" t="s">
        <v>16</v>
      </c>
      <c r="B131" t="s">
        <v>27</v>
      </c>
      <c r="C131">
        <v>2012</v>
      </c>
      <c r="D131" t="s">
        <v>18</v>
      </c>
      <c r="E131" s="3">
        <v>1226235</v>
      </c>
      <c r="F131" s="3">
        <v>1523098</v>
      </c>
      <c r="G131" s="1">
        <f t="shared" si="41"/>
        <v>2749333</v>
      </c>
      <c r="H131" s="2">
        <f t="shared" si="42"/>
        <v>0.44601181450191735</v>
      </c>
      <c r="I131" s="2">
        <f t="shared" si="43"/>
        <v>0.5539881854980826</v>
      </c>
      <c r="J131" s="3">
        <v>1341095</v>
      </c>
      <c r="K131" s="3">
        <v>1677252.2</v>
      </c>
      <c r="L131" s="1">
        <f t="shared" si="29"/>
        <v>3018347.2</v>
      </c>
      <c r="M131" s="2">
        <f t="shared" si="30"/>
        <v>0.44431435853370344</v>
      </c>
      <c r="N131" s="2">
        <f t="shared" si="31"/>
        <v>0.55568564146629651</v>
      </c>
      <c r="O131" s="5">
        <f t="shared" ref="O131:O193" si="44">SUM(1000*L131)/G131</f>
        <v>1097.8470778185108</v>
      </c>
    </row>
    <row r="132" spans="1:15" x14ac:dyDescent="0.35">
      <c r="A132" t="s">
        <v>16</v>
      </c>
      <c r="B132" t="s">
        <v>28</v>
      </c>
      <c r="C132">
        <v>2012</v>
      </c>
      <c r="D132" t="s">
        <v>18</v>
      </c>
      <c r="E132" s="3">
        <v>1221621</v>
      </c>
      <c r="F132" s="3">
        <v>1530899</v>
      </c>
      <c r="G132" s="1">
        <f t="shared" si="41"/>
        <v>2752520</v>
      </c>
      <c r="H132" s="2">
        <f t="shared" si="42"/>
        <v>0.44381911848051969</v>
      </c>
      <c r="I132" s="2">
        <f t="shared" si="43"/>
        <v>0.55618088151948031</v>
      </c>
      <c r="J132" s="3">
        <v>1062952</v>
      </c>
      <c r="K132" s="3">
        <v>1364479.2</v>
      </c>
      <c r="L132" s="1">
        <f t="shared" si="29"/>
        <v>2427431.2000000002</v>
      </c>
      <c r="M132" s="2">
        <f t="shared" si="30"/>
        <v>0.43789171038091623</v>
      </c>
      <c r="N132" s="2">
        <f t="shared" si="31"/>
        <v>0.56210828961908366</v>
      </c>
      <c r="O132" s="5">
        <f t="shared" si="44"/>
        <v>881.89411884382309</v>
      </c>
    </row>
    <row r="133" spans="1:15" x14ac:dyDescent="0.35">
      <c r="A133" t="s">
        <v>16</v>
      </c>
      <c r="B133" t="s">
        <v>29</v>
      </c>
      <c r="C133">
        <v>2012</v>
      </c>
      <c r="D133" t="s">
        <v>18</v>
      </c>
      <c r="E133" s="3">
        <v>1218569</v>
      </c>
      <c r="F133" s="3">
        <v>1536426</v>
      </c>
      <c r="G133" s="1">
        <f t="shared" si="41"/>
        <v>2754995</v>
      </c>
      <c r="H133" s="2">
        <f t="shared" si="42"/>
        <v>0.44231259947840196</v>
      </c>
      <c r="I133" s="2">
        <f t="shared" si="43"/>
        <v>0.55768740052159804</v>
      </c>
      <c r="J133" s="3">
        <v>1156843.8</v>
      </c>
      <c r="K133" s="3">
        <v>1496023.4</v>
      </c>
      <c r="L133" s="1">
        <f t="shared" si="29"/>
        <v>2652867.2000000002</v>
      </c>
      <c r="M133" s="2">
        <f t="shared" si="30"/>
        <v>0.43607301564134082</v>
      </c>
      <c r="N133" s="2">
        <f t="shared" si="31"/>
        <v>0.56392698435865907</v>
      </c>
      <c r="O133" s="5">
        <f t="shared" si="44"/>
        <v>962.92995087105419</v>
      </c>
    </row>
    <row r="134" spans="1:15" x14ac:dyDescent="0.35">
      <c r="A134" t="s">
        <v>16</v>
      </c>
      <c r="B134" t="s">
        <v>17</v>
      </c>
      <c r="C134">
        <v>2013</v>
      </c>
      <c r="D134" t="s">
        <v>18</v>
      </c>
      <c r="E134" s="3">
        <v>1214643</v>
      </c>
      <c r="F134" s="3">
        <v>1542102</v>
      </c>
      <c r="G134" s="1">
        <f>SUM(E134:F134)</f>
        <v>2756745</v>
      </c>
      <c r="H134" s="2">
        <f>SUM(E134)/G134</f>
        <v>0.44060767317978267</v>
      </c>
      <c r="I134" s="2">
        <f>SUM(F134/G134)</f>
        <v>0.55939232682021733</v>
      </c>
      <c r="J134" s="3">
        <v>1642284.4</v>
      </c>
      <c r="K134" s="3">
        <v>2153957.5</v>
      </c>
      <c r="L134" s="1">
        <f t="shared" si="29"/>
        <v>3796241.9</v>
      </c>
      <c r="M134" s="2">
        <f t="shared" si="30"/>
        <v>0.43260794313449835</v>
      </c>
      <c r="N134" s="2">
        <f t="shared" si="31"/>
        <v>0.56739205686550165</v>
      </c>
      <c r="O134" s="5">
        <f t="shared" si="44"/>
        <v>1377.0740130117222</v>
      </c>
    </row>
    <row r="135" spans="1:15" x14ac:dyDescent="0.35">
      <c r="A135" t="s">
        <v>16</v>
      </c>
      <c r="B135" t="s">
        <v>19</v>
      </c>
      <c r="C135">
        <v>2013</v>
      </c>
      <c r="D135" t="s">
        <v>18</v>
      </c>
      <c r="E135" s="3">
        <v>1209902</v>
      </c>
      <c r="F135" s="3">
        <v>1551094</v>
      </c>
      <c r="G135" s="1">
        <f t="shared" ref="G135:G145" si="45">SUM(E135:F135)</f>
        <v>2760996</v>
      </c>
      <c r="H135" s="2">
        <f t="shared" ref="H135:H145" si="46">SUM(E135)/G135</f>
        <v>0.43821215242615347</v>
      </c>
      <c r="I135" s="2">
        <f t="shared" ref="I135:I145" si="47">SUM(F135/G135)</f>
        <v>0.56178784757384659</v>
      </c>
      <c r="J135" s="3">
        <v>1265639.3999999999</v>
      </c>
      <c r="K135" s="3">
        <v>1666432.4</v>
      </c>
      <c r="L135" s="1">
        <f t="shared" si="29"/>
        <v>2932071.8</v>
      </c>
      <c r="M135" s="2">
        <f t="shared" si="30"/>
        <v>0.43165361775929223</v>
      </c>
      <c r="N135" s="2">
        <f t="shared" si="31"/>
        <v>0.56834638224070777</v>
      </c>
      <c r="O135" s="5">
        <f t="shared" si="44"/>
        <v>1061.9616254424129</v>
      </c>
    </row>
    <row r="136" spans="1:15" x14ac:dyDescent="0.35">
      <c r="A136" t="s">
        <v>16</v>
      </c>
      <c r="B136" t="s">
        <v>20</v>
      </c>
      <c r="C136">
        <v>2013</v>
      </c>
      <c r="D136" t="s">
        <v>18</v>
      </c>
      <c r="E136" s="3">
        <v>1204186</v>
      </c>
      <c r="F136" s="3">
        <v>1560662</v>
      </c>
      <c r="G136" s="1">
        <f t="shared" si="45"/>
        <v>2764848</v>
      </c>
      <c r="H136" s="2">
        <f t="shared" si="46"/>
        <v>0.43553424998408591</v>
      </c>
      <c r="I136" s="2">
        <f t="shared" si="47"/>
        <v>0.56446575001591404</v>
      </c>
      <c r="J136" s="3">
        <v>1169722.8</v>
      </c>
      <c r="K136" s="3">
        <v>1557074.3</v>
      </c>
      <c r="L136" s="1">
        <f t="shared" si="29"/>
        <v>2726797.1</v>
      </c>
      <c r="M136" s="2">
        <f t="shared" si="30"/>
        <v>0.42897317149119751</v>
      </c>
      <c r="N136" s="2">
        <f t="shared" si="31"/>
        <v>0.57102682850880249</v>
      </c>
      <c r="O136" s="5">
        <f t="shared" si="44"/>
        <v>986.23761595574149</v>
      </c>
    </row>
    <row r="137" spans="1:15" x14ac:dyDescent="0.35">
      <c r="A137" t="s">
        <v>16</v>
      </c>
      <c r="B137" t="s">
        <v>21</v>
      </c>
      <c r="C137">
        <v>2013</v>
      </c>
      <c r="D137" t="s">
        <v>18</v>
      </c>
      <c r="E137" s="3">
        <v>1198150</v>
      </c>
      <c r="F137" s="3">
        <v>1570166</v>
      </c>
      <c r="G137" s="1">
        <f t="shared" si="45"/>
        <v>2768316</v>
      </c>
      <c r="H137" s="2">
        <f t="shared" si="46"/>
        <v>0.43280824876928792</v>
      </c>
      <c r="I137" s="2">
        <f t="shared" si="47"/>
        <v>0.56719175123071208</v>
      </c>
      <c r="J137" s="3">
        <v>1065418.7</v>
      </c>
      <c r="K137" s="3">
        <v>1429684.6</v>
      </c>
      <c r="L137" s="1">
        <f t="shared" si="29"/>
        <v>2495103.2999999998</v>
      </c>
      <c r="M137" s="2">
        <f t="shared" si="30"/>
        <v>0.42700384388894841</v>
      </c>
      <c r="N137" s="2">
        <f t="shared" si="31"/>
        <v>0.5729961561110517</v>
      </c>
      <c r="O137" s="5">
        <f t="shared" si="44"/>
        <v>901.30725683050639</v>
      </c>
    </row>
    <row r="138" spans="1:15" x14ac:dyDescent="0.35">
      <c r="A138" t="s">
        <v>16</v>
      </c>
      <c r="B138" t="s">
        <v>22</v>
      </c>
      <c r="C138">
        <v>2013</v>
      </c>
      <c r="D138" t="s">
        <v>18</v>
      </c>
      <c r="E138" s="3">
        <v>1194051</v>
      </c>
      <c r="F138" s="3">
        <v>1577641</v>
      </c>
      <c r="G138" s="1">
        <f t="shared" si="45"/>
        <v>2771692</v>
      </c>
      <c r="H138" s="2">
        <f t="shared" si="46"/>
        <v>0.43080219591498625</v>
      </c>
      <c r="I138" s="2">
        <f t="shared" si="47"/>
        <v>0.56919780408501375</v>
      </c>
      <c r="J138" s="3">
        <v>1048876.8999999999</v>
      </c>
      <c r="K138" s="3">
        <v>1423689.8</v>
      </c>
      <c r="L138" s="1">
        <f t="shared" si="29"/>
        <v>2472566.7000000002</v>
      </c>
      <c r="M138" s="2">
        <f t="shared" si="30"/>
        <v>0.42420570494620019</v>
      </c>
      <c r="N138" s="2">
        <f t="shared" si="31"/>
        <v>0.57579429505379975</v>
      </c>
      <c r="O138" s="5">
        <f t="shared" si="44"/>
        <v>892.07844883197697</v>
      </c>
    </row>
    <row r="139" spans="1:15" x14ac:dyDescent="0.35">
      <c r="A139" t="s">
        <v>16</v>
      </c>
      <c r="B139" t="s">
        <v>23</v>
      </c>
      <c r="C139">
        <v>2013</v>
      </c>
      <c r="D139" t="s">
        <v>18</v>
      </c>
      <c r="E139" s="3">
        <v>1190015</v>
      </c>
      <c r="F139" s="3">
        <v>1584717</v>
      </c>
      <c r="G139" s="1">
        <f t="shared" si="45"/>
        <v>2774732</v>
      </c>
      <c r="H139" s="2">
        <f t="shared" si="46"/>
        <v>0.42887565357663371</v>
      </c>
      <c r="I139" s="2">
        <f t="shared" si="47"/>
        <v>0.57112434642336629</v>
      </c>
      <c r="J139" s="3">
        <v>1529713.5</v>
      </c>
      <c r="K139" s="3">
        <v>2048795</v>
      </c>
      <c r="L139" s="1">
        <f t="shared" si="29"/>
        <v>3578508.5</v>
      </c>
      <c r="M139" s="2">
        <f t="shared" si="30"/>
        <v>0.42747236732845539</v>
      </c>
      <c r="N139" s="2">
        <f t="shared" si="31"/>
        <v>0.57252763267154461</v>
      </c>
      <c r="O139" s="5">
        <f t="shared" si="44"/>
        <v>1289.6771652181183</v>
      </c>
    </row>
    <row r="140" spans="1:15" x14ac:dyDescent="0.35">
      <c r="A140" t="s">
        <v>16</v>
      </c>
      <c r="B140" t="s">
        <v>24</v>
      </c>
      <c r="C140">
        <v>2013</v>
      </c>
      <c r="D140" t="s">
        <v>18</v>
      </c>
      <c r="E140" s="3">
        <v>1184056</v>
      </c>
      <c r="F140" s="3">
        <v>1593288</v>
      </c>
      <c r="G140" s="1">
        <f t="shared" si="45"/>
        <v>2777344</v>
      </c>
      <c r="H140" s="2">
        <f t="shared" si="46"/>
        <v>0.42632673518296615</v>
      </c>
      <c r="I140" s="2">
        <f t="shared" si="47"/>
        <v>0.57367326481703385</v>
      </c>
      <c r="J140" s="3">
        <v>1962127.9</v>
      </c>
      <c r="K140" s="3">
        <v>2616445.4</v>
      </c>
      <c r="L140" s="1">
        <f t="shared" si="29"/>
        <v>4578573.3</v>
      </c>
      <c r="M140" s="2">
        <f t="shared" si="30"/>
        <v>0.42854570003280279</v>
      </c>
      <c r="N140" s="2">
        <f t="shared" si="31"/>
        <v>0.57145429996719721</v>
      </c>
      <c r="O140" s="5">
        <f t="shared" si="44"/>
        <v>1648.5438246036501</v>
      </c>
    </row>
    <row r="141" spans="1:15" x14ac:dyDescent="0.35">
      <c r="A141" t="s">
        <v>16</v>
      </c>
      <c r="B141" t="s">
        <v>25</v>
      </c>
      <c r="C141">
        <v>2013</v>
      </c>
      <c r="D141" t="s">
        <v>18</v>
      </c>
      <c r="E141" s="3">
        <v>1179986</v>
      </c>
      <c r="F141" s="3">
        <v>1601728</v>
      </c>
      <c r="G141" s="1">
        <f t="shared" si="45"/>
        <v>2781714</v>
      </c>
      <c r="H141" s="2">
        <f t="shared" si="46"/>
        <v>0.42419386033215495</v>
      </c>
      <c r="I141" s="2">
        <f t="shared" si="47"/>
        <v>0.57580613966784511</v>
      </c>
      <c r="J141" s="3">
        <v>2027769.4</v>
      </c>
      <c r="K141" s="3">
        <v>2725951.2</v>
      </c>
      <c r="L141" s="1">
        <f t="shared" si="29"/>
        <v>4753720.5999999996</v>
      </c>
      <c r="M141" s="2">
        <f t="shared" si="30"/>
        <v>0.42656469965862109</v>
      </c>
      <c r="N141" s="2">
        <f t="shared" si="31"/>
        <v>0.57343530034137902</v>
      </c>
      <c r="O141" s="5">
        <f t="shared" si="44"/>
        <v>1708.9178111049519</v>
      </c>
    </row>
    <row r="142" spans="1:15" x14ac:dyDescent="0.35">
      <c r="A142" t="s">
        <v>16</v>
      </c>
      <c r="B142" t="s">
        <v>26</v>
      </c>
      <c r="C142">
        <v>2013</v>
      </c>
      <c r="D142" t="s">
        <v>18</v>
      </c>
      <c r="E142" s="3">
        <v>1176292</v>
      </c>
      <c r="F142" s="3">
        <v>1606918</v>
      </c>
      <c r="G142" s="1">
        <f t="shared" si="45"/>
        <v>2783210</v>
      </c>
      <c r="H142" s="2">
        <f t="shared" si="46"/>
        <v>0.42263860793831581</v>
      </c>
      <c r="I142" s="2">
        <f t="shared" si="47"/>
        <v>0.57736139206168413</v>
      </c>
      <c r="J142" s="3">
        <v>2054522.3</v>
      </c>
      <c r="K142" s="3">
        <v>2788716.5</v>
      </c>
      <c r="L142" s="1">
        <f t="shared" si="29"/>
        <v>4843238.8</v>
      </c>
      <c r="M142" s="2">
        <f t="shared" si="30"/>
        <v>0.42420421227216798</v>
      </c>
      <c r="N142" s="2">
        <f t="shared" si="31"/>
        <v>0.57579578772783202</v>
      </c>
      <c r="O142" s="5">
        <f t="shared" si="44"/>
        <v>1740.1629054221564</v>
      </c>
    </row>
    <row r="143" spans="1:15" x14ac:dyDescent="0.35">
      <c r="A143" t="s">
        <v>16</v>
      </c>
      <c r="B143" t="s">
        <v>27</v>
      </c>
      <c r="C143">
        <v>2013</v>
      </c>
      <c r="D143" t="s">
        <v>18</v>
      </c>
      <c r="E143" s="3">
        <v>1171738</v>
      </c>
      <c r="F143" s="3">
        <v>1613889</v>
      </c>
      <c r="G143" s="1">
        <f t="shared" si="45"/>
        <v>2785627</v>
      </c>
      <c r="H143" s="2">
        <f t="shared" si="46"/>
        <v>0.42063707739765588</v>
      </c>
      <c r="I143" s="2">
        <f t="shared" si="47"/>
        <v>0.57936292260234412</v>
      </c>
      <c r="J143" s="3">
        <v>1422743.5</v>
      </c>
      <c r="K143" s="3">
        <v>1971354.5</v>
      </c>
      <c r="L143" s="1">
        <f t="shared" ref="L143:L193" si="48">SUM(J143:K143)</f>
        <v>3394098</v>
      </c>
      <c r="M143" s="2">
        <f t="shared" ref="M143:M193" si="49">SUM(J143)/L143</f>
        <v>0.41918162056605318</v>
      </c>
      <c r="N143" s="2">
        <f t="shared" ref="N143:N193" si="50">SUM(K143/L143)</f>
        <v>0.58081837943394676</v>
      </c>
      <c r="O143" s="5">
        <f t="shared" si="44"/>
        <v>1218.4323313925374</v>
      </c>
    </row>
    <row r="144" spans="1:15" x14ac:dyDescent="0.35">
      <c r="A144" t="s">
        <v>16</v>
      </c>
      <c r="B144" t="s">
        <v>28</v>
      </c>
      <c r="C144">
        <v>2013</v>
      </c>
      <c r="D144" t="s">
        <v>18</v>
      </c>
      <c r="E144" s="3">
        <v>1167735</v>
      </c>
      <c r="F144" s="3">
        <v>1621191</v>
      </c>
      <c r="G144" s="1">
        <f t="shared" si="45"/>
        <v>2788926</v>
      </c>
      <c r="H144" s="2">
        <f t="shared" si="46"/>
        <v>0.41870418935461179</v>
      </c>
      <c r="I144" s="2">
        <f t="shared" si="47"/>
        <v>0.58129581064538827</v>
      </c>
      <c r="J144" s="3">
        <v>931299.4</v>
      </c>
      <c r="K144" s="3">
        <v>1321132.1000000001</v>
      </c>
      <c r="L144" s="1">
        <f t="shared" si="48"/>
        <v>2252431.5</v>
      </c>
      <c r="M144" s="2">
        <f t="shared" si="49"/>
        <v>0.41346402765189533</v>
      </c>
      <c r="N144" s="2">
        <f t="shared" si="50"/>
        <v>0.58653597234810473</v>
      </c>
      <c r="O144" s="5">
        <f t="shared" si="44"/>
        <v>807.63401395375854</v>
      </c>
    </row>
    <row r="145" spans="1:15" x14ac:dyDescent="0.35">
      <c r="A145" t="s">
        <v>16</v>
      </c>
      <c r="B145" t="s">
        <v>29</v>
      </c>
      <c r="C145">
        <v>2013</v>
      </c>
      <c r="D145" t="s">
        <v>18</v>
      </c>
      <c r="E145" s="3">
        <v>1166181</v>
      </c>
      <c r="F145" s="3">
        <v>1625104</v>
      </c>
      <c r="G145" s="1">
        <f t="shared" si="45"/>
        <v>2791285</v>
      </c>
      <c r="H145" s="2">
        <f t="shared" si="46"/>
        <v>0.41779359685592837</v>
      </c>
      <c r="I145" s="2">
        <f t="shared" si="47"/>
        <v>0.58220640314407168</v>
      </c>
      <c r="J145" s="3">
        <v>1494155.9</v>
      </c>
      <c r="K145" s="3">
        <v>2179292.6</v>
      </c>
      <c r="L145" s="1">
        <f t="shared" si="48"/>
        <v>3673448.5</v>
      </c>
      <c r="M145" s="2">
        <f t="shared" si="49"/>
        <v>0.40674475224029955</v>
      </c>
      <c r="N145" s="2">
        <f t="shared" si="50"/>
        <v>0.59325524775970051</v>
      </c>
      <c r="O145" s="5">
        <f t="shared" si="44"/>
        <v>1316.0420738118823</v>
      </c>
    </row>
    <row r="146" spans="1:15" x14ac:dyDescent="0.35">
      <c r="A146" t="s">
        <v>16</v>
      </c>
      <c r="B146" t="s">
        <v>17</v>
      </c>
      <c r="C146">
        <v>2014</v>
      </c>
      <c r="D146" t="s">
        <v>18</v>
      </c>
      <c r="E146" s="3">
        <v>1164328</v>
      </c>
      <c r="F146" s="3">
        <v>1629957</v>
      </c>
      <c r="G146" s="1">
        <f>SUM(E146:F146)</f>
        <v>2794285</v>
      </c>
      <c r="H146" s="2">
        <f>SUM(E146)/G146</f>
        <v>0.41668190610478173</v>
      </c>
      <c r="I146" s="2">
        <f>SUM(F146/G146)</f>
        <v>0.58331809389521827</v>
      </c>
      <c r="J146" s="3">
        <v>1750269.6</v>
      </c>
      <c r="K146" s="3">
        <v>2554073.4</v>
      </c>
      <c r="L146" s="1">
        <f t="shared" si="48"/>
        <v>4304343</v>
      </c>
      <c r="M146" s="2">
        <f t="shared" si="49"/>
        <v>0.40662874682617073</v>
      </c>
      <c r="N146" s="2">
        <f t="shared" si="50"/>
        <v>0.59337125317382933</v>
      </c>
      <c r="O146" s="5">
        <f t="shared" si="44"/>
        <v>1540.4094428449496</v>
      </c>
    </row>
    <row r="147" spans="1:15" x14ac:dyDescent="0.35">
      <c r="A147" t="s">
        <v>16</v>
      </c>
      <c r="B147" t="s">
        <v>19</v>
      </c>
      <c r="C147">
        <v>2014</v>
      </c>
      <c r="D147" t="s">
        <v>18</v>
      </c>
      <c r="E147" s="3">
        <v>1158989</v>
      </c>
      <c r="F147" s="3">
        <v>1639211</v>
      </c>
      <c r="G147" s="1">
        <f t="shared" ref="G147:G157" si="51">SUM(E147:F147)</f>
        <v>2798200</v>
      </c>
      <c r="H147" s="2">
        <f t="shared" ref="H147:H157" si="52">SUM(E147)/G147</f>
        <v>0.41419090844114076</v>
      </c>
      <c r="I147" s="2">
        <f t="shared" ref="I147:I157" si="53">SUM(F147/G147)</f>
        <v>0.5858090915588593</v>
      </c>
      <c r="J147" s="3">
        <v>1539965.6</v>
      </c>
      <c r="K147" s="3">
        <v>2280308.2999999998</v>
      </c>
      <c r="L147" s="1">
        <f t="shared" si="48"/>
        <v>3820273.9</v>
      </c>
      <c r="M147" s="2">
        <f t="shared" si="49"/>
        <v>0.40310345287022487</v>
      </c>
      <c r="N147" s="2">
        <f t="shared" si="50"/>
        <v>0.59689654712977513</v>
      </c>
      <c r="O147" s="5">
        <f t="shared" si="44"/>
        <v>1365.2612036309056</v>
      </c>
    </row>
    <row r="148" spans="1:15" x14ac:dyDescent="0.35">
      <c r="A148" t="s">
        <v>16</v>
      </c>
      <c r="B148" t="s">
        <v>20</v>
      </c>
      <c r="C148">
        <v>2014</v>
      </c>
      <c r="D148" t="s">
        <v>18</v>
      </c>
      <c r="E148" s="3">
        <v>1153570</v>
      </c>
      <c r="F148" s="3">
        <v>1647798</v>
      </c>
      <c r="G148" s="1">
        <f t="shared" si="51"/>
        <v>2801368</v>
      </c>
      <c r="H148" s="2">
        <f t="shared" si="52"/>
        <v>0.41178809781506748</v>
      </c>
      <c r="I148" s="2">
        <f t="shared" si="53"/>
        <v>0.58821190218493247</v>
      </c>
      <c r="J148" s="3">
        <v>1298048.8999999999</v>
      </c>
      <c r="K148" s="3">
        <v>1920295.9</v>
      </c>
      <c r="L148" s="1">
        <f t="shared" si="48"/>
        <v>3218344.8</v>
      </c>
      <c r="M148" s="2">
        <f t="shared" si="49"/>
        <v>0.40332810207284192</v>
      </c>
      <c r="N148" s="2">
        <f t="shared" si="50"/>
        <v>0.59667189792715813</v>
      </c>
      <c r="O148" s="5">
        <f t="shared" si="44"/>
        <v>1148.8475630477681</v>
      </c>
    </row>
    <row r="149" spans="1:15" x14ac:dyDescent="0.35">
      <c r="A149" t="s">
        <v>16</v>
      </c>
      <c r="B149" t="s">
        <v>21</v>
      </c>
      <c r="C149">
        <v>2014</v>
      </c>
      <c r="D149" t="s">
        <v>18</v>
      </c>
      <c r="E149" s="3">
        <v>1149980</v>
      </c>
      <c r="F149" s="3">
        <v>1655520</v>
      </c>
      <c r="G149" s="1">
        <f t="shared" si="51"/>
        <v>2805500</v>
      </c>
      <c r="H149" s="2">
        <f t="shared" si="52"/>
        <v>0.4099019782569952</v>
      </c>
      <c r="I149" s="2">
        <f t="shared" si="53"/>
        <v>0.59009802174300485</v>
      </c>
      <c r="J149" s="3">
        <v>1029027.3</v>
      </c>
      <c r="K149" s="3">
        <v>1518660.2</v>
      </c>
      <c r="L149" s="1">
        <f t="shared" si="48"/>
        <v>2547687.5</v>
      </c>
      <c r="M149" s="2">
        <f t="shared" si="49"/>
        <v>0.40390640531854871</v>
      </c>
      <c r="N149" s="2">
        <f t="shared" si="50"/>
        <v>0.59609359468145129</v>
      </c>
      <c r="O149" s="5">
        <f t="shared" si="44"/>
        <v>908.10461593298874</v>
      </c>
    </row>
    <row r="150" spans="1:15" x14ac:dyDescent="0.35">
      <c r="A150" t="s">
        <v>16</v>
      </c>
      <c r="B150" t="s">
        <v>22</v>
      </c>
      <c r="C150">
        <v>2014</v>
      </c>
      <c r="D150" t="s">
        <v>18</v>
      </c>
      <c r="E150" s="3">
        <v>1147065</v>
      </c>
      <c r="F150" s="3">
        <v>1662096</v>
      </c>
      <c r="G150" s="1">
        <f t="shared" si="51"/>
        <v>2809161</v>
      </c>
      <c r="H150" s="2">
        <f t="shared" si="52"/>
        <v>0.4083301028314148</v>
      </c>
      <c r="I150" s="2">
        <f t="shared" si="53"/>
        <v>0.5916698971685852</v>
      </c>
      <c r="J150" s="3">
        <v>1048186.9</v>
      </c>
      <c r="K150" s="3">
        <v>1562727.8</v>
      </c>
      <c r="L150" s="1">
        <f t="shared" si="48"/>
        <v>2610914.7000000002</v>
      </c>
      <c r="M150" s="2">
        <f t="shared" si="49"/>
        <v>0.40146347944649435</v>
      </c>
      <c r="N150" s="2">
        <f t="shared" si="50"/>
        <v>0.59853652055350559</v>
      </c>
      <c r="O150" s="5">
        <f t="shared" si="44"/>
        <v>929.42864435324282</v>
      </c>
    </row>
    <row r="151" spans="1:15" x14ac:dyDescent="0.35">
      <c r="A151" t="s">
        <v>16</v>
      </c>
      <c r="B151" t="s">
        <v>23</v>
      </c>
      <c r="C151">
        <v>2014</v>
      </c>
      <c r="D151" t="s">
        <v>18</v>
      </c>
      <c r="E151" s="3">
        <v>1143297</v>
      </c>
      <c r="F151" s="3">
        <v>1668883</v>
      </c>
      <c r="G151" s="1">
        <f t="shared" si="51"/>
        <v>2812180</v>
      </c>
      <c r="H151" s="2">
        <f t="shared" si="52"/>
        <v>0.4065518565667916</v>
      </c>
      <c r="I151" s="2">
        <f t="shared" si="53"/>
        <v>0.5934481434332084</v>
      </c>
      <c r="J151" s="3">
        <v>1439021</v>
      </c>
      <c r="K151" s="3">
        <v>2124699.7999999998</v>
      </c>
      <c r="L151" s="1">
        <f t="shared" si="48"/>
        <v>3563720.8</v>
      </c>
      <c r="M151" s="2">
        <f t="shared" si="49"/>
        <v>0.40379734574044074</v>
      </c>
      <c r="N151" s="2">
        <f t="shared" si="50"/>
        <v>0.59620265425955921</v>
      </c>
      <c r="O151" s="5">
        <f t="shared" si="44"/>
        <v>1267.2449131990129</v>
      </c>
    </row>
    <row r="152" spans="1:15" x14ac:dyDescent="0.35">
      <c r="A152" t="s">
        <v>16</v>
      </c>
      <c r="B152" t="s">
        <v>24</v>
      </c>
      <c r="C152">
        <v>2014</v>
      </c>
      <c r="D152" t="s">
        <v>18</v>
      </c>
      <c r="E152" s="3">
        <v>1138283</v>
      </c>
      <c r="F152" s="3">
        <v>1677613</v>
      </c>
      <c r="G152" s="1">
        <f t="shared" si="51"/>
        <v>2815896</v>
      </c>
      <c r="H152" s="2">
        <f t="shared" si="52"/>
        <v>0.40423474446499447</v>
      </c>
      <c r="I152" s="2">
        <f t="shared" si="53"/>
        <v>0.59576525553500559</v>
      </c>
      <c r="J152" s="3">
        <v>1723534.2</v>
      </c>
      <c r="K152" s="3">
        <v>2536304.2000000002</v>
      </c>
      <c r="L152" s="1">
        <f t="shared" si="48"/>
        <v>4259838.4000000004</v>
      </c>
      <c r="M152" s="2">
        <f t="shared" si="49"/>
        <v>0.40460084119622935</v>
      </c>
      <c r="N152" s="2">
        <f t="shared" si="50"/>
        <v>0.59539915880377059</v>
      </c>
      <c r="O152" s="5">
        <f t="shared" si="44"/>
        <v>1512.7825743564395</v>
      </c>
    </row>
    <row r="153" spans="1:15" x14ac:dyDescent="0.35">
      <c r="A153" t="s">
        <v>16</v>
      </c>
      <c r="B153" t="s">
        <v>25</v>
      </c>
      <c r="C153">
        <v>2014</v>
      </c>
      <c r="D153" t="s">
        <v>18</v>
      </c>
      <c r="E153" s="3">
        <v>1132278</v>
      </c>
      <c r="F153" s="3">
        <v>1687229</v>
      </c>
      <c r="G153" s="1">
        <f t="shared" si="51"/>
        <v>2819507</v>
      </c>
      <c r="H153" s="2">
        <f t="shared" si="52"/>
        <v>0.40158722783805822</v>
      </c>
      <c r="I153" s="2">
        <f t="shared" si="53"/>
        <v>0.59841277216194178</v>
      </c>
      <c r="J153" s="3">
        <v>1773734.4</v>
      </c>
      <c r="K153" s="3">
        <v>2622310.2999999998</v>
      </c>
      <c r="L153" s="1">
        <f t="shared" si="48"/>
        <v>4396044.6999999993</v>
      </c>
      <c r="M153" s="2">
        <f t="shared" si="49"/>
        <v>0.40348415929437664</v>
      </c>
      <c r="N153" s="2">
        <f t="shared" si="50"/>
        <v>0.59651584070562347</v>
      </c>
      <c r="O153" s="5">
        <f t="shared" si="44"/>
        <v>1559.153674738172</v>
      </c>
    </row>
    <row r="154" spans="1:15" x14ac:dyDescent="0.35">
      <c r="A154" t="s">
        <v>16</v>
      </c>
      <c r="B154" t="s">
        <v>26</v>
      </c>
      <c r="C154">
        <v>2014</v>
      </c>
      <c r="D154" t="s">
        <v>18</v>
      </c>
      <c r="E154" s="3">
        <v>1127689</v>
      </c>
      <c r="F154" s="3">
        <v>1694581</v>
      </c>
      <c r="G154" s="1">
        <f t="shared" si="51"/>
        <v>2822270</v>
      </c>
      <c r="H154" s="2">
        <f t="shared" si="52"/>
        <v>0.39956807817820406</v>
      </c>
      <c r="I154" s="2">
        <f t="shared" si="53"/>
        <v>0.60043192182179594</v>
      </c>
      <c r="J154" s="3">
        <v>1890974.6</v>
      </c>
      <c r="K154" s="3">
        <v>2832931.6</v>
      </c>
      <c r="L154" s="1">
        <f t="shared" si="48"/>
        <v>4723906.2</v>
      </c>
      <c r="M154" s="2">
        <f t="shared" si="49"/>
        <v>0.40029893057571719</v>
      </c>
      <c r="N154" s="2">
        <f t="shared" si="50"/>
        <v>0.59970106942428281</v>
      </c>
      <c r="O154" s="5">
        <f t="shared" si="44"/>
        <v>1673.7966955677523</v>
      </c>
    </row>
    <row r="155" spans="1:15" x14ac:dyDescent="0.35">
      <c r="A155" t="s">
        <v>16</v>
      </c>
      <c r="B155" t="s">
        <v>27</v>
      </c>
      <c r="C155">
        <v>2014</v>
      </c>
      <c r="D155" t="s">
        <v>18</v>
      </c>
      <c r="E155" s="3">
        <v>1124096</v>
      </c>
      <c r="F155" s="3">
        <v>1701316</v>
      </c>
      <c r="G155" s="1">
        <f t="shared" si="51"/>
        <v>2825412</v>
      </c>
      <c r="H155" s="2">
        <f t="shared" si="52"/>
        <v>0.39785206546868207</v>
      </c>
      <c r="I155" s="2">
        <f t="shared" si="53"/>
        <v>0.60214793453131787</v>
      </c>
      <c r="J155" s="3">
        <v>1262692.1000000001</v>
      </c>
      <c r="K155" s="3">
        <v>1937227.3</v>
      </c>
      <c r="L155" s="1">
        <f t="shared" si="48"/>
        <v>3199919.4000000004</v>
      </c>
      <c r="M155" s="2">
        <f t="shared" si="49"/>
        <v>0.39460122026823546</v>
      </c>
      <c r="N155" s="2">
        <f t="shared" si="50"/>
        <v>0.60539877973176448</v>
      </c>
      <c r="O155" s="5">
        <f t="shared" si="44"/>
        <v>1132.5496600141857</v>
      </c>
    </row>
    <row r="156" spans="1:15" x14ac:dyDescent="0.35">
      <c r="A156" t="s">
        <v>16</v>
      </c>
      <c r="B156" t="s">
        <v>28</v>
      </c>
      <c r="C156">
        <v>2014</v>
      </c>
      <c r="D156" t="s">
        <v>18</v>
      </c>
      <c r="E156" s="3">
        <v>1121316</v>
      </c>
      <c r="F156" s="3">
        <v>1707819</v>
      </c>
      <c r="G156" s="1">
        <f t="shared" si="51"/>
        <v>2829135</v>
      </c>
      <c r="H156" s="2">
        <f t="shared" si="52"/>
        <v>0.39634587957096429</v>
      </c>
      <c r="I156" s="2">
        <f t="shared" si="53"/>
        <v>0.60365412042903577</v>
      </c>
      <c r="J156" s="3">
        <v>995025.3</v>
      </c>
      <c r="K156" s="3">
        <v>1567149.2</v>
      </c>
      <c r="L156" s="1">
        <f t="shared" si="48"/>
        <v>2562174.5</v>
      </c>
      <c r="M156" s="2">
        <f t="shared" si="49"/>
        <v>0.3883518862591131</v>
      </c>
      <c r="N156" s="2">
        <f t="shared" si="50"/>
        <v>0.6116481137408869</v>
      </c>
      <c r="O156" s="5">
        <f t="shared" si="44"/>
        <v>905.63882600158706</v>
      </c>
    </row>
    <row r="157" spans="1:15" x14ac:dyDescent="0.35">
      <c r="A157" t="s">
        <v>16</v>
      </c>
      <c r="B157" t="s">
        <v>29</v>
      </c>
      <c r="C157">
        <v>2014</v>
      </c>
      <c r="D157" t="s">
        <v>18</v>
      </c>
      <c r="E157" s="3">
        <v>1118835</v>
      </c>
      <c r="F157" s="3">
        <v>1713588</v>
      </c>
      <c r="G157" s="1">
        <f t="shared" si="51"/>
        <v>2832423</v>
      </c>
      <c r="H157" s="2">
        <f t="shared" si="52"/>
        <v>0.39500985551946161</v>
      </c>
      <c r="I157" s="2">
        <f t="shared" si="53"/>
        <v>0.60499014448053834</v>
      </c>
      <c r="J157" s="3">
        <v>1157251.3</v>
      </c>
      <c r="K157" s="3">
        <v>1831575.2</v>
      </c>
      <c r="L157" s="1">
        <f t="shared" si="48"/>
        <v>2988826.5</v>
      </c>
      <c r="M157" s="2">
        <f t="shared" si="49"/>
        <v>0.38719253191846364</v>
      </c>
      <c r="N157" s="2">
        <f t="shared" si="50"/>
        <v>0.6128074680815363</v>
      </c>
      <c r="O157" s="5">
        <f t="shared" si="44"/>
        <v>1055.2189768265546</v>
      </c>
    </row>
    <row r="158" spans="1:15" x14ac:dyDescent="0.35">
      <c r="A158" t="s">
        <v>16</v>
      </c>
      <c r="B158" t="s">
        <v>17</v>
      </c>
      <c r="C158">
        <v>2015</v>
      </c>
      <c r="D158" t="s">
        <v>18</v>
      </c>
      <c r="E158" s="3">
        <v>1117889</v>
      </c>
      <c r="F158" s="3">
        <v>1718105</v>
      </c>
      <c r="G158" s="1">
        <f>SUM(E158:F158)</f>
        <v>2835994</v>
      </c>
      <c r="H158" s="2">
        <f>SUM(E158)/G158</f>
        <v>0.39417890164788782</v>
      </c>
      <c r="I158" s="2">
        <f>SUM(F158/G158)</f>
        <v>0.60582109835211218</v>
      </c>
      <c r="J158" s="3">
        <v>1482661</v>
      </c>
      <c r="K158" s="3">
        <v>2379637</v>
      </c>
      <c r="L158" s="1">
        <f t="shared" si="48"/>
        <v>3862298</v>
      </c>
      <c r="M158" s="2">
        <f t="shared" si="49"/>
        <v>0.38388052915647625</v>
      </c>
      <c r="N158" s="2">
        <f t="shared" si="50"/>
        <v>0.6161194708435237</v>
      </c>
      <c r="O158" s="5">
        <f t="shared" si="44"/>
        <v>1361.8851097710362</v>
      </c>
    </row>
    <row r="159" spans="1:15" x14ac:dyDescent="0.35">
      <c r="A159" t="s">
        <v>16</v>
      </c>
      <c r="B159" t="s">
        <v>19</v>
      </c>
      <c r="C159">
        <v>2015</v>
      </c>
      <c r="D159" t="s">
        <v>18</v>
      </c>
      <c r="E159" s="3">
        <v>1116274</v>
      </c>
      <c r="F159" s="3">
        <v>1724716</v>
      </c>
      <c r="G159" s="1">
        <f t="shared" ref="G159:G169" si="54">SUM(E159:F159)</f>
        <v>2840990</v>
      </c>
      <c r="H159" s="2">
        <f t="shared" ref="H159:H169" si="55">SUM(E159)/G159</f>
        <v>0.39291725771650021</v>
      </c>
      <c r="I159" s="2">
        <f t="shared" ref="I159:I169" si="56">SUM(F159/G159)</f>
        <v>0.60708274228349979</v>
      </c>
      <c r="J159" s="3">
        <v>1367095.2</v>
      </c>
      <c r="K159" s="3">
        <v>2201309.4</v>
      </c>
      <c r="L159" s="1">
        <f t="shared" si="48"/>
        <v>3568404.5999999996</v>
      </c>
      <c r="M159" s="2">
        <f t="shared" si="49"/>
        <v>0.38311104071550633</v>
      </c>
      <c r="N159" s="2">
        <f t="shared" si="50"/>
        <v>0.61688895928449372</v>
      </c>
      <c r="O159" s="5">
        <f t="shared" si="44"/>
        <v>1256.0426471054102</v>
      </c>
    </row>
    <row r="160" spans="1:15" x14ac:dyDescent="0.35">
      <c r="A160" t="s">
        <v>16</v>
      </c>
      <c r="B160" t="s">
        <v>20</v>
      </c>
      <c r="C160">
        <v>2015</v>
      </c>
      <c r="D160" t="s">
        <v>18</v>
      </c>
      <c r="E160" s="3">
        <v>1114027</v>
      </c>
      <c r="F160" s="3">
        <v>1730307</v>
      </c>
      <c r="G160" s="1">
        <f t="shared" si="54"/>
        <v>2844334</v>
      </c>
      <c r="H160" s="2">
        <f t="shared" si="55"/>
        <v>0.39166532481769017</v>
      </c>
      <c r="I160" s="2">
        <f t="shared" si="56"/>
        <v>0.60833467518230977</v>
      </c>
      <c r="J160" s="3">
        <v>1386613.1</v>
      </c>
      <c r="K160" s="3">
        <v>2256709.5</v>
      </c>
      <c r="L160" s="1">
        <f t="shared" si="48"/>
        <v>3643322.6</v>
      </c>
      <c r="M160" s="2">
        <f t="shared" si="49"/>
        <v>0.38059026120827183</v>
      </c>
      <c r="N160" s="2">
        <f t="shared" si="50"/>
        <v>0.61940973879172823</v>
      </c>
      <c r="O160" s="5">
        <f t="shared" si="44"/>
        <v>1280.905336715027</v>
      </c>
    </row>
    <row r="161" spans="1:15" x14ac:dyDescent="0.35">
      <c r="A161" t="s">
        <v>16</v>
      </c>
      <c r="B161" t="s">
        <v>21</v>
      </c>
      <c r="C161">
        <v>2015</v>
      </c>
      <c r="D161" t="s">
        <v>18</v>
      </c>
      <c r="E161" s="3">
        <v>1109848</v>
      </c>
      <c r="F161" s="3">
        <v>1738065</v>
      </c>
      <c r="G161" s="1">
        <f t="shared" si="54"/>
        <v>2847913</v>
      </c>
      <c r="H161" s="2">
        <f t="shared" si="55"/>
        <v>0.38970572485887034</v>
      </c>
      <c r="I161" s="2">
        <f t="shared" si="56"/>
        <v>0.61029427514112966</v>
      </c>
      <c r="J161" s="3">
        <v>949293.9</v>
      </c>
      <c r="K161" s="3">
        <v>1527199.8</v>
      </c>
      <c r="L161" s="1">
        <f t="shared" si="48"/>
        <v>2476493.7000000002</v>
      </c>
      <c r="M161" s="2">
        <f t="shared" si="49"/>
        <v>0.38332175042480421</v>
      </c>
      <c r="N161" s="2">
        <f t="shared" si="50"/>
        <v>0.61667824957519579</v>
      </c>
      <c r="O161" s="5">
        <f t="shared" si="44"/>
        <v>869.58193596503827</v>
      </c>
    </row>
    <row r="162" spans="1:15" x14ac:dyDescent="0.35">
      <c r="A162" t="s">
        <v>16</v>
      </c>
      <c r="B162" t="s">
        <v>22</v>
      </c>
      <c r="C162">
        <v>2015</v>
      </c>
      <c r="D162" t="s">
        <v>18</v>
      </c>
      <c r="E162" s="3">
        <v>1106380</v>
      </c>
      <c r="F162" s="3">
        <v>1744731</v>
      </c>
      <c r="G162" s="1">
        <f t="shared" si="54"/>
        <v>2851111</v>
      </c>
      <c r="H162" s="2">
        <f t="shared" si="55"/>
        <v>0.38805223647904274</v>
      </c>
      <c r="I162" s="2">
        <f t="shared" si="56"/>
        <v>0.61194776352095726</v>
      </c>
      <c r="J162" s="3">
        <v>910740.5</v>
      </c>
      <c r="K162" s="3">
        <v>1479367.2</v>
      </c>
      <c r="L162" s="1">
        <f t="shared" si="48"/>
        <v>2390107.7000000002</v>
      </c>
      <c r="M162" s="2">
        <f t="shared" si="49"/>
        <v>0.38104579973530062</v>
      </c>
      <c r="N162" s="2">
        <f t="shared" si="50"/>
        <v>0.61895420026469927</v>
      </c>
      <c r="O162" s="5">
        <f t="shared" si="44"/>
        <v>838.30748785298078</v>
      </c>
    </row>
    <row r="163" spans="1:15" x14ac:dyDescent="0.35">
      <c r="A163" t="s">
        <v>16</v>
      </c>
      <c r="B163" t="s">
        <v>23</v>
      </c>
      <c r="C163">
        <v>2015</v>
      </c>
      <c r="D163" t="s">
        <v>18</v>
      </c>
      <c r="E163" s="3">
        <v>1103276</v>
      </c>
      <c r="F163" s="3">
        <v>1751622</v>
      </c>
      <c r="G163" s="1">
        <f t="shared" si="54"/>
        <v>2854898</v>
      </c>
      <c r="H163" s="2">
        <f t="shared" si="55"/>
        <v>0.38645023394881356</v>
      </c>
      <c r="I163" s="2">
        <f t="shared" si="56"/>
        <v>0.61354976605118638</v>
      </c>
      <c r="J163" s="3">
        <v>1249245.6000000001</v>
      </c>
      <c r="K163" s="3">
        <v>2021116.3</v>
      </c>
      <c r="L163" s="1">
        <f t="shared" si="48"/>
        <v>3270361.9000000004</v>
      </c>
      <c r="M163" s="2">
        <f t="shared" si="49"/>
        <v>0.3819900176796947</v>
      </c>
      <c r="N163" s="2">
        <f t="shared" si="50"/>
        <v>0.61800998232030524</v>
      </c>
      <c r="O163" s="5">
        <f t="shared" si="44"/>
        <v>1145.5267053323798</v>
      </c>
    </row>
    <row r="164" spans="1:15" x14ac:dyDescent="0.35">
      <c r="A164" t="s">
        <v>16</v>
      </c>
      <c r="B164" t="s">
        <v>24</v>
      </c>
      <c r="C164">
        <v>2015</v>
      </c>
      <c r="D164" t="s">
        <v>18</v>
      </c>
      <c r="E164" s="3">
        <v>1099754</v>
      </c>
      <c r="F164" s="3">
        <v>1758658</v>
      </c>
      <c r="G164" s="1">
        <f t="shared" si="54"/>
        <v>2858412</v>
      </c>
      <c r="H164" s="2">
        <f t="shared" si="55"/>
        <v>0.38474299716066124</v>
      </c>
      <c r="I164" s="2">
        <f t="shared" si="56"/>
        <v>0.61525700283933882</v>
      </c>
      <c r="J164" s="3">
        <v>1735704.6</v>
      </c>
      <c r="K164" s="3">
        <v>2777040.3</v>
      </c>
      <c r="L164" s="1">
        <f t="shared" si="48"/>
        <v>4512744.9000000004</v>
      </c>
      <c r="M164" s="2">
        <f t="shared" si="49"/>
        <v>0.38462280462607135</v>
      </c>
      <c r="N164" s="2">
        <f t="shared" si="50"/>
        <v>0.61537719537392854</v>
      </c>
      <c r="O164" s="5">
        <f t="shared" si="44"/>
        <v>1578.7594300611668</v>
      </c>
    </row>
    <row r="165" spans="1:15" x14ac:dyDescent="0.35">
      <c r="A165" t="s">
        <v>16</v>
      </c>
      <c r="B165" t="s">
        <v>25</v>
      </c>
      <c r="C165">
        <v>2015</v>
      </c>
      <c r="D165" t="s">
        <v>18</v>
      </c>
      <c r="E165" s="3">
        <v>1096622</v>
      </c>
      <c r="F165" s="3">
        <v>1765996</v>
      </c>
      <c r="G165" s="1">
        <f t="shared" si="54"/>
        <v>2862618</v>
      </c>
      <c r="H165" s="2">
        <f t="shared" si="55"/>
        <v>0.38308359690325428</v>
      </c>
      <c r="I165" s="2">
        <f t="shared" si="56"/>
        <v>0.61691640309674567</v>
      </c>
      <c r="J165" s="3">
        <v>2007437.4</v>
      </c>
      <c r="K165" s="3">
        <v>3202631.8</v>
      </c>
      <c r="L165" s="1">
        <f t="shared" si="48"/>
        <v>5210069.1999999993</v>
      </c>
      <c r="M165" s="2">
        <f t="shared" si="49"/>
        <v>0.38529956569482804</v>
      </c>
      <c r="N165" s="2">
        <f t="shared" si="50"/>
        <v>0.61470043430517207</v>
      </c>
      <c r="O165" s="5">
        <f t="shared" si="44"/>
        <v>1820.0364840855466</v>
      </c>
    </row>
    <row r="166" spans="1:15" x14ac:dyDescent="0.35">
      <c r="A166" t="s">
        <v>16</v>
      </c>
      <c r="B166" t="s">
        <v>26</v>
      </c>
      <c r="C166">
        <v>2015</v>
      </c>
      <c r="D166" t="s">
        <v>18</v>
      </c>
      <c r="E166" s="3">
        <v>1092845</v>
      </c>
      <c r="F166" s="3">
        <v>1772141</v>
      </c>
      <c r="G166" s="1">
        <f t="shared" si="54"/>
        <v>2864986</v>
      </c>
      <c r="H166" s="2">
        <f t="shared" si="55"/>
        <v>0.38144863535109769</v>
      </c>
      <c r="I166" s="2">
        <f t="shared" si="56"/>
        <v>0.61855136464890226</v>
      </c>
      <c r="J166" s="3">
        <v>1813220.4</v>
      </c>
      <c r="K166" s="3">
        <v>2927001.3</v>
      </c>
      <c r="L166" s="1">
        <f t="shared" si="48"/>
        <v>4740221.6999999993</v>
      </c>
      <c r="M166" s="2">
        <f t="shared" si="49"/>
        <v>0.38251805817436768</v>
      </c>
      <c r="N166" s="2">
        <f t="shared" si="50"/>
        <v>0.61748194182563243</v>
      </c>
      <c r="O166" s="5">
        <f t="shared" si="44"/>
        <v>1654.5357289704029</v>
      </c>
    </row>
    <row r="167" spans="1:15" x14ac:dyDescent="0.35">
      <c r="A167" t="s">
        <v>16</v>
      </c>
      <c r="B167" t="s">
        <v>27</v>
      </c>
      <c r="C167">
        <v>2015</v>
      </c>
      <c r="D167" t="s">
        <v>18</v>
      </c>
      <c r="E167" s="3">
        <v>1088552</v>
      </c>
      <c r="F167" s="3">
        <v>1780095</v>
      </c>
      <c r="G167" s="1">
        <f t="shared" si="54"/>
        <v>2868647</v>
      </c>
      <c r="H167" s="2">
        <f t="shared" si="55"/>
        <v>0.3794653019350237</v>
      </c>
      <c r="I167" s="2">
        <f t="shared" si="56"/>
        <v>0.6205346980649763</v>
      </c>
      <c r="J167" s="3">
        <v>1377205.7</v>
      </c>
      <c r="K167" s="3">
        <v>2264489.4</v>
      </c>
      <c r="L167" s="1">
        <f t="shared" si="48"/>
        <v>3641695.0999999996</v>
      </c>
      <c r="M167" s="2">
        <f t="shared" si="49"/>
        <v>0.37817710219617234</v>
      </c>
      <c r="N167" s="2">
        <f t="shared" si="50"/>
        <v>0.62182289780382771</v>
      </c>
      <c r="O167" s="5">
        <f t="shared" si="44"/>
        <v>1269.4817800865703</v>
      </c>
    </row>
    <row r="168" spans="1:15" x14ac:dyDescent="0.35">
      <c r="A168" t="s">
        <v>16</v>
      </c>
      <c r="B168" t="s">
        <v>28</v>
      </c>
      <c r="C168">
        <v>2015</v>
      </c>
      <c r="D168" t="s">
        <v>18</v>
      </c>
      <c r="E168" s="3">
        <v>1085422</v>
      </c>
      <c r="F168" s="3">
        <v>1786165</v>
      </c>
      <c r="G168" s="1">
        <f t="shared" si="54"/>
        <v>2871587</v>
      </c>
      <c r="H168" s="2">
        <f t="shared" si="55"/>
        <v>0.37798680659858119</v>
      </c>
      <c r="I168" s="2">
        <f t="shared" si="56"/>
        <v>0.62201319340141881</v>
      </c>
      <c r="J168" s="3">
        <v>903624.2</v>
      </c>
      <c r="K168" s="3">
        <v>1524534.5</v>
      </c>
      <c r="L168" s="1">
        <f t="shared" si="48"/>
        <v>2428158.7000000002</v>
      </c>
      <c r="M168" s="2">
        <f t="shared" si="49"/>
        <v>0.3721437976850524</v>
      </c>
      <c r="N168" s="2">
        <f t="shared" si="50"/>
        <v>0.62785620231494754</v>
      </c>
      <c r="O168" s="5">
        <f t="shared" si="44"/>
        <v>845.58075377831142</v>
      </c>
    </row>
    <row r="169" spans="1:15" x14ac:dyDescent="0.35">
      <c r="A169" t="s">
        <v>16</v>
      </c>
      <c r="B169" t="s">
        <v>29</v>
      </c>
      <c r="C169">
        <v>2015</v>
      </c>
      <c r="D169" t="s">
        <v>18</v>
      </c>
      <c r="E169" s="3">
        <v>1083094</v>
      </c>
      <c r="F169" s="3">
        <v>1792370</v>
      </c>
      <c r="G169" s="1">
        <f t="shared" si="54"/>
        <v>2875464</v>
      </c>
      <c r="H169" s="2">
        <f t="shared" si="55"/>
        <v>0.37666755695776405</v>
      </c>
      <c r="I169" s="2">
        <f t="shared" si="56"/>
        <v>0.62333244304223601</v>
      </c>
      <c r="J169" s="3">
        <v>1038846.4</v>
      </c>
      <c r="K169" s="3">
        <v>1769784.8</v>
      </c>
      <c r="L169" s="1">
        <f t="shared" si="48"/>
        <v>2808631.2</v>
      </c>
      <c r="M169" s="2">
        <f t="shared" si="49"/>
        <v>0.36987640100273755</v>
      </c>
      <c r="N169" s="2">
        <f t="shared" si="50"/>
        <v>0.63012359899726245</v>
      </c>
      <c r="O169" s="5">
        <f t="shared" si="44"/>
        <v>976.75755982338853</v>
      </c>
    </row>
    <row r="170" spans="1:15" x14ac:dyDescent="0.35">
      <c r="A170" t="s">
        <v>16</v>
      </c>
      <c r="B170" t="s">
        <v>17</v>
      </c>
      <c r="C170">
        <v>2016</v>
      </c>
      <c r="D170" t="s">
        <v>18</v>
      </c>
      <c r="E170" s="3">
        <v>1080572</v>
      </c>
      <c r="F170" s="3">
        <v>1797825</v>
      </c>
      <c r="G170" s="1">
        <f>SUM(E170:F170)</f>
        <v>2878397</v>
      </c>
      <c r="H170" s="2">
        <f>SUM(E170)/G170</f>
        <v>0.37540756191727548</v>
      </c>
      <c r="I170" s="2">
        <f>SUM(F170/G170)</f>
        <v>0.62459243808272447</v>
      </c>
      <c r="J170" s="3">
        <v>1290112.7</v>
      </c>
      <c r="K170" s="3">
        <v>2227463.2999999998</v>
      </c>
      <c r="L170" s="1">
        <f t="shared" si="48"/>
        <v>3517576</v>
      </c>
      <c r="M170" s="2">
        <f t="shared" si="49"/>
        <v>0.36676185532309746</v>
      </c>
      <c r="N170" s="2">
        <f t="shared" si="50"/>
        <v>0.63323814467690243</v>
      </c>
      <c r="O170" s="5">
        <f t="shared" si="44"/>
        <v>1222.0607511750463</v>
      </c>
    </row>
    <row r="171" spans="1:15" x14ac:dyDescent="0.35">
      <c r="A171" t="s">
        <v>16</v>
      </c>
      <c r="B171" t="s">
        <v>19</v>
      </c>
      <c r="C171">
        <v>2016</v>
      </c>
      <c r="D171" t="s">
        <v>18</v>
      </c>
      <c r="E171" s="3">
        <v>1077441</v>
      </c>
      <c r="F171" s="3">
        <v>1805585</v>
      </c>
      <c r="G171" s="1">
        <f t="shared" ref="G171:G181" si="57">SUM(E171:F171)</f>
        <v>2883026</v>
      </c>
      <c r="H171" s="2">
        <f t="shared" ref="H171:H181" si="58">SUM(E171)/G171</f>
        <v>0.37371879407261677</v>
      </c>
      <c r="I171" s="2">
        <f t="shared" ref="I171:I181" si="59">SUM(F171/G171)</f>
        <v>0.62628120592738323</v>
      </c>
      <c r="J171" s="3">
        <v>1218994.6000000001</v>
      </c>
      <c r="K171" s="3">
        <v>2125283.7000000002</v>
      </c>
      <c r="L171" s="1">
        <f t="shared" si="48"/>
        <v>3344278.3000000003</v>
      </c>
      <c r="M171" s="2">
        <f t="shared" si="49"/>
        <v>0.36450154282913594</v>
      </c>
      <c r="N171" s="2">
        <f t="shared" si="50"/>
        <v>0.63549845717086406</v>
      </c>
      <c r="O171" s="5">
        <f t="shared" si="44"/>
        <v>1159.9889491111078</v>
      </c>
    </row>
    <row r="172" spans="1:15" x14ac:dyDescent="0.35">
      <c r="A172" t="s">
        <v>16</v>
      </c>
      <c r="B172" t="s">
        <v>20</v>
      </c>
      <c r="C172">
        <v>2016</v>
      </c>
      <c r="D172" t="s">
        <v>18</v>
      </c>
      <c r="E172" s="3">
        <v>1074351</v>
      </c>
      <c r="F172" s="3">
        <v>1813916</v>
      </c>
      <c r="G172" s="1">
        <f t="shared" si="57"/>
        <v>2888267</v>
      </c>
      <c r="H172" s="2">
        <f t="shared" si="58"/>
        <v>0.37197080463821386</v>
      </c>
      <c r="I172" s="2">
        <f t="shared" si="59"/>
        <v>0.62802919536178614</v>
      </c>
      <c r="J172" s="3">
        <v>888337.4</v>
      </c>
      <c r="K172" s="3">
        <v>1543846</v>
      </c>
      <c r="L172" s="1">
        <f t="shared" si="48"/>
        <v>2432183.4</v>
      </c>
      <c r="M172" s="2">
        <f t="shared" si="49"/>
        <v>0.3652427691102571</v>
      </c>
      <c r="N172" s="2">
        <f t="shared" si="50"/>
        <v>0.63475723088974301</v>
      </c>
      <c r="O172" s="5">
        <f t="shared" si="44"/>
        <v>842.09091472498903</v>
      </c>
    </row>
    <row r="173" spans="1:15" x14ac:dyDescent="0.35">
      <c r="A173" t="s">
        <v>16</v>
      </c>
      <c r="B173" t="s">
        <v>21</v>
      </c>
      <c r="C173">
        <v>2016</v>
      </c>
      <c r="D173" t="s">
        <v>18</v>
      </c>
      <c r="E173" s="3">
        <v>1071281</v>
      </c>
      <c r="F173" s="3">
        <v>1821220</v>
      </c>
      <c r="G173" s="1">
        <f t="shared" si="57"/>
        <v>2892501</v>
      </c>
      <c r="H173" s="2">
        <f t="shared" si="58"/>
        <v>0.37036495406570302</v>
      </c>
      <c r="I173" s="2">
        <f t="shared" si="59"/>
        <v>0.62963504593429698</v>
      </c>
      <c r="J173" s="3">
        <v>836461.2</v>
      </c>
      <c r="K173" s="3">
        <v>1461848.2</v>
      </c>
      <c r="L173" s="1">
        <f t="shared" si="48"/>
        <v>2298309.4</v>
      </c>
      <c r="M173" s="2">
        <f t="shared" si="49"/>
        <v>0.363946298962185</v>
      </c>
      <c r="N173" s="2">
        <f t="shared" si="50"/>
        <v>0.636053701037815</v>
      </c>
      <c r="O173" s="5">
        <f t="shared" si="44"/>
        <v>794.57514448568907</v>
      </c>
    </row>
    <row r="174" spans="1:15" x14ac:dyDescent="0.35">
      <c r="A174" t="s">
        <v>16</v>
      </c>
      <c r="B174" t="s">
        <v>22</v>
      </c>
      <c r="C174">
        <v>2016</v>
      </c>
      <c r="D174" t="s">
        <v>18</v>
      </c>
      <c r="E174" s="3">
        <v>1069198</v>
      </c>
      <c r="F174" s="3">
        <v>1827296</v>
      </c>
      <c r="G174" s="1">
        <f t="shared" si="57"/>
        <v>2896494</v>
      </c>
      <c r="H174" s="2">
        <f t="shared" si="58"/>
        <v>0.3691352372903241</v>
      </c>
      <c r="I174" s="2">
        <f t="shared" si="59"/>
        <v>0.63086476270967595</v>
      </c>
      <c r="J174" s="3">
        <v>874928.6</v>
      </c>
      <c r="K174" s="3">
        <v>1552023.7</v>
      </c>
      <c r="L174" s="1">
        <f t="shared" si="48"/>
        <v>2426952.2999999998</v>
      </c>
      <c r="M174" s="2">
        <f t="shared" si="49"/>
        <v>0.36050506637481095</v>
      </c>
      <c r="N174" s="2">
        <f t="shared" si="50"/>
        <v>0.63949493362518917</v>
      </c>
      <c r="O174" s="5">
        <f t="shared" si="44"/>
        <v>837.89308729795403</v>
      </c>
    </row>
    <row r="175" spans="1:15" x14ac:dyDescent="0.35">
      <c r="A175" t="s">
        <v>16</v>
      </c>
      <c r="B175" t="s">
        <v>23</v>
      </c>
      <c r="C175">
        <v>2016</v>
      </c>
      <c r="D175" t="s">
        <v>18</v>
      </c>
      <c r="E175" s="3">
        <v>1066729</v>
      </c>
      <c r="F175" s="3">
        <v>1833474</v>
      </c>
      <c r="G175" s="1">
        <f t="shared" si="57"/>
        <v>2900203</v>
      </c>
      <c r="H175" s="2">
        <f t="shared" si="58"/>
        <v>0.3678118393781401</v>
      </c>
      <c r="I175" s="2">
        <f t="shared" si="59"/>
        <v>0.6321881606218599</v>
      </c>
      <c r="J175" s="3">
        <v>1170362.5</v>
      </c>
      <c r="K175" s="3">
        <v>2059276.9</v>
      </c>
      <c r="L175" s="1">
        <f t="shared" si="48"/>
        <v>3229639.4</v>
      </c>
      <c r="M175" s="2">
        <f t="shared" si="49"/>
        <v>0.3623817878862885</v>
      </c>
      <c r="N175" s="2">
        <f t="shared" si="50"/>
        <v>0.6376182121137115</v>
      </c>
      <c r="O175" s="5">
        <f t="shared" si="44"/>
        <v>1113.5908072641812</v>
      </c>
    </row>
    <row r="176" spans="1:15" x14ac:dyDescent="0.35">
      <c r="A176" t="s">
        <v>16</v>
      </c>
      <c r="B176" t="s">
        <v>24</v>
      </c>
      <c r="C176">
        <v>2016</v>
      </c>
      <c r="D176" t="s">
        <v>18</v>
      </c>
      <c r="E176" s="3">
        <v>1063617</v>
      </c>
      <c r="F176" s="3">
        <v>1841206</v>
      </c>
      <c r="G176" s="1">
        <f t="shared" si="57"/>
        <v>2904823</v>
      </c>
      <c r="H176" s="2">
        <f t="shared" si="58"/>
        <v>0.36615552823700448</v>
      </c>
      <c r="I176" s="2">
        <f t="shared" si="59"/>
        <v>0.63384447176299552</v>
      </c>
      <c r="J176" s="3">
        <v>1765309.8</v>
      </c>
      <c r="K176" s="3">
        <v>3060159.1</v>
      </c>
      <c r="L176" s="1">
        <f t="shared" si="48"/>
        <v>4825468.9000000004</v>
      </c>
      <c r="M176" s="2">
        <f t="shared" si="49"/>
        <v>0.36583176403851653</v>
      </c>
      <c r="N176" s="2">
        <f t="shared" si="50"/>
        <v>0.63416823596148342</v>
      </c>
      <c r="O176" s="5">
        <f t="shared" si="44"/>
        <v>1661.1920588621063</v>
      </c>
    </row>
    <row r="177" spans="1:15" x14ac:dyDescent="0.35">
      <c r="A177" t="s">
        <v>16</v>
      </c>
      <c r="B177" t="s">
        <v>25</v>
      </c>
      <c r="C177">
        <v>2016</v>
      </c>
      <c r="D177" t="s">
        <v>18</v>
      </c>
      <c r="E177" s="3">
        <v>1060642</v>
      </c>
      <c r="F177" s="3">
        <v>1848733</v>
      </c>
      <c r="G177" s="1">
        <f t="shared" si="57"/>
        <v>2909375</v>
      </c>
      <c r="H177" s="2">
        <f t="shared" si="58"/>
        <v>0.36456008592910849</v>
      </c>
      <c r="I177" s="2">
        <f t="shared" si="59"/>
        <v>0.63543991407089151</v>
      </c>
      <c r="J177" s="3">
        <v>1944156.9</v>
      </c>
      <c r="K177" s="3">
        <v>3371759.1</v>
      </c>
      <c r="L177" s="1">
        <f t="shared" si="48"/>
        <v>5315916</v>
      </c>
      <c r="M177" s="2">
        <f t="shared" si="49"/>
        <v>0.36572378118841603</v>
      </c>
      <c r="N177" s="2">
        <f t="shared" si="50"/>
        <v>0.63427621881158391</v>
      </c>
      <c r="O177" s="5">
        <f t="shared" si="44"/>
        <v>1827.1676906552095</v>
      </c>
    </row>
    <row r="178" spans="1:15" x14ac:dyDescent="0.35">
      <c r="A178" t="s">
        <v>16</v>
      </c>
      <c r="B178" t="s">
        <v>26</v>
      </c>
      <c r="C178">
        <v>2016</v>
      </c>
      <c r="D178" t="s">
        <v>18</v>
      </c>
      <c r="E178" s="3">
        <v>1057939</v>
      </c>
      <c r="F178" s="3">
        <v>1855291</v>
      </c>
      <c r="G178" s="1">
        <f t="shared" si="57"/>
        <v>2913230</v>
      </c>
      <c r="H178" s="2">
        <f t="shared" si="58"/>
        <v>0.36314983712236931</v>
      </c>
      <c r="I178" s="2">
        <f t="shared" si="59"/>
        <v>0.63685016287763063</v>
      </c>
      <c r="J178" s="3">
        <v>1668242.9</v>
      </c>
      <c r="K178" s="3">
        <v>2941120.7</v>
      </c>
      <c r="L178" s="1">
        <f t="shared" si="48"/>
        <v>4609363.5999999996</v>
      </c>
      <c r="M178" s="2">
        <f t="shared" si="49"/>
        <v>0.3619247785095539</v>
      </c>
      <c r="N178" s="2">
        <f t="shared" si="50"/>
        <v>0.63807522149044615</v>
      </c>
      <c r="O178" s="5">
        <f t="shared" si="44"/>
        <v>1582.2175386083488</v>
      </c>
    </row>
    <row r="179" spans="1:15" x14ac:dyDescent="0.35">
      <c r="A179" t="s">
        <v>16</v>
      </c>
      <c r="B179" t="s">
        <v>27</v>
      </c>
      <c r="C179">
        <v>2016</v>
      </c>
      <c r="D179" t="s">
        <v>18</v>
      </c>
      <c r="E179" s="3">
        <f xml:space="preserve"> 1029870+25058</f>
        <v>1054928</v>
      </c>
      <c r="F179" s="3">
        <v>1861422</v>
      </c>
      <c r="G179" s="1">
        <f t="shared" si="57"/>
        <v>2916350</v>
      </c>
      <c r="H179" s="2">
        <f t="shared" si="58"/>
        <v>0.36172887342054283</v>
      </c>
      <c r="I179" s="2">
        <f t="shared" si="59"/>
        <v>0.63827112657945717</v>
      </c>
      <c r="J179" s="3">
        <v>1329195</v>
      </c>
      <c r="K179" s="3">
        <v>2378675.4</v>
      </c>
      <c r="L179" s="1">
        <f t="shared" si="48"/>
        <v>3707870.4</v>
      </c>
      <c r="M179" s="2">
        <f t="shared" si="49"/>
        <v>0.35847935785457874</v>
      </c>
      <c r="N179" s="2">
        <f t="shared" si="50"/>
        <v>0.64152064214542126</v>
      </c>
      <c r="O179" s="5">
        <f t="shared" si="44"/>
        <v>1271.4078899994856</v>
      </c>
    </row>
    <row r="180" spans="1:15" x14ac:dyDescent="0.35">
      <c r="A180" t="s">
        <v>16</v>
      </c>
      <c r="B180" t="s">
        <v>28</v>
      </c>
      <c r="C180">
        <v>2016</v>
      </c>
      <c r="D180" t="s">
        <v>18</v>
      </c>
      <c r="E180" s="3">
        <f xml:space="preserve"> 1027135+25165</f>
        <v>1052300</v>
      </c>
      <c r="F180" s="3">
        <v>1868227</v>
      </c>
      <c r="G180" s="1">
        <f t="shared" si="57"/>
        <v>2920527</v>
      </c>
      <c r="H180" s="2">
        <f t="shared" si="58"/>
        <v>0.36031168347356485</v>
      </c>
      <c r="I180" s="2">
        <f t="shared" si="59"/>
        <v>0.6396883165264351</v>
      </c>
      <c r="J180" s="3">
        <v>953854</v>
      </c>
      <c r="K180" s="3">
        <v>1741721.6000000001</v>
      </c>
      <c r="L180" s="1">
        <f t="shared" si="48"/>
        <v>2695575.6</v>
      </c>
      <c r="M180" s="2">
        <f t="shared" si="49"/>
        <v>0.35385911639799678</v>
      </c>
      <c r="N180" s="2">
        <f t="shared" si="50"/>
        <v>0.64614088360200328</v>
      </c>
      <c r="O180" s="5">
        <f t="shared" si="44"/>
        <v>922.97575060939346</v>
      </c>
    </row>
    <row r="181" spans="1:15" x14ac:dyDescent="0.35">
      <c r="A181" t="s">
        <v>16</v>
      </c>
      <c r="B181" t="s">
        <v>29</v>
      </c>
      <c r="C181">
        <v>2016</v>
      </c>
      <c r="D181" t="s">
        <v>18</v>
      </c>
      <c r="E181" s="3">
        <f xml:space="preserve"> 1025380+25411</f>
        <v>1050791</v>
      </c>
      <c r="F181" s="3">
        <v>1874718</v>
      </c>
      <c r="G181" s="1">
        <f t="shared" si="57"/>
        <v>2925509</v>
      </c>
      <c r="H181" s="2">
        <f t="shared" si="58"/>
        <v>0.35918228246776884</v>
      </c>
      <c r="I181" s="2">
        <f t="shared" si="59"/>
        <v>0.64081771753223116</v>
      </c>
      <c r="J181" s="3">
        <v>996807</v>
      </c>
      <c r="K181" s="3">
        <v>1835042.8</v>
      </c>
      <c r="L181" s="1">
        <f t="shared" si="48"/>
        <v>2831849.8</v>
      </c>
      <c r="M181" s="2">
        <f t="shared" si="49"/>
        <v>0.35199854173056777</v>
      </c>
      <c r="N181" s="2">
        <f t="shared" si="50"/>
        <v>0.64800145826943234</v>
      </c>
      <c r="O181" s="5">
        <f t="shared" si="44"/>
        <v>967.98533178328967</v>
      </c>
    </row>
    <row r="182" spans="1:15" x14ac:dyDescent="0.35">
      <c r="A182" t="s">
        <v>16</v>
      </c>
      <c r="B182" t="s">
        <v>17</v>
      </c>
      <c r="C182">
        <v>2017</v>
      </c>
      <c r="D182" t="s">
        <v>18</v>
      </c>
      <c r="E182" s="3">
        <f>1023365+25907</f>
        <v>1049272</v>
      </c>
      <c r="F182" s="3">
        <v>1880194</v>
      </c>
      <c r="G182" s="1">
        <f>SUM(E182:F182)</f>
        <v>2929466</v>
      </c>
      <c r="H182" s="2">
        <f>SUM(E182)/G182</f>
        <v>0.35817858954498877</v>
      </c>
      <c r="I182" s="2">
        <f>SUM(F182/G182)</f>
        <v>0.64182141045501129</v>
      </c>
      <c r="J182" s="3">
        <f>1281655.2+35677+1405</f>
        <v>1318737.2</v>
      </c>
      <c r="K182" s="3">
        <v>2457204</v>
      </c>
      <c r="L182" s="1">
        <f t="shared" si="48"/>
        <v>3775941.2</v>
      </c>
      <c r="M182" s="2">
        <f t="shared" si="49"/>
        <v>0.34924728171084862</v>
      </c>
      <c r="N182" s="2">
        <f t="shared" si="50"/>
        <v>0.65075271828915127</v>
      </c>
      <c r="O182" s="5">
        <f t="shared" si="44"/>
        <v>1288.9520479159</v>
      </c>
    </row>
    <row r="183" spans="1:15" x14ac:dyDescent="0.35">
      <c r="A183" t="s">
        <v>16</v>
      </c>
      <c r="B183" t="s">
        <v>19</v>
      </c>
      <c r="C183">
        <v>2017</v>
      </c>
      <c r="D183" t="s">
        <v>18</v>
      </c>
      <c r="E183" s="3">
        <f>1021107+26494</f>
        <v>1047601</v>
      </c>
      <c r="F183" s="3">
        <v>1886171</v>
      </c>
      <c r="G183" s="1">
        <f t="shared" ref="G183:G191" si="60">SUM(E183:F183)</f>
        <v>2933772</v>
      </c>
      <c r="H183" s="2">
        <f t="shared" ref="H183:H191" si="61">SUM(E183)/G183</f>
        <v>0.35708330436039337</v>
      </c>
      <c r="I183" s="2">
        <f t="shared" ref="I183:I191" si="62">SUM(F183/G183)</f>
        <v>0.64291669563960663</v>
      </c>
      <c r="J183" s="3">
        <f>993197+28788+891</f>
        <v>1022876</v>
      </c>
      <c r="K183" s="3">
        <v>1907191</v>
      </c>
      <c r="L183" s="1">
        <f t="shared" si="48"/>
        <v>2930067</v>
      </c>
      <c r="M183" s="2">
        <f t="shared" si="49"/>
        <v>0.3490964541083873</v>
      </c>
      <c r="N183" s="2">
        <f t="shared" si="50"/>
        <v>0.6509035458916127</v>
      </c>
      <c r="O183" s="5">
        <f t="shared" si="44"/>
        <v>998.73712067604436</v>
      </c>
    </row>
    <row r="184" spans="1:15" x14ac:dyDescent="0.35">
      <c r="A184" t="s">
        <v>16</v>
      </c>
      <c r="B184" t="s">
        <v>20</v>
      </c>
      <c r="C184">
        <v>2017</v>
      </c>
      <c r="D184" t="s">
        <v>18</v>
      </c>
      <c r="E184" s="3">
        <f>1018459+27231</f>
        <v>1045690</v>
      </c>
      <c r="F184" s="3">
        <v>1894256</v>
      </c>
      <c r="G184" s="1">
        <f t="shared" si="60"/>
        <v>2939946</v>
      </c>
      <c r="H184" s="2">
        <f t="shared" si="61"/>
        <v>0.3556834037087756</v>
      </c>
      <c r="I184" s="2">
        <f t="shared" si="62"/>
        <v>0.6443165962912244</v>
      </c>
      <c r="J184" s="3">
        <f>825795+24381+1809</f>
        <v>851985</v>
      </c>
      <c r="K184" s="3">
        <v>1590075</v>
      </c>
      <c r="L184" s="1">
        <f t="shared" si="48"/>
        <v>2442060</v>
      </c>
      <c r="M184" s="2">
        <f t="shared" si="49"/>
        <v>0.34887963440701703</v>
      </c>
      <c r="N184" s="2">
        <f t="shared" si="50"/>
        <v>0.65112036559298292</v>
      </c>
      <c r="O184" s="5">
        <f t="shared" si="44"/>
        <v>830.64790985956881</v>
      </c>
    </row>
    <row r="185" spans="1:15" x14ac:dyDescent="0.35">
      <c r="A185" t="s">
        <v>16</v>
      </c>
      <c r="B185" t="s">
        <v>21</v>
      </c>
      <c r="C185">
        <v>2017</v>
      </c>
      <c r="D185" t="s">
        <v>18</v>
      </c>
      <c r="E185" s="3">
        <f>1014576+28083</f>
        <v>1042659</v>
      </c>
      <c r="F185" s="3">
        <f xml:space="preserve"> 2945348-1042659</f>
        <v>1902689</v>
      </c>
      <c r="G185" s="1">
        <f t="shared" si="60"/>
        <v>2945348</v>
      </c>
      <c r="H185" s="2">
        <f t="shared" si="61"/>
        <v>0.35400197192318189</v>
      </c>
      <c r="I185" s="2">
        <f t="shared" si="62"/>
        <v>0.64599802807681805</v>
      </c>
      <c r="J185" s="3">
        <f>846469.9+26211.2+1691.8</f>
        <v>874372.9</v>
      </c>
      <c r="K185" s="3">
        <f>2522616.6-874373</f>
        <v>1648243.6</v>
      </c>
      <c r="L185" s="1">
        <f t="shared" si="48"/>
        <v>2522616.5</v>
      </c>
      <c r="M185" s="2">
        <f t="shared" si="49"/>
        <v>0.34661348643362955</v>
      </c>
      <c r="N185" s="2">
        <f t="shared" si="50"/>
        <v>0.65338651356637056</v>
      </c>
      <c r="O185" s="5">
        <f t="shared" si="44"/>
        <v>856.47485458424603</v>
      </c>
    </row>
    <row r="186" spans="1:15" x14ac:dyDescent="0.35">
      <c r="A186" t="s">
        <v>16</v>
      </c>
      <c r="B186" t="s">
        <v>22</v>
      </c>
      <c r="C186">
        <v>2017</v>
      </c>
      <c r="D186" t="s">
        <v>18</v>
      </c>
      <c r="E186" s="3">
        <f>1011860+29166</f>
        <v>1041026</v>
      </c>
      <c r="F186" s="3">
        <f xml:space="preserve"> 2950170-1041026</f>
        <v>1909144</v>
      </c>
      <c r="G186" s="1">
        <f t="shared" si="60"/>
        <v>2950170</v>
      </c>
      <c r="H186" s="2">
        <f t="shared" si="61"/>
        <v>0.3528698346196999</v>
      </c>
      <c r="I186" s="2">
        <f t="shared" si="62"/>
        <v>0.6471301653803001</v>
      </c>
      <c r="J186" s="3">
        <f>885923.2+28500.7+1372.5</f>
        <v>915796.39999999991</v>
      </c>
      <c r="K186" s="3">
        <f>2651135.6-915796</f>
        <v>1735339.6</v>
      </c>
      <c r="L186" s="1">
        <f t="shared" si="48"/>
        <v>2651136</v>
      </c>
      <c r="M186" s="2">
        <f t="shared" si="49"/>
        <v>0.34543546615488602</v>
      </c>
      <c r="N186" s="2">
        <f t="shared" si="50"/>
        <v>0.65456453384511393</v>
      </c>
      <c r="O186" s="5">
        <f t="shared" si="44"/>
        <v>898.63838355077849</v>
      </c>
    </row>
    <row r="187" spans="1:15" x14ac:dyDescent="0.35">
      <c r="A187" t="s">
        <v>16</v>
      </c>
      <c r="B187" t="s">
        <v>23</v>
      </c>
      <c r="C187">
        <v>2017</v>
      </c>
      <c r="D187" t="s">
        <v>18</v>
      </c>
      <c r="E187" s="3">
        <f>1008743+30321</f>
        <v>1039064</v>
      </c>
      <c r="F187" s="3">
        <f xml:space="preserve"> 2955374-1039064</f>
        <v>1916310</v>
      </c>
      <c r="G187" s="1">
        <f t="shared" si="60"/>
        <v>2955374</v>
      </c>
      <c r="H187" s="2">
        <f t="shared" si="61"/>
        <v>0.35158460485880977</v>
      </c>
      <c r="I187" s="2">
        <f t="shared" si="62"/>
        <v>0.64841539514119029</v>
      </c>
      <c r="J187" s="3">
        <f>1160299+38156+1157.2</f>
        <v>1199612.2</v>
      </c>
      <c r="K187" s="3">
        <f>3456956.1-1199612</f>
        <v>2257344.1</v>
      </c>
      <c r="L187" s="1">
        <f t="shared" si="48"/>
        <v>3456956.3</v>
      </c>
      <c r="M187" s="2">
        <f t="shared" si="49"/>
        <v>0.34701399031280783</v>
      </c>
      <c r="N187" s="2">
        <f t="shared" si="50"/>
        <v>0.65298600968719223</v>
      </c>
      <c r="O187" s="5">
        <f t="shared" si="44"/>
        <v>1169.7187225711534</v>
      </c>
    </row>
    <row r="188" spans="1:15" x14ac:dyDescent="0.35">
      <c r="A188" t="s">
        <v>16</v>
      </c>
      <c r="B188" t="s">
        <v>24</v>
      </c>
      <c r="C188">
        <v>2017</v>
      </c>
      <c r="D188" t="s">
        <v>18</v>
      </c>
      <c r="E188" s="3">
        <f>1005972+31829</f>
        <v>1037801</v>
      </c>
      <c r="F188" s="3">
        <f xml:space="preserve"> 2960567-1037801</f>
        <v>1922766</v>
      </c>
      <c r="G188" s="1">
        <f t="shared" si="60"/>
        <v>2960567</v>
      </c>
      <c r="H188" s="2">
        <f t="shared" si="61"/>
        <v>0.35054129833913572</v>
      </c>
      <c r="I188" s="2">
        <f t="shared" si="62"/>
        <v>0.64945870166086428</v>
      </c>
      <c r="J188" s="3">
        <f>1616805.6+54586.1+779.9</f>
        <v>1672171.6</v>
      </c>
      <c r="K188" s="3">
        <f>4784642.7-J188</f>
        <v>3112471.1</v>
      </c>
      <c r="L188" s="1">
        <f t="shared" si="48"/>
        <v>4784642.7</v>
      </c>
      <c r="M188" s="2">
        <f t="shared" si="49"/>
        <v>0.34948724593374547</v>
      </c>
      <c r="N188" s="2">
        <f t="shared" si="50"/>
        <v>0.65051275406625453</v>
      </c>
      <c r="O188" s="5">
        <f t="shared" si="44"/>
        <v>1616.1237695346872</v>
      </c>
    </row>
    <row r="189" spans="1:15" x14ac:dyDescent="0.35">
      <c r="A189" t="s">
        <v>16</v>
      </c>
      <c r="B189" t="s">
        <v>25</v>
      </c>
      <c r="C189">
        <v>2017</v>
      </c>
      <c r="D189" t="s">
        <v>18</v>
      </c>
      <c r="E189" s="3">
        <f>1001730+33253</f>
        <v>1034983</v>
      </c>
      <c r="F189" s="3">
        <f xml:space="preserve"> 2964327-1034983</f>
        <v>1929344</v>
      </c>
      <c r="G189" s="1">
        <f t="shared" si="60"/>
        <v>2964327</v>
      </c>
      <c r="H189" s="2">
        <f t="shared" si="61"/>
        <v>0.34914602876133438</v>
      </c>
      <c r="I189" s="2">
        <f t="shared" si="62"/>
        <v>0.65085397123866562</v>
      </c>
      <c r="J189" s="3">
        <f>1696573.7+59907.7+1705.4</f>
        <v>1758186.7999999998</v>
      </c>
      <c r="K189" s="3">
        <f>5030201.2-J189</f>
        <v>3272014.4000000004</v>
      </c>
      <c r="L189" s="1">
        <f t="shared" si="48"/>
        <v>5030201.2</v>
      </c>
      <c r="M189" s="2">
        <f t="shared" si="49"/>
        <v>0.34952613823876466</v>
      </c>
      <c r="N189" s="2">
        <f t="shared" si="50"/>
        <v>0.65047386176123534</v>
      </c>
      <c r="O189" s="5">
        <f t="shared" si="44"/>
        <v>1696.911710482683</v>
      </c>
    </row>
    <row r="190" spans="1:15" x14ac:dyDescent="0.35">
      <c r="A190" t="s">
        <v>16</v>
      </c>
      <c r="B190" t="s">
        <v>26</v>
      </c>
      <c r="C190">
        <v>2017</v>
      </c>
      <c r="D190" t="s">
        <v>18</v>
      </c>
      <c r="E190" s="3">
        <f>998298+34381</f>
        <v>1032679</v>
      </c>
      <c r="F190" s="3">
        <f xml:space="preserve"> 2968689-1032679</f>
        <v>1936010</v>
      </c>
      <c r="G190" s="1">
        <f t="shared" si="60"/>
        <v>2968689</v>
      </c>
      <c r="H190" s="2">
        <f t="shared" si="61"/>
        <v>0.3478569159652628</v>
      </c>
      <c r="I190" s="2">
        <f t="shared" si="62"/>
        <v>0.6521430840347372</v>
      </c>
      <c r="J190" s="3">
        <f>1490322+55427.6+1301</f>
        <v>1547050.6</v>
      </c>
      <c r="K190" s="3">
        <f>4468954.3-J190</f>
        <v>2921903.6999999997</v>
      </c>
      <c r="L190" s="1">
        <f t="shared" si="48"/>
        <v>4468954.3</v>
      </c>
      <c r="M190" s="2">
        <f t="shared" si="49"/>
        <v>0.34617731490339926</v>
      </c>
      <c r="N190" s="2">
        <f t="shared" si="50"/>
        <v>0.6538226850966008</v>
      </c>
      <c r="O190" s="5">
        <f t="shared" si="44"/>
        <v>1505.3629059830787</v>
      </c>
    </row>
    <row r="191" spans="1:15" x14ac:dyDescent="0.35">
      <c r="A191" t="s">
        <v>16</v>
      </c>
      <c r="B191" t="s">
        <v>27</v>
      </c>
      <c r="C191">
        <v>2017</v>
      </c>
      <c r="D191" t="s">
        <v>18</v>
      </c>
      <c r="E191" s="3">
        <f>994571+34769</f>
        <v>1029340</v>
      </c>
      <c r="F191" s="3">
        <f>2972445-E191</f>
        <v>1943105</v>
      </c>
      <c r="G191" s="1">
        <f t="shared" si="60"/>
        <v>2972445</v>
      </c>
      <c r="H191" s="2">
        <f t="shared" si="61"/>
        <v>0.34629404412865505</v>
      </c>
      <c r="I191" s="2">
        <f t="shared" si="62"/>
        <v>0.65370595587134495</v>
      </c>
      <c r="J191" s="3">
        <f>1212283.8+47263.9+1533.6</f>
        <v>1261081.3</v>
      </c>
      <c r="K191" s="3">
        <f>3673548.1-J191</f>
        <v>2412466.7999999998</v>
      </c>
      <c r="L191" s="1">
        <f t="shared" si="48"/>
        <v>3673548.0999999996</v>
      </c>
      <c r="M191" s="2">
        <f t="shared" si="49"/>
        <v>0.34328699820209246</v>
      </c>
      <c r="N191" s="2">
        <f t="shared" si="50"/>
        <v>0.65671300179790759</v>
      </c>
      <c r="O191" s="5">
        <f t="shared" si="44"/>
        <v>1235.8674761013237</v>
      </c>
    </row>
    <row r="192" spans="1:15" x14ac:dyDescent="0.35">
      <c r="A192" t="s">
        <v>16</v>
      </c>
      <c r="B192" t="s">
        <v>28</v>
      </c>
      <c r="C192">
        <v>2017</v>
      </c>
      <c r="D192" t="s">
        <v>18</v>
      </c>
      <c r="E192" s="3">
        <f>991189+35394</f>
        <v>1026583</v>
      </c>
      <c r="F192" s="3">
        <v>1952340</v>
      </c>
      <c r="G192" s="1">
        <f t="shared" ref="G192:G193" si="63">SUM(E192:F192)</f>
        <v>2978923</v>
      </c>
      <c r="H192" s="2">
        <f t="shared" ref="H192:H193" si="64">SUM(E192)/G192</f>
        <v>0.34461548687226895</v>
      </c>
      <c r="I192" s="2">
        <f t="shared" ref="I192:I193" si="65">SUM(F192/G192)</f>
        <v>0.65538451312773105</v>
      </c>
      <c r="J192" s="3">
        <f>796130.1+31640.3+1604.5</f>
        <v>829374.9</v>
      </c>
      <c r="K192" s="3">
        <f>2448954.9-J192</f>
        <v>1619580</v>
      </c>
      <c r="L192" s="1">
        <f t="shared" si="48"/>
        <v>2448954.9</v>
      </c>
      <c r="M192" s="2">
        <f t="shared" si="49"/>
        <v>0.33866483208816955</v>
      </c>
      <c r="N192" s="2">
        <f t="shared" si="50"/>
        <v>0.66133516791183045</v>
      </c>
      <c r="O192" s="5">
        <f t="shared" si="44"/>
        <v>822.0940588259582</v>
      </c>
    </row>
    <row r="193" spans="1:16" x14ac:dyDescent="0.35">
      <c r="A193" t="s">
        <v>16</v>
      </c>
      <c r="B193" t="s">
        <v>29</v>
      </c>
      <c r="C193">
        <v>2017</v>
      </c>
      <c r="D193" t="s">
        <v>18</v>
      </c>
      <c r="E193" s="3">
        <f>992474+36044</f>
        <v>1028518</v>
      </c>
      <c r="F193" s="3">
        <v>1963106</v>
      </c>
      <c r="G193" s="1">
        <f t="shared" si="63"/>
        <v>2991624</v>
      </c>
      <c r="H193" s="2">
        <f t="shared" si="64"/>
        <v>0.34379922075768882</v>
      </c>
      <c r="I193" s="2">
        <f t="shared" si="65"/>
        <v>0.65620077924231124</v>
      </c>
      <c r="J193" s="3">
        <f>889743.7+35154.2+349.1</f>
        <v>925246.99999999988</v>
      </c>
      <c r="K193" s="3">
        <f>2739401.9-J193</f>
        <v>1814154.9</v>
      </c>
      <c r="L193" s="1">
        <f t="shared" si="48"/>
        <v>2739401.9</v>
      </c>
      <c r="M193" s="2">
        <f t="shared" si="49"/>
        <v>0.3377551136253501</v>
      </c>
      <c r="N193" s="2">
        <f t="shared" si="50"/>
        <v>0.66224488637464984</v>
      </c>
      <c r="O193" s="5">
        <f t="shared" si="44"/>
        <v>915.69057475137254</v>
      </c>
    </row>
    <row r="194" spans="1:16" x14ac:dyDescent="0.35">
      <c r="A194" t="s">
        <v>16</v>
      </c>
      <c r="B194" t="s">
        <v>17</v>
      </c>
      <c r="C194">
        <v>2002</v>
      </c>
      <c r="D194" t="s">
        <v>30</v>
      </c>
      <c r="E194" s="3">
        <v>265247</v>
      </c>
      <c r="F194" s="3">
        <v>2077</v>
      </c>
      <c r="G194" s="1">
        <f t="shared" ref="G194:G195" si="66">SUM(E194:F194)</f>
        <v>267324</v>
      </c>
      <c r="H194" s="2">
        <f t="shared" ref="H194:H195" si="67">SUM(E194)/G194</f>
        <v>0.99223040205892477</v>
      </c>
      <c r="I194" s="2">
        <f t="shared" ref="I194:I195" si="68">SUM(F194/G194)</f>
        <v>7.7695979410752495E-3</v>
      </c>
      <c r="J194" s="3">
        <v>1819417.8</v>
      </c>
      <c r="K194" s="3">
        <v>856.52</v>
      </c>
      <c r="L194" s="1">
        <f t="shared" ref="L194:L257" si="69">SUM(J194:K194)</f>
        <v>1820274.32</v>
      </c>
      <c r="M194" s="2">
        <f t="shared" ref="M194:M257" si="70">SUM(J194)/L194</f>
        <v>0.99952945553832784</v>
      </c>
      <c r="N194" s="2">
        <f t="shared" ref="N194:N257" si="71">SUM(K194/L194)</f>
        <v>4.7054446167212863E-4</v>
      </c>
      <c r="P194" s="5">
        <f>SUM(1000*L194)/G194</f>
        <v>6809.2439137525998</v>
      </c>
    </row>
    <row r="195" spans="1:16" x14ac:dyDescent="0.35">
      <c r="A195" t="s">
        <v>16</v>
      </c>
      <c r="B195" t="s">
        <v>19</v>
      </c>
      <c r="C195">
        <v>2002</v>
      </c>
      <c r="D195" t="s">
        <v>30</v>
      </c>
      <c r="E195" s="3">
        <v>265247</v>
      </c>
      <c r="F195" s="3">
        <v>8820</v>
      </c>
      <c r="G195" s="1">
        <f t="shared" si="66"/>
        <v>274067</v>
      </c>
      <c r="H195" s="2">
        <f t="shared" si="67"/>
        <v>0.9678180882776839</v>
      </c>
      <c r="I195" s="2">
        <f t="shared" si="68"/>
        <v>3.2181911722316076E-2</v>
      </c>
      <c r="J195" s="3">
        <v>1819417.8</v>
      </c>
      <c r="K195" s="3">
        <v>152666.23999999999</v>
      </c>
      <c r="L195" s="1">
        <f t="shared" si="69"/>
        <v>1972084.04</v>
      </c>
      <c r="M195" s="2">
        <f t="shared" si="70"/>
        <v>0.92258634170580278</v>
      </c>
      <c r="N195" s="2">
        <f t="shared" si="71"/>
        <v>7.7413658294197232E-2</v>
      </c>
      <c r="P195" s="5">
        <f>SUM(1000*L195)/G195</f>
        <v>7195.6274925474427</v>
      </c>
    </row>
    <row r="196" spans="1:16" x14ac:dyDescent="0.35">
      <c r="A196" t="s">
        <v>16</v>
      </c>
      <c r="B196" t="s">
        <v>20</v>
      </c>
      <c r="C196">
        <v>2002</v>
      </c>
      <c r="D196" t="s">
        <v>30</v>
      </c>
      <c r="E196" s="3">
        <v>325389</v>
      </c>
      <c r="F196" s="3">
        <v>15951</v>
      </c>
      <c r="G196" s="1">
        <f t="shared" ref="G196:G259" si="72">SUM(E196:F196)</f>
        <v>341340</v>
      </c>
      <c r="H196" s="2">
        <f t="shared" ref="H196:H259" si="73">SUM(E196)/G196</f>
        <v>0.95326946739321494</v>
      </c>
      <c r="I196" s="2">
        <f t="shared" ref="I196:I259" si="74">SUM(F196/G196)</f>
        <v>4.6730532606785023E-2</v>
      </c>
      <c r="J196" s="3">
        <v>2536366.2999999998</v>
      </c>
      <c r="K196" s="3">
        <v>447158.86</v>
      </c>
      <c r="L196" s="1">
        <f t="shared" si="69"/>
        <v>2983525.1599999997</v>
      </c>
      <c r="M196" s="2">
        <f t="shared" si="70"/>
        <v>0.85012398554735169</v>
      </c>
      <c r="N196" s="2">
        <f t="shared" si="71"/>
        <v>0.14987601445264837</v>
      </c>
      <c r="P196" s="5">
        <f t="shared" ref="P196:P259" si="75">SUM(1000*L196)/G196</f>
        <v>8740.6256518427363</v>
      </c>
    </row>
    <row r="197" spans="1:16" x14ac:dyDescent="0.35">
      <c r="A197" t="s">
        <v>16</v>
      </c>
      <c r="B197" t="s">
        <v>21</v>
      </c>
      <c r="C197">
        <v>2002</v>
      </c>
      <c r="D197" t="s">
        <v>30</v>
      </c>
      <c r="E197" s="3">
        <v>326665</v>
      </c>
      <c r="F197" s="3">
        <v>18043</v>
      </c>
      <c r="G197" s="1">
        <f t="shared" si="72"/>
        <v>344708</v>
      </c>
      <c r="H197" s="2">
        <f t="shared" si="73"/>
        <v>0.94765714749875252</v>
      </c>
      <c r="I197" s="2">
        <f t="shared" si="74"/>
        <v>5.2342852501247435E-2</v>
      </c>
      <c r="J197" s="3">
        <v>2458296.5</v>
      </c>
      <c r="K197" s="3">
        <v>537466.56999999995</v>
      </c>
      <c r="L197" s="1">
        <f t="shared" si="69"/>
        <v>2995763.07</v>
      </c>
      <c r="M197" s="2">
        <f t="shared" si="70"/>
        <v>0.82059109567700228</v>
      </c>
      <c r="N197" s="2">
        <f t="shared" si="71"/>
        <v>0.17940890432299775</v>
      </c>
      <c r="P197" s="5">
        <f t="shared" si="75"/>
        <v>8690.726847070564</v>
      </c>
    </row>
    <row r="198" spans="1:16" x14ac:dyDescent="0.35">
      <c r="A198" t="s">
        <v>16</v>
      </c>
      <c r="B198" t="s">
        <v>22</v>
      </c>
      <c r="C198">
        <v>2002</v>
      </c>
      <c r="D198" t="s">
        <v>30</v>
      </c>
      <c r="E198" s="3">
        <v>325221</v>
      </c>
      <c r="F198" s="3">
        <v>19894</v>
      </c>
      <c r="G198" s="1">
        <f t="shared" si="72"/>
        <v>345115</v>
      </c>
      <c r="H198" s="2">
        <f t="shared" si="73"/>
        <v>0.94235544673514626</v>
      </c>
      <c r="I198" s="2">
        <f t="shared" si="74"/>
        <v>5.7644553264853744E-2</v>
      </c>
      <c r="J198" s="3">
        <v>2641163.1</v>
      </c>
      <c r="K198" s="3">
        <v>550089.23</v>
      </c>
      <c r="L198" s="1">
        <f t="shared" si="69"/>
        <v>3191252.33</v>
      </c>
      <c r="M198" s="2">
        <f t="shared" si="70"/>
        <v>0.82762590572084282</v>
      </c>
      <c r="N198" s="2">
        <f t="shared" si="71"/>
        <v>0.17237409427915718</v>
      </c>
      <c r="P198" s="5">
        <f t="shared" si="75"/>
        <v>9246.9244454746968</v>
      </c>
    </row>
    <row r="199" spans="1:16" x14ac:dyDescent="0.35">
      <c r="A199" t="s">
        <v>16</v>
      </c>
      <c r="B199" t="s">
        <v>23</v>
      </c>
      <c r="C199">
        <v>2002</v>
      </c>
      <c r="D199" t="s">
        <v>30</v>
      </c>
      <c r="E199" s="3">
        <v>345409</v>
      </c>
      <c r="F199" s="3">
        <v>24811</v>
      </c>
      <c r="G199" s="1">
        <f t="shared" si="72"/>
        <v>370220</v>
      </c>
      <c r="H199" s="2">
        <f t="shared" si="73"/>
        <v>0.93298309113500077</v>
      </c>
      <c r="I199" s="2">
        <f t="shared" si="74"/>
        <v>6.7016908864999183E-2</v>
      </c>
      <c r="J199" s="3">
        <v>3204417.6</v>
      </c>
      <c r="K199" s="3">
        <v>988753.79</v>
      </c>
      <c r="L199" s="1">
        <f t="shared" si="69"/>
        <v>4193171.39</v>
      </c>
      <c r="M199" s="2">
        <f t="shared" si="70"/>
        <v>0.76419905173492086</v>
      </c>
      <c r="N199" s="2">
        <f t="shared" si="71"/>
        <v>0.23580094826507914</v>
      </c>
      <c r="P199" s="5">
        <f t="shared" si="75"/>
        <v>11326.161174436822</v>
      </c>
    </row>
    <row r="200" spans="1:16" x14ac:dyDescent="0.35">
      <c r="A200" t="s">
        <v>16</v>
      </c>
      <c r="B200" t="s">
        <v>24</v>
      </c>
      <c r="C200">
        <v>2002</v>
      </c>
      <c r="D200" t="s">
        <v>30</v>
      </c>
      <c r="E200" s="3">
        <v>343701</v>
      </c>
      <c r="F200" s="3">
        <v>24459</v>
      </c>
      <c r="G200" s="1">
        <f t="shared" si="72"/>
        <v>368160</v>
      </c>
      <c r="H200" s="2">
        <f t="shared" si="73"/>
        <v>0.93356421121251632</v>
      </c>
      <c r="I200" s="2">
        <f t="shared" si="74"/>
        <v>6.6435788787483699E-2</v>
      </c>
      <c r="J200" s="3">
        <v>3614971.4</v>
      </c>
      <c r="K200" s="3">
        <v>1228486.75</v>
      </c>
      <c r="L200" s="1">
        <f t="shared" si="69"/>
        <v>4843458.1500000004</v>
      </c>
      <c r="M200" s="2">
        <f t="shared" si="70"/>
        <v>0.7463616465850953</v>
      </c>
      <c r="N200" s="2">
        <f t="shared" si="71"/>
        <v>0.25363835341490459</v>
      </c>
      <c r="P200" s="5">
        <f t="shared" si="75"/>
        <v>13155.851124511082</v>
      </c>
    </row>
    <row r="201" spans="1:16" x14ac:dyDescent="0.35">
      <c r="A201" t="s">
        <v>16</v>
      </c>
      <c r="B201" t="s">
        <v>25</v>
      </c>
      <c r="C201">
        <v>2002</v>
      </c>
      <c r="D201" t="s">
        <v>30</v>
      </c>
      <c r="E201" s="3">
        <v>340192</v>
      </c>
      <c r="F201" s="3">
        <v>31200</v>
      </c>
      <c r="G201" s="1">
        <f t="shared" si="72"/>
        <v>371392</v>
      </c>
      <c r="H201" s="2">
        <f t="shared" si="73"/>
        <v>0.91599172841633636</v>
      </c>
      <c r="I201" s="2">
        <f t="shared" si="74"/>
        <v>8.4008271583663627E-2</v>
      </c>
      <c r="J201" s="3">
        <v>2803453.41</v>
      </c>
      <c r="K201" s="3">
        <v>809697.73</v>
      </c>
      <c r="L201" s="1">
        <f t="shared" si="69"/>
        <v>3613151.14</v>
      </c>
      <c r="M201" s="2">
        <f t="shared" si="70"/>
        <v>0.77590261280905071</v>
      </c>
      <c r="N201" s="2">
        <f t="shared" si="71"/>
        <v>0.22409738719094932</v>
      </c>
      <c r="P201" s="5">
        <f t="shared" si="75"/>
        <v>9728.6725077546089</v>
      </c>
    </row>
    <row r="202" spans="1:16" x14ac:dyDescent="0.35">
      <c r="A202" t="s">
        <v>16</v>
      </c>
      <c r="B202" t="s">
        <v>26</v>
      </c>
      <c r="C202">
        <v>2002</v>
      </c>
      <c r="D202" t="s">
        <v>30</v>
      </c>
      <c r="E202" s="3">
        <v>336780</v>
      </c>
      <c r="F202" s="3">
        <v>33552</v>
      </c>
      <c r="G202" s="1">
        <f t="shared" si="72"/>
        <v>370332</v>
      </c>
      <c r="H202" s="2">
        <f t="shared" si="73"/>
        <v>0.90940021386215608</v>
      </c>
      <c r="I202" s="2">
        <f t="shared" si="74"/>
        <v>9.0599786137843877E-2</v>
      </c>
      <c r="J202" s="3">
        <v>3896918.09</v>
      </c>
      <c r="K202" s="3">
        <v>1489790.6</v>
      </c>
      <c r="L202" s="1">
        <f t="shared" si="69"/>
        <v>5386708.6899999995</v>
      </c>
      <c r="M202" s="2">
        <f t="shared" si="70"/>
        <v>0.72343212047726313</v>
      </c>
      <c r="N202" s="2">
        <f t="shared" si="71"/>
        <v>0.27656787952273698</v>
      </c>
      <c r="P202" s="5">
        <f t="shared" si="75"/>
        <v>14545.620389272326</v>
      </c>
    </row>
    <row r="203" spans="1:16" x14ac:dyDescent="0.35">
      <c r="A203" t="s">
        <v>16</v>
      </c>
      <c r="B203" t="s">
        <v>27</v>
      </c>
      <c r="C203">
        <v>2002</v>
      </c>
      <c r="D203" t="s">
        <v>30</v>
      </c>
      <c r="E203" s="3">
        <v>332543</v>
      </c>
      <c r="F203" s="3">
        <v>36070</v>
      </c>
      <c r="G203" s="1">
        <f t="shared" si="72"/>
        <v>368613</v>
      </c>
      <c r="H203" s="2">
        <f t="shared" si="73"/>
        <v>0.90214669585717266</v>
      </c>
      <c r="I203" s="2">
        <f t="shared" si="74"/>
        <v>9.7853304142827308E-2</v>
      </c>
      <c r="J203" s="3">
        <v>2778599.8279999997</v>
      </c>
      <c r="K203" s="3">
        <v>1236673.2870000002</v>
      </c>
      <c r="L203" s="1">
        <f t="shared" si="69"/>
        <v>4015273.1150000002</v>
      </c>
      <c r="M203" s="2">
        <f t="shared" si="70"/>
        <v>0.69200767878525737</v>
      </c>
      <c r="N203" s="2">
        <f t="shared" si="71"/>
        <v>0.30799232121474263</v>
      </c>
      <c r="P203" s="5">
        <f t="shared" si="75"/>
        <v>10892.923241990922</v>
      </c>
    </row>
    <row r="204" spans="1:16" x14ac:dyDescent="0.35">
      <c r="A204" t="s">
        <v>16</v>
      </c>
      <c r="B204" t="s">
        <v>28</v>
      </c>
      <c r="C204">
        <v>2002</v>
      </c>
      <c r="D204" t="s">
        <v>30</v>
      </c>
      <c r="E204" s="3">
        <v>330599</v>
      </c>
      <c r="F204" s="3">
        <v>38273</v>
      </c>
      <c r="G204" s="1">
        <f t="shared" si="72"/>
        <v>368872</v>
      </c>
      <c r="H204" s="2">
        <f t="shared" si="73"/>
        <v>0.89624314125225013</v>
      </c>
      <c r="I204" s="2">
        <f t="shared" si="74"/>
        <v>0.1037568587477499</v>
      </c>
      <c r="J204" s="3">
        <v>2286697.977</v>
      </c>
      <c r="K204" s="3">
        <v>594121.10700000008</v>
      </c>
      <c r="L204" s="1">
        <f t="shared" si="69"/>
        <v>2880819.0839999998</v>
      </c>
      <c r="M204" s="2">
        <f t="shared" si="70"/>
        <v>0.79376660259586096</v>
      </c>
      <c r="N204" s="2">
        <f t="shared" si="71"/>
        <v>0.20623339740413915</v>
      </c>
      <c r="P204" s="5">
        <f t="shared" si="75"/>
        <v>7809.8068815198767</v>
      </c>
    </row>
    <row r="205" spans="1:16" x14ac:dyDescent="0.35">
      <c r="A205" t="s">
        <v>16</v>
      </c>
      <c r="B205" t="s">
        <v>29</v>
      </c>
      <c r="C205">
        <v>2002</v>
      </c>
      <c r="D205" t="s">
        <v>30</v>
      </c>
      <c r="E205" s="3">
        <v>328568</v>
      </c>
      <c r="F205" s="3">
        <v>40829</v>
      </c>
      <c r="G205" s="1">
        <f t="shared" si="72"/>
        <v>369397</v>
      </c>
      <c r="H205" s="2">
        <f t="shared" si="73"/>
        <v>0.88947121931147244</v>
      </c>
      <c r="I205" s="2">
        <f t="shared" si="74"/>
        <v>0.11052878068852752</v>
      </c>
      <c r="J205" s="3">
        <v>2308230.5410000002</v>
      </c>
      <c r="K205" s="3">
        <v>975952.39499999979</v>
      </c>
      <c r="L205" s="1">
        <f t="shared" si="69"/>
        <v>3284182.9359999998</v>
      </c>
      <c r="M205" s="2">
        <f t="shared" si="70"/>
        <v>0.70283251145909986</v>
      </c>
      <c r="N205" s="2">
        <f t="shared" si="71"/>
        <v>0.29716748854090014</v>
      </c>
      <c r="P205" s="5">
        <f t="shared" si="75"/>
        <v>8890.6594693514016</v>
      </c>
    </row>
    <row r="206" spans="1:16" x14ac:dyDescent="0.35">
      <c r="A206" t="s">
        <v>16</v>
      </c>
      <c r="B206" t="s">
        <v>17</v>
      </c>
      <c r="C206">
        <v>2003</v>
      </c>
      <c r="D206" t="s">
        <v>30</v>
      </c>
      <c r="E206" s="3">
        <v>327313</v>
      </c>
      <c r="F206" s="3">
        <v>44541</v>
      </c>
      <c r="G206" s="1">
        <f t="shared" si="72"/>
        <v>371854</v>
      </c>
      <c r="H206" s="2">
        <f t="shared" si="73"/>
        <v>0.88021911825608978</v>
      </c>
      <c r="I206" s="2">
        <f t="shared" si="74"/>
        <v>0.11978088174391024</v>
      </c>
      <c r="J206" s="3">
        <v>2172363</v>
      </c>
      <c r="K206" s="3">
        <v>980679</v>
      </c>
      <c r="L206" s="1">
        <f t="shared" si="69"/>
        <v>3153042</v>
      </c>
      <c r="M206" s="2">
        <f t="shared" si="70"/>
        <v>0.68897369587845647</v>
      </c>
      <c r="N206" s="2">
        <f t="shared" si="71"/>
        <v>0.31102630412154358</v>
      </c>
      <c r="P206" s="5">
        <f t="shared" si="75"/>
        <v>8479.2472314402967</v>
      </c>
    </row>
    <row r="207" spans="1:16" x14ac:dyDescent="0.35">
      <c r="A207" t="s">
        <v>16</v>
      </c>
      <c r="B207" t="s">
        <v>19</v>
      </c>
      <c r="C207">
        <v>2003</v>
      </c>
      <c r="D207" t="s">
        <v>30</v>
      </c>
      <c r="E207" s="3">
        <v>324788</v>
      </c>
      <c r="F207" s="3">
        <v>47216</v>
      </c>
      <c r="G207" s="1">
        <f t="shared" si="72"/>
        <v>372004</v>
      </c>
      <c r="H207" s="2">
        <f t="shared" si="73"/>
        <v>0.87307663358458509</v>
      </c>
      <c r="I207" s="2">
        <f t="shared" si="74"/>
        <v>0.12692336641541488</v>
      </c>
      <c r="J207" s="3">
        <v>2218252</v>
      </c>
      <c r="K207" s="3">
        <v>1097360</v>
      </c>
      <c r="L207" s="1">
        <f t="shared" si="69"/>
        <v>3315612</v>
      </c>
      <c r="M207" s="2">
        <f t="shared" si="70"/>
        <v>0.66903244408573737</v>
      </c>
      <c r="N207" s="2">
        <f t="shared" si="71"/>
        <v>0.33096755591426258</v>
      </c>
      <c r="P207" s="5">
        <f t="shared" si="75"/>
        <v>8912.8396468855171</v>
      </c>
    </row>
    <row r="208" spans="1:16" x14ac:dyDescent="0.35">
      <c r="A208" t="s">
        <v>16</v>
      </c>
      <c r="B208" t="s">
        <v>20</v>
      </c>
      <c r="C208">
        <v>2003</v>
      </c>
      <c r="D208" t="s">
        <v>30</v>
      </c>
      <c r="E208" s="3">
        <v>325074</v>
      </c>
      <c r="F208" s="3">
        <v>47298</v>
      </c>
      <c r="G208" s="1">
        <f t="shared" si="72"/>
        <v>372372</v>
      </c>
      <c r="H208" s="2">
        <f t="shared" si="73"/>
        <v>0.87298185685282459</v>
      </c>
      <c r="I208" s="2">
        <f t="shared" si="74"/>
        <v>0.12701814314717541</v>
      </c>
      <c r="J208" s="3">
        <v>1847942</v>
      </c>
      <c r="K208" s="3">
        <v>1049512</v>
      </c>
      <c r="L208" s="1">
        <f t="shared" si="69"/>
        <v>2897454</v>
      </c>
      <c r="M208" s="2">
        <f t="shared" si="70"/>
        <v>0.63778130731324811</v>
      </c>
      <c r="N208" s="2">
        <f t="shared" si="71"/>
        <v>0.36221869268675189</v>
      </c>
      <c r="P208" s="5">
        <f t="shared" si="75"/>
        <v>7781.0737649447328</v>
      </c>
    </row>
    <row r="209" spans="1:16" x14ac:dyDescent="0.35">
      <c r="A209" t="s">
        <v>16</v>
      </c>
      <c r="B209" t="s">
        <v>21</v>
      </c>
      <c r="C209">
        <v>2003</v>
      </c>
      <c r="D209" t="s">
        <v>30</v>
      </c>
      <c r="E209" s="3">
        <v>323896</v>
      </c>
      <c r="F209" s="3">
        <v>48378</v>
      </c>
      <c r="G209" s="1">
        <f t="shared" si="72"/>
        <v>372274</v>
      </c>
      <c r="H209" s="2">
        <f t="shared" si="73"/>
        <v>0.87004733072951645</v>
      </c>
      <c r="I209" s="2">
        <f t="shared" si="74"/>
        <v>0.12995266927048357</v>
      </c>
      <c r="J209" s="3">
        <v>2082640.3750000002</v>
      </c>
      <c r="K209" s="3">
        <v>1019105.4730000002</v>
      </c>
      <c r="L209" s="1">
        <f t="shared" si="69"/>
        <v>3101745.8480000002</v>
      </c>
      <c r="M209" s="2">
        <f t="shared" si="70"/>
        <v>0.67144133564098518</v>
      </c>
      <c r="N209" s="2">
        <f t="shared" si="71"/>
        <v>0.32855866435901493</v>
      </c>
      <c r="P209" s="5">
        <f t="shared" si="75"/>
        <v>8331.8895437231713</v>
      </c>
    </row>
    <row r="210" spans="1:16" x14ac:dyDescent="0.35">
      <c r="A210" t="s">
        <v>16</v>
      </c>
      <c r="B210" t="s">
        <v>22</v>
      </c>
      <c r="C210">
        <v>2003</v>
      </c>
      <c r="D210" t="s">
        <v>30</v>
      </c>
      <c r="E210" s="3">
        <v>322117</v>
      </c>
      <c r="F210" s="3">
        <v>50651</v>
      </c>
      <c r="G210" s="1">
        <f t="shared" si="72"/>
        <v>372768</v>
      </c>
      <c r="H210" s="2">
        <f t="shared" si="73"/>
        <v>0.86412192033650959</v>
      </c>
      <c r="I210" s="2">
        <f t="shared" si="74"/>
        <v>0.13587807966349044</v>
      </c>
      <c r="J210" s="3">
        <v>2268237.4040000001</v>
      </c>
      <c r="K210" s="3">
        <v>1156766.0080000004</v>
      </c>
      <c r="L210" s="1">
        <f t="shared" si="69"/>
        <v>3425003.4120000005</v>
      </c>
      <c r="M210" s="2">
        <f t="shared" si="70"/>
        <v>0.66225843631363945</v>
      </c>
      <c r="N210" s="2">
        <f t="shared" si="71"/>
        <v>0.33774156368636055</v>
      </c>
      <c r="P210" s="5">
        <f t="shared" si="75"/>
        <v>9188.0295840844719</v>
      </c>
    </row>
    <row r="211" spans="1:16" x14ac:dyDescent="0.35">
      <c r="A211" t="s">
        <v>16</v>
      </c>
      <c r="B211" t="s">
        <v>23</v>
      </c>
      <c r="C211">
        <v>2003</v>
      </c>
      <c r="D211" t="s">
        <v>30</v>
      </c>
      <c r="E211" s="3">
        <v>318462</v>
      </c>
      <c r="F211" s="3">
        <v>54186</v>
      </c>
      <c r="G211" s="1">
        <f t="shared" si="72"/>
        <v>372648</v>
      </c>
      <c r="H211" s="2">
        <f t="shared" si="73"/>
        <v>0.85459200103046307</v>
      </c>
      <c r="I211" s="2">
        <f t="shared" si="74"/>
        <v>0.14540799896953693</v>
      </c>
      <c r="J211" s="3">
        <v>2546976.6829999997</v>
      </c>
      <c r="K211" s="3">
        <v>1285460.2980000004</v>
      </c>
      <c r="L211" s="1">
        <f t="shared" si="69"/>
        <v>3832436.9810000001</v>
      </c>
      <c r="M211" s="2">
        <f t="shared" si="70"/>
        <v>0.66458410030669712</v>
      </c>
      <c r="N211" s="2">
        <f t="shared" si="71"/>
        <v>0.33541589969330282</v>
      </c>
      <c r="P211" s="5">
        <f t="shared" si="75"/>
        <v>10284.335300337047</v>
      </c>
    </row>
    <row r="212" spans="1:16" x14ac:dyDescent="0.35">
      <c r="A212" t="s">
        <v>16</v>
      </c>
      <c r="B212" t="s">
        <v>24</v>
      </c>
      <c r="C212">
        <v>2003</v>
      </c>
      <c r="D212" t="s">
        <v>30</v>
      </c>
      <c r="E212" s="3">
        <v>317099</v>
      </c>
      <c r="F212" s="3">
        <v>55260</v>
      </c>
      <c r="G212" s="1">
        <f t="shared" si="72"/>
        <v>372359</v>
      </c>
      <c r="H212" s="2">
        <f t="shared" si="73"/>
        <v>0.85159483186924445</v>
      </c>
      <c r="I212" s="2">
        <f t="shared" si="74"/>
        <v>0.14840516813075552</v>
      </c>
      <c r="J212" s="3">
        <v>2507590.8859999999</v>
      </c>
      <c r="K212" s="3">
        <v>1470244.054</v>
      </c>
      <c r="L212" s="1">
        <f t="shared" si="69"/>
        <v>3977834.94</v>
      </c>
      <c r="M212" s="2">
        <f t="shared" si="70"/>
        <v>0.63039088444429014</v>
      </c>
      <c r="N212" s="2">
        <f t="shared" si="71"/>
        <v>0.3696091155557098</v>
      </c>
      <c r="P212" s="5">
        <f t="shared" si="75"/>
        <v>10682.795205702025</v>
      </c>
    </row>
    <row r="213" spans="1:16" x14ac:dyDescent="0.35">
      <c r="A213" t="s">
        <v>16</v>
      </c>
      <c r="B213" t="s">
        <v>25</v>
      </c>
      <c r="C213">
        <v>2003</v>
      </c>
      <c r="D213" t="s">
        <v>30</v>
      </c>
      <c r="E213" s="3">
        <v>316244</v>
      </c>
      <c r="F213" s="3">
        <v>56649</v>
      </c>
      <c r="G213" s="1">
        <f t="shared" si="72"/>
        <v>372893</v>
      </c>
      <c r="H213" s="2">
        <f t="shared" si="73"/>
        <v>0.84808242578970372</v>
      </c>
      <c r="I213" s="2">
        <f t="shared" si="74"/>
        <v>0.15191757421029625</v>
      </c>
      <c r="J213" s="3">
        <v>2750530.2179999999</v>
      </c>
      <c r="K213" s="3">
        <v>1624776.8279999997</v>
      </c>
      <c r="L213" s="1">
        <f t="shared" si="69"/>
        <v>4375307.0460000001</v>
      </c>
      <c r="M213" s="2">
        <f t="shared" si="70"/>
        <v>0.62864850148393447</v>
      </c>
      <c r="N213" s="2">
        <f t="shared" si="71"/>
        <v>0.37135149851606547</v>
      </c>
      <c r="P213" s="5">
        <f t="shared" si="75"/>
        <v>11733.411584556428</v>
      </c>
    </row>
    <row r="214" spans="1:16" x14ac:dyDescent="0.35">
      <c r="A214" t="s">
        <v>16</v>
      </c>
      <c r="B214" t="s">
        <v>26</v>
      </c>
      <c r="C214">
        <v>2003</v>
      </c>
      <c r="D214" t="s">
        <v>30</v>
      </c>
      <c r="E214" s="3">
        <v>315274</v>
      </c>
      <c r="F214" s="3">
        <v>58901</v>
      </c>
      <c r="G214" s="1">
        <f t="shared" si="72"/>
        <v>374175</v>
      </c>
      <c r="H214" s="2">
        <f t="shared" si="73"/>
        <v>0.84258435224159822</v>
      </c>
      <c r="I214" s="2">
        <f t="shared" si="74"/>
        <v>0.15741564775840181</v>
      </c>
      <c r="J214" s="3">
        <v>2552017.3319999999</v>
      </c>
      <c r="K214" s="3">
        <v>1590020.1260000006</v>
      </c>
      <c r="L214" s="1">
        <f t="shared" si="69"/>
        <v>4142037.4580000006</v>
      </c>
      <c r="M214" s="2">
        <f t="shared" si="70"/>
        <v>0.6161260871919424</v>
      </c>
      <c r="N214" s="2">
        <f t="shared" si="71"/>
        <v>0.38387391280805755</v>
      </c>
      <c r="P214" s="5">
        <f t="shared" si="75"/>
        <v>11069.786752188149</v>
      </c>
    </row>
    <row r="215" spans="1:16" x14ac:dyDescent="0.35">
      <c r="A215" t="s">
        <v>16</v>
      </c>
      <c r="B215" t="s">
        <v>27</v>
      </c>
      <c r="C215">
        <v>2003</v>
      </c>
      <c r="D215" t="s">
        <v>30</v>
      </c>
      <c r="E215" s="3">
        <v>313163</v>
      </c>
      <c r="F215" s="3">
        <v>61088</v>
      </c>
      <c r="G215" s="1">
        <f t="shared" si="72"/>
        <v>374251</v>
      </c>
      <c r="H215" s="2">
        <f t="shared" si="73"/>
        <v>0.83677264723407552</v>
      </c>
      <c r="I215" s="2">
        <f t="shared" si="74"/>
        <v>0.16322735276592448</v>
      </c>
      <c r="J215" s="3">
        <v>2263135</v>
      </c>
      <c r="K215" s="3">
        <v>1465284</v>
      </c>
      <c r="L215" s="1">
        <f t="shared" si="69"/>
        <v>3728419</v>
      </c>
      <c r="M215" s="2">
        <f t="shared" si="70"/>
        <v>0.60699588753302669</v>
      </c>
      <c r="N215" s="2">
        <f t="shared" si="71"/>
        <v>0.39300411246697325</v>
      </c>
      <c r="P215" s="5">
        <f t="shared" si="75"/>
        <v>9962.3487979992042</v>
      </c>
    </row>
    <row r="216" spans="1:16" x14ac:dyDescent="0.35">
      <c r="A216" t="s">
        <v>16</v>
      </c>
      <c r="B216" t="s">
        <v>28</v>
      </c>
      <c r="C216">
        <v>2003</v>
      </c>
      <c r="D216" t="s">
        <v>30</v>
      </c>
      <c r="E216" s="3">
        <v>311560</v>
      </c>
      <c r="F216" s="3">
        <v>64060</v>
      </c>
      <c r="G216" s="1">
        <f t="shared" si="72"/>
        <v>375620</v>
      </c>
      <c r="H216" s="2">
        <f t="shared" si="73"/>
        <v>0.82945530056972472</v>
      </c>
      <c r="I216" s="2">
        <f t="shared" si="74"/>
        <v>0.17054469943027528</v>
      </c>
      <c r="J216" s="3">
        <v>1944881</v>
      </c>
      <c r="K216" s="3">
        <v>1318184</v>
      </c>
      <c r="L216" s="1">
        <f t="shared" si="69"/>
        <v>3263065</v>
      </c>
      <c r="M216" s="2">
        <f t="shared" si="70"/>
        <v>0.59602888695137857</v>
      </c>
      <c r="N216" s="2">
        <f t="shared" si="71"/>
        <v>0.40397111304862149</v>
      </c>
      <c r="P216" s="5">
        <f t="shared" si="75"/>
        <v>8687.1439220488792</v>
      </c>
    </row>
    <row r="217" spans="1:16" x14ac:dyDescent="0.35">
      <c r="A217" t="s">
        <v>16</v>
      </c>
      <c r="B217" t="s">
        <v>29</v>
      </c>
      <c r="C217">
        <v>2003</v>
      </c>
      <c r="D217" t="s">
        <v>30</v>
      </c>
      <c r="E217" s="3">
        <v>308764</v>
      </c>
      <c r="F217" s="3">
        <v>67138</v>
      </c>
      <c r="G217" s="1">
        <f t="shared" si="72"/>
        <v>375902</v>
      </c>
      <c r="H217" s="2">
        <f t="shared" si="73"/>
        <v>0.82139493804236208</v>
      </c>
      <c r="I217" s="2">
        <f t="shared" si="74"/>
        <v>0.1786050619576379</v>
      </c>
      <c r="J217" s="3">
        <v>1813283</v>
      </c>
      <c r="K217" s="3">
        <v>1351890</v>
      </c>
      <c r="L217" s="1">
        <f t="shared" si="69"/>
        <v>3165173</v>
      </c>
      <c r="M217" s="2">
        <f t="shared" si="70"/>
        <v>0.57288590544655849</v>
      </c>
      <c r="N217" s="2">
        <f t="shared" si="71"/>
        <v>0.42711409455344146</v>
      </c>
      <c r="P217" s="5">
        <f t="shared" si="75"/>
        <v>8420.2079265340435</v>
      </c>
    </row>
    <row r="218" spans="1:16" x14ac:dyDescent="0.35">
      <c r="A218" t="s">
        <v>16</v>
      </c>
      <c r="B218" t="s">
        <v>17</v>
      </c>
      <c r="C218">
        <v>2004</v>
      </c>
      <c r="D218" t="s">
        <v>30</v>
      </c>
      <c r="E218" s="3">
        <v>311817</v>
      </c>
      <c r="F218" s="3">
        <v>63629</v>
      </c>
      <c r="G218" s="1">
        <f t="shared" si="72"/>
        <v>375446</v>
      </c>
      <c r="H218" s="2">
        <f t="shared" si="73"/>
        <v>0.83052422984929919</v>
      </c>
      <c r="I218" s="2">
        <f t="shared" si="74"/>
        <v>0.16947577015070076</v>
      </c>
      <c r="J218" s="3">
        <v>1825005.2</v>
      </c>
      <c r="K218" s="3">
        <v>1338892.7</v>
      </c>
      <c r="L218" s="1">
        <f t="shared" si="69"/>
        <v>3163897.9</v>
      </c>
      <c r="M218" s="2">
        <f t="shared" si="70"/>
        <v>0.57682177417924896</v>
      </c>
      <c r="N218" s="2">
        <f t="shared" si="71"/>
        <v>0.42317822582075104</v>
      </c>
      <c r="P218" s="5">
        <f t="shared" si="75"/>
        <v>8427.0385088667881</v>
      </c>
    </row>
    <row r="219" spans="1:16" x14ac:dyDescent="0.35">
      <c r="A219" t="s">
        <v>16</v>
      </c>
      <c r="B219" t="s">
        <v>19</v>
      </c>
      <c r="C219">
        <v>2004</v>
      </c>
      <c r="D219" t="s">
        <v>30</v>
      </c>
      <c r="E219" s="3">
        <v>311266</v>
      </c>
      <c r="F219" s="3">
        <v>64516</v>
      </c>
      <c r="G219" s="1">
        <f t="shared" si="72"/>
        <v>375782</v>
      </c>
      <c r="H219" s="2">
        <f t="shared" si="73"/>
        <v>0.8283153530504388</v>
      </c>
      <c r="I219" s="2">
        <f t="shared" si="74"/>
        <v>0.17168464694956118</v>
      </c>
      <c r="J219" s="3">
        <v>1857768.8</v>
      </c>
      <c r="K219" s="3">
        <v>1382368.6</v>
      </c>
      <c r="L219" s="1">
        <f t="shared" si="69"/>
        <v>3240137.4000000004</v>
      </c>
      <c r="M219" s="2">
        <f t="shared" si="70"/>
        <v>0.57336111734027073</v>
      </c>
      <c r="N219" s="2">
        <f t="shared" si="71"/>
        <v>0.42663888265972916</v>
      </c>
      <c r="P219" s="5">
        <f t="shared" si="75"/>
        <v>8622.3858513712748</v>
      </c>
    </row>
    <row r="220" spans="1:16" x14ac:dyDescent="0.35">
      <c r="A220" t="s">
        <v>16</v>
      </c>
      <c r="B220" t="s">
        <v>20</v>
      </c>
      <c r="C220">
        <v>2004</v>
      </c>
      <c r="D220" t="s">
        <v>30</v>
      </c>
      <c r="E220" s="3">
        <v>310177</v>
      </c>
      <c r="F220" s="3">
        <v>66344</v>
      </c>
      <c r="G220" s="1">
        <f t="shared" si="72"/>
        <v>376521</v>
      </c>
      <c r="H220" s="2">
        <f t="shared" si="73"/>
        <v>0.82379734463681975</v>
      </c>
      <c r="I220" s="2">
        <f t="shared" si="74"/>
        <v>0.17620265536318028</v>
      </c>
      <c r="J220" s="3">
        <v>1788934.9</v>
      </c>
      <c r="K220" s="3">
        <v>1327526</v>
      </c>
      <c r="L220" s="1">
        <f t="shared" si="69"/>
        <v>3116460.9</v>
      </c>
      <c r="M220" s="2">
        <f t="shared" si="70"/>
        <v>0.57402770559386773</v>
      </c>
      <c r="N220" s="2">
        <f t="shared" si="71"/>
        <v>0.42597229440613232</v>
      </c>
      <c r="P220" s="5">
        <f t="shared" si="75"/>
        <v>8276.9909248089753</v>
      </c>
    </row>
    <row r="221" spans="1:16" x14ac:dyDescent="0.35">
      <c r="A221" t="s">
        <v>16</v>
      </c>
      <c r="B221" t="s">
        <v>21</v>
      </c>
      <c r="C221">
        <v>2004</v>
      </c>
      <c r="D221" t="s">
        <v>30</v>
      </c>
      <c r="E221" s="3">
        <v>310330</v>
      </c>
      <c r="F221" s="3">
        <v>67668</v>
      </c>
      <c r="G221" s="1">
        <f t="shared" si="72"/>
        <v>377998</v>
      </c>
      <c r="H221" s="2">
        <f t="shared" si="73"/>
        <v>0.8209831798051842</v>
      </c>
      <c r="I221" s="2">
        <f t="shared" si="74"/>
        <v>0.17901682019481585</v>
      </c>
      <c r="J221" s="3">
        <v>1802054.7</v>
      </c>
      <c r="K221" s="3">
        <v>1489111.6</v>
      </c>
      <c r="L221" s="1">
        <f t="shared" si="69"/>
        <v>3291166.3</v>
      </c>
      <c r="M221" s="2">
        <f t="shared" si="70"/>
        <v>0.54754288775988014</v>
      </c>
      <c r="N221" s="2">
        <f t="shared" si="71"/>
        <v>0.45245711224011992</v>
      </c>
      <c r="P221" s="5">
        <f t="shared" si="75"/>
        <v>8706.8352213503767</v>
      </c>
    </row>
    <row r="222" spans="1:16" x14ac:dyDescent="0.35">
      <c r="A222" t="s">
        <v>16</v>
      </c>
      <c r="B222" t="s">
        <v>22</v>
      </c>
      <c r="C222">
        <v>2004</v>
      </c>
      <c r="D222" t="s">
        <v>30</v>
      </c>
      <c r="E222" s="3">
        <v>310016</v>
      </c>
      <c r="F222" s="3">
        <v>69208</v>
      </c>
      <c r="G222" s="1">
        <f t="shared" si="72"/>
        <v>379224</v>
      </c>
      <c r="H222" s="2">
        <f t="shared" si="73"/>
        <v>0.81750100204628395</v>
      </c>
      <c r="I222" s="2">
        <f t="shared" si="74"/>
        <v>0.18249899795371602</v>
      </c>
      <c r="J222" s="3">
        <v>1859019.6</v>
      </c>
      <c r="K222" s="3">
        <v>1584570.3</v>
      </c>
      <c r="L222" s="1">
        <f t="shared" si="69"/>
        <v>3443589.9000000004</v>
      </c>
      <c r="M222" s="2">
        <f t="shared" si="70"/>
        <v>0.53984930087058269</v>
      </c>
      <c r="N222" s="2">
        <f t="shared" si="71"/>
        <v>0.4601506991294172</v>
      </c>
      <c r="P222" s="5">
        <f t="shared" si="75"/>
        <v>9080.6222707423585</v>
      </c>
    </row>
    <row r="223" spans="1:16" x14ac:dyDescent="0.35">
      <c r="A223" t="s">
        <v>16</v>
      </c>
      <c r="B223" t="s">
        <v>23</v>
      </c>
      <c r="C223">
        <v>2004</v>
      </c>
      <c r="D223" t="s">
        <v>30</v>
      </c>
      <c r="E223" s="3">
        <v>307939</v>
      </c>
      <c r="F223" s="3">
        <v>71932</v>
      </c>
      <c r="G223" s="1">
        <f t="shared" si="72"/>
        <v>379871</v>
      </c>
      <c r="H223" s="2">
        <f t="shared" si="73"/>
        <v>0.81064098075399282</v>
      </c>
      <c r="I223" s="2">
        <f t="shared" si="74"/>
        <v>0.1893590192460072</v>
      </c>
      <c r="J223" s="3">
        <v>2112714.7000000002</v>
      </c>
      <c r="K223" s="3">
        <v>1786035.8</v>
      </c>
      <c r="L223" s="1">
        <f t="shared" si="69"/>
        <v>3898750.5</v>
      </c>
      <c r="M223" s="2">
        <f t="shared" si="70"/>
        <v>0.54189533287652036</v>
      </c>
      <c r="N223" s="2">
        <f t="shared" si="71"/>
        <v>0.45810466712347969</v>
      </c>
      <c r="P223" s="5">
        <f t="shared" si="75"/>
        <v>10263.353875394541</v>
      </c>
    </row>
    <row r="224" spans="1:16" x14ac:dyDescent="0.35">
      <c r="A224" t="s">
        <v>16</v>
      </c>
      <c r="B224" t="s">
        <v>24</v>
      </c>
      <c r="C224">
        <v>2004</v>
      </c>
      <c r="D224" t="s">
        <v>30</v>
      </c>
      <c r="E224" s="3">
        <v>300985</v>
      </c>
      <c r="F224" s="3">
        <v>74219</v>
      </c>
      <c r="G224" s="1">
        <f t="shared" si="72"/>
        <v>375204</v>
      </c>
      <c r="H224" s="2">
        <f t="shared" si="73"/>
        <v>0.80219027515698127</v>
      </c>
      <c r="I224" s="2">
        <f t="shared" si="74"/>
        <v>0.19780972484301873</v>
      </c>
      <c r="J224" s="3">
        <v>2063905.3</v>
      </c>
      <c r="K224" s="3">
        <v>1959631.6</v>
      </c>
      <c r="L224" s="1">
        <f t="shared" si="69"/>
        <v>4023536.9000000004</v>
      </c>
      <c r="M224" s="2">
        <f t="shared" si="70"/>
        <v>0.51295796491887524</v>
      </c>
      <c r="N224" s="2">
        <f t="shared" si="71"/>
        <v>0.48704203508112476</v>
      </c>
      <c r="P224" s="5">
        <f t="shared" si="75"/>
        <v>10723.598095969128</v>
      </c>
    </row>
    <row r="225" spans="1:16" x14ac:dyDescent="0.35">
      <c r="A225" t="s">
        <v>16</v>
      </c>
      <c r="B225" t="s">
        <v>25</v>
      </c>
      <c r="C225">
        <v>2004</v>
      </c>
      <c r="D225" t="s">
        <v>30</v>
      </c>
      <c r="E225" s="3">
        <v>304010</v>
      </c>
      <c r="F225" s="3">
        <v>76666</v>
      </c>
      <c r="G225" s="1">
        <f t="shared" si="72"/>
        <v>380676</v>
      </c>
      <c r="H225" s="2">
        <f t="shared" si="73"/>
        <v>0.79860563839065246</v>
      </c>
      <c r="I225" s="2">
        <f t="shared" si="74"/>
        <v>0.20139436160934759</v>
      </c>
      <c r="J225" s="3">
        <v>2044757.6</v>
      </c>
      <c r="K225" s="3">
        <v>2062099</v>
      </c>
      <c r="L225" s="1">
        <f t="shared" si="69"/>
        <v>4106856.6</v>
      </c>
      <c r="M225" s="2">
        <f t="shared" si="70"/>
        <v>0.49788872589318067</v>
      </c>
      <c r="N225" s="2">
        <f t="shared" si="71"/>
        <v>0.50211127410681933</v>
      </c>
      <c r="P225" s="5">
        <f t="shared" si="75"/>
        <v>10788.325505153989</v>
      </c>
    </row>
    <row r="226" spans="1:16" x14ac:dyDescent="0.35">
      <c r="A226" t="s">
        <v>16</v>
      </c>
      <c r="B226" t="s">
        <v>26</v>
      </c>
      <c r="C226">
        <v>2004</v>
      </c>
      <c r="D226" t="s">
        <v>30</v>
      </c>
      <c r="E226" s="3">
        <v>301664</v>
      </c>
      <c r="F226" s="3">
        <v>79632</v>
      </c>
      <c r="G226" s="1">
        <f t="shared" si="72"/>
        <v>381296</v>
      </c>
      <c r="H226" s="2">
        <f t="shared" si="73"/>
        <v>0.7911543787503672</v>
      </c>
      <c r="I226" s="2">
        <f t="shared" si="74"/>
        <v>0.20884562124963282</v>
      </c>
      <c r="J226" s="3">
        <v>1986549.3</v>
      </c>
      <c r="K226" s="3">
        <v>2106069.08</v>
      </c>
      <c r="L226" s="1">
        <f t="shared" si="69"/>
        <v>4092618.38</v>
      </c>
      <c r="M226" s="2">
        <f t="shared" si="70"/>
        <v>0.48539812793393167</v>
      </c>
      <c r="N226" s="2">
        <f t="shared" si="71"/>
        <v>0.51460187206606844</v>
      </c>
      <c r="P226" s="5">
        <f t="shared" si="75"/>
        <v>10733.441683101843</v>
      </c>
    </row>
    <row r="227" spans="1:16" x14ac:dyDescent="0.35">
      <c r="A227" t="s">
        <v>16</v>
      </c>
      <c r="B227" t="s">
        <v>27</v>
      </c>
      <c r="C227">
        <v>2004</v>
      </c>
      <c r="D227" t="s">
        <v>30</v>
      </c>
      <c r="E227" s="3">
        <v>299850</v>
      </c>
      <c r="F227" s="3">
        <v>82065</v>
      </c>
      <c r="G227" s="1">
        <f t="shared" si="72"/>
        <v>381915</v>
      </c>
      <c r="H227" s="2">
        <f t="shared" si="73"/>
        <v>0.78512234397706293</v>
      </c>
      <c r="I227" s="2">
        <f t="shared" si="74"/>
        <v>0.21487765602293704</v>
      </c>
      <c r="J227" s="3">
        <v>1730617.51</v>
      </c>
      <c r="K227" s="3">
        <v>1962961.1769999999</v>
      </c>
      <c r="L227" s="1">
        <f t="shared" si="69"/>
        <v>3693578.6869999999</v>
      </c>
      <c r="M227" s="2">
        <f t="shared" si="70"/>
        <v>0.46854762187444904</v>
      </c>
      <c r="N227" s="2">
        <f t="shared" si="71"/>
        <v>0.53145237812555091</v>
      </c>
      <c r="P227" s="5">
        <f t="shared" si="75"/>
        <v>9671.2061243994085</v>
      </c>
    </row>
    <row r="228" spans="1:16" x14ac:dyDescent="0.35">
      <c r="A228" t="s">
        <v>16</v>
      </c>
      <c r="B228" t="s">
        <v>28</v>
      </c>
      <c r="C228">
        <v>2004</v>
      </c>
      <c r="D228" t="s">
        <v>30</v>
      </c>
      <c r="E228" s="3">
        <v>298207</v>
      </c>
      <c r="F228" s="3">
        <v>84307</v>
      </c>
      <c r="G228" s="1">
        <f t="shared" si="72"/>
        <v>382514</v>
      </c>
      <c r="H228" s="2">
        <f t="shared" si="73"/>
        <v>0.77959760949926016</v>
      </c>
      <c r="I228" s="2">
        <f t="shared" si="74"/>
        <v>0.22040239050073984</v>
      </c>
      <c r="J228" s="3">
        <v>1473889.5819999999</v>
      </c>
      <c r="K228" s="3">
        <v>1821206.392</v>
      </c>
      <c r="L228" s="1">
        <f t="shared" si="69"/>
        <v>3295095.9739999999</v>
      </c>
      <c r="M228" s="2">
        <f t="shared" si="70"/>
        <v>0.44729792201190677</v>
      </c>
      <c r="N228" s="2">
        <f t="shared" si="71"/>
        <v>0.55270207798809323</v>
      </c>
      <c r="P228" s="5">
        <f t="shared" si="75"/>
        <v>8614.3147022069788</v>
      </c>
    </row>
    <row r="229" spans="1:16" x14ac:dyDescent="0.35">
      <c r="A229" t="s">
        <v>16</v>
      </c>
      <c r="B229" t="s">
        <v>29</v>
      </c>
      <c r="C229">
        <v>2004</v>
      </c>
      <c r="D229" t="s">
        <v>30</v>
      </c>
      <c r="E229" s="3">
        <v>296051</v>
      </c>
      <c r="F229" s="3">
        <v>86291</v>
      </c>
      <c r="G229" s="1">
        <f t="shared" si="72"/>
        <v>382342</v>
      </c>
      <c r="H229" s="2">
        <f t="shared" si="73"/>
        <v>0.77430938793017767</v>
      </c>
      <c r="I229" s="2">
        <f t="shared" si="74"/>
        <v>0.2256906120698223</v>
      </c>
      <c r="J229" s="3">
        <v>1445298.4779999999</v>
      </c>
      <c r="K229" s="3">
        <v>1739475.1240000001</v>
      </c>
      <c r="L229" s="1">
        <f t="shared" si="69"/>
        <v>3184773.602</v>
      </c>
      <c r="M229" s="2">
        <f t="shared" si="70"/>
        <v>0.45381513998118095</v>
      </c>
      <c r="N229" s="2">
        <f t="shared" si="71"/>
        <v>0.54618486001881905</v>
      </c>
      <c r="P229" s="5">
        <f t="shared" si="75"/>
        <v>8329.6462381846613</v>
      </c>
    </row>
    <row r="230" spans="1:16" x14ac:dyDescent="0.35">
      <c r="A230" t="s">
        <v>16</v>
      </c>
      <c r="B230" t="s">
        <v>17</v>
      </c>
      <c r="C230">
        <v>2005</v>
      </c>
      <c r="D230" t="s">
        <v>30</v>
      </c>
      <c r="E230" s="3">
        <v>284173</v>
      </c>
      <c r="F230" s="3">
        <v>91740</v>
      </c>
      <c r="G230" s="1">
        <f t="shared" si="72"/>
        <v>375913</v>
      </c>
      <c r="H230" s="2">
        <f t="shared" si="73"/>
        <v>0.75595417024683897</v>
      </c>
      <c r="I230" s="2">
        <f t="shared" si="74"/>
        <v>0.24404582975316097</v>
      </c>
      <c r="J230" s="3">
        <v>1495031</v>
      </c>
      <c r="K230" s="3">
        <v>1835723</v>
      </c>
      <c r="L230" s="1">
        <f t="shared" si="69"/>
        <v>3330754</v>
      </c>
      <c r="M230" s="2">
        <f t="shared" si="70"/>
        <v>0.44885662525662356</v>
      </c>
      <c r="N230" s="2">
        <f t="shared" si="71"/>
        <v>0.55114337474337638</v>
      </c>
      <c r="P230" s="5">
        <f t="shared" si="75"/>
        <v>8860.4384525142777</v>
      </c>
    </row>
    <row r="231" spans="1:16" x14ac:dyDescent="0.35">
      <c r="A231" t="s">
        <v>16</v>
      </c>
      <c r="B231" t="s">
        <v>19</v>
      </c>
      <c r="C231">
        <v>2005</v>
      </c>
      <c r="D231" t="s">
        <v>30</v>
      </c>
      <c r="E231" s="3">
        <v>281508</v>
      </c>
      <c r="F231" s="3">
        <v>94306</v>
      </c>
      <c r="G231" s="1">
        <f t="shared" si="72"/>
        <v>375814</v>
      </c>
      <c r="H231" s="2">
        <f t="shared" si="73"/>
        <v>0.7490620360071738</v>
      </c>
      <c r="I231" s="2">
        <f t="shared" si="74"/>
        <v>0.25093796399282625</v>
      </c>
      <c r="J231" s="3">
        <v>1314053</v>
      </c>
      <c r="K231" s="3">
        <v>1796075</v>
      </c>
      <c r="L231" s="1">
        <f t="shared" si="69"/>
        <v>3110128</v>
      </c>
      <c r="M231" s="2">
        <f t="shared" si="70"/>
        <v>0.42250769100178515</v>
      </c>
      <c r="N231" s="2">
        <f t="shared" si="71"/>
        <v>0.57749230899821491</v>
      </c>
      <c r="P231" s="5">
        <f t="shared" si="75"/>
        <v>8275.7108569664779</v>
      </c>
    </row>
    <row r="232" spans="1:16" x14ac:dyDescent="0.35">
      <c r="A232" t="s">
        <v>16</v>
      </c>
      <c r="B232" t="s">
        <v>20</v>
      </c>
      <c r="C232">
        <v>2005</v>
      </c>
      <c r="D232" t="s">
        <v>30</v>
      </c>
      <c r="E232" s="3">
        <v>280606</v>
      </c>
      <c r="F232" s="3">
        <v>96068</v>
      </c>
      <c r="G232" s="1">
        <f t="shared" si="72"/>
        <v>376674</v>
      </c>
      <c r="H232" s="2">
        <f t="shared" si="73"/>
        <v>0.74495717782485649</v>
      </c>
      <c r="I232" s="2">
        <f t="shared" si="74"/>
        <v>0.25504282217514351</v>
      </c>
      <c r="J232" s="3">
        <v>1313834</v>
      </c>
      <c r="K232" s="3">
        <v>1898240</v>
      </c>
      <c r="L232" s="1">
        <f t="shared" si="69"/>
        <v>3212074</v>
      </c>
      <c r="M232" s="2">
        <f t="shared" si="70"/>
        <v>0.40902980441920078</v>
      </c>
      <c r="N232" s="2">
        <f t="shared" si="71"/>
        <v>0.59097019558079922</v>
      </c>
      <c r="P232" s="5">
        <f t="shared" si="75"/>
        <v>8527.4640670712597</v>
      </c>
    </row>
    <row r="233" spans="1:16" x14ac:dyDescent="0.35">
      <c r="A233" t="s">
        <v>16</v>
      </c>
      <c r="B233" t="s">
        <v>21</v>
      </c>
      <c r="C233">
        <v>2005</v>
      </c>
      <c r="D233" t="s">
        <v>30</v>
      </c>
      <c r="E233" s="3">
        <f>169497+110569</f>
        <v>280066</v>
      </c>
      <c r="F233" s="3">
        <f>42528+59839</f>
        <v>102367</v>
      </c>
      <c r="G233" s="1">
        <f t="shared" si="72"/>
        <v>382433</v>
      </c>
      <c r="H233" s="2">
        <f t="shared" si="73"/>
        <v>0.73232696969142308</v>
      </c>
      <c r="I233" s="2">
        <f t="shared" si="74"/>
        <v>0.26767303030857692</v>
      </c>
      <c r="J233" s="3">
        <v>1267151</v>
      </c>
      <c r="K233" s="3">
        <f>1931684+31404.8</f>
        <v>1963088.8</v>
      </c>
      <c r="L233" s="1">
        <f t="shared" si="69"/>
        <v>3230239.8</v>
      </c>
      <c r="M233" s="2">
        <f t="shared" si="70"/>
        <v>0.39227768786701223</v>
      </c>
      <c r="N233" s="2">
        <f t="shared" si="71"/>
        <v>0.60772231213298777</v>
      </c>
      <c r="P233" s="5">
        <f t="shared" si="75"/>
        <v>8446.5508991117404</v>
      </c>
    </row>
    <row r="234" spans="1:16" x14ac:dyDescent="0.35">
      <c r="A234" t="s">
        <v>16</v>
      </c>
      <c r="B234" t="s">
        <v>22</v>
      </c>
      <c r="C234">
        <v>2005</v>
      </c>
      <c r="D234" t="s">
        <v>30</v>
      </c>
      <c r="E234" s="3">
        <f>168855+109192</f>
        <v>278047</v>
      </c>
      <c r="F234" s="3">
        <f>43903+61391</f>
        <v>105294</v>
      </c>
      <c r="G234" s="1">
        <f t="shared" si="72"/>
        <v>383341</v>
      </c>
      <c r="H234" s="2">
        <f t="shared" si="73"/>
        <v>0.7253254934901302</v>
      </c>
      <c r="I234" s="2">
        <f t="shared" si="74"/>
        <v>0.2746745065098698</v>
      </c>
      <c r="J234" s="3">
        <f>82503.8+1221188.1</f>
        <v>1303691.9000000001</v>
      </c>
      <c r="K234" s="3">
        <f>33286+2040831.3</f>
        <v>2074117.3</v>
      </c>
      <c r="L234" s="1">
        <f t="shared" si="69"/>
        <v>3377809.2</v>
      </c>
      <c r="M234" s="2">
        <f t="shared" si="70"/>
        <v>0.38595782733968514</v>
      </c>
      <c r="N234" s="2">
        <f t="shared" si="71"/>
        <v>0.6140421726603148</v>
      </c>
      <c r="P234" s="5">
        <f t="shared" si="75"/>
        <v>8811.4999439141648</v>
      </c>
    </row>
    <row r="235" spans="1:16" x14ac:dyDescent="0.35">
      <c r="A235" t="s">
        <v>16</v>
      </c>
      <c r="B235" t="s">
        <v>23</v>
      </c>
      <c r="C235">
        <v>2005</v>
      </c>
      <c r="D235" t="s">
        <v>30</v>
      </c>
      <c r="E235" s="3">
        <f>165936+107395</f>
        <v>273331</v>
      </c>
      <c r="F235" s="3">
        <f>63890+47072</f>
        <v>110962</v>
      </c>
      <c r="G235" s="1">
        <f t="shared" si="72"/>
        <v>384293</v>
      </c>
      <c r="H235" s="2">
        <f t="shared" si="73"/>
        <v>0.71125677542916477</v>
      </c>
      <c r="I235" s="2">
        <f t="shared" si="74"/>
        <v>0.28874322457083529</v>
      </c>
      <c r="J235" s="3">
        <f>100827.2+1459417.8</f>
        <v>1560245</v>
      </c>
      <c r="K235" s="3">
        <f>2452558.9+34840.2</f>
        <v>2487399.1</v>
      </c>
      <c r="L235" s="1">
        <f t="shared" si="69"/>
        <v>4047644.1</v>
      </c>
      <c r="M235" s="2">
        <f t="shared" si="70"/>
        <v>0.38546990828566174</v>
      </c>
      <c r="N235" s="2">
        <f t="shared" si="71"/>
        <v>0.61453009171433826</v>
      </c>
      <c r="P235" s="5">
        <f t="shared" si="75"/>
        <v>10532.703171798601</v>
      </c>
    </row>
    <row r="236" spans="1:16" x14ac:dyDescent="0.35">
      <c r="A236" t="s">
        <v>16</v>
      </c>
      <c r="B236" t="s">
        <v>24</v>
      </c>
      <c r="C236">
        <v>2005</v>
      </c>
      <c r="D236" t="s">
        <v>30</v>
      </c>
      <c r="E236" s="3">
        <f>164694+105992</f>
        <v>270686</v>
      </c>
      <c r="F236" s="3">
        <f>48745+65457</f>
        <v>114202</v>
      </c>
      <c r="G236" s="1">
        <f t="shared" si="72"/>
        <v>384888</v>
      </c>
      <c r="H236" s="2">
        <f t="shared" si="73"/>
        <v>0.70328511151295958</v>
      </c>
      <c r="I236" s="2">
        <f t="shared" si="74"/>
        <v>0.29671488848704036</v>
      </c>
      <c r="J236" s="3">
        <f>104996.4+1491270.3</f>
        <v>1596266.7</v>
      </c>
      <c r="K236" s="3">
        <f>38515.1+2680249.2</f>
        <v>2718764.3000000003</v>
      </c>
      <c r="L236" s="1">
        <f t="shared" si="69"/>
        <v>4315031</v>
      </c>
      <c r="M236" s="2">
        <f t="shared" si="70"/>
        <v>0.36993168762866363</v>
      </c>
      <c r="N236" s="2">
        <f t="shared" si="71"/>
        <v>0.63006831237133643</v>
      </c>
      <c r="P236" s="5">
        <f t="shared" si="75"/>
        <v>11211.134148115816</v>
      </c>
    </row>
    <row r="237" spans="1:16" x14ac:dyDescent="0.35">
      <c r="A237" t="s">
        <v>16</v>
      </c>
      <c r="B237" t="s">
        <v>25</v>
      </c>
      <c r="C237">
        <v>2005</v>
      </c>
      <c r="D237" t="s">
        <v>30</v>
      </c>
      <c r="E237" s="3">
        <f>163219+105775</f>
        <v>268994</v>
      </c>
      <c r="F237" s="3">
        <f>49224+67217</f>
        <v>116441</v>
      </c>
      <c r="G237" s="1">
        <f t="shared" si="72"/>
        <v>385435</v>
      </c>
      <c r="H237" s="2">
        <f t="shared" si="73"/>
        <v>0.69789718110706089</v>
      </c>
      <c r="I237" s="2">
        <f t="shared" si="74"/>
        <v>0.30210281889293916</v>
      </c>
      <c r="J237" s="3">
        <f>105214.1+1437056.2</f>
        <v>1542270.3</v>
      </c>
      <c r="K237" s="3">
        <f>38374.3+2710556.2</f>
        <v>2748930.5</v>
      </c>
      <c r="L237" s="1">
        <f t="shared" si="69"/>
        <v>4291200.8</v>
      </c>
      <c r="M237" s="2">
        <f t="shared" si="70"/>
        <v>0.35940296711354081</v>
      </c>
      <c r="N237" s="2">
        <f t="shared" si="71"/>
        <v>0.64059703288645919</v>
      </c>
      <c r="P237" s="5">
        <f t="shared" si="75"/>
        <v>11133.396811394918</v>
      </c>
    </row>
    <row r="238" spans="1:16" x14ac:dyDescent="0.35">
      <c r="A238" t="s">
        <v>16</v>
      </c>
      <c r="B238" t="s">
        <v>26</v>
      </c>
      <c r="C238">
        <v>2005</v>
      </c>
      <c r="D238" t="s">
        <v>30</v>
      </c>
      <c r="E238" s="3">
        <f>162645+104685</f>
        <v>267330</v>
      </c>
      <c r="F238" s="3">
        <f>50333+68271</f>
        <v>118604</v>
      </c>
      <c r="G238" s="1">
        <f t="shared" si="72"/>
        <v>385934</v>
      </c>
      <c r="H238" s="2">
        <f t="shared" si="73"/>
        <v>0.69268320490031976</v>
      </c>
      <c r="I238" s="2">
        <f t="shared" si="74"/>
        <v>0.30731679509968024</v>
      </c>
      <c r="J238" s="3">
        <f>104590.3+1536649.8</f>
        <v>1641240.1</v>
      </c>
      <c r="K238" s="3">
        <f>2964491.6+47212.5</f>
        <v>3011704.1</v>
      </c>
      <c r="L238" s="1">
        <f t="shared" si="69"/>
        <v>4652944.2</v>
      </c>
      <c r="M238" s="2">
        <f t="shared" si="70"/>
        <v>0.3527315242680108</v>
      </c>
      <c r="N238" s="2">
        <f t="shared" si="71"/>
        <v>0.6472684757319892</v>
      </c>
      <c r="P238" s="5">
        <f t="shared" si="75"/>
        <v>12056.32102898423</v>
      </c>
    </row>
    <row r="239" spans="1:16" x14ac:dyDescent="0.35">
      <c r="A239" t="s">
        <v>16</v>
      </c>
      <c r="B239" t="s">
        <v>27</v>
      </c>
      <c r="C239">
        <v>2005</v>
      </c>
      <c r="D239" t="s">
        <v>30</v>
      </c>
      <c r="E239" s="3">
        <f>162387+104359</f>
        <v>266746</v>
      </c>
      <c r="F239" s="3">
        <f>50863+68771</f>
        <v>119634</v>
      </c>
      <c r="G239" s="1">
        <f t="shared" si="72"/>
        <v>386380</v>
      </c>
      <c r="H239" s="2">
        <f t="shared" si="73"/>
        <v>0.69037217247269522</v>
      </c>
      <c r="I239" s="2">
        <f t="shared" si="74"/>
        <v>0.30962782752730472</v>
      </c>
      <c r="J239" s="3">
        <f>87297+1283545.4</f>
        <v>1370842.4</v>
      </c>
      <c r="K239" s="3">
        <f>30896.4+2566690</f>
        <v>2597586.4</v>
      </c>
      <c r="L239" s="1">
        <f t="shared" si="69"/>
        <v>3968428.8</v>
      </c>
      <c r="M239" s="2">
        <f t="shared" si="70"/>
        <v>0.34543706567193544</v>
      </c>
      <c r="N239" s="2">
        <f t="shared" si="71"/>
        <v>0.65456293432806456</v>
      </c>
      <c r="P239" s="5">
        <f t="shared" si="75"/>
        <v>10270.792484083027</v>
      </c>
    </row>
    <row r="240" spans="1:16" x14ac:dyDescent="0.35">
      <c r="A240" t="s">
        <v>16</v>
      </c>
      <c r="B240" t="s">
        <v>28</v>
      </c>
      <c r="C240">
        <v>2005</v>
      </c>
      <c r="D240" t="s">
        <v>30</v>
      </c>
      <c r="E240" s="3">
        <f>161172+104117</f>
        <v>265289</v>
      </c>
      <c r="F240" s="3">
        <f>51261+70095</f>
        <v>121356</v>
      </c>
      <c r="G240" s="1">
        <f t="shared" si="72"/>
        <v>386645</v>
      </c>
      <c r="H240" s="2">
        <f t="shared" si="73"/>
        <v>0.68613068835753732</v>
      </c>
      <c r="I240" s="2">
        <f t="shared" si="74"/>
        <v>0.31386931164246273</v>
      </c>
      <c r="J240" s="3">
        <f>73660.7+1074521.4</f>
        <v>1148182.0999999999</v>
      </c>
      <c r="K240" s="3">
        <f>2240700.9+32002.2</f>
        <v>2272703.1</v>
      </c>
      <c r="L240" s="1">
        <f t="shared" si="69"/>
        <v>3420885.2</v>
      </c>
      <c r="M240" s="2">
        <f t="shared" si="70"/>
        <v>0.33563888668348174</v>
      </c>
      <c r="N240" s="2">
        <f t="shared" si="71"/>
        <v>0.66436111331651815</v>
      </c>
      <c r="P240" s="5">
        <f t="shared" si="75"/>
        <v>8847.6126679512217</v>
      </c>
    </row>
    <row r="241" spans="1:16" x14ac:dyDescent="0.35">
      <c r="A241" t="s">
        <v>16</v>
      </c>
      <c r="B241" t="s">
        <v>29</v>
      </c>
      <c r="C241">
        <v>2005</v>
      </c>
      <c r="D241" t="s">
        <v>30</v>
      </c>
      <c r="E241" s="3">
        <f>160349+103707</f>
        <v>264056</v>
      </c>
      <c r="F241" s="3">
        <f>51863+70539</f>
        <v>122402</v>
      </c>
      <c r="G241" s="1">
        <f t="shared" si="72"/>
        <v>386458</v>
      </c>
      <c r="H241" s="2">
        <f t="shared" si="73"/>
        <v>0.68327217964177223</v>
      </c>
      <c r="I241" s="2">
        <f t="shared" si="74"/>
        <v>0.31672782035822783</v>
      </c>
      <c r="J241" s="3">
        <f>78148.6+1033069.1</f>
        <v>1111217.7</v>
      </c>
      <c r="K241" s="3">
        <f>32350.7+2130454.2</f>
        <v>2162804.9000000004</v>
      </c>
      <c r="L241" s="1">
        <f t="shared" si="69"/>
        <v>3274022.6000000006</v>
      </c>
      <c r="M241" s="2">
        <f t="shared" si="70"/>
        <v>0.3394044072878421</v>
      </c>
      <c r="N241" s="2">
        <f t="shared" si="71"/>
        <v>0.66059559271215784</v>
      </c>
      <c r="P241" s="5">
        <f t="shared" si="75"/>
        <v>8471.8717169783013</v>
      </c>
    </row>
    <row r="242" spans="1:16" x14ac:dyDescent="0.35">
      <c r="A242" t="s">
        <v>16</v>
      </c>
      <c r="B242" t="s">
        <v>17</v>
      </c>
      <c r="C242">
        <v>2006</v>
      </c>
      <c r="D242" t="s">
        <v>30</v>
      </c>
      <c r="E242" s="3">
        <f>159656+103401</f>
        <v>263057</v>
      </c>
      <c r="F242" s="3">
        <f>52567+73573</f>
        <v>126140</v>
      </c>
      <c r="G242" s="1">
        <f t="shared" si="72"/>
        <v>389197</v>
      </c>
      <c r="H242" s="2">
        <f t="shared" si="73"/>
        <v>0.67589678234929873</v>
      </c>
      <c r="I242" s="2">
        <f t="shared" si="74"/>
        <v>0.32410321765070133</v>
      </c>
      <c r="J242" s="3">
        <f>80321+1008449</f>
        <v>1088770</v>
      </c>
      <c r="K242" s="3">
        <f>35952.1+2159685.7</f>
        <v>2195637.8000000003</v>
      </c>
      <c r="L242" s="1">
        <f t="shared" si="69"/>
        <v>3284407.8000000003</v>
      </c>
      <c r="M242" s="2">
        <f t="shared" si="70"/>
        <v>0.33149659430232747</v>
      </c>
      <c r="N242" s="2">
        <f t="shared" si="71"/>
        <v>0.66850340569767253</v>
      </c>
      <c r="P242" s="5">
        <f t="shared" si="75"/>
        <v>8438.9340102827118</v>
      </c>
    </row>
    <row r="243" spans="1:16" x14ac:dyDescent="0.35">
      <c r="A243" t="s">
        <v>16</v>
      </c>
      <c r="B243" t="s">
        <v>19</v>
      </c>
      <c r="C243">
        <v>2006</v>
      </c>
      <c r="D243" t="s">
        <v>30</v>
      </c>
      <c r="E243" s="3">
        <f>158706+102662</f>
        <v>261368</v>
      </c>
      <c r="F243" s="3">
        <f>53712+74593</f>
        <v>128305</v>
      </c>
      <c r="G243" s="1">
        <f t="shared" si="72"/>
        <v>389673</v>
      </c>
      <c r="H243" s="2">
        <f t="shared" si="73"/>
        <v>0.67073674593826105</v>
      </c>
      <c r="I243" s="2">
        <f t="shared" si="74"/>
        <v>0.32926325406173895</v>
      </c>
      <c r="J243" s="3">
        <f>71246+960494</f>
        <v>1031740</v>
      </c>
      <c r="K243" s="3">
        <f>31036.5+2031482.3</f>
        <v>2062518.8</v>
      </c>
      <c r="L243" s="1">
        <f t="shared" si="69"/>
        <v>3094258.8</v>
      </c>
      <c r="M243" s="2">
        <f t="shared" si="70"/>
        <v>0.33343687994035925</v>
      </c>
      <c r="N243" s="2">
        <f t="shared" si="71"/>
        <v>0.6665631200596408</v>
      </c>
      <c r="P243" s="5">
        <f t="shared" si="75"/>
        <v>7940.6548567645177</v>
      </c>
    </row>
    <row r="244" spans="1:16" x14ac:dyDescent="0.35">
      <c r="A244" t="s">
        <v>16</v>
      </c>
      <c r="B244" t="s">
        <v>20</v>
      </c>
      <c r="C244">
        <v>2006</v>
      </c>
      <c r="D244" t="s">
        <v>30</v>
      </c>
      <c r="E244" s="3">
        <f>156670+102013</f>
        <v>258683</v>
      </c>
      <c r="F244" s="3">
        <f>55812+75765</f>
        <v>131577</v>
      </c>
      <c r="G244" s="1">
        <f t="shared" si="72"/>
        <v>390260</v>
      </c>
      <c r="H244" s="2">
        <f t="shared" si="73"/>
        <v>0.66284784502639271</v>
      </c>
      <c r="I244" s="2">
        <f t="shared" si="74"/>
        <v>0.33715215497360734</v>
      </c>
      <c r="J244" s="3">
        <f>980066+73141</f>
        <v>1053207</v>
      </c>
      <c r="K244" s="3">
        <f>35461.3+2161106.7</f>
        <v>2196568</v>
      </c>
      <c r="L244" s="1">
        <f t="shared" si="69"/>
        <v>3249775</v>
      </c>
      <c r="M244" s="2">
        <f t="shared" si="70"/>
        <v>0.32408612903970274</v>
      </c>
      <c r="N244" s="2">
        <f t="shared" si="71"/>
        <v>0.6759138709602972</v>
      </c>
      <c r="P244" s="5">
        <f t="shared" si="75"/>
        <v>8327.204940296213</v>
      </c>
    </row>
    <row r="245" spans="1:16" x14ac:dyDescent="0.35">
      <c r="A245" t="s">
        <v>16</v>
      </c>
      <c r="B245" t="s">
        <v>21</v>
      </c>
      <c r="C245">
        <v>2006</v>
      </c>
      <c r="D245" t="s">
        <v>30</v>
      </c>
      <c r="E245" s="3">
        <f>154853+101061</f>
        <v>255914</v>
      </c>
      <c r="F245" s="3">
        <f>58338+77019</f>
        <v>135357</v>
      </c>
      <c r="G245" s="1">
        <f t="shared" si="72"/>
        <v>391271</v>
      </c>
      <c r="H245" s="2">
        <f t="shared" si="73"/>
        <v>0.65405818473641031</v>
      </c>
      <c r="I245" s="2">
        <f t="shared" si="74"/>
        <v>0.34594181526358969</v>
      </c>
      <c r="J245" s="3">
        <f>71212+1058198</f>
        <v>1129410</v>
      </c>
      <c r="K245" s="3">
        <f>30832+2358525</f>
        <v>2389357</v>
      </c>
      <c r="L245" s="1">
        <f t="shared" si="69"/>
        <v>3518767</v>
      </c>
      <c r="M245" s="2">
        <f t="shared" si="70"/>
        <v>0.32096754346053602</v>
      </c>
      <c r="N245" s="2">
        <f t="shared" si="71"/>
        <v>0.67903245653946398</v>
      </c>
      <c r="P245" s="5">
        <f t="shared" si="75"/>
        <v>8993.1709735707482</v>
      </c>
    </row>
    <row r="246" spans="1:16" x14ac:dyDescent="0.35">
      <c r="A246" t="s">
        <v>16</v>
      </c>
      <c r="B246" t="s">
        <v>22</v>
      </c>
      <c r="C246">
        <v>2006</v>
      </c>
      <c r="D246" t="s">
        <v>30</v>
      </c>
      <c r="E246" s="3">
        <f>153799+100160</f>
        <v>253959</v>
      </c>
      <c r="F246" s="3">
        <f>59423+78648</f>
        <v>138071</v>
      </c>
      <c r="G246" s="1">
        <f t="shared" si="72"/>
        <v>392030</v>
      </c>
      <c r="H246" s="2">
        <f t="shared" si="73"/>
        <v>0.64780501492232734</v>
      </c>
      <c r="I246" s="2">
        <f t="shared" si="74"/>
        <v>0.35219498507767261</v>
      </c>
      <c r="J246" s="3">
        <f>71960+1082033</f>
        <v>1153993</v>
      </c>
      <c r="K246" s="3">
        <f>2389359+34650</f>
        <v>2424009</v>
      </c>
      <c r="L246" s="1">
        <f t="shared" si="69"/>
        <v>3578002</v>
      </c>
      <c r="M246" s="2">
        <f t="shared" si="70"/>
        <v>0.32252441446371466</v>
      </c>
      <c r="N246" s="2">
        <f t="shared" si="71"/>
        <v>0.67747558553628529</v>
      </c>
      <c r="P246" s="5">
        <f t="shared" si="75"/>
        <v>9126.8576384460375</v>
      </c>
    </row>
    <row r="247" spans="1:16" x14ac:dyDescent="0.35">
      <c r="A247" t="s">
        <v>16</v>
      </c>
      <c r="B247" t="s">
        <v>23</v>
      </c>
      <c r="C247">
        <v>2006</v>
      </c>
      <c r="D247" t="s">
        <v>30</v>
      </c>
      <c r="E247" s="3">
        <f>154930+97500</f>
        <v>252430</v>
      </c>
      <c r="F247" s="3">
        <f>61107+79204</f>
        <v>140311</v>
      </c>
      <c r="G247" s="1">
        <f t="shared" si="72"/>
        <v>392741</v>
      </c>
      <c r="H247" s="2">
        <f t="shared" si="73"/>
        <v>0.64273910796173561</v>
      </c>
      <c r="I247" s="2">
        <f t="shared" si="74"/>
        <v>0.35726089203826439</v>
      </c>
      <c r="J247" s="3">
        <f>79215+1260029</f>
        <v>1339244</v>
      </c>
      <c r="K247" s="3">
        <f>40661+2790004</f>
        <v>2830665</v>
      </c>
      <c r="L247" s="1">
        <f t="shared" si="69"/>
        <v>4169909</v>
      </c>
      <c r="M247" s="2">
        <f t="shared" si="70"/>
        <v>0.32116863941155549</v>
      </c>
      <c r="N247" s="2">
        <f t="shared" si="71"/>
        <v>0.67883136058844451</v>
      </c>
      <c r="P247" s="5">
        <f t="shared" si="75"/>
        <v>10617.452723296014</v>
      </c>
    </row>
    <row r="248" spans="1:16" x14ac:dyDescent="0.35">
      <c r="A248" t="s">
        <v>16</v>
      </c>
      <c r="B248" t="s">
        <v>24</v>
      </c>
      <c r="C248">
        <v>2006</v>
      </c>
      <c r="D248" t="s">
        <v>30</v>
      </c>
      <c r="E248" s="3">
        <f>155457+95297</f>
        <v>250754</v>
      </c>
      <c r="F248" s="3">
        <f>62683+79735</f>
        <v>142418</v>
      </c>
      <c r="G248" s="1">
        <f t="shared" si="72"/>
        <v>393172</v>
      </c>
      <c r="H248" s="2">
        <f t="shared" si="73"/>
        <v>0.63777176401167934</v>
      </c>
      <c r="I248" s="2">
        <f t="shared" si="74"/>
        <v>0.36222823598832066</v>
      </c>
      <c r="J248" s="3">
        <f>87108.2+1264127.2</f>
        <v>1351235.4</v>
      </c>
      <c r="K248" s="3">
        <f>41756.2+2882413.2</f>
        <v>2924169.4000000004</v>
      </c>
      <c r="L248" s="1">
        <f t="shared" si="69"/>
        <v>4275404.8000000007</v>
      </c>
      <c r="M248" s="2">
        <f t="shared" si="70"/>
        <v>0.31604852948661133</v>
      </c>
      <c r="N248" s="2">
        <f t="shared" si="71"/>
        <v>0.68395147051338856</v>
      </c>
      <c r="P248" s="5">
        <f t="shared" si="75"/>
        <v>10874.133458130287</v>
      </c>
    </row>
    <row r="249" spans="1:16" x14ac:dyDescent="0.35">
      <c r="A249" t="s">
        <v>16</v>
      </c>
      <c r="B249" t="s">
        <v>25</v>
      </c>
      <c r="C249">
        <v>2006</v>
      </c>
      <c r="D249" t="s">
        <v>30</v>
      </c>
      <c r="E249" s="3">
        <f>154748+94396</f>
        <v>249144</v>
      </c>
      <c r="F249" s="3">
        <f>63563+80687</f>
        <v>144250</v>
      </c>
      <c r="G249" s="1">
        <f t="shared" si="72"/>
        <v>393394</v>
      </c>
      <c r="H249" s="2">
        <f t="shared" si="73"/>
        <v>0.63331926770616731</v>
      </c>
      <c r="I249" s="2">
        <f t="shared" si="74"/>
        <v>0.36668073229383263</v>
      </c>
      <c r="J249" s="3">
        <f>95231+1356879.5</f>
        <v>1452110.5</v>
      </c>
      <c r="K249" s="3">
        <f>3066794.8+43691.7</f>
        <v>3110486.5</v>
      </c>
      <c r="L249" s="1">
        <f t="shared" si="69"/>
        <v>4562597</v>
      </c>
      <c r="M249" s="2">
        <f t="shared" si="70"/>
        <v>0.31826402814011406</v>
      </c>
      <c r="N249" s="2">
        <f t="shared" si="71"/>
        <v>0.68173597185988599</v>
      </c>
      <c r="P249" s="5">
        <f t="shared" si="75"/>
        <v>11598.034032039126</v>
      </c>
    </row>
    <row r="250" spans="1:16" x14ac:dyDescent="0.35">
      <c r="A250" t="s">
        <v>16</v>
      </c>
      <c r="B250" t="s">
        <v>26</v>
      </c>
      <c r="C250">
        <v>2006</v>
      </c>
      <c r="D250" t="s">
        <v>30</v>
      </c>
      <c r="E250" s="3">
        <f>152453+93335</f>
        <v>245788</v>
      </c>
      <c r="F250" s="3">
        <f>65784+81961</f>
        <v>147745</v>
      </c>
      <c r="G250" s="1">
        <f t="shared" si="72"/>
        <v>393533</v>
      </c>
      <c r="H250" s="2">
        <f t="shared" si="73"/>
        <v>0.62456769826164515</v>
      </c>
      <c r="I250" s="2">
        <f t="shared" si="74"/>
        <v>0.37543230173835485</v>
      </c>
      <c r="J250" s="3">
        <f>89366.1+1311943.5</f>
        <v>1401309.6</v>
      </c>
      <c r="K250" s="3">
        <f>48447.9+3118422</f>
        <v>3166869.9</v>
      </c>
      <c r="L250" s="1">
        <f t="shared" si="69"/>
        <v>4568179.5</v>
      </c>
      <c r="M250" s="2">
        <f t="shared" si="70"/>
        <v>0.30675449596496812</v>
      </c>
      <c r="N250" s="2">
        <f t="shared" si="71"/>
        <v>0.69324550403503182</v>
      </c>
      <c r="P250" s="5">
        <f t="shared" si="75"/>
        <v>11608.123079894189</v>
      </c>
    </row>
    <row r="251" spans="1:16" x14ac:dyDescent="0.35">
      <c r="A251" t="s">
        <v>16</v>
      </c>
      <c r="B251" t="s">
        <v>27</v>
      </c>
      <c r="C251">
        <v>2006</v>
      </c>
      <c r="D251" t="s">
        <v>30</v>
      </c>
      <c r="E251" s="3">
        <f>149852+92080</f>
        <v>241932</v>
      </c>
      <c r="F251" s="3">
        <f>68221+83190</f>
        <v>151411</v>
      </c>
      <c r="G251" s="1">
        <f t="shared" si="72"/>
        <v>393343</v>
      </c>
      <c r="H251" s="2">
        <f t="shared" si="73"/>
        <v>0.61506623989749409</v>
      </c>
      <c r="I251" s="2">
        <f t="shared" si="74"/>
        <v>0.38493376010250596</v>
      </c>
      <c r="J251" s="3">
        <f>71528.6+1062299.5</f>
        <v>1133828.1000000001</v>
      </c>
      <c r="K251" s="3">
        <f>39540.2+2584740.7</f>
        <v>2624280.9000000004</v>
      </c>
      <c r="L251" s="1">
        <f t="shared" si="69"/>
        <v>3758109.0000000005</v>
      </c>
      <c r="M251" s="2">
        <f t="shared" si="70"/>
        <v>0.30170176011392963</v>
      </c>
      <c r="N251" s="2">
        <f t="shared" si="71"/>
        <v>0.69829823988607043</v>
      </c>
      <c r="P251" s="5">
        <f t="shared" si="75"/>
        <v>9554.2795982132648</v>
      </c>
    </row>
    <row r="252" spans="1:16" x14ac:dyDescent="0.35">
      <c r="A252" t="s">
        <v>16</v>
      </c>
      <c r="B252" t="s">
        <v>28</v>
      </c>
      <c r="C252">
        <v>2006</v>
      </c>
      <c r="D252" t="s">
        <v>30</v>
      </c>
      <c r="E252" s="3">
        <f>146886+90996</f>
        <v>237882</v>
      </c>
      <c r="F252" s="3">
        <f>70791+84461</f>
        <v>155252</v>
      </c>
      <c r="G252" s="1">
        <f t="shared" si="72"/>
        <v>393134</v>
      </c>
      <c r="H252" s="2">
        <f t="shared" si="73"/>
        <v>0.60509139377413301</v>
      </c>
      <c r="I252" s="2">
        <f t="shared" si="74"/>
        <v>0.39490860622586699</v>
      </c>
      <c r="J252" s="3">
        <f>61025.8+909575</f>
        <v>970600.8</v>
      </c>
      <c r="K252" s="3">
        <f>2314251.6+38372.3</f>
        <v>2352623.9</v>
      </c>
      <c r="L252" s="1">
        <f t="shared" si="69"/>
        <v>3323224.7</v>
      </c>
      <c r="M252" s="2">
        <f t="shared" si="70"/>
        <v>0.29206595629841098</v>
      </c>
      <c r="N252" s="2">
        <f t="shared" si="71"/>
        <v>0.70793404370158897</v>
      </c>
      <c r="P252" s="5">
        <f t="shared" si="75"/>
        <v>8453.1602456159981</v>
      </c>
    </row>
    <row r="253" spans="1:16" x14ac:dyDescent="0.35">
      <c r="A253" t="s">
        <v>16</v>
      </c>
      <c r="B253" t="s">
        <v>29</v>
      </c>
      <c r="C253">
        <v>2006</v>
      </c>
      <c r="D253" t="s">
        <v>30</v>
      </c>
      <c r="E253" s="3">
        <f>90321+145104</f>
        <v>235425</v>
      </c>
      <c r="F253" s="3">
        <f>71814+85597</f>
        <v>157411</v>
      </c>
      <c r="G253" s="1">
        <f t="shared" si="72"/>
        <v>392836</v>
      </c>
      <c r="H253" s="2">
        <f t="shared" si="73"/>
        <v>0.59929588937877387</v>
      </c>
      <c r="I253" s="2">
        <f t="shared" si="74"/>
        <v>0.40070411062122618</v>
      </c>
      <c r="J253" s="3">
        <f>65152.6+881163.6</f>
        <v>946316.2</v>
      </c>
      <c r="K253" s="3">
        <f>44255.5+2272617.5</f>
        <v>2316873</v>
      </c>
      <c r="L253" s="1">
        <f t="shared" si="69"/>
        <v>3263189.2</v>
      </c>
      <c r="M253" s="2">
        <f t="shared" si="70"/>
        <v>0.28999734370290264</v>
      </c>
      <c r="N253" s="2">
        <f t="shared" si="71"/>
        <v>0.71000265629709725</v>
      </c>
      <c r="P253" s="5">
        <f t="shared" si="75"/>
        <v>8306.7468358297101</v>
      </c>
    </row>
    <row r="254" spans="1:16" x14ac:dyDescent="0.35">
      <c r="A254" t="s">
        <v>16</v>
      </c>
      <c r="B254" t="s">
        <v>17</v>
      </c>
      <c r="C254">
        <v>2007</v>
      </c>
      <c r="D254" t="s">
        <v>30</v>
      </c>
      <c r="E254" s="3">
        <f>141111+89240</f>
        <v>230351</v>
      </c>
      <c r="F254" s="3">
        <f>75785+86843</f>
        <v>162628</v>
      </c>
      <c r="G254" s="1">
        <f t="shared" si="72"/>
        <v>392979</v>
      </c>
      <c r="H254" s="2">
        <f t="shared" si="73"/>
        <v>0.58616618190793912</v>
      </c>
      <c r="I254" s="2">
        <f t="shared" si="74"/>
        <v>0.41383381809206088</v>
      </c>
      <c r="J254" s="3">
        <f>72549+936597.2</f>
        <v>1009146.2</v>
      </c>
      <c r="K254" s="3">
        <f>48012.6+2340677.7</f>
        <v>2388690.3000000003</v>
      </c>
      <c r="L254" s="1">
        <f t="shared" si="69"/>
        <v>3397836.5</v>
      </c>
      <c r="M254" s="2">
        <f t="shared" si="70"/>
        <v>0.29699669186554445</v>
      </c>
      <c r="N254" s="2">
        <f t="shared" si="71"/>
        <v>0.70300330813445566</v>
      </c>
      <c r="P254" s="5">
        <f t="shared" si="75"/>
        <v>8646.3564210810255</v>
      </c>
    </row>
    <row r="255" spans="1:16" x14ac:dyDescent="0.35">
      <c r="A255" t="s">
        <v>16</v>
      </c>
      <c r="B255" t="s">
        <v>19</v>
      </c>
      <c r="C255">
        <v>2007</v>
      </c>
      <c r="D255" t="s">
        <v>30</v>
      </c>
      <c r="E255" s="3">
        <f>138548+88526</f>
        <v>227074</v>
      </c>
      <c r="F255" s="3">
        <f>78200+88112</f>
        <v>166312</v>
      </c>
      <c r="G255" s="1">
        <f t="shared" si="72"/>
        <v>393386</v>
      </c>
      <c r="H255" s="2">
        <f t="shared" si="73"/>
        <v>0.57722948961071319</v>
      </c>
      <c r="I255" s="2">
        <f t="shared" si="74"/>
        <v>0.42277051038928687</v>
      </c>
      <c r="J255" s="3">
        <f>58721.7+922114.9</f>
        <v>980836.6</v>
      </c>
      <c r="K255" s="3">
        <f>48149+2324408.1</f>
        <v>2372557.1</v>
      </c>
      <c r="L255" s="1">
        <f t="shared" si="69"/>
        <v>3353393.7</v>
      </c>
      <c r="M255" s="2">
        <f t="shared" si="70"/>
        <v>0.29249073856135649</v>
      </c>
      <c r="N255" s="2">
        <f t="shared" si="71"/>
        <v>0.70750926143864346</v>
      </c>
      <c r="P255" s="5">
        <f t="shared" si="75"/>
        <v>8524.4357958849578</v>
      </c>
    </row>
    <row r="256" spans="1:16" x14ac:dyDescent="0.35">
      <c r="A256" t="s">
        <v>16</v>
      </c>
      <c r="B256" t="s">
        <v>20</v>
      </c>
      <c r="C256">
        <v>2007</v>
      </c>
      <c r="D256" t="s">
        <v>30</v>
      </c>
      <c r="E256" s="3">
        <f>136752+87719</f>
        <v>224471</v>
      </c>
      <c r="F256" s="3">
        <f>79932+89097</f>
        <v>169029</v>
      </c>
      <c r="G256" s="1">
        <f t="shared" si="72"/>
        <v>393500</v>
      </c>
      <c r="H256" s="2">
        <f t="shared" si="73"/>
        <v>0.57044726810673441</v>
      </c>
      <c r="I256" s="2">
        <f t="shared" si="74"/>
        <v>0.42955273189326554</v>
      </c>
      <c r="J256" s="3">
        <f>59559.5+897709.4</f>
        <v>957268.9</v>
      </c>
      <c r="K256" s="3">
        <f>47356.5+2268979.9</f>
        <v>2316336.4</v>
      </c>
      <c r="L256" s="1">
        <f t="shared" si="69"/>
        <v>3273605.3</v>
      </c>
      <c r="M256" s="2">
        <f t="shared" si="70"/>
        <v>0.29242037822947076</v>
      </c>
      <c r="N256" s="2">
        <f t="shared" si="71"/>
        <v>0.70757962177052924</v>
      </c>
      <c r="P256" s="5">
        <f t="shared" si="75"/>
        <v>8319.200254129606</v>
      </c>
    </row>
    <row r="257" spans="1:16" x14ac:dyDescent="0.35">
      <c r="A257" t="s">
        <v>16</v>
      </c>
      <c r="B257" t="s">
        <v>21</v>
      </c>
      <c r="C257">
        <v>2007</v>
      </c>
      <c r="D257" t="s">
        <v>30</v>
      </c>
      <c r="E257" s="3">
        <f>136143+86948</f>
        <v>223091</v>
      </c>
      <c r="F257" s="3">
        <f>81340+90024</f>
        <v>171364</v>
      </c>
      <c r="G257" s="1">
        <f t="shared" si="72"/>
        <v>394455</v>
      </c>
      <c r="H257" s="2">
        <f t="shared" si="73"/>
        <v>0.56556768199160867</v>
      </c>
      <c r="I257" s="2">
        <f t="shared" si="74"/>
        <v>0.43443231800839133</v>
      </c>
      <c r="J257" s="3">
        <f>56017.123+876266.865</f>
        <v>932283.98800000001</v>
      </c>
      <c r="K257" s="3">
        <f>45586.166+2360113.788</f>
        <v>2405699.9540000004</v>
      </c>
      <c r="L257" s="1">
        <f t="shared" si="69"/>
        <v>3337983.9420000003</v>
      </c>
      <c r="M257" s="2">
        <f t="shared" si="70"/>
        <v>0.27929552813888281</v>
      </c>
      <c r="N257" s="2">
        <f t="shared" si="71"/>
        <v>0.72070447186111719</v>
      </c>
      <c r="P257" s="5">
        <f t="shared" si="75"/>
        <v>8462.2680457846909</v>
      </c>
    </row>
    <row r="258" spans="1:16" x14ac:dyDescent="0.35">
      <c r="A258" t="s">
        <v>16</v>
      </c>
      <c r="B258" t="s">
        <v>22</v>
      </c>
      <c r="C258">
        <v>2007</v>
      </c>
      <c r="D258" t="s">
        <v>30</v>
      </c>
      <c r="E258" s="3">
        <f>85975+135539</f>
        <v>221514</v>
      </c>
      <c r="F258" s="3">
        <f>82363+91062</f>
        <v>173425</v>
      </c>
      <c r="G258" s="1">
        <f t="shared" si="72"/>
        <v>394939</v>
      </c>
      <c r="H258" s="2">
        <f t="shared" si="73"/>
        <v>0.56088155386021643</v>
      </c>
      <c r="I258" s="2">
        <f t="shared" si="74"/>
        <v>0.43911844613978362</v>
      </c>
      <c r="J258" s="3">
        <f>893657.175+54106.806</f>
        <v>947763.98100000003</v>
      </c>
      <c r="K258" s="3">
        <f>2437931.794+46923.996</f>
        <v>2484855.79</v>
      </c>
      <c r="L258" s="1">
        <f t="shared" ref="L258:L321" si="76">SUM(J258:K258)</f>
        <v>3432619.7710000002</v>
      </c>
      <c r="M258" s="2">
        <f t="shared" ref="M258:M321" si="77">SUM(J258)/L258</f>
        <v>0.27610514540732101</v>
      </c>
      <c r="N258" s="2">
        <f t="shared" ref="N258:N321" si="78">SUM(K258/L258)</f>
        <v>0.72389485459267899</v>
      </c>
      <c r="P258" s="5">
        <f t="shared" si="75"/>
        <v>8691.5188700027102</v>
      </c>
    </row>
    <row r="259" spans="1:16" x14ac:dyDescent="0.35">
      <c r="A259" t="s">
        <v>16</v>
      </c>
      <c r="B259" t="s">
        <v>23</v>
      </c>
      <c r="C259">
        <v>2007</v>
      </c>
      <c r="D259" t="s">
        <v>30</v>
      </c>
      <c r="E259" s="3">
        <f>135108+85007</f>
        <v>220115</v>
      </c>
      <c r="F259" s="3">
        <f>91810+83583</f>
        <v>175393</v>
      </c>
      <c r="G259" s="1">
        <f t="shared" si="72"/>
        <v>395508</v>
      </c>
      <c r="H259" s="2">
        <f t="shared" si="73"/>
        <v>0.55653741517238586</v>
      </c>
      <c r="I259" s="2">
        <f t="shared" si="74"/>
        <v>0.44346258482761408</v>
      </c>
      <c r="J259" s="3">
        <f>62762.772+982088.624</f>
        <v>1044851.3959999999</v>
      </c>
      <c r="K259" s="3">
        <f>50117.469+2723231.772</f>
        <v>2773349.2409999999</v>
      </c>
      <c r="L259" s="1">
        <f t="shared" si="76"/>
        <v>3818200.6370000001</v>
      </c>
      <c r="M259" s="2">
        <f t="shared" si="77"/>
        <v>0.27365020734503637</v>
      </c>
      <c r="N259" s="2">
        <f t="shared" si="78"/>
        <v>0.72634979265496358</v>
      </c>
      <c r="P259" s="5">
        <f t="shared" si="75"/>
        <v>9653.9150586081705</v>
      </c>
    </row>
    <row r="260" spans="1:16" x14ac:dyDescent="0.35">
      <c r="A260" t="s">
        <v>16</v>
      </c>
      <c r="B260" t="s">
        <v>24</v>
      </c>
      <c r="C260">
        <v>2007</v>
      </c>
      <c r="D260" t="s">
        <v>30</v>
      </c>
      <c r="E260" s="3">
        <f>134083+84421</f>
        <v>218504</v>
      </c>
      <c r="F260" s="3">
        <f>84538+92505</f>
        <v>177043</v>
      </c>
      <c r="G260" s="1">
        <f t="shared" ref="G260:G323" si="79">SUM(E260:F260)</f>
        <v>395547</v>
      </c>
      <c r="H260" s="2">
        <f t="shared" ref="H260:H323" si="80">SUM(E260)/G260</f>
        <v>0.55240970099634179</v>
      </c>
      <c r="I260" s="2">
        <f t="shared" ref="I260:I323" si="81">SUM(F260/G260)</f>
        <v>0.44759029900365821</v>
      </c>
      <c r="J260" s="3">
        <f>65868+1049397</f>
        <v>1115265</v>
      </c>
      <c r="K260" s="3">
        <f>53973+2894427</f>
        <v>2948400</v>
      </c>
      <c r="L260" s="1">
        <f t="shared" si="76"/>
        <v>4063665</v>
      </c>
      <c r="M260" s="2">
        <f t="shared" si="77"/>
        <v>0.27444806597000493</v>
      </c>
      <c r="N260" s="2">
        <f t="shared" si="78"/>
        <v>0.72555193402999507</v>
      </c>
      <c r="P260" s="5">
        <f t="shared" ref="P260:P323" si="82">SUM(1000*L260)/G260</f>
        <v>10273.532601688295</v>
      </c>
    </row>
    <row r="261" spans="1:16" x14ac:dyDescent="0.35">
      <c r="A261" t="s">
        <v>16</v>
      </c>
      <c r="B261" t="s">
        <v>25</v>
      </c>
      <c r="C261">
        <v>2007</v>
      </c>
      <c r="D261" t="s">
        <v>30</v>
      </c>
      <c r="E261" s="3">
        <f>133556+83790</f>
        <v>217346</v>
      </c>
      <c r="F261" s="3">
        <f>85370+93018</f>
        <v>178388</v>
      </c>
      <c r="G261" s="1">
        <f t="shared" si="79"/>
        <v>395734</v>
      </c>
      <c r="H261" s="2">
        <f t="shared" si="80"/>
        <v>0.54922245750933707</v>
      </c>
      <c r="I261" s="2">
        <f t="shared" si="81"/>
        <v>0.45077754249066293</v>
      </c>
      <c r="J261" s="3">
        <f>72601+1090672</f>
        <v>1163273</v>
      </c>
      <c r="K261" s="3">
        <f>53872+2966205</f>
        <v>3020077</v>
      </c>
      <c r="L261" s="1">
        <f t="shared" si="76"/>
        <v>4183350</v>
      </c>
      <c r="M261" s="2">
        <f t="shared" si="77"/>
        <v>0.27807211923458475</v>
      </c>
      <c r="N261" s="2">
        <f t="shared" si="78"/>
        <v>0.72192788076541525</v>
      </c>
      <c r="P261" s="5">
        <f t="shared" si="82"/>
        <v>10571.115951624071</v>
      </c>
    </row>
    <row r="262" spans="1:16" x14ac:dyDescent="0.35">
      <c r="A262" t="s">
        <v>16</v>
      </c>
      <c r="B262" t="s">
        <v>26</v>
      </c>
      <c r="C262">
        <v>2007</v>
      </c>
      <c r="D262" t="s">
        <v>30</v>
      </c>
      <c r="E262" s="3">
        <f>83194+132992</f>
        <v>216186</v>
      </c>
      <c r="F262" s="3">
        <f>86330+93624</f>
        <v>179954</v>
      </c>
      <c r="G262" s="1">
        <f t="shared" si="79"/>
        <v>396140</v>
      </c>
      <c r="H262" s="2">
        <f t="shared" si="80"/>
        <v>0.5457313071136467</v>
      </c>
      <c r="I262" s="2">
        <f t="shared" si="81"/>
        <v>0.4542686928863533</v>
      </c>
      <c r="J262" s="3">
        <f>74774+1125445</f>
        <v>1200219</v>
      </c>
      <c r="K262" s="3">
        <f>3189590+58281</f>
        <v>3247871</v>
      </c>
      <c r="L262" s="1">
        <f t="shared" si="76"/>
        <v>4448090</v>
      </c>
      <c r="M262" s="2">
        <f t="shared" si="77"/>
        <v>0.2698279486251402</v>
      </c>
      <c r="N262" s="2">
        <f t="shared" si="78"/>
        <v>0.73017205137485974</v>
      </c>
      <c r="P262" s="5">
        <f t="shared" si="82"/>
        <v>11228.580804765992</v>
      </c>
    </row>
    <row r="263" spans="1:16" x14ac:dyDescent="0.35">
      <c r="A263" t="s">
        <v>16</v>
      </c>
      <c r="B263" t="s">
        <v>27</v>
      </c>
      <c r="C263">
        <v>2007</v>
      </c>
      <c r="D263" t="s">
        <v>30</v>
      </c>
      <c r="E263" s="3">
        <f>131998+82350</f>
        <v>214348</v>
      </c>
      <c r="F263" s="3">
        <f>87504+94537</f>
        <v>182041</v>
      </c>
      <c r="G263" s="1">
        <f t="shared" si="79"/>
        <v>396389</v>
      </c>
      <c r="H263" s="2">
        <f t="shared" si="80"/>
        <v>0.54075163538846938</v>
      </c>
      <c r="I263" s="2">
        <f t="shared" si="81"/>
        <v>0.45924836461153057</v>
      </c>
      <c r="J263" s="3">
        <f>75229.4+1044799.7</f>
        <v>1120029.0999999999</v>
      </c>
      <c r="K263" s="3">
        <f>57347.9+2955348.9</f>
        <v>3012696.8</v>
      </c>
      <c r="L263" s="1">
        <f t="shared" si="76"/>
        <v>4132725.8999999994</v>
      </c>
      <c r="M263" s="2">
        <f t="shared" si="77"/>
        <v>0.27101461047779629</v>
      </c>
      <c r="N263" s="2">
        <f t="shared" si="78"/>
        <v>0.72898538952220382</v>
      </c>
      <c r="P263" s="5">
        <f t="shared" si="82"/>
        <v>10425.934877103047</v>
      </c>
    </row>
    <row r="264" spans="1:16" x14ac:dyDescent="0.35">
      <c r="A264" t="s">
        <v>16</v>
      </c>
      <c r="B264" t="s">
        <v>28</v>
      </c>
      <c r="C264">
        <v>2007</v>
      </c>
      <c r="D264" t="s">
        <v>30</v>
      </c>
      <c r="E264" s="3">
        <f>131088+82096</f>
        <v>213184</v>
      </c>
      <c r="F264" s="3">
        <f>87992+95111</f>
        <v>183103</v>
      </c>
      <c r="G264" s="1">
        <f t="shared" si="79"/>
        <v>396287</v>
      </c>
      <c r="H264" s="2">
        <f t="shared" si="80"/>
        <v>0.53795355386374022</v>
      </c>
      <c r="I264" s="2">
        <f t="shared" si="81"/>
        <v>0.46204644613625984</v>
      </c>
      <c r="J264" s="3">
        <f>57411.3+854871.6</f>
        <v>912282.9</v>
      </c>
      <c r="K264" s="3">
        <f>2512674.8+47947.1</f>
        <v>2560621.9</v>
      </c>
      <c r="L264" s="1">
        <f t="shared" si="76"/>
        <v>3472904.8</v>
      </c>
      <c r="M264" s="2">
        <f t="shared" si="77"/>
        <v>0.26268583578795479</v>
      </c>
      <c r="N264" s="2">
        <f t="shared" si="78"/>
        <v>0.73731416421204521</v>
      </c>
      <c r="P264" s="5">
        <f t="shared" si="82"/>
        <v>8763.6102117909486</v>
      </c>
    </row>
    <row r="265" spans="1:16" x14ac:dyDescent="0.35">
      <c r="A265" t="s">
        <v>16</v>
      </c>
      <c r="B265" t="s">
        <v>29</v>
      </c>
      <c r="C265">
        <v>2007</v>
      </c>
      <c r="D265" t="s">
        <v>30</v>
      </c>
      <c r="E265" s="3">
        <f>129061+81846</f>
        <v>210907</v>
      </c>
      <c r="F265" s="3">
        <f>89203+95874</f>
        <v>185077</v>
      </c>
      <c r="G265" s="1">
        <f t="shared" si="79"/>
        <v>395984</v>
      </c>
      <c r="H265" s="2">
        <f t="shared" si="80"/>
        <v>0.53261495413956117</v>
      </c>
      <c r="I265" s="2">
        <f t="shared" si="81"/>
        <v>0.46738504586043883</v>
      </c>
      <c r="J265" s="3">
        <f>61695.7+874431.1</f>
        <v>936126.79999999993</v>
      </c>
      <c r="K265" s="3">
        <f>56777.5+2582256.6</f>
        <v>2639034.1</v>
      </c>
      <c r="L265" s="1">
        <f t="shared" si="76"/>
        <v>3575160.9</v>
      </c>
      <c r="M265" s="2">
        <f t="shared" si="77"/>
        <v>0.2618418656346348</v>
      </c>
      <c r="N265" s="2">
        <f t="shared" si="78"/>
        <v>0.73815813436536526</v>
      </c>
      <c r="P265" s="5">
        <f t="shared" si="82"/>
        <v>9028.548880762859</v>
      </c>
    </row>
    <row r="266" spans="1:16" x14ac:dyDescent="0.35">
      <c r="A266" t="s">
        <v>16</v>
      </c>
      <c r="B266" t="s">
        <v>17</v>
      </c>
      <c r="C266">
        <v>2008</v>
      </c>
      <c r="D266" t="s">
        <v>30</v>
      </c>
      <c r="E266" s="3">
        <f>127419+81769</f>
        <v>209188</v>
      </c>
      <c r="F266" s="3">
        <f>96698+89936</f>
        <v>186634</v>
      </c>
      <c r="G266" s="1">
        <f t="shared" si="79"/>
        <v>395822</v>
      </c>
      <c r="H266" s="2">
        <f t="shared" si="80"/>
        <v>0.52849007887383725</v>
      </c>
      <c r="I266" s="2">
        <f t="shared" si="81"/>
        <v>0.47150992112616275</v>
      </c>
      <c r="J266" s="3">
        <f>50164+889045</f>
        <v>939209</v>
      </c>
      <c r="K266" s="3">
        <f>64135+2596412</f>
        <v>2660547</v>
      </c>
      <c r="L266" s="1">
        <f t="shared" si="76"/>
        <v>3599756</v>
      </c>
      <c r="M266" s="2">
        <f t="shared" si="77"/>
        <v>0.2609090727260403</v>
      </c>
      <c r="N266" s="2">
        <f t="shared" si="78"/>
        <v>0.73909092727395964</v>
      </c>
      <c r="P266" s="5">
        <f t="shared" si="82"/>
        <v>9094.3808075347006</v>
      </c>
    </row>
    <row r="267" spans="1:16" x14ac:dyDescent="0.35">
      <c r="A267" t="s">
        <v>16</v>
      </c>
      <c r="B267" t="s">
        <v>19</v>
      </c>
      <c r="C267">
        <v>2008</v>
      </c>
      <c r="D267" t="s">
        <v>30</v>
      </c>
      <c r="E267" s="3">
        <f>127349+81236</f>
        <v>208585</v>
      </c>
      <c r="F267" s="3">
        <f>97067+90274</f>
        <v>187341</v>
      </c>
      <c r="G267" s="1">
        <f t="shared" si="79"/>
        <v>395926</v>
      </c>
      <c r="H267" s="2">
        <f t="shared" si="80"/>
        <v>0.52682824568227393</v>
      </c>
      <c r="I267" s="2">
        <f t="shared" si="81"/>
        <v>0.47317175431772601</v>
      </c>
      <c r="J267" s="3">
        <f>62028+833502</f>
        <v>895530</v>
      </c>
      <c r="K267" s="3">
        <f>2458328+53544</f>
        <v>2511872</v>
      </c>
      <c r="L267" s="1">
        <f t="shared" si="76"/>
        <v>3407402</v>
      </c>
      <c r="M267" s="2">
        <f t="shared" si="77"/>
        <v>0.26281900403885422</v>
      </c>
      <c r="N267" s="2">
        <f t="shared" si="78"/>
        <v>0.73718099596114572</v>
      </c>
      <c r="P267" s="5">
        <f t="shared" si="82"/>
        <v>8606.1587266307342</v>
      </c>
    </row>
    <row r="268" spans="1:16" x14ac:dyDescent="0.35">
      <c r="A268" t="s">
        <v>16</v>
      </c>
      <c r="B268" t="s">
        <v>20</v>
      </c>
      <c r="C268">
        <v>2008</v>
      </c>
      <c r="D268" t="s">
        <v>30</v>
      </c>
      <c r="E268" s="3">
        <f>127359+80681</f>
        <v>208040</v>
      </c>
      <c r="F268" s="3">
        <f>90752+97354</f>
        <v>188106</v>
      </c>
      <c r="G268" s="1">
        <f t="shared" si="79"/>
        <v>396146</v>
      </c>
      <c r="H268" s="2">
        <f t="shared" si="80"/>
        <v>0.52515991578862342</v>
      </c>
      <c r="I268" s="2">
        <f t="shared" si="81"/>
        <v>0.47484008421137663</v>
      </c>
      <c r="J268" s="3">
        <f>59909+799076</f>
        <v>858985</v>
      </c>
      <c r="K268" s="3">
        <f>53045.6+2393345.1</f>
        <v>2446390.7000000002</v>
      </c>
      <c r="L268" s="1">
        <f t="shared" si="76"/>
        <v>3305375.7</v>
      </c>
      <c r="M268" s="2">
        <f t="shared" si="77"/>
        <v>0.25987514823201491</v>
      </c>
      <c r="N268" s="2">
        <f t="shared" si="78"/>
        <v>0.74012485176798515</v>
      </c>
      <c r="P268" s="5">
        <f t="shared" si="82"/>
        <v>8343.8320720138527</v>
      </c>
    </row>
    <row r="269" spans="1:16" x14ac:dyDescent="0.35">
      <c r="A269" t="s">
        <v>16</v>
      </c>
      <c r="B269" t="s">
        <v>21</v>
      </c>
      <c r="C269">
        <v>2008</v>
      </c>
      <c r="D269" t="s">
        <v>30</v>
      </c>
      <c r="E269" s="3">
        <f>127515+80032</f>
        <v>207547</v>
      </c>
      <c r="F269" s="3">
        <f>91225+97763</f>
        <v>188988</v>
      </c>
      <c r="G269" s="1">
        <f t="shared" si="79"/>
        <v>396535</v>
      </c>
      <c r="H269" s="2">
        <f t="shared" si="80"/>
        <v>0.52340146519222763</v>
      </c>
      <c r="I269" s="2">
        <f t="shared" si="81"/>
        <v>0.47659853480777231</v>
      </c>
      <c r="J269" s="3">
        <f>49146.2+790268.3</f>
        <v>839414.5</v>
      </c>
      <c r="K269" s="3">
        <f>52899.9+2407000.8</f>
        <v>2459900.6999999997</v>
      </c>
      <c r="L269" s="1">
        <f t="shared" si="76"/>
        <v>3299315.1999999997</v>
      </c>
      <c r="M269" s="2">
        <f t="shared" si="77"/>
        <v>0.2544208264793858</v>
      </c>
      <c r="N269" s="2">
        <f t="shared" si="78"/>
        <v>0.7455791735206142</v>
      </c>
      <c r="P269" s="5">
        <f t="shared" si="82"/>
        <v>8320.3631457500578</v>
      </c>
    </row>
    <row r="270" spans="1:16" x14ac:dyDescent="0.35">
      <c r="A270" t="s">
        <v>16</v>
      </c>
      <c r="B270" t="s">
        <v>22</v>
      </c>
      <c r="C270">
        <v>2008</v>
      </c>
      <c r="D270" t="s">
        <v>30</v>
      </c>
      <c r="E270" s="3">
        <f>127542+79378</f>
        <v>206920</v>
      </c>
      <c r="F270" s="3">
        <f>92060+98187</f>
        <v>190247</v>
      </c>
      <c r="G270" s="1">
        <f t="shared" si="79"/>
        <v>397167</v>
      </c>
      <c r="H270" s="2">
        <f t="shared" si="80"/>
        <v>0.52098991104497605</v>
      </c>
      <c r="I270" s="2">
        <f t="shared" si="81"/>
        <v>0.47901008895502395</v>
      </c>
      <c r="J270" s="3">
        <f>818544.2+51673.5</f>
        <v>870217.7</v>
      </c>
      <c r="K270" s="3">
        <f>49763.7+2505105.3</f>
        <v>2554869</v>
      </c>
      <c r="L270" s="1">
        <f t="shared" si="76"/>
        <v>3425086.7</v>
      </c>
      <c r="M270" s="2">
        <f t="shared" si="77"/>
        <v>0.25407172904557418</v>
      </c>
      <c r="N270" s="2">
        <f t="shared" si="78"/>
        <v>0.74592827095442571</v>
      </c>
      <c r="P270" s="5">
        <f t="shared" si="82"/>
        <v>8623.7947765045938</v>
      </c>
    </row>
    <row r="271" spans="1:16" x14ac:dyDescent="0.35">
      <c r="A271" t="s">
        <v>16</v>
      </c>
      <c r="B271" t="s">
        <v>23</v>
      </c>
      <c r="C271">
        <v>2008</v>
      </c>
      <c r="D271" t="s">
        <v>30</v>
      </c>
      <c r="E271" s="3">
        <f>125967+78681</f>
        <v>204648</v>
      </c>
      <c r="F271" s="3">
        <f>93426+99159</f>
        <v>192585</v>
      </c>
      <c r="G271" s="1">
        <f t="shared" si="79"/>
        <v>397233</v>
      </c>
      <c r="H271" s="2">
        <f t="shared" si="80"/>
        <v>0.51518378382460672</v>
      </c>
      <c r="I271" s="2">
        <f t="shared" si="81"/>
        <v>0.48481621617539328</v>
      </c>
      <c r="J271" s="3">
        <f>66390.3+930597.3</f>
        <v>996987.60000000009</v>
      </c>
      <c r="K271" s="3">
        <f>3049959.2+61283.5</f>
        <v>3111242.7</v>
      </c>
      <c r="L271" s="1">
        <f t="shared" si="76"/>
        <v>4108230.3000000003</v>
      </c>
      <c r="M271" s="2">
        <f t="shared" si="77"/>
        <v>0.24268055274311182</v>
      </c>
      <c r="N271" s="2">
        <f t="shared" si="78"/>
        <v>0.75731944725688816</v>
      </c>
      <c r="P271" s="5">
        <f t="shared" si="82"/>
        <v>10342.117346746118</v>
      </c>
    </row>
    <row r="272" spans="1:16" x14ac:dyDescent="0.35">
      <c r="A272" t="s">
        <v>16</v>
      </c>
      <c r="B272" t="s">
        <v>24</v>
      </c>
      <c r="C272">
        <v>2008</v>
      </c>
      <c r="D272" t="s">
        <v>30</v>
      </c>
      <c r="E272" s="3">
        <f>125526+78581</f>
        <v>204107</v>
      </c>
      <c r="F272" s="3">
        <f>93974+99550</f>
        <v>193524</v>
      </c>
      <c r="G272" s="1">
        <f t="shared" si="79"/>
        <v>397631</v>
      </c>
      <c r="H272" s="2">
        <f t="shared" si="80"/>
        <v>0.51330756404807476</v>
      </c>
      <c r="I272" s="2">
        <f t="shared" si="81"/>
        <v>0.4866924359519253</v>
      </c>
      <c r="J272" s="3">
        <f>71040.628+1038663.524</f>
        <v>1109704.152</v>
      </c>
      <c r="K272" s="3">
        <f>62430.839+3180687.664</f>
        <v>3243118.503</v>
      </c>
      <c r="L272" s="1">
        <f t="shared" si="76"/>
        <v>4352822.6550000003</v>
      </c>
      <c r="M272" s="2">
        <f t="shared" si="77"/>
        <v>0.25493897637325175</v>
      </c>
      <c r="N272" s="2">
        <f t="shared" si="78"/>
        <v>0.7450610236267482</v>
      </c>
      <c r="P272" s="5">
        <f t="shared" si="82"/>
        <v>10946.889591103309</v>
      </c>
    </row>
    <row r="273" spans="1:16" x14ac:dyDescent="0.35">
      <c r="A273" t="s">
        <v>16</v>
      </c>
      <c r="B273" t="s">
        <v>25</v>
      </c>
      <c r="C273">
        <v>2008</v>
      </c>
      <c r="D273" t="s">
        <v>30</v>
      </c>
      <c r="E273" s="3">
        <f>125054+78099</f>
        <v>203153</v>
      </c>
      <c r="F273" s="3">
        <f>94421+100090</f>
        <v>194511</v>
      </c>
      <c r="G273" s="1">
        <f t="shared" si="79"/>
        <v>397664</v>
      </c>
      <c r="H273" s="2">
        <f t="shared" si="80"/>
        <v>0.51086595718998951</v>
      </c>
      <c r="I273" s="2">
        <f t="shared" si="81"/>
        <v>0.48913404281001044</v>
      </c>
      <c r="J273" s="3">
        <f>75354.956+1066801.205</f>
        <v>1142156.1610000001</v>
      </c>
      <c r="K273" s="3">
        <f>62795.787+3228596.767</f>
        <v>3291392.554</v>
      </c>
      <c r="L273" s="1">
        <f t="shared" si="76"/>
        <v>4433548.7149999999</v>
      </c>
      <c r="M273" s="2">
        <f t="shared" si="77"/>
        <v>0.25761669362868389</v>
      </c>
      <c r="N273" s="2">
        <f t="shared" si="78"/>
        <v>0.74238330637131622</v>
      </c>
      <c r="P273" s="5">
        <f t="shared" si="82"/>
        <v>11148.981841454091</v>
      </c>
    </row>
    <row r="274" spans="1:16" x14ac:dyDescent="0.35">
      <c r="A274" t="s">
        <v>16</v>
      </c>
      <c r="B274" t="s">
        <v>26</v>
      </c>
      <c r="C274">
        <v>2008</v>
      </c>
      <c r="D274" t="s">
        <v>30</v>
      </c>
      <c r="E274" s="3">
        <f>124469+77666</f>
        <v>202135</v>
      </c>
      <c r="F274" s="3">
        <f>94955+100303</f>
        <v>195258</v>
      </c>
      <c r="G274" s="1">
        <f t="shared" si="79"/>
        <v>397393</v>
      </c>
      <c r="H274" s="2">
        <f t="shared" si="80"/>
        <v>0.50865264360469364</v>
      </c>
      <c r="I274" s="2">
        <f t="shared" si="81"/>
        <v>0.49134735639530641</v>
      </c>
      <c r="J274" s="3">
        <f>68313.821+1013118.343</f>
        <v>1081432.1639999999</v>
      </c>
      <c r="K274" s="3">
        <f>61784.239+3155005.889</f>
        <v>3216790.128</v>
      </c>
      <c r="L274" s="1">
        <f t="shared" si="76"/>
        <v>4298222.2919999994</v>
      </c>
      <c r="M274" s="2">
        <f t="shared" si="77"/>
        <v>0.25159986862773454</v>
      </c>
      <c r="N274" s="2">
        <f t="shared" si="78"/>
        <v>0.74840013137226558</v>
      </c>
      <c r="P274" s="5">
        <f t="shared" si="82"/>
        <v>10816.049331518167</v>
      </c>
    </row>
    <row r="275" spans="1:16" x14ac:dyDescent="0.35">
      <c r="A275" t="s">
        <v>16</v>
      </c>
      <c r="B275" t="s">
        <v>27</v>
      </c>
      <c r="C275">
        <v>2008</v>
      </c>
      <c r="D275" t="s">
        <v>30</v>
      </c>
      <c r="E275" s="3">
        <f>123810+76989</f>
        <v>200799</v>
      </c>
      <c r="F275" s="3">
        <f>95673+100707</f>
        <v>196380</v>
      </c>
      <c r="G275" s="1">
        <f t="shared" si="79"/>
        <v>397179</v>
      </c>
      <c r="H275" s="2">
        <f t="shared" si="80"/>
        <v>0.5055629829371644</v>
      </c>
      <c r="I275" s="2">
        <f t="shared" si="81"/>
        <v>0.49443701706283566</v>
      </c>
      <c r="J275" s="3">
        <f>55641+878106</f>
        <v>933747</v>
      </c>
      <c r="K275" s="3">
        <f>56860+2782327</f>
        <v>2839187</v>
      </c>
      <c r="L275" s="1">
        <f t="shared" si="76"/>
        <v>3772934</v>
      </c>
      <c r="M275" s="2">
        <f t="shared" si="77"/>
        <v>0.24748564379869883</v>
      </c>
      <c r="N275" s="2">
        <f t="shared" si="78"/>
        <v>0.75251435620130114</v>
      </c>
      <c r="P275" s="5">
        <f t="shared" si="82"/>
        <v>9499.3290178987299</v>
      </c>
    </row>
    <row r="276" spans="1:16" x14ac:dyDescent="0.35">
      <c r="A276" t="s">
        <v>16</v>
      </c>
      <c r="B276" t="s">
        <v>28</v>
      </c>
      <c r="C276">
        <v>2008</v>
      </c>
      <c r="D276" t="s">
        <v>30</v>
      </c>
      <c r="E276" s="3">
        <f>122405+76370</f>
        <v>198775</v>
      </c>
      <c r="F276" s="3">
        <f>96825+100988</f>
        <v>197813</v>
      </c>
      <c r="G276" s="1">
        <f t="shared" si="79"/>
        <v>396588</v>
      </c>
      <c r="H276" s="2">
        <f t="shared" si="80"/>
        <v>0.50121284557273549</v>
      </c>
      <c r="I276" s="2">
        <f t="shared" si="81"/>
        <v>0.49878715442726457</v>
      </c>
      <c r="J276" s="3">
        <f>51441+763438</f>
        <v>814879</v>
      </c>
      <c r="K276" s="3">
        <f>52844+2464612</f>
        <v>2517456</v>
      </c>
      <c r="L276" s="1">
        <f t="shared" si="76"/>
        <v>3332335</v>
      </c>
      <c r="M276" s="2">
        <f t="shared" si="77"/>
        <v>0.24453693881317454</v>
      </c>
      <c r="N276" s="2">
        <f t="shared" si="78"/>
        <v>0.75546306118682549</v>
      </c>
      <c r="P276" s="5">
        <f t="shared" si="82"/>
        <v>8402.5109181316639</v>
      </c>
    </row>
    <row r="277" spans="1:16" x14ac:dyDescent="0.35">
      <c r="A277" t="s">
        <v>16</v>
      </c>
      <c r="B277" t="s">
        <v>29</v>
      </c>
      <c r="C277">
        <v>2008</v>
      </c>
      <c r="D277" t="s">
        <v>30</v>
      </c>
      <c r="E277" s="3">
        <f>118378+76103</f>
        <v>194481</v>
      </c>
      <c r="F277" s="3">
        <f>100306+100569</f>
        <v>200875</v>
      </c>
      <c r="G277" s="1">
        <f t="shared" si="79"/>
        <v>395356</v>
      </c>
      <c r="H277" s="2">
        <f t="shared" si="80"/>
        <v>0.49191361709446674</v>
      </c>
      <c r="I277" s="2">
        <f t="shared" si="81"/>
        <v>0.50808638290553321</v>
      </c>
      <c r="J277" s="3">
        <f>58900+779932</f>
        <v>838832</v>
      </c>
      <c r="K277" s="3">
        <f>62447+2543238</f>
        <v>2605685</v>
      </c>
      <c r="L277" s="1">
        <f t="shared" si="76"/>
        <v>3444517</v>
      </c>
      <c r="M277" s="2">
        <f t="shared" si="77"/>
        <v>0.24352674119477419</v>
      </c>
      <c r="N277" s="2">
        <f t="shared" si="78"/>
        <v>0.75647325880522587</v>
      </c>
      <c r="P277" s="5">
        <f t="shared" si="82"/>
        <v>8712.4439745444615</v>
      </c>
    </row>
    <row r="278" spans="1:16" x14ac:dyDescent="0.35">
      <c r="A278" t="s">
        <v>16</v>
      </c>
      <c r="B278" t="s">
        <v>17</v>
      </c>
      <c r="C278">
        <v>2009</v>
      </c>
      <c r="D278" t="s">
        <v>30</v>
      </c>
      <c r="E278" s="3">
        <f>116944+75792</f>
        <v>192736</v>
      </c>
      <c r="F278" s="3">
        <f>108241+102081</f>
        <v>210322</v>
      </c>
      <c r="G278" s="1">
        <f t="shared" si="79"/>
        <v>403058</v>
      </c>
      <c r="H278" s="2">
        <f t="shared" si="80"/>
        <v>0.47818428117045192</v>
      </c>
      <c r="I278" s="2">
        <f t="shared" si="81"/>
        <v>0.52181571882954814</v>
      </c>
      <c r="J278" s="3">
        <f>66857+818471</f>
        <v>885328</v>
      </c>
      <c r="K278" s="3">
        <f>68888+2638265</f>
        <v>2707153</v>
      </c>
      <c r="L278" s="1">
        <f t="shared" si="76"/>
        <v>3592481</v>
      </c>
      <c r="M278" s="2">
        <f t="shared" si="77"/>
        <v>0.24643916001225893</v>
      </c>
      <c r="N278" s="2">
        <f t="shared" si="78"/>
        <v>0.75356083998774104</v>
      </c>
      <c r="P278" s="5">
        <f t="shared" si="82"/>
        <v>8913.0621399401571</v>
      </c>
    </row>
    <row r="279" spans="1:16" x14ac:dyDescent="0.35">
      <c r="A279" t="s">
        <v>16</v>
      </c>
      <c r="B279" t="s">
        <v>19</v>
      </c>
      <c r="C279">
        <v>2009</v>
      </c>
      <c r="D279" t="s">
        <v>30</v>
      </c>
      <c r="E279" s="3">
        <f>116512+75436</f>
        <v>191948</v>
      </c>
      <c r="F279" s="3">
        <f>101140+102349</f>
        <v>203489</v>
      </c>
      <c r="G279" s="1">
        <f t="shared" si="79"/>
        <v>395437</v>
      </c>
      <c r="H279" s="2">
        <f t="shared" si="80"/>
        <v>0.48540728358752466</v>
      </c>
      <c r="I279" s="2">
        <f t="shared" si="81"/>
        <v>0.51459271641247528</v>
      </c>
      <c r="J279" s="3">
        <f>56756+757809</f>
        <v>814565</v>
      </c>
      <c r="K279" s="3">
        <f>62615+2386325</f>
        <v>2448940</v>
      </c>
      <c r="L279" s="1">
        <f t="shared" si="76"/>
        <v>3263505</v>
      </c>
      <c r="M279" s="2">
        <f t="shared" si="77"/>
        <v>0.24959820806157795</v>
      </c>
      <c r="N279" s="2">
        <f t="shared" si="78"/>
        <v>0.75040179193842205</v>
      </c>
      <c r="P279" s="5">
        <f t="shared" si="82"/>
        <v>8252.9075427944281</v>
      </c>
    </row>
    <row r="280" spans="1:16" x14ac:dyDescent="0.35">
      <c r="A280" t="s">
        <v>16</v>
      </c>
      <c r="B280" t="s">
        <v>20</v>
      </c>
      <c r="C280">
        <v>2009</v>
      </c>
      <c r="D280" t="s">
        <v>30</v>
      </c>
      <c r="E280" s="3">
        <f>116269+75139</f>
        <v>191408</v>
      </c>
      <c r="F280" s="3">
        <f>101652+102714</f>
        <v>204366</v>
      </c>
      <c r="G280" s="1">
        <f t="shared" si="79"/>
        <v>395774</v>
      </c>
      <c r="H280" s="2">
        <f t="shared" si="80"/>
        <v>0.48362954615512893</v>
      </c>
      <c r="I280" s="2">
        <f t="shared" si="81"/>
        <v>0.51637045384487101</v>
      </c>
      <c r="J280" s="3">
        <f>49487+723521</f>
        <v>773008</v>
      </c>
      <c r="K280" s="3">
        <f>56498+2361600</f>
        <v>2418098</v>
      </c>
      <c r="L280" s="1">
        <f t="shared" si="76"/>
        <v>3191106</v>
      </c>
      <c r="M280" s="2">
        <f t="shared" si="77"/>
        <v>0.2422382709944452</v>
      </c>
      <c r="N280" s="2">
        <f t="shared" si="78"/>
        <v>0.75776172900555483</v>
      </c>
      <c r="P280" s="5">
        <f t="shared" si="82"/>
        <v>8062.9500674627443</v>
      </c>
    </row>
    <row r="281" spans="1:16" x14ac:dyDescent="0.35">
      <c r="A281" t="s">
        <v>16</v>
      </c>
      <c r="B281" t="s">
        <v>21</v>
      </c>
      <c r="C281">
        <v>2009</v>
      </c>
      <c r="D281" t="s">
        <v>30</v>
      </c>
      <c r="E281" s="3">
        <f>116138+74514</f>
        <v>190652</v>
      </c>
      <c r="F281" s="3">
        <f>102321+103260</f>
        <v>205581</v>
      </c>
      <c r="G281" s="1">
        <f t="shared" si="79"/>
        <v>396233</v>
      </c>
      <c r="H281" s="2">
        <f t="shared" si="80"/>
        <v>0.4811613368901631</v>
      </c>
      <c r="I281" s="2">
        <f t="shared" si="81"/>
        <v>0.51883866310983684</v>
      </c>
      <c r="J281" s="3">
        <f>50360+749408</f>
        <v>799768</v>
      </c>
      <c r="K281" s="3">
        <f>59306+2446691</f>
        <v>2505997</v>
      </c>
      <c r="L281" s="1">
        <f t="shared" si="76"/>
        <v>3305765</v>
      </c>
      <c r="M281" s="2">
        <f t="shared" si="77"/>
        <v>0.24193129275674466</v>
      </c>
      <c r="N281" s="2">
        <f t="shared" si="78"/>
        <v>0.75806870724325537</v>
      </c>
      <c r="P281" s="5">
        <f t="shared" si="82"/>
        <v>8342.9825380521052</v>
      </c>
    </row>
    <row r="282" spans="1:16" x14ac:dyDescent="0.35">
      <c r="A282" t="s">
        <v>16</v>
      </c>
      <c r="B282" t="s">
        <v>22</v>
      </c>
      <c r="C282">
        <v>2009</v>
      </c>
      <c r="D282" t="s">
        <v>30</v>
      </c>
      <c r="E282" s="3">
        <f>115633+73845</f>
        <v>189478</v>
      </c>
      <c r="F282" s="3">
        <f>103188+103935</f>
        <v>207123</v>
      </c>
      <c r="G282" s="1">
        <f t="shared" si="79"/>
        <v>396601</v>
      </c>
      <c r="H282" s="2">
        <f t="shared" si="80"/>
        <v>0.47775472073948377</v>
      </c>
      <c r="I282" s="2">
        <f t="shared" si="81"/>
        <v>0.52224527926051623</v>
      </c>
      <c r="J282" s="3">
        <f>50577+767150</f>
        <v>817727</v>
      </c>
      <c r="K282" s="3">
        <f>2541200+57112</f>
        <v>2598312</v>
      </c>
      <c r="L282" s="1">
        <f t="shared" si="76"/>
        <v>3416039</v>
      </c>
      <c r="M282" s="2">
        <f t="shared" si="77"/>
        <v>0.23937870732740463</v>
      </c>
      <c r="N282" s="2">
        <f t="shared" si="78"/>
        <v>0.76062129267259537</v>
      </c>
      <c r="P282" s="5">
        <f t="shared" si="82"/>
        <v>8613.2889226199622</v>
      </c>
    </row>
    <row r="283" spans="1:16" x14ac:dyDescent="0.35">
      <c r="A283" t="s">
        <v>16</v>
      </c>
      <c r="B283" t="s">
        <v>23</v>
      </c>
      <c r="C283">
        <v>2009</v>
      </c>
      <c r="D283" t="s">
        <v>30</v>
      </c>
      <c r="E283" s="3">
        <f>116317+74002</f>
        <v>190319</v>
      </c>
      <c r="F283" s="3">
        <f>102779+103982</f>
        <v>206761</v>
      </c>
      <c r="G283" s="1">
        <f t="shared" si="79"/>
        <v>397080</v>
      </c>
      <c r="H283" s="2">
        <f t="shared" si="80"/>
        <v>0.47929636345320842</v>
      </c>
      <c r="I283" s="2">
        <f t="shared" si="81"/>
        <v>0.52070363654679153</v>
      </c>
      <c r="J283" s="3">
        <f>54684+865241</f>
        <v>919925</v>
      </c>
      <c r="K283" s="3">
        <f>64194+2856069</f>
        <v>2920263</v>
      </c>
      <c r="L283" s="1">
        <f t="shared" si="76"/>
        <v>3840188</v>
      </c>
      <c r="M283" s="2">
        <f t="shared" si="77"/>
        <v>0.2395520740130431</v>
      </c>
      <c r="N283" s="2">
        <f t="shared" si="78"/>
        <v>0.76044792598695687</v>
      </c>
      <c r="P283" s="5">
        <f t="shared" si="82"/>
        <v>9671.0688022564718</v>
      </c>
    </row>
    <row r="284" spans="1:16" x14ac:dyDescent="0.35">
      <c r="A284" t="s">
        <v>16</v>
      </c>
      <c r="B284" t="s">
        <v>24</v>
      </c>
      <c r="C284">
        <v>2009</v>
      </c>
      <c r="D284" t="s">
        <v>30</v>
      </c>
      <c r="E284" s="3">
        <f>115808+73668</f>
        <v>189476</v>
      </c>
      <c r="F284" s="3">
        <f>103341+104713</f>
        <v>208054</v>
      </c>
      <c r="G284" s="1">
        <f t="shared" si="79"/>
        <v>397530</v>
      </c>
      <c r="H284" s="2">
        <f t="shared" si="80"/>
        <v>0.47663321007219583</v>
      </c>
      <c r="I284" s="2">
        <f t="shared" si="81"/>
        <v>0.52336678992780417</v>
      </c>
      <c r="J284" s="3">
        <f>66797.5+1031088.6</f>
        <v>1097886.1000000001</v>
      </c>
      <c r="K284" s="3">
        <f>70902.6+3193673.5</f>
        <v>3264576.1</v>
      </c>
      <c r="L284" s="1">
        <f t="shared" si="76"/>
        <v>4362462.2</v>
      </c>
      <c r="M284" s="2">
        <f t="shared" si="77"/>
        <v>0.25166661616002084</v>
      </c>
      <c r="N284" s="2">
        <f t="shared" si="78"/>
        <v>0.74833338383997916</v>
      </c>
      <c r="P284" s="5">
        <f t="shared" si="82"/>
        <v>10973.919452619928</v>
      </c>
    </row>
    <row r="285" spans="1:16" x14ac:dyDescent="0.35">
      <c r="A285" t="s">
        <v>16</v>
      </c>
      <c r="B285" t="s">
        <v>25</v>
      </c>
      <c r="C285">
        <v>2009</v>
      </c>
      <c r="D285" t="s">
        <v>30</v>
      </c>
      <c r="E285" s="3">
        <f>115261+73077</f>
        <v>188338</v>
      </c>
      <c r="F285" s="3">
        <f>104029+105365</f>
        <v>209394</v>
      </c>
      <c r="G285" s="1">
        <f t="shared" si="79"/>
        <v>397732</v>
      </c>
      <c r="H285" s="2">
        <f t="shared" si="80"/>
        <v>0.47352991461587202</v>
      </c>
      <c r="I285" s="2">
        <f t="shared" si="81"/>
        <v>0.52647008538412798</v>
      </c>
      <c r="J285" s="3">
        <f>62346.2+1015282.6</f>
        <v>1077628.8</v>
      </c>
      <c r="K285" s="3">
        <f>66836.1+3117081.3</f>
        <v>3183917.4</v>
      </c>
      <c r="L285" s="1">
        <f t="shared" si="76"/>
        <v>4261546.2</v>
      </c>
      <c r="M285" s="2">
        <f t="shared" si="77"/>
        <v>0.25287272492786772</v>
      </c>
      <c r="N285" s="2">
        <f t="shared" si="78"/>
        <v>0.74712727507213217</v>
      </c>
      <c r="P285" s="5">
        <f t="shared" si="82"/>
        <v>10714.617380547705</v>
      </c>
    </row>
    <row r="286" spans="1:16" x14ac:dyDescent="0.35">
      <c r="A286" t="s">
        <v>16</v>
      </c>
      <c r="B286" t="s">
        <v>26</v>
      </c>
      <c r="C286">
        <v>2009</v>
      </c>
      <c r="D286" t="s">
        <v>30</v>
      </c>
      <c r="E286" s="3">
        <f>114386+72097</f>
        <v>186483</v>
      </c>
      <c r="F286" s="3">
        <f>105050+106131</f>
        <v>211181</v>
      </c>
      <c r="G286" s="1">
        <f t="shared" si="79"/>
        <v>397664</v>
      </c>
      <c r="H286" s="2">
        <f t="shared" si="80"/>
        <v>0.46894614548965963</v>
      </c>
      <c r="I286" s="2">
        <f t="shared" si="81"/>
        <v>0.53105385451034037</v>
      </c>
      <c r="J286" s="3">
        <f>58212.9+958245.8</f>
        <v>1016458.7000000001</v>
      </c>
      <c r="K286" s="3">
        <f>68078+3082672.8</f>
        <v>3150750.8</v>
      </c>
      <c r="L286" s="1">
        <f t="shared" si="76"/>
        <v>4167209.5</v>
      </c>
      <c r="M286" s="2">
        <f t="shared" si="77"/>
        <v>0.2439183103225312</v>
      </c>
      <c r="N286" s="2">
        <f t="shared" si="78"/>
        <v>0.7560816896774688</v>
      </c>
      <c r="P286" s="5">
        <f t="shared" si="82"/>
        <v>10479.222408867789</v>
      </c>
    </row>
    <row r="287" spans="1:16" x14ac:dyDescent="0.35">
      <c r="A287" t="s">
        <v>16</v>
      </c>
      <c r="B287" t="s">
        <v>27</v>
      </c>
      <c r="C287">
        <v>2009</v>
      </c>
      <c r="D287" t="s">
        <v>30</v>
      </c>
      <c r="E287" s="3">
        <f>113224+71112</f>
        <v>184336</v>
      </c>
      <c r="F287" s="3">
        <f>106289+106751</f>
        <v>213040</v>
      </c>
      <c r="G287" s="1">
        <f t="shared" si="79"/>
        <v>397376</v>
      </c>
      <c r="H287" s="2">
        <f t="shared" si="80"/>
        <v>0.46388307295860848</v>
      </c>
      <c r="I287" s="2">
        <f t="shared" si="81"/>
        <v>0.53611692704139158</v>
      </c>
      <c r="J287" s="3">
        <f>48780.5+815874.6</f>
        <v>864655.1</v>
      </c>
      <c r="K287" s="3">
        <f>62269.8+2649868.6</f>
        <v>2712138.4</v>
      </c>
      <c r="L287" s="1">
        <f t="shared" si="76"/>
        <v>3576793.5</v>
      </c>
      <c r="M287" s="2">
        <f t="shared" si="77"/>
        <v>0.24174029057031107</v>
      </c>
      <c r="N287" s="2">
        <f t="shared" si="78"/>
        <v>0.7582597094296889</v>
      </c>
      <c r="P287" s="5">
        <f t="shared" si="82"/>
        <v>9001.0305101465619</v>
      </c>
    </row>
    <row r="288" spans="1:16" x14ac:dyDescent="0.35">
      <c r="A288" t="s">
        <v>16</v>
      </c>
      <c r="B288" t="s">
        <v>28</v>
      </c>
      <c r="C288">
        <v>2009</v>
      </c>
      <c r="D288" t="s">
        <v>30</v>
      </c>
      <c r="E288" s="3">
        <f>111917+70471</f>
        <v>182388</v>
      </c>
      <c r="F288" s="3">
        <f>107270+107338</f>
        <v>214608</v>
      </c>
      <c r="G288" s="1">
        <f t="shared" si="79"/>
        <v>396996</v>
      </c>
      <c r="H288" s="2">
        <f t="shared" si="80"/>
        <v>0.45942024604781911</v>
      </c>
      <c r="I288" s="2">
        <f t="shared" si="81"/>
        <v>0.54057975395218083</v>
      </c>
      <c r="J288" s="3">
        <f>42788.5+713253.7</f>
        <v>756042.2</v>
      </c>
      <c r="K288" s="3">
        <f>59054.2+2326893.9</f>
        <v>2385948.1</v>
      </c>
      <c r="L288" s="1">
        <f t="shared" si="76"/>
        <v>3141990.3</v>
      </c>
      <c r="M288" s="2">
        <f t="shared" si="77"/>
        <v>0.24062524954325926</v>
      </c>
      <c r="N288" s="2">
        <f t="shared" si="78"/>
        <v>0.75937475045674085</v>
      </c>
      <c r="P288" s="5">
        <f t="shared" si="82"/>
        <v>7914.4129915666654</v>
      </c>
    </row>
    <row r="289" spans="1:16" x14ac:dyDescent="0.35">
      <c r="A289" t="s">
        <v>16</v>
      </c>
      <c r="B289" t="s">
        <v>29</v>
      </c>
      <c r="C289">
        <v>2009</v>
      </c>
      <c r="D289" t="s">
        <v>30</v>
      </c>
      <c r="E289" s="3">
        <f>110534+70472</f>
        <v>181006</v>
      </c>
      <c r="F289" s="3">
        <f>107893+107981</f>
        <v>215874</v>
      </c>
      <c r="G289" s="1">
        <f t="shared" si="79"/>
        <v>396880</v>
      </c>
      <c r="H289" s="2">
        <f t="shared" si="80"/>
        <v>0.4560723644426527</v>
      </c>
      <c r="I289" s="2">
        <f t="shared" si="81"/>
        <v>0.54392763555734736</v>
      </c>
      <c r="J289" s="3">
        <f>52536.4+773924.2</f>
        <v>826460.6</v>
      </c>
      <c r="K289" s="3">
        <f>69733.3+2549972.7</f>
        <v>2619706</v>
      </c>
      <c r="L289" s="1">
        <f t="shared" si="76"/>
        <v>3446166.6</v>
      </c>
      <c r="M289" s="2">
        <f t="shared" si="77"/>
        <v>0.23982026870088055</v>
      </c>
      <c r="N289" s="2">
        <f t="shared" si="78"/>
        <v>0.76017973129911942</v>
      </c>
      <c r="P289" s="5">
        <f t="shared" si="82"/>
        <v>8683.1450312437009</v>
      </c>
    </row>
    <row r="290" spans="1:16" x14ac:dyDescent="0.35">
      <c r="A290" t="s">
        <v>16</v>
      </c>
      <c r="B290" t="s">
        <v>17</v>
      </c>
      <c r="C290">
        <v>2010</v>
      </c>
      <c r="D290" t="s">
        <v>30</v>
      </c>
      <c r="E290" s="3">
        <f>109497+70809</f>
        <v>180306</v>
      </c>
      <c r="F290" s="3">
        <f>107815+108638</f>
        <v>216453</v>
      </c>
      <c r="G290" s="1">
        <f t="shared" si="79"/>
        <v>396759</v>
      </c>
      <c r="H290" s="2">
        <f t="shared" si="80"/>
        <v>0.45444715809849306</v>
      </c>
      <c r="I290" s="2">
        <f t="shared" si="81"/>
        <v>0.54555284190150699</v>
      </c>
      <c r="J290" s="3">
        <f>63274.45+854495.361</f>
        <v>917769.81099999999</v>
      </c>
      <c r="K290" s="3">
        <f>78874.924+2697801.584</f>
        <v>2776676.5079999999</v>
      </c>
      <c r="L290" s="1">
        <f t="shared" si="76"/>
        <v>3694446.3190000001</v>
      </c>
      <c r="M290" s="2">
        <f t="shared" si="77"/>
        <v>0.2484187701632159</v>
      </c>
      <c r="N290" s="2">
        <f t="shared" si="78"/>
        <v>0.7515812298367841</v>
      </c>
      <c r="P290" s="5">
        <f t="shared" si="82"/>
        <v>9311.5627345567464</v>
      </c>
    </row>
    <row r="291" spans="1:16" x14ac:dyDescent="0.35">
      <c r="A291" t="s">
        <v>16</v>
      </c>
      <c r="B291" t="s">
        <v>19</v>
      </c>
      <c r="C291">
        <v>2010</v>
      </c>
      <c r="D291" t="s">
        <v>30</v>
      </c>
      <c r="E291" s="3">
        <f>109031+70712</f>
        <v>179743</v>
      </c>
      <c r="F291" s="3">
        <f>108142+109432</f>
        <v>217574</v>
      </c>
      <c r="G291" s="1">
        <f t="shared" si="79"/>
        <v>397317</v>
      </c>
      <c r="H291" s="2">
        <f t="shared" si="80"/>
        <v>0.45239191879531959</v>
      </c>
      <c r="I291" s="2">
        <f t="shared" si="81"/>
        <v>0.54760808120468041</v>
      </c>
      <c r="J291" s="3">
        <f>53179.026+782627.309</f>
        <v>835806.33499999996</v>
      </c>
      <c r="K291" s="3">
        <f>67512.954+2460822.407</f>
        <v>2528335.361</v>
      </c>
      <c r="L291" s="1">
        <f t="shared" si="76"/>
        <v>3364141.696</v>
      </c>
      <c r="M291" s="2">
        <f t="shared" si="77"/>
        <v>0.24844563949068571</v>
      </c>
      <c r="N291" s="2">
        <f t="shared" si="78"/>
        <v>0.75155436050931435</v>
      </c>
      <c r="P291" s="5">
        <f t="shared" si="82"/>
        <v>8467.147632746648</v>
      </c>
    </row>
    <row r="292" spans="1:16" x14ac:dyDescent="0.35">
      <c r="A292" t="s">
        <v>16</v>
      </c>
      <c r="B292" t="s">
        <v>20</v>
      </c>
      <c r="C292">
        <v>2010</v>
      </c>
      <c r="D292" t="s">
        <v>30</v>
      </c>
      <c r="E292" s="3">
        <f>108366+70402</f>
        <v>178768</v>
      </c>
      <c r="F292" s="3">
        <f>108897+110195</f>
        <v>219092</v>
      </c>
      <c r="G292" s="1">
        <f t="shared" si="79"/>
        <v>397860</v>
      </c>
      <c r="H292" s="2">
        <f t="shared" si="80"/>
        <v>0.44932388277283469</v>
      </c>
      <c r="I292" s="2">
        <f t="shared" si="81"/>
        <v>0.55067611722716536</v>
      </c>
      <c r="J292" s="3">
        <f>48939.539+752853.945</f>
        <v>801793.48399999994</v>
      </c>
      <c r="K292" s="3">
        <f>64187.256+2372381.322</f>
        <v>2436568.5780000002</v>
      </c>
      <c r="L292" s="1">
        <f t="shared" si="76"/>
        <v>3238362.0619999999</v>
      </c>
      <c r="M292" s="2">
        <f t="shared" si="77"/>
        <v>0.24759229161201801</v>
      </c>
      <c r="N292" s="2">
        <f t="shared" si="78"/>
        <v>0.7524077083879821</v>
      </c>
      <c r="P292" s="5">
        <f t="shared" si="82"/>
        <v>8139.4512190217665</v>
      </c>
    </row>
    <row r="293" spans="1:16" x14ac:dyDescent="0.35">
      <c r="A293" t="s">
        <v>16</v>
      </c>
      <c r="B293" t="s">
        <v>21</v>
      </c>
      <c r="C293">
        <v>2010</v>
      </c>
      <c r="D293" t="s">
        <v>30</v>
      </c>
      <c r="E293" s="3">
        <f>108315+70038</f>
        <v>178353</v>
      </c>
      <c r="F293" s="3">
        <f>109546+110487</f>
        <v>220033</v>
      </c>
      <c r="G293" s="1">
        <f t="shared" si="79"/>
        <v>398386</v>
      </c>
      <c r="H293" s="2">
        <f t="shared" si="80"/>
        <v>0.44768892481161487</v>
      </c>
      <c r="I293" s="2">
        <f t="shared" si="81"/>
        <v>0.55231107518838518</v>
      </c>
      <c r="J293" s="3">
        <f>43518.9+741042</f>
        <v>784560.9</v>
      </c>
      <c r="K293" s="3">
        <f>59737+2401123.5</f>
        <v>2460860.5</v>
      </c>
      <c r="L293" s="1">
        <f t="shared" si="76"/>
        <v>3245421.4</v>
      </c>
      <c r="M293" s="2">
        <f t="shared" si="77"/>
        <v>0.24174392268443168</v>
      </c>
      <c r="N293" s="2">
        <f t="shared" si="78"/>
        <v>0.75825607731556832</v>
      </c>
      <c r="P293" s="5">
        <f t="shared" si="82"/>
        <v>8146.4243221398347</v>
      </c>
    </row>
    <row r="294" spans="1:16" x14ac:dyDescent="0.35">
      <c r="A294" t="s">
        <v>16</v>
      </c>
      <c r="B294" t="s">
        <v>22</v>
      </c>
      <c r="C294">
        <v>2010</v>
      </c>
      <c r="D294" t="s">
        <v>30</v>
      </c>
      <c r="E294" s="3">
        <f>107602+69095</f>
        <v>176697</v>
      </c>
      <c r="F294" s="3">
        <f>110807+110826</f>
        <v>221633</v>
      </c>
      <c r="G294" s="1">
        <f t="shared" si="79"/>
        <v>398330</v>
      </c>
      <c r="H294" s="2">
        <f t="shared" si="80"/>
        <v>0.44359450706700476</v>
      </c>
      <c r="I294" s="2">
        <f t="shared" si="81"/>
        <v>0.55640549293299524</v>
      </c>
      <c r="J294" s="3">
        <f>41109.7+750783.2</f>
        <v>791892.89999999991</v>
      </c>
      <c r="K294" s="3">
        <f>59747.3+2511924.9</f>
        <v>2571672.1999999997</v>
      </c>
      <c r="L294" s="1">
        <f t="shared" si="76"/>
        <v>3363565.0999999996</v>
      </c>
      <c r="M294" s="2">
        <f t="shared" si="77"/>
        <v>0.23543260690866366</v>
      </c>
      <c r="N294" s="2">
        <f t="shared" si="78"/>
        <v>0.76456739309133637</v>
      </c>
      <c r="P294" s="5">
        <f t="shared" si="82"/>
        <v>8444.1671478422395</v>
      </c>
    </row>
    <row r="295" spans="1:16" x14ac:dyDescent="0.35">
      <c r="A295" t="s">
        <v>16</v>
      </c>
      <c r="B295" t="s">
        <v>23</v>
      </c>
      <c r="C295">
        <v>2010</v>
      </c>
      <c r="D295" t="s">
        <v>30</v>
      </c>
      <c r="E295" s="3">
        <f>106636+68212</f>
        <v>174848</v>
      </c>
      <c r="F295" s="3">
        <f>111970+111351</f>
        <v>223321</v>
      </c>
      <c r="G295" s="1">
        <f t="shared" si="79"/>
        <v>398169</v>
      </c>
      <c r="H295" s="2">
        <f t="shared" si="80"/>
        <v>0.43913011811567448</v>
      </c>
      <c r="I295" s="2">
        <f t="shared" si="81"/>
        <v>0.56086988188432552</v>
      </c>
      <c r="J295" s="3">
        <f>54289.6+915257.6</f>
        <v>969547.2</v>
      </c>
      <c r="K295" s="3">
        <f>70239.6+3055164.1</f>
        <v>3125403.7</v>
      </c>
      <c r="L295" s="1">
        <f t="shared" si="76"/>
        <v>4094950.9000000004</v>
      </c>
      <c r="M295" s="2">
        <f t="shared" si="77"/>
        <v>0.23676650188894813</v>
      </c>
      <c r="N295" s="2">
        <f t="shared" si="78"/>
        <v>0.76323349811105179</v>
      </c>
      <c r="P295" s="5">
        <f t="shared" si="82"/>
        <v>10284.454339740161</v>
      </c>
    </row>
    <row r="296" spans="1:16" x14ac:dyDescent="0.35">
      <c r="A296" t="s">
        <v>16</v>
      </c>
      <c r="B296" t="s">
        <v>24</v>
      </c>
      <c r="C296">
        <v>2010</v>
      </c>
      <c r="D296" t="s">
        <v>30</v>
      </c>
      <c r="E296" s="3">
        <f>104811+67172</f>
        <v>171983</v>
      </c>
      <c r="F296" s="3">
        <f>114797+111524</f>
        <v>226321</v>
      </c>
      <c r="G296" s="1">
        <f t="shared" si="79"/>
        <v>398304</v>
      </c>
      <c r="H296" s="2">
        <f t="shared" si="80"/>
        <v>0.43178828231702421</v>
      </c>
      <c r="I296" s="2">
        <f t="shared" si="81"/>
        <v>0.56821171768297585</v>
      </c>
      <c r="J296" s="3">
        <f>62103.7+956819.1</f>
        <v>1018922.7999999999</v>
      </c>
      <c r="K296" s="3">
        <f>77323.6+3258280.8</f>
        <v>3335604.4</v>
      </c>
      <c r="L296" s="1">
        <f t="shared" si="76"/>
        <v>4354527.2</v>
      </c>
      <c r="M296" s="2">
        <f t="shared" si="77"/>
        <v>0.23399160303786823</v>
      </c>
      <c r="N296" s="2">
        <f t="shared" si="78"/>
        <v>0.76600839696213163</v>
      </c>
      <c r="P296" s="5">
        <f t="shared" si="82"/>
        <v>10932.672531533703</v>
      </c>
    </row>
    <row r="297" spans="1:16" x14ac:dyDescent="0.35">
      <c r="A297" t="s">
        <v>16</v>
      </c>
      <c r="B297" t="s">
        <v>25</v>
      </c>
      <c r="C297">
        <v>2010</v>
      </c>
      <c r="D297" t="s">
        <v>30</v>
      </c>
      <c r="E297" s="3">
        <f>104309+66490</f>
        <v>170799</v>
      </c>
      <c r="F297" s="3">
        <f>116255+111996</f>
        <v>228251</v>
      </c>
      <c r="G297" s="1">
        <f t="shared" si="79"/>
        <v>399050</v>
      </c>
      <c r="H297" s="2">
        <f t="shared" si="80"/>
        <v>0.42801403332915677</v>
      </c>
      <c r="I297" s="2">
        <f t="shared" si="81"/>
        <v>0.57198596667084323</v>
      </c>
      <c r="J297" s="3">
        <f>63520.1+962980</f>
        <v>1026500.1</v>
      </c>
      <c r="K297" s="3">
        <f>80017.8+3316179.4</f>
        <v>3396197.1999999997</v>
      </c>
      <c r="L297" s="1">
        <f t="shared" si="76"/>
        <v>4422697.3</v>
      </c>
      <c r="M297" s="2">
        <f t="shared" si="77"/>
        <v>0.23209820396254566</v>
      </c>
      <c r="N297" s="2">
        <f t="shared" si="78"/>
        <v>0.76790179603745434</v>
      </c>
      <c r="P297" s="5">
        <f t="shared" si="82"/>
        <v>11083.065530635258</v>
      </c>
    </row>
    <row r="298" spans="1:16" x14ac:dyDescent="0.35">
      <c r="A298" t="s">
        <v>16</v>
      </c>
      <c r="B298" t="s">
        <v>26</v>
      </c>
      <c r="C298">
        <v>2010</v>
      </c>
      <c r="D298" t="s">
        <v>30</v>
      </c>
      <c r="E298" s="3">
        <f>103646+65670</f>
        <v>169316</v>
      </c>
      <c r="F298" s="3">
        <f>117387+112557</f>
        <v>229944</v>
      </c>
      <c r="G298" s="1">
        <f t="shared" si="79"/>
        <v>399260</v>
      </c>
      <c r="H298" s="2">
        <f t="shared" si="80"/>
        <v>0.42407453789510596</v>
      </c>
      <c r="I298" s="2">
        <f t="shared" si="81"/>
        <v>0.57592546210489404</v>
      </c>
      <c r="J298" s="3">
        <f>60745.2+962238.5</f>
        <v>1022983.7</v>
      </c>
      <c r="K298" s="3">
        <f>80598.8+3371419.8</f>
        <v>3452018.5999999996</v>
      </c>
      <c r="L298" s="1">
        <f t="shared" si="76"/>
        <v>4475002.3</v>
      </c>
      <c r="M298" s="2">
        <f t="shared" si="77"/>
        <v>0.22859959200467897</v>
      </c>
      <c r="N298" s="2">
        <f t="shared" si="78"/>
        <v>0.77140040799532095</v>
      </c>
      <c r="P298" s="5">
        <f t="shared" si="82"/>
        <v>11208.240995842309</v>
      </c>
    </row>
    <row r="299" spans="1:16" x14ac:dyDescent="0.35">
      <c r="A299" t="s">
        <v>16</v>
      </c>
      <c r="B299" t="s">
        <v>27</v>
      </c>
      <c r="C299">
        <v>2010</v>
      </c>
      <c r="D299" t="s">
        <v>30</v>
      </c>
      <c r="E299" s="3">
        <f>102796+65036</f>
        <v>167832</v>
      </c>
      <c r="F299" s="3">
        <f>118435+113284</f>
        <v>231719</v>
      </c>
      <c r="G299" s="1">
        <f t="shared" si="79"/>
        <v>399551</v>
      </c>
      <c r="H299" s="2">
        <f t="shared" si="80"/>
        <v>0.42005150781752515</v>
      </c>
      <c r="I299" s="2">
        <f t="shared" si="81"/>
        <v>0.5799484921824748</v>
      </c>
      <c r="J299" s="3">
        <f>47796.9+749226.4</f>
        <v>797023.3</v>
      </c>
      <c r="K299" s="3">
        <f>70919.3+2884856.4</f>
        <v>2955775.6999999997</v>
      </c>
      <c r="L299" s="1">
        <f t="shared" si="76"/>
        <v>3752799</v>
      </c>
      <c r="M299" s="2">
        <f t="shared" si="77"/>
        <v>0.21238102546925641</v>
      </c>
      <c r="N299" s="2">
        <f t="shared" si="78"/>
        <v>0.78761897453074348</v>
      </c>
      <c r="P299" s="5">
        <f t="shared" si="82"/>
        <v>9392.5406268536426</v>
      </c>
    </row>
    <row r="300" spans="1:16" x14ac:dyDescent="0.35">
      <c r="A300" t="s">
        <v>16</v>
      </c>
      <c r="B300" t="s">
        <v>28</v>
      </c>
      <c r="C300">
        <v>2010</v>
      </c>
      <c r="D300" t="s">
        <v>30</v>
      </c>
      <c r="E300" s="3">
        <f>101280+64213</f>
        <v>165493</v>
      </c>
      <c r="F300" s="3">
        <f>119620+114567</f>
        <v>234187</v>
      </c>
      <c r="G300" s="1">
        <f t="shared" si="79"/>
        <v>399680</v>
      </c>
      <c r="H300" s="2">
        <f t="shared" si="80"/>
        <v>0.41406375100080062</v>
      </c>
      <c r="I300" s="2">
        <f t="shared" si="81"/>
        <v>0.58593624899919938</v>
      </c>
      <c r="J300" s="3">
        <f>40633.4+698907.8</f>
        <v>739541.20000000007</v>
      </c>
      <c r="K300" s="3">
        <f>65575.1+2518745.3</f>
        <v>2584320.4</v>
      </c>
      <c r="L300" s="1">
        <f t="shared" si="76"/>
        <v>3323861.6</v>
      </c>
      <c r="M300" s="2">
        <f t="shared" si="77"/>
        <v>0.2224945828069376</v>
      </c>
      <c r="N300" s="2">
        <f t="shared" si="78"/>
        <v>0.77750541719306243</v>
      </c>
      <c r="P300" s="5">
        <f t="shared" si="82"/>
        <v>8316.3070456365094</v>
      </c>
    </row>
    <row r="301" spans="1:16" x14ac:dyDescent="0.35">
      <c r="A301" t="s">
        <v>16</v>
      </c>
      <c r="B301" t="s">
        <v>29</v>
      </c>
      <c r="C301">
        <v>2010</v>
      </c>
      <c r="D301" t="s">
        <v>30</v>
      </c>
      <c r="E301" s="3">
        <f>100019+63880</f>
        <v>163899</v>
      </c>
      <c r="F301" s="3">
        <f>120184+115712</f>
        <v>235896</v>
      </c>
      <c r="G301" s="1">
        <f t="shared" si="79"/>
        <v>399795</v>
      </c>
      <c r="H301" s="2">
        <f t="shared" si="80"/>
        <v>0.40995760327167674</v>
      </c>
      <c r="I301" s="2">
        <f t="shared" si="81"/>
        <v>0.59004239672832326</v>
      </c>
      <c r="J301" s="3">
        <f>46759+726568.9</f>
        <v>773327.9</v>
      </c>
      <c r="K301" s="3">
        <f>76996.7+2651567.2</f>
        <v>2728563.9000000004</v>
      </c>
      <c r="L301" s="1">
        <f t="shared" si="76"/>
        <v>3501891.8000000003</v>
      </c>
      <c r="M301" s="2">
        <f t="shared" si="77"/>
        <v>0.2208314660093153</v>
      </c>
      <c r="N301" s="2">
        <f t="shared" si="78"/>
        <v>0.77916853399068475</v>
      </c>
      <c r="P301" s="5">
        <f t="shared" si="82"/>
        <v>8759.2185995322616</v>
      </c>
    </row>
    <row r="302" spans="1:16" x14ac:dyDescent="0.35">
      <c r="A302" t="s">
        <v>16</v>
      </c>
      <c r="B302" t="s">
        <v>17</v>
      </c>
      <c r="C302">
        <v>2011</v>
      </c>
      <c r="D302" t="s">
        <v>30</v>
      </c>
      <c r="E302" s="3">
        <f>100175+64110</f>
        <v>164285</v>
      </c>
      <c r="F302" s="3">
        <f>119155+116368</f>
        <v>235523</v>
      </c>
      <c r="G302" s="1">
        <f t="shared" si="79"/>
        <v>399808</v>
      </c>
      <c r="H302" s="2">
        <f t="shared" si="80"/>
        <v>0.41090973667360331</v>
      </c>
      <c r="I302" s="2">
        <f t="shared" si="81"/>
        <v>0.58909026332639669</v>
      </c>
      <c r="J302" s="3">
        <f>52315.1+760897.7</f>
        <v>813212.79999999993</v>
      </c>
      <c r="K302" s="3">
        <f>82983.8+2764293.9</f>
        <v>2847277.6999999997</v>
      </c>
      <c r="L302" s="1">
        <f t="shared" si="76"/>
        <v>3660490.4999999995</v>
      </c>
      <c r="M302" s="2">
        <f t="shared" si="77"/>
        <v>0.22215951660030261</v>
      </c>
      <c r="N302" s="2">
        <f t="shared" si="78"/>
        <v>0.77784048339969736</v>
      </c>
      <c r="P302" s="5">
        <f t="shared" si="82"/>
        <v>9155.620948055066</v>
      </c>
    </row>
    <row r="303" spans="1:16" x14ac:dyDescent="0.35">
      <c r="A303" t="s">
        <v>16</v>
      </c>
      <c r="B303" t="s">
        <v>19</v>
      </c>
      <c r="C303">
        <v>2011</v>
      </c>
      <c r="D303" t="s">
        <v>30</v>
      </c>
      <c r="E303" s="3">
        <f>99062+63953</f>
        <v>163015</v>
      </c>
      <c r="F303" s="3">
        <f>119650+117757</f>
        <v>237407</v>
      </c>
      <c r="G303" s="1">
        <f t="shared" si="79"/>
        <v>400422</v>
      </c>
      <c r="H303" s="2">
        <f t="shared" si="80"/>
        <v>0.4071080010588829</v>
      </c>
      <c r="I303" s="2">
        <f t="shared" si="81"/>
        <v>0.5928919989411171</v>
      </c>
      <c r="J303" s="3">
        <f>51309.6+758464.8</f>
        <v>809774.4</v>
      </c>
      <c r="K303" s="3">
        <f>76093.5+2697813.4</f>
        <v>2773906.9</v>
      </c>
      <c r="L303" s="1">
        <f t="shared" si="76"/>
        <v>3583681.3</v>
      </c>
      <c r="M303" s="2">
        <f t="shared" si="77"/>
        <v>0.22596161103946383</v>
      </c>
      <c r="N303" s="2">
        <f t="shared" si="78"/>
        <v>0.77403838896053623</v>
      </c>
      <c r="P303" s="5">
        <f t="shared" si="82"/>
        <v>8949.7612518792666</v>
      </c>
    </row>
    <row r="304" spans="1:16" x14ac:dyDescent="0.35">
      <c r="A304" t="s">
        <v>16</v>
      </c>
      <c r="B304" t="s">
        <v>20</v>
      </c>
      <c r="C304">
        <v>2011</v>
      </c>
      <c r="D304" t="s">
        <v>30</v>
      </c>
      <c r="E304" s="3">
        <f>98634+63238</f>
        <v>161872</v>
      </c>
      <c r="F304" s="3">
        <f>120737+118574</f>
        <v>239311</v>
      </c>
      <c r="G304" s="1">
        <f t="shared" si="79"/>
        <v>401183</v>
      </c>
      <c r="H304" s="2">
        <f t="shared" si="80"/>
        <v>0.40348668811988542</v>
      </c>
      <c r="I304" s="2">
        <f t="shared" si="81"/>
        <v>0.59651331188011458</v>
      </c>
      <c r="J304" s="3">
        <f>37904.1+653479.3</f>
        <v>691383.4</v>
      </c>
      <c r="K304" s="3">
        <f>65787.5+2452031.7</f>
        <v>2517819.2000000002</v>
      </c>
      <c r="L304" s="1">
        <f t="shared" si="76"/>
        <v>3209202.6</v>
      </c>
      <c r="M304" s="2">
        <f t="shared" si="77"/>
        <v>0.21543775391432127</v>
      </c>
      <c r="N304" s="2">
        <f t="shared" si="78"/>
        <v>0.78456224608567882</v>
      </c>
      <c r="P304" s="5">
        <f t="shared" si="82"/>
        <v>7999.3484270270674</v>
      </c>
    </row>
    <row r="305" spans="1:16" x14ac:dyDescent="0.35">
      <c r="A305" t="s">
        <v>16</v>
      </c>
      <c r="B305" t="s">
        <v>21</v>
      </c>
      <c r="C305">
        <v>2011</v>
      </c>
      <c r="D305" t="s">
        <v>30</v>
      </c>
      <c r="E305" s="3">
        <f>97848+62247</f>
        <v>160095</v>
      </c>
      <c r="F305" s="3">
        <f>122134+119631</f>
        <v>241765</v>
      </c>
      <c r="G305" s="1">
        <f t="shared" si="79"/>
        <v>401860</v>
      </c>
      <c r="H305" s="2">
        <f t="shared" si="80"/>
        <v>0.39838500970487234</v>
      </c>
      <c r="I305" s="2">
        <f t="shared" si="81"/>
        <v>0.60161499029512766</v>
      </c>
      <c r="J305" s="3">
        <f>35550.8+642314.2</f>
        <v>677865</v>
      </c>
      <c r="K305" s="3">
        <f>65609.6+2520008.5</f>
        <v>2585618.1</v>
      </c>
      <c r="L305" s="1">
        <f t="shared" si="76"/>
        <v>3263483.1</v>
      </c>
      <c r="M305" s="2">
        <f t="shared" si="77"/>
        <v>0.20771212205756481</v>
      </c>
      <c r="N305" s="2">
        <f t="shared" si="78"/>
        <v>0.79228787794243516</v>
      </c>
      <c r="P305" s="5">
        <f t="shared" si="82"/>
        <v>8120.945354103419</v>
      </c>
    </row>
    <row r="306" spans="1:16" x14ac:dyDescent="0.35">
      <c r="A306" t="s">
        <v>16</v>
      </c>
      <c r="B306" t="s">
        <v>22</v>
      </c>
      <c r="C306">
        <v>2011</v>
      </c>
      <c r="D306" t="s">
        <v>30</v>
      </c>
      <c r="E306" s="3">
        <f>97091+61434</f>
        <v>158525</v>
      </c>
      <c r="F306" s="3">
        <f>123277+120752</f>
        <v>244029</v>
      </c>
      <c r="G306" s="1">
        <f t="shared" si="79"/>
        <v>402554</v>
      </c>
      <c r="H306" s="2">
        <f t="shared" si="80"/>
        <v>0.39379809913701019</v>
      </c>
      <c r="I306" s="2">
        <f t="shared" si="81"/>
        <v>0.60620190086298986</v>
      </c>
      <c r="J306" s="3">
        <f>40045.9+697955</f>
        <v>738000.9</v>
      </c>
      <c r="K306" s="3">
        <f>67814+2788735.9</f>
        <v>2856549.9</v>
      </c>
      <c r="L306" s="1">
        <f t="shared" si="76"/>
        <v>3594550.8</v>
      </c>
      <c r="M306" s="2">
        <f t="shared" si="77"/>
        <v>0.20531102245098332</v>
      </c>
      <c r="N306" s="2">
        <f t="shared" si="78"/>
        <v>0.79468897754901668</v>
      </c>
      <c r="P306" s="5">
        <f t="shared" si="82"/>
        <v>8929.363017135589</v>
      </c>
    </row>
    <row r="307" spans="1:16" x14ac:dyDescent="0.35">
      <c r="A307" t="s">
        <v>16</v>
      </c>
      <c r="B307" t="s">
        <v>23</v>
      </c>
      <c r="C307">
        <v>2011</v>
      </c>
      <c r="D307" t="s">
        <v>30</v>
      </c>
      <c r="E307" s="3">
        <f>95567+60656</f>
        <v>156223</v>
      </c>
      <c r="F307" s="3">
        <f>126268+122417</f>
        <v>248685</v>
      </c>
      <c r="G307" s="1">
        <f t="shared" si="79"/>
        <v>404908</v>
      </c>
      <c r="H307" s="2">
        <f t="shared" si="80"/>
        <v>0.3858234463137305</v>
      </c>
      <c r="I307" s="2">
        <f t="shared" si="81"/>
        <v>0.61417655368626944</v>
      </c>
      <c r="J307" s="3">
        <f>47806.2+799721.3</f>
        <v>847527.5</v>
      </c>
      <c r="K307" s="3">
        <f>76322+3231996.1</f>
        <v>3308318.1</v>
      </c>
      <c r="L307" s="1">
        <f t="shared" si="76"/>
        <v>4155845.6</v>
      </c>
      <c r="M307" s="2">
        <f t="shared" si="77"/>
        <v>0.20393623381965875</v>
      </c>
      <c r="N307" s="2">
        <f t="shared" si="78"/>
        <v>0.79606376618034125</v>
      </c>
      <c r="P307" s="5">
        <f t="shared" si="82"/>
        <v>10263.678662807353</v>
      </c>
    </row>
    <row r="308" spans="1:16" x14ac:dyDescent="0.35">
      <c r="A308" t="s">
        <v>16</v>
      </c>
      <c r="B308" t="s">
        <v>24</v>
      </c>
      <c r="C308">
        <v>2011</v>
      </c>
      <c r="D308" t="s">
        <v>30</v>
      </c>
      <c r="E308" s="3">
        <f>88596+52531</f>
        <v>141127</v>
      </c>
      <c r="F308" s="3">
        <f>127100+123676</f>
        <v>250776</v>
      </c>
      <c r="G308" s="1">
        <f t="shared" si="79"/>
        <v>391903</v>
      </c>
      <c r="H308" s="2">
        <f t="shared" si="80"/>
        <v>0.36010696524395069</v>
      </c>
      <c r="I308" s="2">
        <f t="shared" si="81"/>
        <v>0.63989303475604931</v>
      </c>
      <c r="J308" s="3">
        <f>55197+867919.2</f>
        <v>923116.2</v>
      </c>
      <c r="K308" s="3">
        <f>84307.7+3580994.1</f>
        <v>3665301.8000000003</v>
      </c>
      <c r="L308" s="1">
        <f t="shared" si="76"/>
        <v>4588418</v>
      </c>
      <c r="M308" s="2">
        <f t="shared" si="77"/>
        <v>0.20118398105839527</v>
      </c>
      <c r="N308" s="2">
        <f t="shared" si="78"/>
        <v>0.79881601894160481</v>
      </c>
      <c r="P308" s="5">
        <f t="shared" si="82"/>
        <v>11708.045102997425</v>
      </c>
    </row>
    <row r="309" spans="1:16" x14ac:dyDescent="0.35">
      <c r="A309" t="s">
        <v>16</v>
      </c>
      <c r="B309" t="s">
        <v>25</v>
      </c>
      <c r="C309">
        <v>2011</v>
      </c>
      <c r="D309" t="s">
        <v>30</v>
      </c>
      <c r="E309" s="3">
        <f>93306+59629</f>
        <v>152935</v>
      </c>
      <c r="F309" s="3">
        <f>128035+124906</f>
        <v>252941</v>
      </c>
      <c r="G309" s="1">
        <f t="shared" si="79"/>
        <v>405876</v>
      </c>
      <c r="H309" s="2">
        <f t="shared" si="80"/>
        <v>0.37680227458632687</v>
      </c>
      <c r="I309" s="2">
        <f t="shared" si="81"/>
        <v>0.62319772541367313</v>
      </c>
      <c r="J309" s="3">
        <f>54755.2+898049.5</f>
        <v>952804.7</v>
      </c>
      <c r="K309" s="3">
        <f>88590.3+3710398.6</f>
        <v>3798988.9</v>
      </c>
      <c r="L309" s="1">
        <f t="shared" si="76"/>
        <v>4751793.5999999996</v>
      </c>
      <c r="M309" s="2">
        <f t="shared" si="77"/>
        <v>0.20051474878875211</v>
      </c>
      <c r="N309" s="2">
        <f t="shared" si="78"/>
        <v>0.79948525121124792</v>
      </c>
      <c r="P309" s="5">
        <f t="shared" si="82"/>
        <v>11707.500813056204</v>
      </c>
    </row>
    <row r="310" spans="1:16" x14ac:dyDescent="0.35">
      <c r="A310" t="s">
        <v>16</v>
      </c>
      <c r="B310" t="s">
        <v>26</v>
      </c>
      <c r="C310">
        <v>2011</v>
      </c>
      <c r="D310" t="s">
        <v>30</v>
      </c>
      <c r="E310" s="3">
        <f>92645+58970</f>
        <v>151615</v>
      </c>
      <c r="F310" s="3">
        <f>128890+125723</f>
        <v>254613</v>
      </c>
      <c r="G310" s="1">
        <f t="shared" si="79"/>
        <v>406228</v>
      </c>
      <c r="H310" s="2">
        <f t="shared" si="80"/>
        <v>0.37322636548933114</v>
      </c>
      <c r="I310" s="2">
        <f t="shared" si="81"/>
        <v>0.62677363451066892</v>
      </c>
      <c r="J310" s="3">
        <f>51732.4+859650.6</f>
        <v>911383</v>
      </c>
      <c r="K310" s="3">
        <f>84004.1+3598642.2</f>
        <v>3682646.3000000003</v>
      </c>
      <c r="L310" s="1">
        <f t="shared" si="76"/>
        <v>4594029.3000000007</v>
      </c>
      <c r="M310" s="2">
        <f t="shared" si="77"/>
        <v>0.19838423755808432</v>
      </c>
      <c r="N310" s="2">
        <f t="shared" si="78"/>
        <v>0.80161576244191557</v>
      </c>
      <c r="P310" s="5">
        <f t="shared" si="82"/>
        <v>11308.992240810581</v>
      </c>
    </row>
    <row r="311" spans="1:16" x14ac:dyDescent="0.35">
      <c r="A311" t="s">
        <v>16</v>
      </c>
      <c r="B311" t="s">
        <v>27</v>
      </c>
      <c r="C311">
        <v>2011</v>
      </c>
      <c r="D311" t="s">
        <v>30</v>
      </c>
      <c r="E311" s="3">
        <f>91950+58227</f>
        <v>150177</v>
      </c>
      <c r="F311" s="3">
        <f>130208+126438</f>
        <v>256646</v>
      </c>
      <c r="G311" s="1">
        <f t="shared" si="79"/>
        <v>406823</v>
      </c>
      <c r="H311" s="2">
        <f t="shared" si="80"/>
        <v>0.36914579559169469</v>
      </c>
      <c r="I311" s="2">
        <f t="shared" si="81"/>
        <v>0.63085420440830531</v>
      </c>
      <c r="J311" s="3">
        <f>39348.6+688178</f>
        <v>727526.6</v>
      </c>
      <c r="K311" s="3">
        <f>74466+2982857.4</f>
        <v>3057323.4</v>
      </c>
      <c r="L311" s="1">
        <f t="shared" si="76"/>
        <v>3784850</v>
      </c>
      <c r="M311" s="2">
        <f t="shared" si="77"/>
        <v>0.19222072208938265</v>
      </c>
      <c r="N311" s="2">
        <f t="shared" si="78"/>
        <v>0.80777927791061732</v>
      </c>
      <c r="P311" s="5">
        <f t="shared" si="82"/>
        <v>9303.4317135461861</v>
      </c>
    </row>
    <row r="312" spans="1:16" x14ac:dyDescent="0.35">
      <c r="A312" t="s">
        <v>16</v>
      </c>
      <c r="B312" t="s">
        <v>28</v>
      </c>
      <c r="C312">
        <v>2011</v>
      </c>
      <c r="D312" t="s">
        <v>30</v>
      </c>
      <c r="E312" s="3">
        <f>90816+57644</f>
        <v>148460</v>
      </c>
      <c r="F312" s="3">
        <f>131181+127278</f>
        <v>258459</v>
      </c>
      <c r="G312" s="1">
        <f t="shared" si="79"/>
        <v>406919</v>
      </c>
      <c r="H312" s="2">
        <f t="shared" si="80"/>
        <v>0.36483919404107451</v>
      </c>
      <c r="I312" s="2">
        <f t="shared" si="81"/>
        <v>0.63516080595892543</v>
      </c>
      <c r="J312" s="3">
        <f>34013+595570.3</f>
        <v>629583.30000000005</v>
      </c>
      <c r="K312" s="3">
        <f>70087.6+2649585.3</f>
        <v>2719672.9</v>
      </c>
      <c r="L312" s="1">
        <f t="shared" si="76"/>
        <v>3349256.2</v>
      </c>
      <c r="M312" s="2">
        <f t="shared" si="77"/>
        <v>0.18797704994917977</v>
      </c>
      <c r="N312" s="2">
        <f t="shared" si="78"/>
        <v>0.81202295005082015</v>
      </c>
      <c r="P312" s="5">
        <f t="shared" si="82"/>
        <v>8230.7687770784851</v>
      </c>
    </row>
    <row r="313" spans="1:16" x14ac:dyDescent="0.35">
      <c r="A313" t="s">
        <v>16</v>
      </c>
      <c r="B313" t="s">
        <v>29</v>
      </c>
      <c r="C313">
        <v>2011</v>
      </c>
      <c r="D313" t="s">
        <v>30</v>
      </c>
      <c r="E313" s="3">
        <f>89861+57245</f>
        <v>147106</v>
      </c>
      <c r="F313" s="3">
        <f>131613+128384</f>
        <v>259997</v>
      </c>
      <c r="G313" s="1">
        <f t="shared" si="79"/>
        <v>407103</v>
      </c>
      <c r="H313" s="2">
        <f t="shared" si="80"/>
        <v>0.36134835655841396</v>
      </c>
      <c r="I313" s="2">
        <f t="shared" si="81"/>
        <v>0.63865164344158598</v>
      </c>
      <c r="J313" s="3">
        <f>39577.2+627688.8</f>
        <v>667266</v>
      </c>
      <c r="K313" s="3">
        <f>81594.4+2772805.5</f>
        <v>2854399.9</v>
      </c>
      <c r="L313" s="1">
        <f t="shared" si="76"/>
        <v>3521665.9</v>
      </c>
      <c r="M313" s="2">
        <f t="shared" si="77"/>
        <v>0.18947453249327259</v>
      </c>
      <c r="N313" s="2">
        <f t="shared" si="78"/>
        <v>0.81052546750672738</v>
      </c>
      <c r="P313" s="5">
        <f t="shared" si="82"/>
        <v>8650.5525628649266</v>
      </c>
    </row>
    <row r="314" spans="1:16" x14ac:dyDescent="0.35">
      <c r="A314" t="s">
        <v>16</v>
      </c>
      <c r="B314" t="s">
        <v>17</v>
      </c>
      <c r="C314">
        <v>2012</v>
      </c>
      <c r="D314" t="s">
        <v>30</v>
      </c>
      <c r="E314" s="3">
        <v>145392</v>
      </c>
      <c r="F314" s="3">
        <v>261879</v>
      </c>
      <c r="G314" s="1">
        <f t="shared" si="79"/>
        <v>407271</v>
      </c>
      <c r="H314" s="2">
        <f t="shared" si="80"/>
        <v>0.35699079973776676</v>
      </c>
      <c r="I314" s="2">
        <f t="shared" si="81"/>
        <v>0.64300920026223329</v>
      </c>
      <c r="J314" s="3">
        <v>665660.5</v>
      </c>
      <c r="K314" s="3">
        <v>2846562.4</v>
      </c>
      <c r="L314" s="1">
        <f t="shared" si="76"/>
        <v>3512222.9</v>
      </c>
      <c r="M314" s="2">
        <f t="shared" si="77"/>
        <v>0.18952683783253052</v>
      </c>
      <c r="N314" s="2">
        <f t="shared" si="78"/>
        <v>0.81047316216746945</v>
      </c>
      <c r="P314" s="5">
        <f t="shared" si="82"/>
        <v>8623.7981589654064</v>
      </c>
    </row>
    <row r="315" spans="1:16" x14ac:dyDescent="0.35">
      <c r="A315" t="s">
        <v>16</v>
      </c>
      <c r="B315" t="s">
        <v>19</v>
      </c>
      <c r="C315">
        <v>2012</v>
      </c>
      <c r="D315" t="s">
        <v>30</v>
      </c>
      <c r="E315" s="3">
        <v>144698</v>
      </c>
      <c r="F315" s="3">
        <v>263129</v>
      </c>
      <c r="G315" s="1">
        <f t="shared" si="79"/>
        <v>407827</v>
      </c>
      <c r="H315" s="2">
        <f t="shared" si="80"/>
        <v>0.35480240396050289</v>
      </c>
      <c r="I315" s="2">
        <f t="shared" si="81"/>
        <v>0.64519759603949711</v>
      </c>
      <c r="J315" s="3">
        <v>604658.19999999995</v>
      </c>
      <c r="K315" s="3">
        <v>2683241.7000000002</v>
      </c>
      <c r="L315" s="1">
        <f t="shared" si="76"/>
        <v>3287899.9000000004</v>
      </c>
      <c r="M315" s="2">
        <f t="shared" si="77"/>
        <v>0.18390407810164777</v>
      </c>
      <c r="N315" s="2">
        <f t="shared" si="78"/>
        <v>0.81609592189835212</v>
      </c>
      <c r="P315" s="5">
        <f t="shared" si="82"/>
        <v>8061.9966309243882</v>
      </c>
    </row>
    <row r="316" spans="1:16" x14ac:dyDescent="0.35">
      <c r="A316" t="s">
        <v>16</v>
      </c>
      <c r="B316" t="s">
        <v>20</v>
      </c>
      <c r="C316">
        <v>2012</v>
      </c>
      <c r="D316" t="s">
        <v>30</v>
      </c>
      <c r="E316" s="3">
        <v>144064</v>
      </c>
      <c r="F316" s="3">
        <v>264548</v>
      </c>
      <c r="G316" s="1">
        <f t="shared" si="79"/>
        <v>408612</v>
      </c>
      <c r="H316" s="2">
        <f t="shared" si="80"/>
        <v>0.35256918543752996</v>
      </c>
      <c r="I316" s="2">
        <f t="shared" si="81"/>
        <v>0.64743081456246998</v>
      </c>
      <c r="J316" s="3">
        <v>574977.4</v>
      </c>
      <c r="K316" s="3">
        <v>2619283.4</v>
      </c>
      <c r="L316" s="1">
        <f t="shared" si="76"/>
        <v>3194260.8</v>
      </c>
      <c r="M316" s="2">
        <f t="shared" si="77"/>
        <v>0.18000327337079053</v>
      </c>
      <c r="N316" s="2">
        <f t="shared" si="78"/>
        <v>0.81999672662920953</v>
      </c>
      <c r="P316" s="5">
        <f t="shared" si="82"/>
        <v>7817.3445713782266</v>
      </c>
    </row>
    <row r="317" spans="1:16" x14ac:dyDescent="0.35">
      <c r="A317" t="s">
        <v>16</v>
      </c>
      <c r="B317" t="s">
        <v>21</v>
      </c>
      <c r="C317">
        <v>2012</v>
      </c>
      <c r="D317" t="s">
        <v>30</v>
      </c>
      <c r="E317" s="3">
        <v>143506</v>
      </c>
      <c r="F317" s="3">
        <v>265968</v>
      </c>
      <c r="G317" s="1">
        <f t="shared" si="79"/>
        <v>409474</v>
      </c>
      <c r="H317" s="2">
        <f t="shared" si="80"/>
        <v>0.35046425414067806</v>
      </c>
      <c r="I317" s="2">
        <f t="shared" si="81"/>
        <v>0.64953574585932194</v>
      </c>
      <c r="J317" s="3">
        <v>617191.4</v>
      </c>
      <c r="K317" s="3">
        <v>2849952.2</v>
      </c>
      <c r="L317" s="1">
        <f t="shared" si="76"/>
        <v>3467143.6</v>
      </c>
      <c r="M317" s="2">
        <f t="shared" si="77"/>
        <v>0.17801149049609599</v>
      </c>
      <c r="N317" s="2">
        <f t="shared" si="78"/>
        <v>0.82198850950390401</v>
      </c>
      <c r="P317" s="5">
        <f t="shared" si="82"/>
        <v>8467.3107450045663</v>
      </c>
    </row>
    <row r="318" spans="1:16" x14ac:dyDescent="0.35">
      <c r="A318" t="s">
        <v>16</v>
      </c>
      <c r="B318" t="s">
        <v>22</v>
      </c>
      <c r="C318">
        <v>2012</v>
      </c>
      <c r="D318" t="s">
        <v>30</v>
      </c>
      <c r="E318" s="3">
        <v>143124</v>
      </c>
      <c r="F318" s="3">
        <v>267368</v>
      </c>
      <c r="G318" s="1">
        <f t="shared" si="79"/>
        <v>410492</v>
      </c>
      <c r="H318" s="2">
        <f t="shared" si="80"/>
        <v>0.3486645293939955</v>
      </c>
      <c r="I318" s="2">
        <f t="shared" si="81"/>
        <v>0.6513354706060045</v>
      </c>
      <c r="J318" s="3">
        <v>650924.30000000005</v>
      </c>
      <c r="K318" s="3">
        <v>3048073.7</v>
      </c>
      <c r="L318" s="1">
        <f t="shared" si="76"/>
        <v>3698998</v>
      </c>
      <c r="M318" s="2">
        <f t="shared" si="77"/>
        <v>0.17597314191572963</v>
      </c>
      <c r="N318" s="2">
        <f t="shared" si="78"/>
        <v>0.82402685808427045</v>
      </c>
      <c r="P318" s="5">
        <f t="shared" si="82"/>
        <v>9011.1329818851518</v>
      </c>
    </row>
    <row r="319" spans="1:16" x14ac:dyDescent="0.35">
      <c r="A319" t="s">
        <v>16</v>
      </c>
      <c r="B319" t="s">
        <v>23</v>
      </c>
      <c r="C319">
        <v>2012</v>
      </c>
      <c r="D319" t="s">
        <v>30</v>
      </c>
      <c r="E319" s="3">
        <v>142273</v>
      </c>
      <c r="F319" s="3">
        <v>269407</v>
      </c>
      <c r="G319" s="1">
        <f t="shared" si="79"/>
        <v>411680</v>
      </c>
      <c r="H319" s="2">
        <f t="shared" si="80"/>
        <v>0.34559123591138746</v>
      </c>
      <c r="I319" s="2">
        <f t="shared" si="81"/>
        <v>0.65440876408861248</v>
      </c>
      <c r="J319" s="3">
        <v>727381.6</v>
      </c>
      <c r="K319" s="3">
        <v>3375597.3</v>
      </c>
      <c r="L319" s="1">
        <f t="shared" si="76"/>
        <v>4102978.9</v>
      </c>
      <c r="M319" s="2">
        <f t="shared" si="77"/>
        <v>0.1772813406376523</v>
      </c>
      <c r="N319" s="2">
        <f t="shared" si="78"/>
        <v>0.82271865936234767</v>
      </c>
      <c r="P319" s="5">
        <f t="shared" si="82"/>
        <v>9966.4275650991058</v>
      </c>
    </row>
    <row r="320" spans="1:16" x14ac:dyDescent="0.35">
      <c r="A320" t="s">
        <v>16</v>
      </c>
      <c r="B320" t="s">
        <v>24</v>
      </c>
      <c r="C320">
        <v>2012</v>
      </c>
      <c r="D320" t="s">
        <v>30</v>
      </c>
      <c r="E320" s="3">
        <v>142120</v>
      </c>
      <c r="F320" s="3">
        <v>270091</v>
      </c>
      <c r="G320" s="1">
        <f t="shared" si="79"/>
        <v>412211</v>
      </c>
      <c r="H320" s="2">
        <f t="shared" si="80"/>
        <v>0.34477488470710388</v>
      </c>
      <c r="I320" s="2">
        <f t="shared" si="81"/>
        <v>0.65522511529289607</v>
      </c>
      <c r="J320" s="3">
        <v>773146.1</v>
      </c>
      <c r="K320" s="3">
        <v>3624823.8</v>
      </c>
      <c r="L320" s="1">
        <f t="shared" si="76"/>
        <v>4397969.8999999994</v>
      </c>
      <c r="M320" s="2">
        <f t="shared" si="77"/>
        <v>0.17579613266566468</v>
      </c>
      <c r="N320" s="2">
        <f t="shared" si="78"/>
        <v>0.82420386733433537</v>
      </c>
      <c r="P320" s="5">
        <f t="shared" si="82"/>
        <v>10669.220132407914</v>
      </c>
    </row>
    <row r="321" spans="1:16" x14ac:dyDescent="0.35">
      <c r="A321" t="s">
        <v>16</v>
      </c>
      <c r="B321" t="s">
        <v>25</v>
      </c>
      <c r="C321">
        <v>2012</v>
      </c>
      <c r="D321" t="s">
        <v>30</v>
      </c>
      <c r="E321" s="3">
        <v>141937</v>
      </c>
      <c r="F321" s="3">
        <v>271474</v>
      </c>
      <c r="G321" s="1">
        <f t="shared" si="79"/>
        <v>413411</v>
      </c>
      <c r="H321" s="2">
        <f t="shared" si="80"/>
        <v>0.34333145465408516</v>
      </c>
      <c r="I321" s="2">
        <f t="shared" si="81"/>
        <v>0.65666854534591479</v>
      </c>
      <c r="J321" s="3">
        <v>800078.4</v>
      </c>
      <c r="K321" s="3">
        <v>3681698.4</v>
      </c>
      <c r="L321" s="1">
        <f t="shared" si="76"/>
        <v>4481776.8</v>
      </c>
      <c r="M321" s="2">
        <f t="shared" si="77"/>
        <v>0.17851812700712807</v>
      </c>
      <c r="N321" s="2">
        <f t="shared" si="78"/>
        <v>0.8214818729928719</v>
      </c>
      <c r="P321" s="5">
        <f t="shared" si="82"/>
        <v>10840.971333612313</v>
      </c>
    </row>
    <row r="322" spans="1:16" x14ac:dyDescent="0.35">
      <c r="A322" t="s">
        <v>16</v>
      </c>
      <c r="B322" t="s">
        <v>26</v>
      </c>
      <c r="C322">
        <v>2012</v>
      </c>
      <c r="D322" t="s">
        <v>30</v>
      </c>
      <c r="E322" s="3">
        <v>141587</v>
      </c>
      <c r="F322" s="3">
        <v>272593</v>
      </c>
      <c r="G322" s="1">
        <f t="shared" si="79"/>
        <v>414180</v>
      </c>
      <c r="H322" s="2">
        <f t="shared" si="80"/>
        <v>0.34184895456081899</v>
      </c>
      <c r="I322" s="2">
        <f t="shared" si="81"/>
        <v>0.65815104543918101</v>
      </c>
      <c r="J322" s="3">
        <v>771582.3</v>
      </c>
      <c r="K322" s="3">
        <v>3601417.4</v>
      </c>
      <c r="L322" s="1">
        <f t="shared" ref="L322:L385" si="83">SUM(J322:K322)</f>
        <v>4372999.7</v>
      </c>
      <c r="M322" s="2">
        <f t="shared" ref="M322:M385" si="84">SUM(J322)/L322</f>
        <v>0.17644234002577225</v>
      </c>
      <c r="N322" s="2">
        <f t="shared" ref="N322:N385" si="85">SUM(K322/L322)</f>
        <v>0.8235576599742277</v>
      </c>
      <c r="P322" s="5">
        <f t="shared" si="82"/>
        <v>10558.210681346274</v>
      </c>
    </row>
    <row r="323" spans="1:16" x14ac:dyDescent="0.35">
      <c r="A323" t="s">
        <v>16</v>
      </c>
      <c r="B323" t="s">
        <v>27</v>
      </c>
      <c r="C323">
        <v>2012</v>
      </c>
      <c r="D323" t="s">
        <v>30</v>
      </c>
      <c r="E323" s="3">
        <f>88596+52531</f>
        <v>141127</v>
      </c>
      <c r="F323" s="3">
        <f>140812+132822</f>
        <v>273634</v>
      </c>
      <c r="G323" s="1">
        <f t="shared" si="79"/>
        <v>414761</v>
      </c>
      <c r="H323" s="2">
        <f t="shared" si="80"/>
        <v>0.34026101779096879</v>
      </c>
      <c r="I323" s="2">
        <f t="shared" si="81"/>
        <v>0.65973898220903127</v>
      </c>
      <c r="J323" s="3">
        <f>36440.1+621468.8</f>
        <v>657908.9</v>
      </c>
      <c r="K323" s="3">
        <f>79764+3040610.9</f>
        <v>3120374.9</v>
      </c>
      <c r="L323" s="1">
        <f t="shared" si="83"/>
        <v>3778283.8</v>
      </c>
      <c r="M323" s="2">
        <f t="shared" si="84"/>
        <v>0.17412903181068612</v>
      </c>
      <c r="N323" s="2">
        <f t="shared" si="85"/>
        <v>0.82587096818931394</v>
      </c>
      <c r="P323" s="5">
        <f t="shared" si="82"/>
        <v>9109.5445328755595</v>
      </c>
    </row>
    <row r="324" spans="1:16" x14ac:dyDescent="0.35">
      <c r="A324" t="s">
        <v>16</v>
      </c>
      <c r="B324" t="s">
        <v>28</v>
      </c>
      <c r="C324">
        <v>2012</v>
      </c>
      <c r="D324" t="s">
        <v>30</v>
      </c>
      <c r="E324" s="3">
        <f>88224+52294</f>
        <v>140518</v>
      </c>
      <c r="F324" s="3">
        <f>141396+133294</f>
        <v>274690</v>
      </c>
      <c r="G324" s="1">
        <f t="shared" ref="G324:G387" si="86">SUM(E324:F324)</f>
        <v>415208</v>
      </c>
      <c r="H324" s="2">
        <f t="shared" ref="H324:H387" si="87">SUM(E324)/G324</f>
        <v>0.33842796863258895</v>
      </c>
      <c r="I324" s="2">
        <f t="shared" ref="I324:I387" si="88">SUM(F324/G324)</f>
        <v>0.66157203136741105</v>
      </c>
      <c r="J324" s="3">
        <f>33038.5+560517.2</f>
        <v>593555.69999999995</v>
      </c>
      <c r="K324" s="3">
        <f>77303.4+2784853.6</f>
        <v>2862157</v>
      </c>
      <c r="L324" s="1">
        <f t="shared" si="83"/>
        <v>3455712.7</v>
      </c>
      <c r="M324" s="2">
        <f t="shared" si="84"/>
        <v>0.1717607195760226</v>
      </c>
      <c r="N324" s="2">
        <f t="shared" si="85"/>
        <v>0.82823928042397732</v>
      </c>
      <c r="P324" s="5">
        <f t="shared" ref="P324:P385" si="89">SUM(1000*L324)/G324</f>
        <v>8322.8471031386671</v>
      </c>
    </row>
    <row r="325" spans="1:16" x14ac:dyDescent="0.35">
      <c r="A325" t="s">
        <v>16</v>
      </c>
      <c r="B325" t="s">
        <v>29</v>
      </c>
      <c r="C325">
        <v>2012</v>
      </c>
      <c r="D325" t="s">
        <v>30</v>
      </c>
      <c r="E325" s="3">
        <f>88463+52382</f>
        <v>140845</v>
      </c>
      <c r="F325" s="3">
        <f>141828+133376</f>
        <v>275204</v>
      </c>
      <c r="G325" s="1">
        <f t="shared" si="86"/>
        <v>416049</v>
      </c>
      <c r="H325" s="2">
        <f t="shared" si="87"/>
        <v>0.33852983662982006</v>
      </c>
      <c r="I325" s="2">
        <f t="shared" si="88"/>
        <v>0.66147016337017994</v>
      </c>
      <c r="J325" s="3">
        <f>34949.1+547604.7</f>
        <v>582553.79999999993</v>
      </c>
      <c r="K325" s="3">
        <f>81798.2+2740037.7</f>
        <v>2821835.9000000004</v>
      </c>
      <c r="L325" s="1">
        <f t="shared" si="83"/>
        <v>3404389.7</v>
      </c>
      <c r="M325" s="2">
        <f t="shared" si="84"/>
        <v>0.17111842395716328</v>
      </c>
      <c r="N325" s="2">
        <f t="shared" si="85"/>
        <v>0.82888157604283674</v>
      </c>
      <c r="P325" s="5">
        <f t="shared" si="89"/>
        <v>8182.6652629858499</v>
      </c>
    </row>
    <row r="326" spans="1:16" x14ac:dyDescent="0.35">
      <c r="A326" t="s">
        <v>16</v>
      </c>
      <c r="B326" t="s">
        <v>17</v>
      </c>
      <c r="C326">
        <v>2013</v>
      </c>
      <c r="D326" t="s">
        <v>30</v>
      </c>
      <c r="E326" s="3">
        <f>88245+52482</f>
        <v>140727</v>
      </c>
      <c r="F326" s="3">
        <f>141323+134168</f>
        <v>275491</v>
      </c>
      <c r="G326" s="1">
        <f t="shared" si="86"/>
        <v>416218</v>
      </c>
      <c r="H326" s="2">
        <f t="shared" si="87"/>
        <v>0.33810887563728625</v>
      </c>
      <c r="I326" s="2">
        <f t="shared" si="88"/>
        <v>0.6618911243627138</v>
      </c>
      <c r="J326" s="3">
        <f>41682+582448.4</f>
        <v>624130.4</v>
      </c>
      <c r="K326" s="3">
        <f>90729.7+2813978.2</f>
        <v>2904707.9000000004</v>
      </c>
      <c r="L326" s="1">
        <f t="shared" si="83"/>
        <v>3528838.3000000003</v>
      </c>
      <c r="M326" s="2">
        <f t="shared" si="84"/>
        <v>0.17686568409779502</v>
      </c>
      <c r="N326" s="2">
        <f t="shared" si="85"/>
        <v>0.82313431590220498</v>
      </c>
      <c r="P326" s="5">
        <f t="shared" si="89"/>
        <v>8478.3413980173864</v>
      </c>
    </row>
    <row r="327" spans="1:16" x14ac:dyDescent="0.35">
      <c r="A327" t="s">
        <v>16</v>
      </c>
      <c r="B327" t="s">
        <v>19</v>
      </c>
      <c r="C327">
        <v>2013</v>
      </c>
      <c r="D327" t="s">
        <v>30</v>
      </c>
      <c r="E327" s="3">
        <f>88563+52398</f>
        <v>140961</v>
      </c>
      <c r="F327" s="3">
        <f>141855+134315</f>
        <v>276170</v>
      </c>
      <c r="G327" s="1">
        <f t="shared" si="86"/>
        <v>417131</v>
      </c>
      <c r="H327" s="2">
        <f t="shared" si="87"/>
        <v>0.33792981101860087</v>
      </c>
      <c r="I327" s="2">
        <f t="shared" si="88"/>
        <v>0.66207018898139913</v>
      </c>
      <c r="J327" s="3">
        <f>36255.1+552054.5</f>
        <v>588309.6</v>
      </c>
      <c r="K327" s="3">
        <f>82127.8+2683637.9</f>
        <v>2765765.6999999997</v>
      </c>
      <c r="L327" s="1">
        <f t="shared" si="83"/>
        <v>3354075.3</v>
      </c>
      <c r="M327" s="2">
        <f t="shared" si="84"/>
        <v>0.17540142882302018</v>
      </c>
      <c r="N327" s="2">
        <f t="shared" si="85"/>
        <v>0.82459857117697977</v>
      </c>
      <c r="P327" s="5">
        <f t="shared" si="89"/>
        <v>8040.8200301583911</v>
      </c>
    </row>
    <row r="328" spans="1:16" x14ac:dyDescent="0.35">
      <c r="A328" t="s">
        <v>16</v>
      </c>
      <c r="B328" t="s">
        <v>20</v>
      </c>
      <c r="C328">
        <v>2013</v>
      </c>
      <c r="D328" t="s">
        <v>30</v>
      </c>
      <c r="E328" s="3">
        <f>88752+52032</f>
        <v>140784</v>
      </c>
      <c r="F328" s="3">
        <f>142541+134460</f>
        <v>277001</v>
      </c>
      <c r="G328" s="1">
        <f t="shared" si="86"/>
        <v>417785</v>
      </c>
      <c r="H328" s="2">
        <f t="shared" si="87"/>
        <v>0.33697715332048783</v>
      </c>
      <c r="I328" s="2">
        <f t="shared" si="88"/>
        <v>0.66302284667951217</v>
      </c>
      <c r="J328" s="3">
        <f>34018.6+526692.2</f>
        <v>560710.79999999993</v>
      </c>
      <c r="K328" s="3">
        <f>77545.3+2569184.1</f>
        <v>2646729.4</v>
      </c>
      <c r="L328" s="1">
        <f t="shared" si="83"/>
        <v>3207440.1999999997</v>
      </c>
      <c r="M328" s="2">
        <f t="shared" si="84"/>
        <v>0.17481566764674208</v>
      </c>
      <c r="N328" s="2">
        <f t="shared" si="85"/>
        <v>0.82518433235325794</v>
      </c>
      <c r="P328" s="5">
        <f t="shared" si="89"/>
        <v>7677.2507390164783</v>
      </c>
    </row>
    <row r="329" spans="1:16" x14ac:dyDescent="0.35">
      <c r="A329" t="s">
        <v>16</v>
      </c>
      <c r="B329" t="s">
        <v>21</v>
      </c>
      <c r="C329">
        <v>2013</v>
      </c>
      <c r="D329" t="s">
        <v>30</v>
      </c>
      <c r="E329" s="3">
        <f>88631+51706</f>
        <v>140337</v>
      </c>
      <c r="F329" s="3">
        <f>143739+134745</f>
        <v>278484</v>
      </c>
      <c r="G329" s="1">
        <f t="shared" si="86"/>
        <v>418821</v>
      </c>
      <c r="H329" s="2">
        <f t="shared" si="87"/>
        <v>0.335076321387896</v>
      </c>
      <c r="I329" s="2">
        <f t="shared" si="88"/>
        <v>0.664923678612104</v>
      </c>
      <c r="J329" s="3">
        <f>33538.8+546139.3</f>
        <v>579678.10000000009</v>
      </c>
      <c r="K329" s="3">
        <f>78995.5+2714474.8</f>
        <v>2793470.3</v>
      </c>
      <c r="L329" s="1">
        <f t="shared" si="83"/>
        <v>3373148.4</v>
      </c>
      <c r="M329" s="2">
        <f t="shared" si="84"/>
        <v>0.17185075521729198</v>
      </c>
      <c r="N329" s="2">
        <f t="shared" si="85"/>
        <v>0.82814924478270802</v>
      </c>
      <c r="P329" s="5">
        <f t="shared" si="89"/>
        <v>8053.914202009928</v>
      </c>
    </row>
    <row r="330" spans="1:16" x14ac:dyDescent="0.35">
      <c r="A330" t="s">
        <v>16</v>
      </c>
      <c r="B330" t="s">
        <v>22</v>
      </c>
      <c r="C330">
        <v>2013</v>
      </c>
      <c r="D330" t="s">
        <v>30</v>
      </c>
      <c r="E330" s="3">
        <f>88635+51346</f>
        <v>139981</v>
      </c>
      <c r="F330" s="3">
        <f>144760+135225</f>
        <v>279985</v>
      </c>
      <c r="G330" s="1">
        <f t="shared" si="86"/>
        <v>419966</v>
      </c>
      <c r="H330" s="2">
        <f t="shared" si="87"/>
        <v>0.33331507788725756</v>
      </c>
      <c r="I330" s="2">
        <f t="shared" si="88"/>
        <v>0.66668492211274244</v>
      </c>
      <c r="J330" s="3">
        <f>32217.7+547189.4</f>
        <v>579407.1</v>
      </c>
      <c r="K330" s="3">
        <f>76135.7+2750149.2</f>
        <v>2826284.9000000004</v>
      </c>
      <c r="L330" s="1">
        <f t="shared" si="83"/>
        <v>3405692.0000000005</v>
      </c>
      <c r="M330" s="2">
        <f t="shared" si="84"/>
        <v>0.17012903691819456</v>
      </c>
      <c r="N330" s="2">
        <f t="shared" si="85"/>
        <v>0.82987096308180541</v>
      </c>
      <c r="P330" s="5">
        <f t="shared" si="89"/>
        <v>8109.4469552297105</v>
      </c>
    </row>
    <row r="331" spans="1:16" x14ac:dyDescent="0.35">
      <c r="A331" t="s">
        <v>16</v>
      </c>
      <c r="B331" t="s">
        <v>23</v>
      </c>
      <c r="C331">
        <v>2013</v>
      </c>
      <c r="D331" t="s">
        <v>30</v>
      </c>
      <c r="E331" s="3">
        <f>88799+50624</f>
        <v>139423</v>
      </c>
      <c r="F331" s="3">
        <f>145597+135581</f>
        <v>281178</v>
      </c>
      <c r="G331" s="1">
        <f t="shared" si="86"/>
        <v>420601</v>
      </c>
      <c r="H331" s="2">
        <f t="shared" si="87"/>
        <v>0.33148518429580531</v>
      </c>
      <c r="I331" s="2">
        <f t="shared" si="88"/>
        <v>0.66851481570419469</v>
      </c>
      <c r="J331" s="3">
        <f>39165.1+635684.9</f>
        <v>674850</v>
      </c>
      <c r="K331" s="3">
        <f>87618.5+3246887.4</f>
        <v>3334505.9</v>
      </c>
      <c r="L331" s="1">
        <f t="shared" si="83"/>
        <v>4009355.9</v>
      </c>
      <c r="M331" s="2">
        <f t="shared" si="84"/>
        <v>0.168318806519521</v>
      </c>
      <c r="N331" s="2">
        <f t="shared" si="85"/>
        <v>0.83168119348047898</v>
      </c>
      <c r="P331" s="5">
        <f t="shared" si="89"/>
        <v>9532.4450013195401</v>
      </c>
    </row>
    <row r="332" spans="1:16" x14ac:dyDescent="0.35">
      <c r="A332" t="s">
        <v>16</v>
      </c>
      <c r="B332" t="s">
        <v>24</v>
      </c>
      <c r="C332">
        <v>2013</v>
      </c>
      <c r="D332" t="s">
        <v>30</v>
      </c>
      <c r="E332" s="3">
        <f>88961+50223</f>
        <v>139184</v>
      </c>
      <c r="F332" s="3">
        <f>146485+135481</f>
        <v>281966</v>
      </c>
      <c r="G332" s="1">
        <f t="shared" si="86"/>
        <v>421150</v>
      </c>
      <c r="H332" s="2">
        <f t="shared" si="87"/>
        <v>0.33048557521073252</v>
      </c>
      <c r="I332" s="2">
        <f t="shared" si="88"/>
        <v>0.66951442478926748</v>
      </c>
      <c r="J332" s="3">
        <f>45435.5+672342.6</f>
        <v>717778.1</v>
      </c>
      <c r="K332" s="3">
        <f>97099.4+3500518.1</f>
        <v>3597617.5</v>
      </c>
      <c r="L332" s="1">
        <f t="shared" si="83"/>
        <v>4315395.5999999996</v>
      </c>
      <c r="M332" s="2">
        <f t="shared" si="84"/>
        <v>0.16632961761373627</v>
      </c>
      <c r="N332" s="2">
        <f t="shared" si="85"/>
        <v>0.83367038238626379</v>
      </c>
      <c r="P332" s="5">
        <f t="shared" si="89"/>
        <v>10246.695001780838</v>
      </c>
    </row>
    <row r="333" spans="1:16" x14ac:dyDescent="0.35">
      <c r="A333" t="s">
        <v>16</v>
      </c>
      <c r="B333" t="s">
        <v>25</v>
      </c>
      <c r="C333">
        <v>2013</v>
      </c>
      <c r="D333" t="s">
        <v>30</v>
      </c>
      <c r="E333" s="3">
        <f>89252+49759</f>
        <v>139011</v>
      </c>
      <c r="F333" s="3">
        <f>147510+135386</f>
        <v>282896</v>
      </c>
      <c r="G333" s="1">
        <f t="shared" si="86"/>
        <v>421907</v>
      </c>
      <c r="H333" s="2">
        <f t="shared" si="87"/>
        <v>0.32948256369294654</v>
      </c>
      <c r="I333" s="2">
        <f t="shared" si="88"/>
        <v>0.6705174363070534</v>
      </c>
      <c r="J333" s="3">
        <f>47182.9+680838.2</f>
        <v>728021.1</v>
      </c>
      <c r="K333" s="3">
        <f>99022.6+3562337.7</f>
        <v>3661360.3000000003</v>
      </c>
      <c r="L333" s="1">
        <f t="shared" si="83"/>
        <v>4389381.4000000004</v>
      </c>
      <c r="M333" s="2">
        <f t="shared" si="84"/>
        <v>0.1658596129286008</v>
      </c>
      <c r="N333" s="2">
        <f t="shared" si="85"/>
        <v>0.83414038707139915</v>
      </c>
      <c r="P333" s="5">
        <f t="shared" si="89"/>
        <v>10403.670477143067</v>
      </c>
    </row>
    <row r="334" spans="1:16" x14ac:dyDescent="0.35">
      <c r="A334" t="s">
        <v>16</v>
      </c>
      <c r="B334" t="s">
        <v>26</v>
      </c>
      <c r="C334">
        <v>2013</v>
      </c>
      <c r="D334" t="s">
        <v>30</v>
      </c>
      <c r="E334" s="3">
        <f>89428+49152</f>
        <v>138580</v>
      </c>
      <c r="F334" s="3">
        <f>148189+135512</f>
        <v>283701</v>
      </c>
      <c r="G334" s="1">
        <f t="shared" si="86"/>
        <v>422281</v>
      </c>
      <c r="H334" s="2">
        <f t="shared" si="87"/>
        <v>0.32817010474068214</v>
      </c>
      <c r="I334" s="2">
        <f t="shared" si="88"/>
        <v>0.6718298952593178</v>
      </c>
      <c r="J334" s="3">
        <f>48787.6+706455.3</f>
        <v>755242.9</v>
      </c>
      <c r="K334" s="3">
        <f>104694.3+3692844</f>
        <v>3797538.3</v>
      </c>
      <c r="L334" s="1">
        <f t="shared" si="83"/>
        <v>4552781.2</v>
      </c>
      <c r="M334" s="2">
        <f t="shared" si="84"/>
        <v>0.16588605224428532</v>
      </c>
      <c r="N334" s="2">
        <f t="shared" si="85"/>
        <v>0.83411394775571457</v>
      </c>
      <c r="P334" s="5">
        <f t="shared" si="89"/>
        <v>10781.401957464343</v>
      </c>
    </row>
    <row r="335" spans="1:16" x14ac:dyDescent="0.35">
      <c r="A335" t="s">
        <v>16</v>
      </c>
      <c r="B335" t="s">
        <v>27</v>
      </c>
      <c r="C335">
        <v>2013</v>
      </c>
      <c r="D335" t="s">
        <v>30</v>
      </c>
      <c r="E335" s="3">
        <f>89383+48729</f>
        <v>138112</v>
      </c>
      <c r="F335" s="3">
        <f>148992+135612</f>
        <v>284604</v>
      </c>
      <c r="G335" s="1">
        <f t="shared" si="86"/>
        <v>422716</v>
      </c>
      <c r="H335" s="2">
        <f t="shared" si="87"/>
        <v>0.32672527181369998</v>
      </c>
      <c r="I335" s="2">
        <f t="shared" si="88"/>
        <v>0.67327472818630008</v>
      </c>
      <c r="J335" s="3">
        <f>40984.5+605818.1</f>
        <v>646802.6</v>
      </c>
      <c r="K335" s="3">
        <f>93121+3230540.4</f>
        <v>3323661.4</v>
      </c>
      <c r="L335" s="1">
        <f t="shared" si="83"/>
        <v>3970464</v>
      </c>
      <c r="M335" s="2">
        <f t="shared" si="84"/>
        <v>0.16290352966303182</v>
      </c>
      <c r="N335" s="2">
        <f t="shared" si="85"/>
        <v>0.8370964703369681</v>
      </c>
      <c r="P335" s="5">
        <f t="shared" si="89"/>
        <v>9392.7459570964911</v>
      </c>
    </row>
    <row r="336" spans="1:16" x14ac:dyDescent="0.35">
      <c r="A336" t="s">
        <v>16</v>
      </c>
      <c r="B336" t="s">
        <v>28</v>
      </c>
      <c r="C336">
        <v>2013</v>
      </c>
      <c r="D336" t="s">
        <v>30</v>
      </c>
      <c r="E336" s="3">
        <f>89347+48474</f>
        <v>137821</v>
      </c>
      <c r="F336" s="3">
        <f>149807+135458</f>
        <v>285265</v>
      </c>
      <c r="G336" s="1">
        <f t="shared" si="86"/>
        <v>423086</v>
      </c>
      <c r="H336" s="2">
        <f t="shared" si="87"/>
        <v>0.32575173841724853</v>
      </c>
      <c r="I336" s="2">
        <f t="shared" si="88"/>
        <v>0.67424826158275153</v>
      </c>
      <c r="J336" s="3">
        <f>33939.4+504680.1</f>
        <v>538619.5</v>
      </c>
      <c r="K336" s="3">
        <f>82653.7+2719239.5</f>
        <v>2801893.2</v>
      </c>
      <c r="L336" s="1">
        <f t="shared" si="83"/>
        <v>3340512.7</v>
      </c>
      <c r="M336" s="2">
        <f t="shared" si="84"/>
        <v>0.16123857274962611</v>
      </c>
      <c r="N336" s="2">
        <f t="shared" si="85"/>
        <v>0.83876142725037384</v>
      </c>
      <c r="P336" s="5">
        <f t="shared" si="89"/>
        <v>7895.5878946597149</v>
      </c>
    </row>
    <row r="337" spans="1:16" x14ac:dyDescent="0.35">
      <c r="A337" t="s">
        <v>16</v>
      </c>
      <c r="B337" t="s">
        <v>29</v>
      </c>
      <c r="C337">
        <v>2013</v>
      </c>
      <c r="D337" t="s">
        <v>30</v>
      </c>
      <c r="E337" s="3">
        <f>89005+48132</f>
        <v>137137</v>
      </c>
      <c r="F337" s="3">
        <f>150599+135564</f>
        <v>286163</v>
      </c>
      <c r="G337" s="1">
        <f t="shared" si="86"/>
        <v>423300</v>
      </c>
      <c r="H337" s="2">
        <f t="shared" si="87"/>
        <v>0.32397117883297899</v>
      </c>
      <c r="I337" s="2">
        <f t="shared" si="88"/>
        <v>0.67602882116702101</v>
      </c>
      <c r="J337" s="3">
        <f>42740.2+550772.2</f>
        <v>593512.39999999991</v>
      </c>
      <c r="K337" s="3">
        <f>100743.3+2930053</f>
        <v>3030796.3</v>
      </c>
      <c r="L337" s="1">
        <f t="shared" si="83"/>
        <v>3624308.6999999997</v>
      </c>
      <c r="M337" s="2">
        <f t="shared" si="84"/>
        <v>0.1637587879862441</v>
      </c>
      <c r="N337" s="2">
        <f t="shared" si="85"/>
        <v>0.8362412120137559</v>
      </c>
      <c r="P337" s="5">
        <f t="shared" si="89"/>
        <v>8562.0333097094244</v>
      </c>
    </row>
    <row r="338" spans="1:16" x14ac:dyDescent="0.35">
      <c r="A338" t="s">
        <v>16</v>
      </c>
      <c r="B338" t="s">
        <v>17</v>
      </c>
      <c r="C338">
        <v>2014</v>
      </c>
      <c r="D338" t="s">
        <v>30</v>
      </c>
      <c r="E338" s="3">
        <f>88764+47698</f>
        <v>136462</v>
      </c>
      <c r="F338" s="3">
        <f>151282+135738</f>
        <v>287020</v>
      </c>
      <c r="G338" s="1">
        <f t="shared" si="86"/>
        <v>423482</v>
      </c>
      <c r="H338" s="2">
        <f t="shared" si="87"/>
        <v>0.3222380172002588</v>
      </c>
      <c r="I338" s="2">
        <f t="shared" si="88"/>
        <v>0.6777619827997412</v>
      </c>
      <c r="J338" s="3">
        <f>48328.2+559079.1</f>
        <v>607407.29999999993</v>
      </c>
      <c r="K338" s="3">
        <f>108930.3+2983729.8</f>
        <v>3092660.0999999996</v>
      </c>
      <c r="L338" s="1">
        <f t="shared" si="83"/>
        <v>3700067.3999999994</v>
      </c>
      <c r="M338" s="2">
        <f t="shared" si="84"/>
        <v>0.16416114474022825</v>
      </c>
      <c r="N338" s="2">
        <f t="shared" si="85"/>
        <v>0.83583885525977175</v>
      </c>
      <c r="P338" s="5">
        <f t="shared" si="89"/>
        <v>8737.2483364109921</v>
      </c>
    </row>
    <row r="339" spans="1:16" x14ac:dyDescent="0.35">
      <c r="A339" t="s">
        <v>16</v>
      </c>
      <c r="B339" t="s">
        <v>19</v>
      </c>
      <c r="C339">
        <v>2014</v>
      </c>
      <c r="D339" t="s">
        <v>30</v>
      </c>
      <c r="E339" s="3">
        <f>88956+47482</f>
        <v>136438</v>
      </c>
      <c r="F339" s="3">
        <f>151591+136005</f>
        <v>287596</v>
      </c>
      <c r="G339" s="1">
        <f t="shared" si="86"/>
        <v>424034</v>
      </c>
      <c r="H339" s="2">
        <f t="shared" si="87"/>
        <v>0.32176193418452292</v>
      </c>
      <c r="I339" s="2">
        <f t="shared" si="88"/>
        <v>0.67823806581547708</v>
      </c>
      <c r="J339" s="3">
        <f>44233.2+533380.5</f>
        <v>577613.69999999995</v>
      </c>
      <c r="K339" s="3">
        <f>100887.5+2779193.3</f>
        <v>2880080.8</v>
      </c>
      <c r="L339" s="1">
        <f t="shared" si="83"/>
        <v>3457694.5</v>
      </c>
      <c r="M339" s="2">
        <f t="shared" si="84"/>
        <v>0.16705168718636074</v>
      </c>
      <c r="N339" s="2">
        <f t="shared" si="85"/>
        <v>0.83294831281363924</v>
      </c>
      <c r="P339" s="5">
        <f t="shared" si="89"/>
        <v>8154.285977067877</v>
      </c>
    </row>
    <row r="340" spans="1:16" x14ac:dyDescent="0.35">
      <c r="A340" t="s">
        <v>16</v>
      </c>
      <c r="B340" t="s">
        <v>20</v>
      </c>
      <c r="C340">
        <v>2014</v>
      </c>
      <c r="D340" t="s">
        <v>30</v>
      </c>
      <c r="E340" s="3">
        <f>89068+47233</f>
        <v>136301</v>
      </c>
      <c r="F340" s="3">
        <f>152486+136183</f>
        <v>288669</v>
      </c>
      <c r="G340" s="1">
        <f t="shared" si="86"/>
        <v>424970</v>
      </c>
      <c r="H340" s="2">
        <f t="shared" si="87"/>
        <v>0.32073087512059673</v>
      </c>
      <c r="I340" s="2">
        <f t="shared" si="88"/>
        <v>0.67926912487940327</v>
      </c>
      <c r="J340" s="3">
        <f>39493.3+515345</f>
        <v>554838.30000000005</v>
      </c>
      <c r="K340" s="3">
        <f>94478.4+2742071.5</f>
        <v>2836549.9</v>
      </c>
      <c r="L340" s="1">
        <f t="shared" si="83"/>
        <v>3391388.2</v>
      </c>
      <c r="M340" s="2">
        <f t="shared" si="84"/>
        <v>0.16360212021731987</v>
      </c>
      <c r="N340" s="2">
        <f t="shared" si="85"/>
        <v>0.8363978797826801</v>
      </c>
      <c r="P340" s="5">
        <f t="shared" si="89"/>
        <v>7980.3002564886929</v>
      </c>
    </row>
    <row r="341" spans="1:16" x14ac:dyDescent="0.35">
      <c r="A341" t="s">
        <v>16</v>
      </c>
      <c r="B341" t="s">
        <v>21</v>
      </c>
      <c r="C341">
        <v>2014</v>
      </c>
      <c r="D341" t="s">
        <v>30</v>
      </c>
      <c r="E341" s="3">
        <f>89418+46634</f>
        <v>136052</v>
      </c>
      <c r="F341" s="3">
        <f>153246+136470</f>
        <v>289716</v>
      </c>
      <c r="G341" s="1">
        <f t="shared" si="86"/>
        <v>425768</v>
      </c>
      <c r="H341" s="2">
        <f t="shared" si="87"/>
        <v>0.31954491648033673</v>
      </c>
      <c r="I341" s="2">
        <f t="shared" si="88"/>
        <v>0.68045508351966333</v>
      </c>
      <c r="J341" s="3">
        <f>35994+526745.3</f>
        <v>562739.30000000005</v>
      </c>
      <c r="K341" s="3">
        <f>91277.4+2835643.8</f>
        <v>2926921.1999999997</v>
      </c>
      <c r="L341" s="1">
        <f t="shared" si="83"/>
        <v>3489660.5</v>
      </c>
      <c r="M341" s="2">
        <f t="shared" si="84"/>
        <v>0.16125903938219779</v>
      </c>
      <c r="N341" s="2">
        <f t="shared" si="85"/>
        <v>0.83874096061780212</v>
      </c>
      <c r="P341" s="5">
        <f t="shared" si="89"/>
        <v>8196.15494823472</v>
      </c>
    </row>
    <row r="342" spans="1:16" x14ac:dyDescent="0.35">
      <c r="A342" t="s">
        <v>16</v>
      </c>
      <c r="B342" t="s">
        <v>22</v>
      </c>
      <c r="C342">
        <v>2014</v>
      </c>
      <c r="D342" t="s">
        <v>30</v>
      </c>
      <c r="E342" s="3">
        <f>89750+46595</f>
        <v>136345</v>
      </c>
      <c r="F342" s="3">
        <f>154053+136209</f>
        <v>290262</v>
      </c>
      <c r="G342" s="1">
        <f t="shared" si="86"/>
        <v>426607</v>
      </c>
      <c r="H342" s="2">
        <f t="shared" si="87"/>
        <v>0.31960328827234435</v>
      </c>
      <c r="I342" s="2">
        <f t="shared" si="88"/>
        <v>0.6803967117276557</v>
      </c>
      <c r="J342" s="3">
        <f>35498.1+564191.3</f>
        <v>599689.4</v>
      </c>
      <c r="K342" s="3">
        <f>90506.9+2938713.5</f>
        <v>3029220.4</v>
      </c>
      <c r="L342" s="1">
        <f t="shared" si="83"/>
        <v>3628909.8</v>
      </c>
      <c r="M342" s="2">
        <f t="shared" si="84"/>
        <v>0.16525332208587826</v>
      </c>
      <c r="N342" s="2">
        <f t="shared" si="85"/>
        <v>0.83474667791412183</v>
      </c>
      <c r="P342" s="5">
        <f t="shared" si="89"/>
        <v>8506.4469171860746</v>
      </c>
    </row>
    <row r="343" spans="1:16" x14ac:dyDescent="0.35">
      <c r="A343" t="s">
        <v>16</v>
      </c>
      <c r="B343" t="s">
        <v>23</v>
      </c>
      <c r="C343">
        <v>2014</v>
      </c>
      <c r="D343" t="s">
        <v>30</v>
      </c>
      <c r="E343" s="3">
        <f>89757+46281</f>
        <v>136038</v>
      </c>
      <c r="F343" s="3">
        <f>154864+136423</f>
        <v>291287</v>
      </c>
      <c r="G343" s="1">
        <f t="shared" si="86"/>
        <v>427325</v>
      </c>
      <c r="H343" s="2">
        <f t="shared" si="87"/>
        <v>0.31834786169777102</v>
      </c>
      <c r="I343" s="2">
        <f t="shared" si="88"/>
        <v>0.68165213830222893</v>
      </c>
      <c r="J343" s="3">
        <f>42252.2+646214.5</f>
        <v>688466.7</v>
      </c>
      <c r="K343" s="3">
        <f>101048.1+3332085.2</f>
        <v>3433133.3000000003</v>
      </c>
      <c r="L343" s="1">
        <f t="shared" si="83"/>
        <v>4121600</v>
      </c>
      <c r="M343" s="2">
        <f t="shared" si="84"/>
        <v>0.16703869856366457</v>
      </c>
      <c r="N343" s="2">
        <f t="shared" si="85"/>
        <v>0.83296130143633551</v>
      </c>
      <c r="P343" s="5">
        <f t="shared" si="89"/>
        <v>9645.1178845141294</v>
      </c>
    </row>
    <row r="344" spans="1:16" x14ac:dyDescent="0.35">
      <c r="A344" t="s">
        <v>16</v>
      </c>
      <c r="B344" t="s">
        <v>24</v>
      </c>
      <c r="C344">
        <v>2014</v>
      </c>
      <c r="D344" t="s">
        <v>30</v>
      </c>
      <c r="E344" s="3">
        <f>89545+46099</f>
        <v>135644</v>
      </c>
      <c r="F344" s="3">
        <f>155608+136622</f>
        <v>292230</v>
      </c>
      <c r="G344" s="1">
        <f t="shared" si="86"/>
        <v>427874</v>
      </c>
      <c r="H344" s="2">
        <f t="shared" si="87"/>
        <v>0.31701856153914471</v>
      </c>
      <c r="I344" s="2">
        <f t="shared" si="88"/>
        <v>0.68298143846085535</v>
      </c>
      <c r="J344" s="3">
        <f>44069.7+684668.2</f>
        <v>728737.89999999991</v>
      </c>
      <c r="K344" s="3">
        <f>103642.1+3416017.8</f>
        <v>3519659.9</v>
      </c>
      <c r="L344" s="1">
        <f t="shared" si="83"/>
        <v>4248397.8</v>
      </c>
      <c r="M344" s="2">
        <f t="shared" si="84"/>
        <v>0.17153240687583446</v>
      </c>
      <c r="N344" s="2">
        <f t="shared" si="85"/>
        <v>0.82846759312416551</v>
      </c>
      <c r="P344" s="5">
        <f t="shared" si="89"/>
        <v>9929.0861328334977</v>
      </c>
    </row>
    <row r="345" spans="1:16" x14ac:dyDescent="0.35">
      <c r="A345" t="s">
        <v>16</v>
      </c>
      <c r="B345" t="s">
        <v>25</v>
      </c>
      <c r="C345">
        <v>2014</v>
      </c>
      <c r="D345" t="s">
        <v>30</v>
      </c>
      <c r="E345" s="3">
        <f>89490+45917</f>
        <v>135407</v>
      </c>
      <c r="F345" s="3">
        <f>156679+136790</f>
        <v>293469</v>
      </c>
      <c r="G345" s="1">
        <f t="shared" si="86"/>
        <v>428876</v>
      </c>
      <c r="H345" s="2">
        <f t="shared" si="87"/>
        <v>0.31572529122636844</v>
      </c>
      <c r="I345" s="2">
        <f t="shared" si="88"/>
        <v>0.6842747087736315</v>
      </c>
      <c r="J345" s="3">
        <f>46237.1+698159.8</f>
        <v>744396.9</v>
      </c>
      <c r="K345" s="3">
        <f>106799.9+3462389.7</f>
        <v>3569189.6</v>
      </c>
      <c r="L345" s="1">
        <f t="shared" si="83"/>
        <v>4313586.5</v>
      </c>
      <c r="M345" s="2">
        <f t="shared" si="84"/>
        <v>0.1725702962024756</v>
      </c>
      <c r="N345" s="2">
        <f t="shared" si="85"/>
        <v>0.82742970379752445</v>
      </c>
      <c r="P345" s="5">
        <f t="shared" si="89"/>
        <v>10057.887361381845</v>
      </c>
    </row>
    <row r="346" spans="1:16" x14ac:dyDescent="0.35">
      <c r="A346" t="s">
        <v>16</v>
      </c>
      <c r="B346" t="s">
        <v>26</v>
      </c>
      <c r="C346">
        <v>2014</v>
      </c>
      <c r="D346" t="s">
        <v>30</v>
      </c>
      <c r="E346" s="3">
        <f>89605+45651</f>
        <v>135256</v>
      </c>
      <c r="F346" s="3">
        <f>157413+136870</f>
        <v>294283</v>
      </c>
      <c r="G346" s="1">
        <f t="shared" si="86"/>
        <v>429539</v>
      </c>
      <c r="H346" s="2">
        <f t="shared" si="87"/>
        <v>0.31488642474839307</v>
      </c>
      <c r="I346" s="2">
        <f t="shared" si="88"/>
        <v>0.68511357525160699</v>
      </c>
      <c r="J346" s="3">
        <f>47993.7+739421</f>
        <v>787414.7</v>
      </c>
      <c r="K346" s="3">
        <f>114098.4+3686700.8</f>
        <v>3800799.1999999997</v>
      </c>
      <c r="L346" s="1">
        <f t="shared" si="83"/>
        <v>4588213.8999999994</v>
      </c>
      <c r="M346" s="2">
        <f t="shared" si="84"/>
        <v>0.17161682457742436</v>
      </c>
      <c r="N346" s="2">
        <f t="shared" si="85"/>
        <v>0.82838317542257567</v>
      </c>
      <c r="P346" s="5">
        <f t="shared" si="89"/>
        <v>10681.71667764743</v>
      </c>
    </row>
    <row r="347" spans="1:16" x14ac:dyDescent="0.35">
      <c r="A347" t="s">
        <v>16</v>
      </c>
      <c r="B347" t="s">
        <v>27</v>
      </c>
      <c r="C347">
        <v>2014</v>
      </c>
      <c r="D347" t="s">
        <v>30</v>
      </c>
      <c r="E347" s="3">
        <f>90013+45395</f>
        <v>135408</v>
      </c>
      <c r="F347" s="3">
        <f>157817+137029</f>
        <v>294846</v>
      </c>
      <c r="G347" s="1">
        <f t="shared" si="86"/>
        <v>430254</v>
      </c>
      <c r="H347" s="2">
        <f t="shared" si="87"/>
        <v>0.3147164233220377</v>
      </c>
      <c r="I347" s="2">
        <f t="shared" si="88"/>
        <v>0.68528357667796236</v>
      </c>
      <c r="J347" s="3">
        <f>39118.9+630496.4</f>
        <v>669615.30000000005</v>
      </c>
      <c r="K347" s="3">
        <f>97840.3+3125663.5</f>
        <v>3223503.8</v>
      </c>
      <c r="L347" s="1">
        <f t="shared" si="83"/>
        <v>3893119.0999999996</v>
      </c>
      <c r="M347" s="2">
        <f t="shared" si="84"/>
        <v>0.17199969556544009</v>
      </c>
      <c r="N347" s="2">
        <f t="shared" si="85"/>
        <v>0.82800030443455996</v>
      </c>
      <c r="P347" s="5">
        <f t="shared" si="89"/>
        <v>9048.4204679096529</v>
      </c>
    </row>
    <row r="348" spans="1:16" x14ac:dyDescent="0.35">
      <c r="A348" t="s">
        <v>16</v>
      </c>
      <c r="B348" t="s">
        <v>28</v>
      </c>
      <c r="C348">
        <v>2014</v>
      </c>
      <c r="D348" t="s">
        <v>30</v>
      </c>
      <c r="E348" s="3">
        <f>89890+45224</f>
        <v>135114</v>
      </c>
      <c r="F348" s="3">
        <f>158441+137123</f>
        <v>295564</v>
      </c>
      <c r="G348" s="1">
        <f t="shared" si="86"/>
        <v>430678</v>
      </c>
      <c r="H348" s="2">
        <f t="shared" si="87"/>
        <v>0.31372394224919775</v>
      </c>
      <c r="I348" s="2">
        <f t="shared" si="88"/>
        <v>0.68627605775080225</v>
      </c>
      <c r="J348" s="3">
        <f>35507.2+560734.8</f>
        <v>596242</v>
      </c>
      <c r="K348" s="3">
        <f>92124.8+2804424.9</f>
        <v>2896549.6999999997</v>
      </c>
      <c r="L348" s="1">
        <f t="shared" si="83"/>
        <v>3492791.6999999997</v>
      </c>
      <c r="M348" s="2">
        <f t="shared" si="84"/>
        <v>0.17070642947302012</v>
      </c>
      <c r="N348" s="2">
        <f t="shared" si="85"/>
        <v>0.82929357052697983</v>
      </c>
      <c r="P348" s="5">
        <f t="shared" si="89"/>
        <v>8109.9840251881906</v>
      </c>
    </row>
    <row r="349" spans="1:16" x14ac:dyDescent="0.35">
      <c r="A349" t="s">
        <v>16</v>
      </c>
      <c r="B349" t="s">
        <v>29</v>
      </c>
      <c r="C349">
        <v>2014</v>
      </c>
      <c r="D349" t="s">
        <v>30</v>
      </c>
      <c r="E349" s="3">
        <f>89784+45001</f>
        <v>134785</v>
      </c>
      <c r="F349" s="3">
        <f>159199+137200</f>
        <v>296399</v>
      </c>
      <c r="G349" s="1">
        <f t="shared" si="86"/>
        <v>431184</v>
      </c>
      <c r="H349" s="2">
        <f t="shared" si="87"/>
        <v>0.31259276782069834</v>
      </c>
      <c r="I349" s="2">
        <f t="shared" si="88"/>
        <v>0.68740723217930166</v>
      </c>
      <c r="J349" s="3">
        <f>38875.2+552085.5</f>
        <v>590960.69999999995</v>
      </c>
      <c r="K349" s="3">
        <f>99075+2750901.9</f>
        <v>2849976.9</v>
      </c>
      <c r="L349" s="1">
        <f t="shared" si="83"/>
        <v>3440937.5999999996</v>
      </c>
      <c r="M349" s="2">
        <f t="shared" si="84"/>
        <v>0.17174409091289539</v>
      </c>
      <c r="N349" s="2">
        <f t="shared" si="85"/>
        <v>0.82825590908710467</v>
      </c>
      <c r="P349" s="5">
        <f t="shared" si="89"/>
        <v>7980.2070577757977</v>
      </c>
    </row>
    <row r="350" spans="1:16" x14ac:dyDescent="0.35">
      <c r="A350" t="s">
        <v>16</v>
      </c>
      <c r="B350" t="s">
        <v>17</v>
      </c>
      <c r="C350">
        <v>2015</v>
      </c>
      <c r="D350" t="s">
        <v>30</v>
      </c>
      <c r="E350" s="3">
        <f>89822+44911</f>
        <v>134733</v>
      </c>
      <c r="F350" s="3">
        <f>159564+137024</f>
        <v>296588</v>
      </c>
      <c r="G350" s="1">
        <f t="shared" si="86"/>
        <v>431321</v>
      </c>
      <c r="H350" s="2">
        <f t="shared" si="87"/>
        <v>0.31237291947296791</v>
      </c>
      <c r="I350" s="2">
        <f t="shared" si="88"/>
        <v>0.68762708052703203</v>
      </c>
      <c r="J350" s="3">
        <f>45425.5+589465.7</f>
        <v>634891.19999999995</v>
      </c>
      <c r="K350" s="3">
        <f>110561.1+2841141.3</f>
        <v>2951702.4</v>
      </c>
      <c r="L350" s="1">
        <f t="shared" si="83"/>
        <v>3586593.5999999996</v>
      </c>
      <c r="M350" s="2">
        <f t="shared" si="84"/>
        <v>0.17701788125646575</v>
      </c>
      <c r="N350" s="2">
        <f t="shared" si="85"/>
        <v>0.82298211874353433</v>
      </c>
      <c r="P350" s="5">
        <f t="shared" si="89"/>
        <v>8315.369759413521</v>
      </c>
    </row>
    <row r="351" spans="1:16" x14ac:dyDescent="0.35">
      <c r="A351" t="s">
        <v>16</v>
      </c>
      <c r="B351" t="s">
        <v>19</v>
      </c>
      <c r="C351">
        <v>2015</v>
      </c>
      <c r="D351" t="s">
        <v>30</v>
      </c>
      <c r="E351" s="3">
        <f>93288+44864</f>
        <v>138152</v>
      </c>
      <c r="F351" s="3">
        <f>155954+137325</f>
        <v>293279</v>
      </c>
      <c r="G351" s="1">
        <f t="shared" si="86"/>
        <v>431431</v>
      </c>
      <c r="H351" s="2">
        <f t="shared" si="87"/>
        <v>0.32021806499764738</v>
      </c>
      <c r="I351" s="2">
        <f t="shared" si="88"/>
        <v>0.67978193500235262</v>
      </c>
      <c r="J351" s="3">
        <f>43520.9+592779.8</f>
        <v>636300.70000000007</v>
      </c>
      <c r="K351" s="3">
        <f>107777.4+2840922.7</f>
        <v>2948700.1</v>
      </c>
      <c r="L351" s="1">
        <f t="shared" si="83"/>
        <v>3585000.8000000003</v>
      </c>
      <c r="M351" s="2">
        <f t="shared" si="84"/>
        <v>0.17748969539978904</v>
      </c>
      <c r="N351" s="2">
        <f t="shared" si="85"/>
        <v>0.82251030460021091</v>
      </c>
      <c r="P351" s="5">
        <f t="shared" si="89"/>
        <v>8309.5577276551758</v>
      </c>
    </row>
    <row r="352" spans="1:16" x14ac:dyDescent="0.35">
      <c r="A352" t="s">
        <v>16</v>
      </c>
      <c r="B352" t="s">
        <v>20</v>
      </c>
      <c r="C352">
        <v>2015</v>
      </c>
      <c r="D352" t="s">
        <v>30</v>
      </c>
      <c r="E352" s="3">
        <f>93710+44749</f>
        <v>138459</v>
      </c>
      <c r="F352" s="3">
        <f>155854+137505</f>
        <v>293359</v>
      </c>
      <c r="G352" s="1">
        <f t="shared" si="86"/>
        <v>431818</v>
      </c>
      <c r="H352" s="2">
        <f t="shared" si="87"/>
        <v>0.32064202974401251</v>
      </c>
      <c r="I352" s="2">
        <f t="shared" si="88"/>
        <v>0.67935797025598743</v>
      </c>
      <c r="J352" s="3">
        <f>43605.8+573340.8</f>
        <v>616946.60000000009</v>
      </c>
      <c r="K352" s="3">
        <f>101204.4+2747533.8</f>
        <v>2848738.1999999997</v>
      </c>
      <c r="L352" s="1">
        <f t="shared" si="83"/>
        <v>3465684.8</v>
      </c>
      <c r="M352" s="2">
        <f t="shared" si="84"/>
        <v>0.17801578493231701</v>
      </c>
      <c r="N352" s="2">
        <f t="shared" si="85"/>
        <v>0.82198421506768293</v>
      </c>
      <c r="P352" s="5">
        <f t="shared" si="89"/>
        <v>8025.7997582314774</v>
      </c>
    </row>
    <row r="353" spans="1:16" x14ac:dyDescent="0.35">
      <c r="A353" t="s">
        <v>16</v>
      </c>
      <c r="B353" t="s">
        <v>21</v>
      </c>
      <c r="C353">
        <v>2015</v>
      </c>
      <c r="D353" t="s">
        <v>30</v>
      </c>
      <c r="E353" s="3">
        <f>94322+44479</f>
        <v>138801</v>
      </c>
      <c r="F353" s="3">
        <f>156628+137531</f>
        <v>294159</v>
      </c>
      <c r="G353" s="1">
        <f t="shared" si="86"/>
        <v>432960</v>
      </c>
      <c r="H353" s="2">
        <f t="shared" si="87"/>
        <v>0.32058619733924609</v>
      </c>
      <c r="I353" s="2">
        <f t="shared" si="88"/>
        <v>0.67941380266075391</v>
      </c>
      <c r="J353" s="3">
        <f>37199.4+572174</f>
        <v>609373.4</v>
      </c>
      <c r="K353" s="3">
        <f>91247.5+2786677.8</f>
        <v>2877925.3</v>
      </c>
      <c r="L353" s="1">
        <f t="shared" si="83"/>
        <v>3487298.6999999997</v>
      </c>
      <c r="M353" s="2">
        <f t="shared" si="84"/>
        <v>0.17474081012905493</v>
      </c>
      <c r="N353" s="2">
        <f t="shared" si="85"/>
        <v>0.82525918987094515</v>
      </c>
      <c r="P353" s="5">
        <f t="shared" si="89"/>
        <v>8054.55169068736</v>
      </c>
    </row>
    <row r="354" spans="1:16" x14ac:dyDescent="0.35">
      <c r="A354" t="s">
        <v>16</v>
      </c>
      <c r="B354" t="s">
        <v>22</v>
      </c>
      <c r="C354">
        <v>2015</v>
      </c>
      <c r="D354" t="s">
        <v>30</v>
      </c>
      <c r="E354" s="3">
        <f>94425+44203</f>
        <v>138628</v>
      </c>
      <c r="F354" s="3">
        <f>157227+137624</f>
        <v>294851</v>
      </c>
      <c r="G354" s="1">
        <f t="shared" si="86"/>
        <v>433479</v>
      </c>
      <c r="H354" s="2">
        <f t="shared" si="87"/>
        <v>0.3198032661328461</v>
      </c>
      <c r="I354" s="2">
        <f t="shared" si="88"/>
        <v>0.68019673386715385</v>
      </c>
      <c r="J354" s="3">
        <f>35437.3+572579.5</f>
        <v>608016.80000000005</v>
      </c>
      <c r="K354" s="3">
        <f>88370.3+2827754.3</f>
        <v>2916124.5999999996</v>
      </c>
      <c r="L354" s="1">
        <f t="shared" si="83"/>
        <v>3524141.3999999994</v>
      </c>
      <c r="M354" s="2">
        <f t="shared" si="84"/>
        <v>0.17252905913480093</v>
      </c>
      <c r="N354" s="2">
        <f t="shared" si="85"/>
        <v>0.82747094086519912</v>
      </c>
      <c r="P354" s="5">
        <f t="shared" si="89"/>
        <v>8129.9011024755509</v>
      </c>
    </row>
    <row r="355" spans="1:16" x14ac:dyDescent="0.35">
      <c r="A355" t="s">
        <v>16</v>
      </c>
      <c r="B355" t="s">
        <v>23</v>
      </c>
      <c r="C355">
        <v>2015</v>
      </c>
      <c r="D355" t="s">
        <v>30</v>
      </c>
      <c r="E355" s="3">
        <f>94196+43854</f>
        <v>138050</v>
      </c>
      <c r="F355" s="3">
        <f>158098+137996</f>
        <v>296094</v>
      </c>
      <c r="G355" s="1">
        <f t="shared" si="86"/>
        <v>434144</v>
      </c>
      <c r="H355" s="2">
        <f t="shared" si="87"/>
        <v>0.31798205203803348</v>
      </c>
      <c r="I355" s="2">
        <f t="shared" si="88"/>
        <v>0.68201794796196658</v>
      </c>
      <c r="J355" s="3">
        <f>40411.8+638086.2</f>
        <v>678498</v>
      </c>
      <c r="K355" s="3">
        <f>104195.2+3160419.8</f>
        <v>3264615</v>
      </c>
      <c r="L355" s="1">
        <f t="shared" si="83"/>
        <v>3943113</v>
      </c>
      <c r="M355" s="2">
        <f t="shared" si="84"/>
        <v>0.17207166013248923</v>
      </c>
      <c r="N355" s="2">
        <f t="shared" si="85"/>
        <v>0.8279283398675108</v>
      </c>
      <c r="P355" s="5">
        <f t="shared" si="89"/>
        <v>9082.5002764059846</v>
      </c>
    </row>
    <row r="356" spans="1:16" x14ac:dyDescent="0.35">
      <c r="A356" t="s">
        <v>16</v>
      </c>
      <c r="B356" t="s">
        <v>24</v>
      </c>
      <c r="C356">
        <v>2015</v>
      </c>
      <c r="D356" t="s">
        <v>30</v>
      </c>
      <c r="E356" s="3">
        <f>94882+43788</f>
        <v>138670</v>
      </c>
      <c r="F356" s="3">
        <f>157893+138040</f>
        <v>295933</v>
      </c>
      <c r="G356" s="1">
        <f t="shared" si="86"/>
        <v>434603</v>
      </c>
      <c r="H356" s="2">
        <f t="shared" si="87"/>
        <v>0.31907280897738854</v>
      </c>
      <c r="I356" s="2">
        <f t="shared" si="88"/>
        <v>0.68092719102261146</v>
      </c>
      <c r="J356" s="3">
        <f>48597.7+724536.9</f>
        <v>773134.6</v>
      </c>
      <c r="K356" s="3">
        <f>106835.9+3530666.8</f>
        <v>3637502.6999999997</v>
      </c>
      <c r="L356" s="1">
        <f t="shared" si="83"/>
        <v>4410637.3</v>
      </c>
      <c r="M356" s="2">
        <f t="shared" si="84"/>
        <v>0.17528863685980256</v>
      </c>
      <c r="N356" s="2">
        <f t="shared" si="85"/>
        <v>0.82471136314019744</v>
      </c>
      <c r="P356" s="5">
        <f t="shared" si="89"/>
        <v>10148.65820070271</v>
      </c>
    </row>
    <row r="357" spans="1:16" x14ac:dyDescent="0.35">
      <c r="A357" t="s">
        <v>16</v>
      </c>
      <c r="B357" t="s">
        <v>25</v>
      </c>
      <c r="C357">
        <v>2015</v>
      </c>
      <c r="D357" t="s">
        <v>30</v>
      </c>
      <c r="E357" s="3">
        <f>94873+43659</f>
        <v>138532</v>
      </c>
      <c r="F357" s="3">
        <f>158256+138542</f>
        <v>296798</v>
      </c>
      <c r="G357" s="1">
        <f t="shared" si="86"/>
        <v>435330</v>
      </c>
      <c r="H357" s="2">
        <f t="shared" si="87"/>
        <v>0.31822295729676336</v>
      </c>
      <c r="I357" s="2">
        <f t="shared" si="88"/>
        <v>0.68177704270323658</v>
      </c>
      <c r="J357" s="3">
        <f>53014.3+768955.1</f>
        <v>821969.4</v>
      </c>
      <c r="K357" s="3">
        <f>118253.6+3718049.2</f>
        <v>3836302.8000000003</v>
      </c>
      <c r="L357" s="1">
        <f t="shared" si="83"/>
        <v>4658272.2</v>
      </c>
      <c r="M357" s="2">
        <f t="shared" si="84"/>
        <v>0.17645370744972783</v>
      </c>
      <c r="N357" s="2">
        <f t="shared" si="85"/>
        <v>0.82354629255027223</v>
      </c>
      <c r="P357" s="5">
        <f t="shared" si="89"/>
        <v>10700.554062435394</v>
      </c>
    </row>
    <row r="358" spans="1:16" x14ac:dyDescent="0.35">
      <c r="A358" t="s">
        <v>16</v>
      </c>
      <c r="B358" t="s">
        <v>26</v>
      </c>
      <c r="C358">
        <v>2015</v>
      </c>
      <c r="D358" t="s">
        <v>30</v>
      </c>
      <c r="E358" s="3">
        <f>94742+43543</f>
        <v>138285</v>
      </c>
      <c r="F358" s="3">
        <f>158721+139017</f>
        <v>297738</v>
      </c>
      <c r="G358" s="1">
        <f t="shared" si="86"/>
        <v>436023</v>
      </c>
      <c r="H358" s="2">
        <f t="shared" si="87"/>
        <v>0.31715070076578528</v>
      </c>
      <c r="I358" s="2">
        <f t="shared" si="88"/>
        <v>0.68284929923421467</v>
      </c>
      <c r="J358" s="3">
        <f>42472.5+755563.6</f>
        <v>798036.1</v>
      </c>
      <c r="K358" s="3">
        <f>112813.7+3650929</f>
        <v>3763742.7</v>
      </c>
      <c r="L358" s="1">
        <f t="shared" si="83"/>
        <v>4561778.8</v>
      </c>
      <c r="M358" s="2">
        <f t="shared" si="84"/>
        <v>0.17493967484789047</v>
      </c>
      <c r="N358" s="2">
        <f t="shared" si="85"/>
        <v>0.82506032515210959</v>
      </c>
      <c r="P358" s="5">
        <f t="shared" si="89"/>
        <v>10462.243505503149</v>
      </c>
    </row>
    <row r="359" spans="1:16" x14ac:dyDescent="0.35">
      <c r="A359" t="s">
        <v>16</v>
      </c>
      <c r="B359" t="s">
        <v>27</v>
      </c>
      <c r="C359">
        <v>2015</v>
      </c>
      <c r="D359" t="s">
        <v>30</v>
      </c>
      <c r="E359" s="3">
        <f>94620+43353</f>
        <v>137973</v>
      </c>
      <c r="F359" s="3">
        <f>159288+139258</f>
        <v>298546</v>
      </c>
      <c r="G359" s="1">
        <f t="shared" si="86"/>
        <v>436519</v>
      </c>
      <c r="H359" s="2">
        <f t="shared" si="87"/>
        <v>0.31607558892052806</v>
      </c>
      <c r="I359" s="2">
        <f t="shared" si="88"/>
        <v>0.68392441107947188</v>
      </c>
      <c r="J359" s="3">
        <f>42472.5+679244.7</f>
        <v>721717.2</v>
      </c>
      <c r="K359" s="3">
        <f>104083.5+3309972.6</f>
        <v>3414056.1</v>
      </c>
      <c r="L359" s="1">
        <f t="shared" si="83"/>
        <v>4135773.3</v>
      </c>
      <c r="M359" s="2">
        <f t="shared" si="84"/>
        <v>0.17450598658296865</v>
      </c>
      <c r="N359" s="2">
        <f t="shared" si="85"/>
        <v>0.82549401341703144</v>
      </c>
      <c r="P359" s="5">
        <f t="shared" si="89"/>
        <v>9474.4405169076254</v>
      </c>
    </row>
    <row r="360" spans="1:16" x14ac:dyDescent="0.35">
      <c r="A360" t="s">
        <v>16</v>
      </c>
      <c r="B360" t="s">
        <v>28</v>
      </c>
      <c r="C360">
        <v>2015</v>
      </c>
      <c r="D360" t="s">
        <v>30</v>
      </c>
      <c r="E360" s="3">
        <f>94447+43223</f>
        <v>137670</v>
      </c>
      <c r="F360" s="3">
        <f>159784+139523</f>
        <v>299307</v>
      </c>
      <c r="G360" s="1">
        <f t="shared" si="86"/>
        <v>436977</v>
      </c>
      <c r="H360" s="2">
        <f t="shared" si="87"/>
        <v>0.31505090656945334</v>
      </c>
      <c r="I360" s="2">
        <f t="shared" si="88"/>
        <v>0.68494909343054666</v>
      </c>
      <c r="J360" s="3">
        <f>35500.4+577357.1</f>
        <v>612857.5</v>
      </c>
      <c r="K360" s="3">
        <f>85359.4+2825444.5</f>
        <v>2910803.9</v>
      </c>
      <c r="L360" s="1">
        <f t="shared" si="83"/>
        <v>3523661.4</v>
      </c>
      <c r="M360" s="2">
        <f t="shared" si="84"/>
        <v>0.17392633128710949</v>
      </c>
      <c r="N360" s="2">
        <f t="shared" si="85"/>
        <v>0.82607366871289056</v>
      </c>
      <c r="P360" s="5">
        <f t="shared" si="89"/>
        <v>8063.7228046327382</v>
      </c>
    </row>
    <row r="361" spans="1:16" x14ac:dyDescent="0.35">
      <c r="A361" t="s">
        <v>16</v>
      </c>
      <c r="B361" t="s">
        <v>29</v>
      </c>
      <c r="C361">
        <v>2015</v>
      </c>
      <c r="D361" t="s">
        <v>30</v>
      </c>
      <c r="E361" s="3">
        <f>94199+43283</f>
        <v>137482</v>
      </c>
      <c r="F361" s="3">
        <f>160058+139735</f>
        <v>299793</v>
      </c>
      <c r="G361" s="1">
        <f t="shared" si="86"/>
        <v>437275</v>
      </c>
      <c r="H361" s="2">
        <f t="shared" si="87"/>
        <v>0.31440626607969813</v>
      </c>
      <c r="I361" s="2">
        <f t="shared" si="88"/>
        <v>0.68559373392030187</v>
      </c>
      <c r="J361" s="3">
        <f>38243.4+571166.7</f>
        <v>609410.1</v>
      </c>
      <c r="K361" s="3">
        <f>95651.8+2781129.5</f>
        <v>2876781.3</v>
      </c>
      <c r="L361" s="1">
        <f t="shared" si="83"/>
        <v>3486191.4</v>
      </c>
      <c r="M361" s="2">
        <f t="shared" si="84"/>
        <v>0.17480683934909597</v>
      </c>
      <c r="N361" s="2">
        <f t="shared" si="85"/>
        <v>0.82519316065090398</v>
      </c>
      <c r="P361" s="5">
        <f t="shared" si="89"/>
        <v>7972.5376479332226</v>
      </c>
    </row>
    <row r="362" spans="1:16" x14ac:dyDescent="0.35">
      <c r="A362" t="s">
        <v>16</v>
      </c>
      <c r="B362" t="s">
        <v>17</v>
      </c>
      <c r="C362">
        <v>2016</v>
      </c>
      <c r="D362" t="s">
        <v>30</v>
      </c>
      <c r="E362" s="3">
        <f>93680+43300</f>
        <v>136980</v>
      </c>
      <c r="F362" s="3">
        <f>160434+139958</f>
        <v>300392</v>
      </c>
      <c r="G362" s="1">
        <f t="shared" si="86"/>
        <v>437372</v>
      </c>
      <c r="H362" s="2">
        <f t="shared" si="87"/>
        <v>0.31318877294385555</v>
      </c>
      <c r="I362" s="2">
        <f t="shared" si="88"/>
        <v>0.68681122705614439</v>
      </c>
      <c r="J362" s="3">
        <f>42690.2+589746.4</f>
        <v>632436.6</v>
      </c>
      <c r="K362" s="3">
        <f>103692.5+2833460.5</f>
        <v>2937153</v>
      </c>
      <c r="L362" s="1">
        <f t="shared" si="83"/>
        <v>3569589.6</v>
      </c>
      <c r="M362" s="2">
        <f t="shared" si="84"/>
        <v>0.1771734767492599</v>
      </c>
      <c r="N362" s="2">
        <f t="shared" si="85"/>
        <v>0.82282652325074002</v>
      </c>
      <c r="P362" s="5">
        <f t="shared" si="89"/>
        <v>8161.4497498696765</v>
      </c>
    </row>
    <row r="363" spans="1:16" x14ac:dyDescent="0.35">
      <c r="A363" t="s">
        <v>16</v>
      </c>
      <c r="B363" t="s">
        <v>19</v>
      </c>
      <c r="C363">
        <v>2016</v>
      </c>
      <c r="D363" t="s">
        <v>30</v>
      </c>
      <c r="E363" s="3">
        <f>88411+43161</f>
        <v>131572</v>
      </c>
      <c r="F363" s="3">
        <f>166059+140363</f>
        <v>306422</v>
      </c>
      <c r="G363" s="1">
        <f t="shared" si="86"/>
        <v>437994</v>
      </c>
      <c r="H363" s="2">
        <f t="shared" si="87"/>
        <v>0.30039680908870897</v>
      </c>
      <c r="I363" s="2">
        <f t="shared" si="88"/>
        <v>0.69960319091129097</v>
      </c>
      <c r="J363" s="3">
        <f>40664+573244.6</f>
        <v>613908.6</v>
      </c>
      <c r="K363" s="3">
        <f>98673.6+2728919.2</f>
        <v>2827592.8000000003</v>
      </c>
      <c r="L363" s="1">
        <f t="shared" si="83"/>
        <v>3441501.4000000004</v>
      </c>
      <c r="M363" s="2">
        <f t="shared" si="84"/>
        <v>0.17838394603006696</v>
      </c>
      <c r="N363" s="2">
        <f t="shared" si="85"/>
        <v>0.82161605396993298</v>
      </c>
      <c r="P363" s="5">
        <f t="shared" si="89"/>
        <v>7857.4167682662328</v>
      </c>
    </row>
    <row r="364" spans="1:16" x14ac:dyDescent="0.35">
      <c r="A364" t="s">
        <v>16</v>
      </c>
      <c r="B364" t="s">
        <v>20</v>
      </c>
      <c r="C364">
        <v>2016</v>
      </c>
      <c r="D364" t="s">
        <v>30</v>
      </c>
      <c r="E364" s="3">
        <f>87392+42865</f>
        <v>130257</v>
      </c>
      <c r="F364" s="3">
        <f>168050+140323</f>
        <v>308373</v>
      </c>
      <c r="G364" s="1">
        <f t="shared" si="86"/>
        <v>438630</v>
      </c>
      <c r="H364" s="2">
        <f t="shared" si="87"/>
        <v>0.29696327200601874</v>
      </c>
      <c r="I364" s="2">
        <f t="shared" si="88"/>
        <v>0.70303672799398131</v>
      </c>
      <c r="J364" s="3">
        <f>31738.7+532992.1</f>
        <v>564730.79999999993</v>
      </c>
      <c r="K364" s="3">
        <f>90808.5+2585936.5</f>
        <v>2676745</v>
      </c>
      <c r="L364" s="1">
        <f t="shared" si="83"/>
        <v>3241475.8</v>
      </c>
      <c r="M364" s="2">
        <f t="shared" si="84"/>
        <v>0.17422027337054313</v>
      </c>
      <c r="N364" s="2">
        <f t="shared" si="85"/>
        <v>0.82577972662945687</v>
      </c>
      <c r="P364" s="5">
        <f t="shared" si="89"/>
        <v>7390.0002279825821</v>
      </c>
    </row>
    <row r="365" spans="1:16" x14ac:dyDescent="0.35">
      <c r="A365" t="s">
        <v>16</v>
      </c>
      <c r="B365" t="s">
        <v>21</v>
      </c>
      <c r="C365">
        <v>2016</v>
      </c>
      <c r="D365" t="s">
        <v>30</v>
      </c>
      <c r="E365" s="3">
        <f>87736+42619</f>
        <v>130355</v>
      </c>
      <c r="F365" s="3">
        <f>168862+140321</f>
        <v>309183</v>
      </c>
      <c r="G365" s="1">
        <f t="shared" si="86"/>
        <v>439538</v>
      </c>
      <c r="H365" s="2">
        <f t="shared" si="87"/>
        <v>0.2965727650396553</v>
      </c>
      <c r="I365" s="2">
        <f t="shared" si="88"/>
        <v>0.70342723496034476</v>
      </c>
      <c r="J365" s="3">
        <f>30912.8+555303.3</f>
        <v>586216.10000000009</v>
      </c>
      <c r="K365" s="3">
        <f>92131+2718381.2</f>
        <v>2810512.2</v>
      </c>
      <c r="L365" s="1">
        <f t="shared" si="83"/>
        <v>3396728.3000000003</v>
      </c>
      <c r="M365" s="2">
        <f t="shared" si="84"/>
        <v>0.17258257011607317</v>
      </c>
      <c r="N365" s="2">
        <f t="shared" si="85"/>
        <v>0.82741742988392686</v>
      </c>
      <c r="P365" s="5">
        <f t="shared" si="89"/>
        <v>7727.9513944186865</v>
      </c>
    </row>
    <row r="366" spans="1:16" x14ac:dyDescent="0.35">
      <c r="A366" t="s">
        <v>16</v>
      </c>
      <c r="B366" t="s">
        <v>22</v>
      </c>
      <c r="C366">
        <v>2016</v>
      </c>
      <c r="D366" t="s">
        <v>30</v>
      </c>
      <c r="E366" s="3">
        <f>87590+42456</f>
        <v>130046</v>
      </c>
      <c r="F366" s="3">
        <f>169720+140607</f>
        <v>310327</v>
      </c>
      <c r="G366" s="1">
        <f t="shared" si="86"/>
        <v>440373</v>
      </c>
      <c r="H366" s="2">
        <f t="shared" si="87"/>
        <v>0.29530874962815612</v>
      </c>
      <c r="I366" s="2">
        <f t="shared" si="88"/>
        <v>0.70469125037184388</v>
      </c>
      <c r="J366" s="3">
        <f>30432.9+564732.6</f>
        <v>595165.5</v>
      </c>
      <c r="K366" s="3">
        <f>90315.4+2782530.7</f>
        <v>2872846.1</v>
      </c>
      <c r="L366" s="1">
        <f t="shared" si="83"/>
        <v>3468011.6</v>
      </c>
      <c r="M366" s="2">
        <f t="shared" si="84"/>
        <v>0.17161577544896331</v>
      </c>
      <c r="N366" s="2">
        <f t="shared" si="85"/>
        <v>0.82838422455103666</v>
      </c>
      <c r="P366" s="5">
        <f t="shared" si="89"/>
        <v>7875.1685502971341</v>
      </c>
    </row>
    <row r="367" spans="1:16" x14ac:dyDescent="0.35">
      <c r="A367" t="s">
        <v>16</v>
      </c>
      <c r="B367" t="s">
        <v>23</v>
      </c>
      <c r="C367">
        <v>2016</v>
      </c>
      <c r="D367" t="s">
        <v>30</v>
      </c>
      <c r="E367" s="3">
        <f>87535+42048</f>
        <v>129583</v>
      </c>
      <c r="F367" s="3">
        <f>170439+141087</f>
        <v>311526</v>
      </c>
      <c r="G367" s="1">
        <f t="shared" si="86"/>
        <v>441109</v>
      </c>
      <c r="H367" s="2">
        <f t="shared" si="87"/>
        <v>0.29376639334042154</v>
      </c>
      <c r="I367" s="2">
        <f t="shared" si="88"/>
        <v>0.70623360665957846</v>
      </c>
      <c r="J367" s="3">
        <f>34820.8+638244.5</f>
        <v>673065.3</v>
      </c>
      <c r="K367" s="3">
        <f>100719.5+3135000.1</f>
        <v>3235719.6</v>
      </c>
      <c r="L367" s="1">
        <f t="shared" si="83"/>
        <v>3908784.9000000004</v>
      </c>
      <c r="M367" s="2">
        <f t="shared" si="84"/>
        <v>0.17219297485517815</v>
      </c>
      <c r="N367" s="2">
        <f t="shared" si="85"/>
        <v>0.82780702514482185</v>
      </c>
      <c r="P367" s="5">
        <f t="shared" si="89"/>
        <v>8861.2676231951755</v>
      </c>
    </row>
    <row r="368" spans="1:16" x14ac:dyDescent="0.35">
      <c r="A368" t="s">
        <v>16</v>
      </c>
      <c r="B368" t="s">
        <v>24</v>
      </c>
      <c r="C368">
        <v>2016</v>
      </c>
      <c r="D368" t="s">
        <v>30</v>
      </c>
      <c r="E368" s="3">
        <f>86945+41957</f>
        <v>128902</v>
      </c>
      <c r="F368" s="3">
        <f>171345+141604</f>
        <v>312949</v>
      </c>
      <c r="G368" s="1">
        <f t="shared" si="86"/>
        <v>441851</v>
      </c>
      <c r="H368" s="2">
        <f t="shared" si="87"/>
        <v>0.29173182815021353</v>
      </c>
      <c r="I368" s="2">
        <f t="shared" si="88"/>
        <v>0.70826817184978652</v>
      </c>
      <c r="J368" s="3">
        <f>44196.3+748405.6</f>
        <v>792601.9</v>
      </c>
      <c r="K368" s="3">
        <f>117556.3+3621583.7</f>
        <v>3739140</v>
      </c>
      <c r="L368" s="1">
        <f t="shared" si="83"/>
        <v>4531741.9000000004</v>
      </c>
      <c r="M368" s="2">
        <f t="shared" si="84"/>
        <v>0.1749000533326931</v>
      </c>
      <c r="N368" s="2">
        <f t="shared" si="85"/>
        <v>0.82509994666730679</v>
      </c>
      <c r="P368" s="5">
        <f t="shared" si="89"/>
        <v>10256.267157933331</v>
      </c>
    </row>
    <row r="369" spans="1:16" x14ac:dyDescent="0.35">
      <c r="A369" t="s">
        <v>16</v>
      </c>
      <c r="B369" t="s">
        <v>25</v>
      </c>
      <c r="C369">
        <v>2016</v>
      </c>
      <c r="D369" t="s">
        <v>30</v>
      </c>
      <c r="E369" s="3">
        <f>86525+41969</f>
        <v>128494</v>
      </c>
      <c r="F369" s="3">
        <f>171792+142310</f>
        <v>314102</v>
      </c>
      <c r="G369" s="1">
        <f t="shared" si="86"/>
        <v>442596</v>
      </c>
      <c r="H369" s="2">
        <f t="shared" si="87"/>
        <v>0.29031893645672352</v>
      </c>
      <c r="I369" s="2">
        <f t="shared" si="88"/>
        <v>0.70968106354327654</v>
      </c>
      <c r="J369" s="3">
        <f>47355.9+786546.1</f>
        <v>833902</v>
      </c>
      <c r="K369" s="3">
        <f>123608.3+3814693.8</f>
        <v>3938302.0999999996</v>
      </c>
      <c r="L369" s="1">
        <f t="shared" si="83"/>
        <v>4772204.0999999996</v>
      </c>
      <c r="M369" s="2">
        <f t="shared" si="84"/>
        <v>0.17474147847113247</v>
      </c>
      <c r="N369" s="2">
        <f t="shared" si="85"/>
        <v>0.82525852152886758</v>
      </c>
      <c r="P369" s="5">
        <f t="shared" si="89"/>
        <v>10782.302822438522</v>
      </c>
    </row>
    <row r="370" spans="1:16" x14ac:dyDescent="0.35">
      <c r="A370" t="s">
        <v>16</v>
      </c>
      <c r="B370" t="s">
        <v>26</v>
      </c>
      <c r="C370">
        <v>2016</v>
      </c>
      <c r="D370" t="s">
        <v>30</v>
      </c>
      <c r="E370" s="3">
        <f>86428+41858</f>
        <v>128286</v>
      </c>
      <c r="F370" s="3">
        <f>172316+142727</f>
        <v>315043</v>
      </c>
      <c r="G370" s="1">
        <f t="shared" si="86"/>
        <v>443329</v>
      </c>
      <c r="H370" s="2">
        <f t="shared" si="87"/>
        <v>0.28936974571931906</v>
      </c>
      <c r="I370" s="2">
        <f t="shared" si="88"/>
        <v>0.71063025428068094</v>
      </c>
      <c r="J370" s="3">
        <f>42979.1+756037.7</f>
        <v>799016.79999999993</v>
      </c>
      <c r="K370" s="3">
        <f>118266.8+3718237.6</f>
        <v>3836504.4</v>
      </c>
      <c r="L370" s="1">
        <f t="shared" si="83"/>
        <v>4635521.2</v>
      </c>
      <c r="M370" s="2">
        <f t="shared" si="84"/>
        <v>0.17236827651656514</v>
      </c>
      <c r="N370" s="2">
        <f t="shared" si="85"/>
        <v>0.82763172348343472</v>
      </c>
      <c r="P370" s="5">
        <f t="shared" si="89"/>
        <v>10456.165060259988</v>
      </c>
    </row>
    <row r="371" spans="1:16" x14ac:dyDescent="0.35">
      <c r="A371" t="s">
        <v>16</v>
      </c>
      <c r="B371" t="s">
        <v>27</v>
      </c>
      <c r="C371">
        <v>2016</v>
      </c>
      <c r="D371" t="s">
        <v>30</v>
      </c>
      <c r="E371" s="3">
        <f>86007+41677+49+15+59</f>
        <v>127807</v>
      </c>
      <c r="F371" s="3">
        <v>315830</v>
      </c>
      <c r="G371" s="1">
        <f t="shared" si="86"/>
        <v>443637</v>
      </c>
      <c r="H371" s="2">
        <f t="shared" si="87"/>
        <v>0.28808913593771485</v>
      </c>
      <c r="I371" s="2">
        <f t="shared" si="88"/>
        <v>0.71191086406228521</v>
      </c>
      <c r="J371" s="3">
        <v>720126</v>
      </c>
      <c r="K371" s="3">
        <v>3441957.5</v>
      </c>
      <c r="L371" s="1">
        <f t="shared" si="83"/>
        <v>4162083.5</v>
      </c>
      <c r="M371" s="2">
        <f t="shared" si="84"/>
        <v>0.17302055569043726</v>
      </c>
      <c r="N371" s="2">
        <f t="shared" si="85"/>
        <v>0.82697944430956272</v>
      </c>
      <c r="P371" s="5">
        <f t="shared" si="89"/>
        <v>9381.7321368596404</v>
      </c>
    </row>
    <row r="372" spans="1:16" x14ac:dyDescent="0.35">
      <c r="A372" t="s">
        <v>16</v>
      </c>
      <c r="B372" t="s">
        <v>28</v>
      </c>
      <c r="C372">
        <v>2016</v>
      </c>
      <c r="D372" t="s">
        <v>30</v>
      </c>
      <c r="E372" s="3">
        <f>85736+41509+50+16+59</f>
        <v>127370</v>
      </c>
      <c r="F372" s="3">
        <v>316692</v>
      </c>
      <c r="G372" s="1">
        <f t="shared" si="86"/>
        <v>444062</v>
      </c>
      <c r="H372" s="2">
        <f t="shared" si="87"/>
        <v>0.28682931662695749</v>
      </c>
      <c r="I372" s="2">
        <f t="shared" si="88"/>
        <v>0.71317068337304246</v>
      </c>
      <c r="J372" s="3">
        <v>630201</v>
      </c>
      <c r="K372" s="3">
        <v>3043942.3</v>
      </c>
      <c r="L372" s="1">
        <f t="shared" si="83"/>
        <v>3674143.3</v>
      </c>
      <c r="M372" s="2">
        <f t="shared" si="84"/>
        <v>0.17152325005940841</v>
      </c>
      <c r="N372" s="2">
        <f t="shared" si="85"/>
        <v>0.82847674994059162</v>
      </c>
      <c r="P372" s="5">
        <f t="shared" si="89"/>
        <v>8273.9421522219873</v>
      </c>
    </row>
    <row r="373" spans="1:16" x14ac:dyDescent="0.35">
      <c r="A373" t="s">
        <v>16</v>
      </c>
      <c r="B373" t="s">
        <v>29</v>
      </c>
      <c r="C373">
        <v>2016</v>
      </c>
      <c r="D373" t="s">
        <v>30</v>
      </c>
      <c r="E373" s="3">
        <f>85226+41587+49+16+48+11</f>
        <v>126937</v>
      </c>
      <c r="F373" s="3">
        <v>317351</v>
      </c>
      <c r="G373" s="1">
        <f t="shared" si="86"/>
        <v>444288</v>
      </c>
      <c r="H373" s="2">
        <f t="shared" si="87"/>
        <v>0.28570881950446558</v>
      </c>
      <c r="I373" s="2">
        <f t="shared" si="88"/>
        <v>0.71429118049553442</v>
      </c>
      <c r="J373" s="3">
        <v>614242</v>
      </c>
      <c r="K373" s="3">
        <v>2959120.8</v>
      </c>
      <c r="L373" s="1">
        <f t="shared" si="83"/>
        <v>3573362.8</v>
      </c>
      <c r="M373" s="2">
        <f t="shared" si="84"/>
        <v>0.1718946645999673</v>
      </c>
      <c r="N373" s="2">
        <f t="shared" si="85"/>
        <v>0.82810533540003273</v>
      </c>
      <c r="P373" s="5">
        <f t="shared" si="89"/>
        <v>8042.8973998847596</v>
      </c>
    </row>
    <row r="374" spans="1:16" x14ac:dyDescent="0.35">
      <c r="A374" t="s">
        <v>16</v>
      </c>
      <c r="B374" t="s">
        <v>17</v>
      </c>
      <c r="C374">
        <v>2017</v>
      </c>
      <c r="D374" t="s">
        <v>30</v>
      </c>
      <c r="E374" s="3">
        <f>85074+41784+45+17+48+11</f>
        <v>126979</v>
      </c>
      <c r="F374" s="3">
        <v>317235</v>
      </c>
      <c r="G374" s="1">
        <f t="shared" si="86"/>
        <v>444214</v>
      </c>
      <c r="H374" s="2">
        <f t="shared" si="87"/>
        <v>0.28585096372469126</v>
      </c>
      <c r="I374" s="2">
        <f t="shared" si="88"/>
        <v>0.71414903627530879</v>
      </c>
      <c r="J374" s="3">
        <f xml:space="preserve"> 631955+1047+2469+70</f>
        <v>635541</v>
      </c>
      <c r="K374" s="3">
        <v>3013307</v>
      </c>
      <c r="L374" s="1">
        <f t="shared" si="83"/>
        <v>3648848</v>
      </c>
      <c r="M374" s="2">
        <f t="shared" si="84"/>
        <v>0.17417579466176722</v>
      </c>
      <c r="N374" s="2">
        <f t="shared" si="85"/>
        <v>0.82582420533823275</v>
      </c>
      <c r="P374" s="5">
        <f t="shared" si="89"/>
        <v>8214.1670456131505</v>
      </c>
    </row>
    <row r="375" spans="1:16" x14ac:dyDescent="0.35">
      <c r="A375" t="s">
        <v>16</v>
      </c>
      <c r="B375" t="s">
        <v>19</v>
      </c>
      <c r="C375">
        <v>2017</v>
      </c>
      <c r="D375" t="s">
        <v>30</v>
      </c>
      <c r="E375" s="3">
        <f>85143+41902+46+17+49+10</f>
        <v>127167</v>
      </c>
      <c r="F375" s="3">
        <v>317579</v>
      </c>
      <c r="G375" s="1">
        <f t="shared" si="86"/>
        <v>444746</v>
      </c>
      <c r="H375" s="2">
        <f t="shared" si="87"/>
        <v>0.28593174531080662</v>
      </c>
      <c r="I375" s="2">
        <f t="shared" si="88"/>
        <v>0.71406825468919333</v>
      </c>
      <c r="J375" s="3">
        <f>576187+53+2109+54</f>
        <v>578403</v>
      </c>
      <c r="K375" s="3">
        <v>2726327</v>
      </c>
      <c r="L375" s="1">
        <f t="shared" si="83"/>
        <v>3304730</v>
      </c>
      <c r="M375" s="2">
        <f t="shared" si="84"/>
        <v>0.17502277039274011</v>
      </c>
      <c r="N375" s="2">
        <f t="shared" si="85"/>
        <v>0.82497722960725994</v>
      </c>
      <c r="P375" s="5">
        <f t="shared" si="89"/>
        <v>7430.60083733187</v>
      </c>
    </row>
    <row r="376" spans="1:16" x14ac:dyDescent="0.35">
      <c r="A376" t="s">
        <v>16</v>
      </c>
      <c r="B376" t="s">
        <v>20</v>
      </c>
      <c r="C376">
        <v>2017</v>
      </c>
      <c r="D376" t="s">
        <v>30</v>
      </c>
      <c r="E376" s="3">
        <f>85074+41784+46+17+49+10</f>
        <v>126980</v>
      </c>
      <c r="F376" s="3">
        <v>318356</v>
      </c>
      <c r="G376" s="1">
        <f t="shared" si="86"/>
        <v>445336</v>
      </c>
      <c r="H376" s="2">
        <f t="shared" si="87"/>
        <v>0.28513302315554995</v>
      </c>
      <c r="I376" s="2">
        <f t="shared" si="88"/>
        <v>0.71486697684445</v>
      </c>
      <c r="J376" s="3">
        <f>567211+188+888+50</f>
        <v>568337</v>
      </c>
      <c r="K376" s="3">
        <v>2722221</v>
      </c>
      <c r="L376" s="1">
        <f t="shared" si="83"/>
        <v>3290558</v>
      </c>
      <c r="M376" s="2">
        <f t="shared" si="84"/>
        <v>0.17271751478016797</v>
      </c>
      <c r="N376" s="2">
        <f t="shared" si="85"/>
        <v>0.82728248521983205</v>
      </c>
      <c r="P376" s="5">
        <f t="shared" si="89"/>
        <v>7388.9332998006003</v>
      </c>
    </row>
    <row r="377" spans="1:16" x14ac:dyDescent="0.35">
      <c r="A377" t="s">
        <v>16</v>
      </c>
      <c r="B377" t="s">
        <v>21</v>
      </c>
      <c r="C377">
        <v>2017</v>
      </c>
      <c r="D377" t="s">
        <v>30</v>
      </c>
      <c r="E377" s="3">
        <f>85088+41506+45+17+49+10</f>
        <v>126715</v>
      </c>
      <c r="F377" s="3">
        <f>259940+186214-126715</f>
        <v>319439</v>
      </c>
      <c r="G377" s="1">
        <f t="shared" si="86"/>
        <v>446154</v>
      </c>
      <c r="H377" s="2">
        <f t="shared" si="87"/>
        <v>0.28401628137369606</v>
      </c>
      <c r="I377" s="2">
        <f t="shared" si="88"/>
        <v>0.71598371862630394</v>
      </c>
      <c r="J377" s="3">
        <f>460.6+30633.5+587026.8+17+35.3</f>
        <v>618173.20000000007</v>
      </c>
      <c r="K377" s="3">
        <f>127889.6+3473068.7-618173</f>
        <v>2982785.3000000003</v>
      </c>
      <c r="L377" s="1">
        <f t="shared" si="83"/>
        <v>3600958.5000000005</v>
      </c>
      <c r="M377" s="2">
        <f t="shared" si="84"/>
        <v>0.17166907088765393</v>
      </c>
      <c r="N377" s="2">
        <f t="shared" si="85"/>
        <v>0.82833092911234607</v>
      </c>
      <c r="P377" s="5">
        <f t="shared" si="89"/>
        <v>8071.111096168589</v>
      </c>
    </row>
    <row r="378" spans="1:16" x14ac:dyDescent="0.35">
      <c r="A378" t="s">
        <v>16</v>
      </c>
      <c r="B378" t="s">
        <v>22</v>
      </c>
      <c r="C378">
        <v>2017</v>
      </c>
      <c r="D378" t="s">
        <v>30</v>
      </c>
      <c r="E378" s="3">
        <f>85768+41485+44+17+49+10</f>
        <v>127373</v>
      </c>
      <c r="F378" s="3">
        <f>260514+186410-127373</f>
        <v>319551</v>
      </c>
      <c r="G378" s="1">
        <f t="shared" si="86"/>
        <v>446924</v>
      </c>
      <c r="H378" s="2">
        <f t="shared" si="87"/>
        <v>0.2849992392442563</v>
      </c>
      <c r="I378" s="2">
        <f t="shared" si="88"/>
        <v>0.7150007607557437</v>
      </c>
      <c r="J378" s="3">
        <f>335.1+30513.7+580234.6+18.5+36</f>
        <v>611137.9</v>
      </c>
      <c r="K378" s="3">
        <f>131590+3540120.7-611138</f>
        <v>3060572.7</v>
      </c>
      <c r="L378" s="1">
        <f t="shared" si="83"/>
        <v>3671710.6</v>
      </c>
      <c r="M378" s="2">
        <f t="shared" si="84"/>
        <v>0.16644500794806649</v>
      </c>
      <c r="N378" s="2">
        <f t="shared" si="85"/>
        <v>0.83355499205193351</v>
      </c>
      <c r="P378" s="5">
        <f t="shared" si="89"/>
        <v>8215.5144946344353</v>
      </c>
    </row>
    <row r="379" spans="1:16" x14ac:dyDescent="0.35">
      <c r="A379" t="s">
        <v>16</v>
      </c>
      <c r="B379" t="s">
        <v>23</v>
      </c>
      <c r="C379">
        <v>2017</v>
      </c>
      <c r="D379" t="s">
        <v>30</v>
      </c>
      <c r="E379" s="3">
        <f>85890+41332+47+15+48+11</f>
        <v>127343</v>
      </c>
      <c r="F379" s="3">
        <f>261009+186674-127343</f>
        <v>320340</v>
      </c>
      <c r="G379" s="1">
        <f t="shared" si="86"/>
        <v>447683</v>
      </c>
      <c r="H379" s="2">
        <f t="shared" si="87"/>
        <v>0.28444904095085138</v>
      </c>
      <c r="I379" s="2">
        <f t="shared" si="88"/>
        <v>0.71555095904914867</v>
      </c>
      <c r="J379" s="3">
        <f>162.1+34632.5+640461.1+21.7+41.8</f>
        <v>675319.2</v>
      </c>
      <c r="K379" s="3">
        <f>133117.4+3860174.7-675319</f>
        <v>3317973.1</v>
      </c>
      <c r="L379" s="1">
        <f t="shared" si="83"/>
        <v>3993292.3</v>
      </c>
      <c r="M379" s="2">
        <f t="shared" si="84"/>
        <v>0.1691133904723178</v>
      </c>
      <c r="N379" s="2">
        <f t="shared" si="85"/>
        <v>0.83088660952768223</v>
      </c>
      <c r="P379" s="5">
        <f t="shared" si="89"/>
        <v>8919.9105170399598</v>
      </c>
    </row>
    <row r="380" spans="1:16" x14ac:dyDescent="0.35">
      <c r="A380" t="s">
        <v>16</v>
      </c>
      <c r="B380" t="s">
        <v>24</v>
      </c>
      <c r="C380">
        <v>2017</v>
      </c>
      <c r="D380" t="s">
        <v>30</v>
      </c>
      <c r="E380" s="3">
        <f>86174+41446+47+15+48+11</f>
        <v>127741</v>
      </c>
      <c r="F380" s="3">
        <f>261429+187070-E380</f>
        <v>320758</v>
      </c>
      <c r="G380" s="1">
        <f t="shared" si="86"/>
        <v>448499</v>
      </c>
      <c r="H380" s="2">
        <f t="shared" si="87"/>
        <v>0.28481891821386446</v>
      </c>
      <c r="I380" s="2">
        <f t="shared" si="88"/>
        <v>0.71518108178613549</v>
      </c>
      <c r="J380" s="3">
        <f>48.5+755.3+18.6+2281.2+42751.7+738045.3+31.2+52.1</f>
        <v>783983.9</v>
      </c>
      <c r="K380" s="3">
        <f>163817.2+4449418.4-J380</f>
        <v>3829251.7000000007</v>
      </c>
      <c r="L380" s="1">
        <f t="shared" si="83"/>
        <v>4613235.6000000006</v>
      </c>
      <c r="M380" s="2">
        <f t="shared" si="84"/>
        <v>0.16994230687025824</v>
      </c>
      <c r="N380" s="2">
        <f t="shared" si="85"/>
        <v>0.83005769312974176</v>
      </c>
      <c r="P380" s="5">
        <f t="shared" si="89"/>
        <v>10285.94400433446</v>
      </c>
    </row>
    <row r="381" spans="1:16" x14ac:dyDescent="0.35">
      <c r="A381" t="s">
        <v>16</v>
      </c>
      <c r="B381" t="s">
        <v>25</v>
      </c>
      <c r="C381">
        <v>2017</v>
      </c>
      <c r="D381" t="s">
        <v>30</v>
      </c>
      <c r="E381" s="3">
        <f>86216+41505+47+14+49+11</f>
        <v>127842</v>
      </c>
      <c r="F381" s="3">
        <f>261928+187673-E381</f>
        <v>321759</v>
      </c>
      <c r="G381" s="1">
        <f t="shared" si="86"/>
        <v>449601</v>
      </c>
      <c r="H381" s="2">
        <f t="shared" si="87"/>
        <v>0.28434545296829855</v>
      </c>
      <c r="I381" s="2">
        <f t="shared" si="88"/>
        <v>0.71565454703170139</v>
      </c>
      <c r="J381" s="3">
        <f>51.7+388.8+19.4+2119.2+43412.5+751387.8+31.9+51.6</f>
        <v>797462.9</v>
      </c>
      <c r="K381" s="3">
        <f>164316.5+4475555.9-J381</f>
        <v>3842409.5000000005</v>
      </c>
      <c r="L381" s="1">
        <f t="shared" si="83"/>
        <v>4639872.4000000004</v>
      </c>
      <c r="M381" s="2">
        <f t="shared" si="84"/>
        <v>0.17187173078294135</v>
      </c>
      <c r="N381" s="2">
        <f t="shared" si="85"/>
        <v>0.82812826921705862</v>
      </c>
      <c r="P381" s="5">
        <f t="shared" si="89"/>
        <v>10319.977935992136</v>
      </c>
    </row>
    <row r="382" spans="1:16" x14ac:dyDescent="0.35">
      <c r="A382" t="s">
        <v>16</v>
      </c>
      <c r="B382" t="s">
        <v>26</v>
      </c>
      <c r="C382">
        <v>2017</v>
      </c>
      <c r="D382" t="s">
        <v>30</v>
      </c>
      <c r="E382" s="3">
        <f>86195+41418+47+14+49+11</f>
        <v>127734</v>
      </c>
      <c r="F382" s="3">
        <f>262437+187748-E382</f>
        <v>322451</v>
      </c>
      <c r="G382" s="1">
        <f t="shared" si="86"/>
        <v>450185</v>
      </c>
      <c r="H382" s="2">
        <f t="shared" si="87"/>
        <v>0.28373668602907692</v>
      </c>
      <c r="I382" s="2">
        <f t="shared" si="88"/>
        <v>0.71626331397092302</v>
      </c>
      <c r="J382" s="3">
        <f>147.5+17.4+ 1633.5+40826.5+742585.9+29.3+46.6</f>
        <v>785286.70000000007</v>
      </c>
      <c r="K382" s="3">
        <f>159492.2+4446099.1-J382</f>
        <v>3820304.5999999996</v>
      </c>
      <c r="L382" s="1">
        <f t="shared" si="83"/>
        <v>4605591.3</v>
      </c>
      <c r="M382" s="2">
        <f t="shared" si="84"/>
        <v>0.17050724843952178</v>
      </c>
      <c r="N382" s="2">
        <f t="shared" si="85"/>
        <v>0.82949275156047819</v>
      </c>
      <c r="P382" s="5">
        <f t="shared" si="89"/>
        <v>10230.441485167208</v>
      </c>
    </row>
    <row r="383" spans="1:16" x14ac:dyDescent="0.35">
      <c r="A383" t="s">
        <v>16</v>
      </c>
      <c r="B383" t="s">
        <v>27</v>
      </c>
      <c r="C383">
        <v>2017</v>
      </c>
      <c r="D383" t="s">
        <v>30</v>
      </c>
      <c r="E383" s="3">
        <f>86196+41337+49+13+49+11</f>
        <v>127655</v>
      </c>
      <c r="F383" s="3">
        <f>262948+187736-E383</f>
        <v>323029</v>
      </c>
      <c r="G383" s="1">
        <f t="shared" si="86"/>
        <v>450684</v>
      </c>
      <c r="H383" s="2">
        <f t="shared" si="87"/>
        <v>0.28324724196998341</v>
      </c>
      <c r="I383" s="2">
        <f t="shared" si="88"/>
        <v>0.71675275803001659</v>
      </c>
      <c r="J383" s="3">
        <f>43.6+47.4+14.9+1724.3+36256.7+673381+26.4+26.5</f>
        <v>711520.8</v>
      </c>
      <c r="K383" s="3">
        <f>144782.7+4019303.7-J383</f>
        <v>3452565.6000000006</v>
      </c>
      <c r="L383" s="1">
        <f t="shared" si="83"/>
        <v>4164086.4000000004</v>
      </c>
      <c r="M383" s="2">
        <f t="shared" si="84"/>
        <v>0.1708708061388928</v>
      </c>
      <c r="N383" s="2">
        <f t="shared" si="85"/>
        <v>0.82912919386110728</v>
      </c>
      <c r="P383" s="5">
        <f t="shared" si="89"/>
        <v>9239.4813217243136</v>
      </c>
    </row>
    <row r="384" spans="1:16" x14ac:dyDescent="0.35">
      <c r="A384" t="s">
        <v>16</v>
      </c>
      <c r="B384" t="s">
        <v>28</v>
      </c>
      <c r="C384">
        <v>2017</v>
      </c>
      <c r="D384" t="s">
        <v>30</v>
      </c>
      <c r="E384" s="3">
        <f>83991+41226+49+13+49+11</f>
        <v>125339</v>
      </c>
      <c r="F384" s="3">
        <f>262960+187870-E384</f>
        <v>325491</v>
      </c>
      <c r="G384" s="1">
        <f t="shared" si="86"/>
        <v>450830</v>
      </c>
      <c r="H384" s="2">
        <f t="shared" si="87"/>
        <v>0.27801832176208324</v>
      </c>
      <c r="I384" s="2">
        <f t="shared" si="88"/>
        <v>0.7219816782379167</v>
      </c>
      <c r="J384" s="3">
        <f>25.6+221.8+28711.5+552771.7+19+22.4</f>
        <v>581772</v>
      </c>
      <c r="K384" s="3">
        <f>120299+3205001.6-J384</f>
        <v>2743528.6</v>
      </c>
      <c r="L384" s="1">
        <f t="shared" si="83"/>
        <v>3325300.6</v>
      </c>
      <c r="M384" s="2">
        <f t="shared" si="84"/>
        <v>0.1749532057342425</v>
      </c>
      <c r="N384" s="2">
        <f t="shared" si="85"/>
        <v>0.82504679426575755</v>
      </c>
      <c r="P384" s="5">
        <f t="shared" si="89"/>
        <v>7375.9523545460597</v>
      </c>
    </row>
    <row r="385" spans="1:16" x14ac:dyDescent="0.35">
      <c r="A385" t="s">
        <v>16</v>
      </c>
      <c r="B385" t="s">
        <v>29</v>
      </c>
      <c r="C385">
        <v>2017</v>
      </c>
      <c r="D385" t="s">
        <v>30</v>
      </c>
      <c r="E385" s="3">
        <f>82645+41932+49+13+49+11</f>
        <v>124699</v>
      </c>
      <c r="F385" s="3">
        <f>269077+191394-E385</f>
        <v>335772</v>
      </c>
      <c r="G385" s="1">
        <f t="shared" si="86"/>
        <v>460471</v>
      </c>
      <c r="H385" s="2">
        <f t="shared" si="87"/>
        <v>0.27080749927791326</v>
      </c>
      <c r="I385" s="2">
        <f t="shared" si="88"/>
        <v>0.72919250072208674</v>
      </c>
      <c r="J385" s="3">
        <f>1275.6+32149.8+570896.9+21+24.1</f>
        <v>604367.4</v>
      </c>
      <c r="K385" s="3">
        <f>133691.1+3420552.3-J385</f>
        <v>2949876</v>
      </c>
      <c r="L385" s="1">
        <f t="shared" si="83"/>
        <v>3554243.4</v>
      </c>
      <c r="M385" s="2">
        <f t="shared" si="84"/>
        <v>0.1700410838492378</v>
      </c>
      <c r="N385" s="2">
        <f t="shared" si="85"/>
        <v>0.82995891615076223</v>
      </c>
      <c r="P385" s="5">
        <f t="shared" si="89"/>
        <v>7718.7127962455834</v>
      </c>
    </row>
    <row r="386" spans="1:16" x14ac:dyDescent="0.35">
      <c r="A386" t="s">
        <v>16</v>
      </c>
      <c r="B386" t="s">
        <v>17</v>
      </c>
      <c r="C386">
        <v>2002</v>
      </c>
      <c r="D386" t="s">
        <v>31</v>
      </c>
      <c r="E386" s="4">
        <v>3988</v>
      </c>
      <c r="F386" s="4">
        <v>39</v>
      </c>
      <c r="G386" s="1">
        <f t="shared" si="86"/>
        <v>4027</v>
      </c>
      <c r="H386" s="2">
        <f t="shared" si="87"/>
        <v>0.99031537124410229</v>
      </c>
      <c r="I386" s="2">
        <f t="shared" si="88"/>
        <v>9.6846287558976906E-3</v>
      </c>
      <c r="J386" s="4">
        <v>457284.13700000005</v>
      </c>
      <c r="K386" s="4">
        <v>159.417</v>
      </c>
      <c r="L386" s="1">
        <f t="shared" ref="L386:L449" si="90">SUM(J386:K386)</f>
        <v>457443.55400000006</v>
      </c>
      <c r="M386" s="2">
        <f t="shared" ref="M386:M449" si="91">SUM(J386)/L386</f>
        <v>0.99965150454388085</v>
      </c>
      <c r="N386" s="2">
        <f t="shared" ref="N386:N449" si="92">SUM(K386/L386)</f>
        <v>3.4849545611916082E-4</v>
      </c>
    </row>
    <row r="387" spans="1:16" x14ac:dyDescent="0.35">
      <c r="A387" t="s">
        <v>16</v>
      </c>
      <c r="B387" t="s">
        <v>19</v>
      </c>
      <c r="C387">
        <v>2002</v>
      </c>
      <c r="D387" t="s">
        <v>31</v>
      </c>
      <c r="E387" s="4">
        <v>3988</v>
      </c>
      <c r="F387" s="4">
        <v>93</v>
      </c>
      <c r="G387" s="1">
        <f t="shared" si="86"/>
        <v>4081</v>
      </c>
      <c r="H387" s="2">
        <f t="shared" si="87"/>
        <v>0.97721146777750556</v>
      </c>
      <c r="I387" s="2">
        <f t="shared" si="88"/>
        <v>2.2788532222494488E-2</v>
      </c>
      <c r="J387" s="4">
        <v>457284.13700000005</v>
      </c>
      <c r="K387" s="4">
        <v>36390.876999999979</v>
      </c>
      <c r="L387" s="1">
        <f t="shared" si="90"/>
        <v>493675.01400000002</v>
      </c>
      <c r="M387" s="2">
        <f t="shared" si="91"/>
        <v>0.92628576296551246</v>
      </c>
      <c r="N387" s="2">
        <f t="shared" si="92"/>
        <v>7.3714237034487581E-2</v>
      </c>
    </row>
    <row r="388" spans="1:16" x14ac:dyDescent="0.35">
      <c r="A388" t="s">
        <v>16</v>
      </c>
      <c r="B388" t="s">
        <v>20</v>
      </c>
      <c r="C388">
        <v>2002</v>
      </c>
      <c r="D388" t="s">
        <v>31</v>
      </c>
      <c r="E388" s="4">
        <v>5159</v>
      </c>
      <c r="F388" s="4">
        <v>244</v>
      </c>
      <c r="G388" s="1">
        <f t="shared" ref="G388:G451" si="93">SUM(E388:F388)</f>
        <v>5403</v>
      </c>
      <c r="H388" s="2">
        <f t="shared" ref="H388:H451" si="94">SUM(E388)/G388</f>
        <v>0.95483990375717198</v>
      </c>
      <c r="I388" s="2">
        <f t="shared" ref="I388:I451" si="95">SUM(F388/G388)</f>
        <v>4.516009624282806E-2</v>
      </c>
      <c r="J388" s="4">
        <v>596745.09100000001</v>
      </c>
      <c r="K388" s="4">
        <v>207763.84899999999</v>
      </c>
      <c r="L388" s="1">
        <f t="shared" si="90"/>
        <v>804508.94</v>
      </c>
      <c r="M388" s="2">
        <f t="shared" si="91"/>
        <v>0.74175072684711252</v>
      </c>
      <c r="N388" s="2">
        <f t="shared" si="92"/>
        <v>0.25824927315288754</v>
      </c>
    </row>
    <row r="389" spans="1:16" x14ac:dyDescent="0.35">
      <c r="A389" t="s">
        <v>16</v>
      </c>
      <c r="B389" t="s">
        <v>21</v>
      </c>
      <c r="C389">
        <v>2002</v>
      </c>
      <c r="D389" t="s">
        <v>31</v>
      </c>
      <c r="E389" s="4">
        <v>5262</v>
      </c>
      <c r="F389" s="4">
        <v>306</v>
      </c>
      <c r="G389" s="1">
        <f t="shared" si="93"/>
        <v>5568</v>
      </c>
      <c r="H389" s="2">
        <f t="shared" si="94"/>
        <v>0.94504310344827591</v>
      </c>
      <c r="I389" s="2">
        <f t="shared" si="95"/>
        <v>5.4956896551724137E-2</v>
      </c>
      <c r="J389" s="4">
        <v>726270.201</v>
      </c>
      <c r="K389" s="4">
        <v>320228.61300000001</v>
      </c>
      <c r="L389" s="1">
        <f t="shared" si="90"/>
        <v>1046498.814</v>
      </c>
      <c r="M389" s="2">
        <f t="shared" si="91"/>
        <v>0.69400002301388175</v>
      </c>
      <c r="N389" s="2">
        <f t="shared" si="92"/>
        <v>0.30599997698611819</v>
      </c>
    </row>
    <row r="390" spans="1:16" x14ac:dyDescent="0.35">
      <c r="A390" t="s">
        <v>16</v>
      </c>
      <c r="B390" t="s">
        <v>22</v>
      </c>
      <c r="C390">
        <v>2002</v>
      </c>
      <c r="D390" t="s">
        <v>31</v>
      </c>
      <c r="E390" s="4">
        <v>5133</v>
      </c>
      <c r="F390" s="4">
        <v>294</v>
      </c>
      <c r="G390" s="1">
        <f t="shared" si="93"/>
        <v>5427</v>
      </c>
      <c r="H390" s="2">
        <f t="shared" si="94"/>
        <v>0.94582642343836376</v>
      </c>
      <c r="I390" s="2">
        <f t="shared" si="95"/>
        <v>5.4173576561636266E-2</v>
      </c>
      <c r="J390" s="4">
        <v>807936.77899999998</v>
      </c>
      <c r="K390" s="4">
        <v>156993.94399999996</v>
      </c>
      <c r="L390" s="1">
        <f t="shared" si="90"/>
        <v>964930.723</v>
      </c>
      <c r="M390" s="2">
        <f t="shared" si="91"/>
        <v>0.83730029497672032</v>
      </c>
      <c r="N390" s="2">
        <f t="shared" si="92"/>
        <v>0.16269970502327966</v>
      </c>
    </row>
    <row r="391" spans="1:16" x14ac:dyDescent="0.35">
      <c r="A391" t="s">
        <v>16</v>
      </c>
      <c r="B391" t="s">
        <v>23</v>
      </c>
      <c r="C391">
        <v>2002</v>
      </c>
      <c r="D391" t="s">
        <v>31</v>
      </c>
      <c r="E391" s="4">
        <v>5650</v>
      </c>
      <c r="F391" s="4">
        <v>532</v>
      </c>
      <c r="G391" s="1">
        <f t="shared" si="93"/>
        <v>6182</v>
      </c>
      <c r="H391" s="2">
        <f t="shared" si="94"/>
        <v>0.91394370753801357</v>
      </c>
      <c r="I391" s="2">
        <f t="shared" si="95"/>
        <v>8.6056292461986414E-2</v>
      </c>
      <c r="J391" s="4">
        <v>924155.79399999999</v>
      </c>
      <c r="K391" s="4">
        <v>978699.02</v>
      </c>
      <c r="L391" s="1">
        <f t="shared" si="90"/>
        <v>1902854.814</v>
      </c>
      <c r="M391" s="2">
        <f t="shared" si="91"/>
        <v>0.48566805370575161</v>
      </c>
      <c r="N391" s="2">
        <f t="shared" si="92"/>
        <v>0.51433194629424839</v>
      </c>
    </row>
    <row r="392" spans="1:16" x14ac:dyDescent="0.35">
      <c r="A392" t="s">
        <v>16</v>
      </c>
      <c r="B392" t="s">
        <v>24</v>
      </c>
      <c r="C392">
        <v>2002</v>
      </c>
      <c r="D392" t="s">
        <v>31</v>
      </c>
      <c r="E392" s="4">
        <v>5903</v>
      </c>
      <c r="F392" s="4">
        <v>510</v>
      </c>
      <c r="G392" s="1">
        <f t="shared" si="93"/>
        <v>6413</v>
      </c>
      <c r="H392" s="2">
        <f t="shared" si="94"/>
        <v>0.92047403711211606</v>
      </c>
      <c r="I392" s="2">
        <f t="shared" si="95"/>
        <v>7.952596288788398E-2</v>
      </c>
      <c r="J392" s="4">
        <v>1695915.0730000003</v>
      </c>
      <c r="K392" s="4">
        <v>1143916.4279999998</v>
      </c>
      <c r="L392" s="1">
        <f t="shared" si="90"/>
        <v>2839831.5010000002</v>
      </c>
      <c r="M392" s="2">
        <f t="shared" si="91"/>
        <v>0.59718862629800806</v>
      </c>
      <c r="N392" s="2">
        <f t="shared" si="92"/>
        <v>0.40281137370199199</v>
      </c>
    </row>
    <row r="393" spans="1:16" x14ac:dyDescent="0.35">
      <c r="A393" t="s">
        <v>16</v>
      </c>
      <c r="B393" t="s">
        <v>25</v>
      </c>
      <c r="C393">
        <v>2002</v>
      </c>
      <c r="D393" t="s">
        <v>31</v>
      </c>
      <c r="E393" s="4">
        <v>5493</v>
      </c>
      <c r="F393" s="4">
        <v>561</v>
      </c>
      <c r="G393" s="1">
        <f t="shared" si="93"/>
        <v>6054</v>
      </c>
      <c r="H393" s="2">
        <f t="shared" si="94"/>
        <v>0.90733399405351833</v>
      </c>
      <c r="I393" s="2">
        <f t="shared" si="95"/>
        <v>9.2666005946481667E-2</v>
      </c>
      <c r="J393" s="4">
        <v>534291.47</v>
      </c>
      <c r="K393" s="4">
        <v>787466.20700000017</v>
      </c>
      <c r="L393" s="1">
        <f t="shared" si="90"/>
        <v>1321757.6770000001</v>
      </c>
      <c r="M393" s="2">
        <f t="shared" si="91"/>
        <v>0.40422800585708263</v>
      </c>
      <c r="N393" s="2">
        <f t="shared" si="92"/>
        <v>0.59577199414291737</v>
      </c>
    </row>
    <row r="394" spans="1:16" x14ac:dyDescent="0.35">
      <c r="A394" t="s">
        <v>16</v>
      </c>
      <c r="B394" t="s">
        <v>26</v>
      </c>
      <c r="C394">
        <v>2002</v>
      </c>
      <c r="D394" t="s">
        <v>31</v>
      </c>
      <c r="E394" s="4">
        <v>5466</v>
      </c>
      <c r="F394" s="4">
        <v>600</v>
      </c>
      <c r="G394" s="1">
        <f t="shared" si="93"/>
        <v>6066</v>
      </c>
      <c r="H394" s="2">
        <f t="shared" si="94"/>
        <v>0.90108803165182982</v>
      </c>
      <c r="I394" s="2">
        <f t="shared" si="95"/>
        <v>9.8911968348170135E-2</v>
      </c>
      <c r="J394" s="4">
        <v>2254170.9510000004</v>
      </c>
      <c r="K394" s="4">
        <v>1148556.2359999998</v>
      </c>
      <c r="L394" s="1">
        <f t="shared" si="90"/>
        <v>3402727.1869999999</v>
      </c>
      <c r="M394" s="2">
        <f t="shared" si="91"/>
        <v>0.66246008778252385</v>
      </c>
      <c r="N394" s="2">
        <f t="shared" si="92"/>
        <v>0.33753991221747626</v>
      </c>
    </row>
    <row r="395" spans="1:16" x14ac:dyDescent="0.35">
      <c r="A395" t="s">
        <v>16</v>
      </c>
      <c r="B395" t="s">
        <v>27</v>
      </c>
      <c r="C395">
        <v>2002</v>
      </c>
      <c r="D395" t="s">
        <v>31</v>
      </c>
      <c r="E395" s="4">
        <v>5429</v>
      </c>
      <c r="F395" s="4">
        <v>644</v>
      </c>
      <c r="G395" s="1">
        <f t="shared" si="93"/>
        <v>6073</v>
      </c>
      <c r="H395" s="2">
        <f t="shared" si="94"/>
        <v>0.89395685822492998</v>
      </c>
      <c r="I395" s="2">
        <f t="shared" si="95"/>
        <v>0.10604314177506999</v>
      </c>
      <c r="J395" s="4">
        <v>1079067.3999999999</v>
      </c>
      <c r="K395" s="4">
        <v>1061278.3250000002</v>
      </c>
      <c r="L395" s="1">
        <f t="shared" si="90"/>
        <v>2140345.7250000001</v>
      </c>
      <c r="M395" s="2">
        <f t="shared" si="91"/>
        <v>0.5041556545730479</v>
      </c>
      <c r="N395" s="2">
        <f t="shared" si="92"/>
        <v>0.49584434542695205</v>
      </c>
    </row>
    <row r="396" spans="1:16" x14ac:dyDescent="0.35">
      <c r="A396" t="s">
        <v>16</v>
      </c>
      <c r="B396" t="s">
        <v>28</v>
      </c>
      <c r="C396">
        <v>2002</v>
      </c>
      <c r="D396" t="s">
        <v>31</v>
      </c>
      <c r="E396" s="4">
        <v>5421</v>
      </c>
      <c r="F396" s="4">
        <v>650</v>
      </c>
      <c r="G396" s="1">
        <f t="shared" si="93"/>
        <v>6071</v>
      </c>
      <c r="H396" s="2">
        <f t="shared" si="94"/>
        <v>0.89293361884368305</v>
      </c>
      <c r="I396" s="2">
        <f t="shared" si="95"/>
        <v>0.10706638115631692</v>
      </c>
      <c r="J396" s="4">
        <v>1034916.376</v>
      </c>
      <c r="K396" s="4">
        <v>779823.25599999994</v>
      </c>
      <c r="L396" s="1">
        <f t="shared" si="90"/>
        <v>1814739.632</v>
      </c>
      <c r="M396" s="2">
        <f t="shared" si="91"/>
        <v>0.57028366921123153</v>
      </c>
      <c r="N396" s="2">
        <f t="shared" si="92"/>
        <v>0.42971633078876847</v>
      </c>
    </row>
    <row r="397" spans="1:16" x14ac:dyDescent="0.35">
      <c r="A397" t="s">
        <v>16</v>
      </c>
      <c r="B397" t="s">
        <v>29</v>
      </c>
      <c r="C397">
        <v>2002</v>
      </c>
      <c r="D397" t="s">
        <v>31</v>
      </c>
      <c r="E397" s="4">
        <v>5405</v>
      </c>
      <c r="F397" s="4">
        <v>662</v>
      </c>
      <c r="G397" s="1">
        <f t="shared" si="93"/>
        <v>6067</v>
      </c>
      <c r="H397" s="2">
        <f t="shared" si="94"/>
        <v>0.89088511620240651</v>
      </c>
      <c r="I397" s="2">
        <f t="shared" si="95"/>
        <v>0.10911488379759354</v>
      </c>
      <c r="J397" s="4">
        <v>1067090.8400000001</v>
      </c>
      <c r="K397" s="4">
        <v>809090.78</v>
      </c>
      <c r="L397" s="1">
        <f t="shared" si="90"/>
        <v>1876181.62</v>
      </c>
      <c r="M397" s="2">
        <f t="shared" si="91"/>
        <v>0.56875668572001037</v>
      </c>
      <c r="N397" s="2">
        <f t="shared" si="92"/>
        <v>0.43124331427998958</v>
      </c>
    </row>
    <row r="398" spans="1:16" x14ac:dyDescent="0.35">
      <c r="A398" t="s">
        <v>16</v>
      </c>
      <c r="B398" t="s">
        <v>17</v>
      </c>
      <c r="C398">
        <v>2003</v>
      </c>
      <c r="D398" t="s">
        <v>31</v>
      </c>
      <c r="E398" s="4">
        <v>4834</v>
      </c>
      <c r="F398" s="4">
        <v>1193</v>
      </c>
      <c r="G398" s="1">
        <f t="shared" si="93"/>
        <v>6027</v>
      </c>
      <c r="H398" s="2">
        <f t="shared" si="94"/>
        <v>0.80205740832918537</v>
      </c>
      <c r="I398" s="2">
        <f t="shared" si="95"/>
        <v>0.19794259167081465</v>
      </c>
      <c r="J398" s="4">
        <v>1334276</v>
      </c>
      <c r="K398" s="4">
        <v>707456</v>
      </c>
      <c r="L398" s="1">
        <f t="shared" si="90"/>
        <v>2041732</v>
      </c>
      <c r="M398" s="2">
        <f t="shared" si="91"/>
        <v>0.65350202671065549</v>
      </c>
      <c r="N398" s="2">
        <f t="shared" si="92"/>
        <v>0.34649797328934456</v>
      </c>
    </row>
    <row r="399" spans="1:16" x14ac:dyDescent="0.35">
      <c r="A399" t="s">
        <v>16</v>
      </c>
      <c r="B399" t="s">
        <v>19</v>
      </c>
      <c r="C399">
        <v>2003</v>
      </c>
      <c r="D399" t="s">
        <v>31</v>
      </c>
      <c r="E399" s="4">
        <v>4656</v>
      </c>
      <c r="F399" s="4">
        <v>1378</v>
      </c>
      <c r="G399" s="1">
        <f t="shared" si="93"/>
        <v>6034</v>
      </c>
      <c r="H399" s="2">
        <f t="shared" si="94"/>
        <v>0.77162744448127274</v>
      </c>
      <c r="I399" s="2">
        <f t="shared" si="95"/>
        <v>0.2283725555187272</v>
      </c>
      <c r="J399" s="4">
        <v>979036</v>
      </c>
      <c r="K399" s="4">
        <v>644012</v>
      </c>
      <c r="L399" s="1">
        <f t="shared" si="90"/>
        <v>1623048</v>
      </c>
      <c r="M399" s="2">
        <f t="shared" si="91"/>
        <v>0.60320828465948018</v>
      </c>
      <c r="N399" s="2">
        <f t="shared" si="92"/>
        <v>0.39679171534051982</v>
      </c>
    </row>
    <row r="400" spans="1:16" x14ac:dyDescent="0.35">
      <c r="A400" t="s">
        <v>16</v>
      </c>
      <c r="B400" t="s">
        <v>20</v>
      </c>
      <c r="C400">
        <v>2003</v>
      </c>
      <c r="D400" t="s">
        <v>31</v>
      </c>
      <c r="E400" s="4">
        <v>4664</v>
      </c>
      <c r="F400" s="4">
        <v>1362</v>
      </c>
      <c r="G400" s="1">
        <f t="shared" si="93"/>
        <v>6026</v>
      </c>
      <c r="H400" s="2">
        <f t="shared" si="94"/>
        <v>0.77397942250248919</v>
      </c>
      <c r="I400" s="2">
        <f t="shared" si="95"/>
        <v>0.22602057749751078</v>
      </c>
      <c r="J400" s="4">
        <v>803954</v>
      </c>
      <c r="K400" s="4">
        <v>746489</v>
      </c>
      <c r="L400" s="1">
        <f t="shared" si="90"/>
        <v>1550443</v>
      </c>
      <c r="M400" s="2">
        <f t="shared" si="91"/>
        <v>0.51853180026611745</v>
      </c>
      <c r="N400" s="2">
        <f t="shared" si="92"/>
        <v>0.4814681997338825</v>
      </c>
    </row>
    <row r="401" spans="1:14" x14ac:dyDescent="0.35">
      <c r="A401" t="s">
        <v>16</v>
      </c>
      <c r="B401" t="s">
        <v>21</v>
      </c>
      <c r="C401">
        <v>2003</v>
      </c>
      <c r="D401" t="s">
        <v>31</v>
      </c>
      <c r="E401" s="4">
        <v>4660</v>
      </c>
      <c r="F401" s="4">
        <v>1392</v>
      </c>
      <c r="G401" s="1">
        <f t="shared" si="93"/>
        <v>6052</v>
      </c>
      <c r="H401" s="2">
        <f t="shared" si="94"/>
        <v>0.76999339061467287</v>
      </c>
      <c r="I401" s="2">
        <f t="shared" si="95"/>
        <v>0.23000660938532716</v>
      </c>
      <c r="J401" s="4">
        <v>832128.94800000009</v>
      </c>
      <c r="K401" s="4">
        <v>794320.41100000008</v>
      </c>
      <c r="L401" s="1">
        <f t="shared" si="90"/>
        <v>1626449.3590000002</v>
      </c>
      <c r="M401" s="2">
        <f t="shared" si="91"/>
        <v>0.51162302926641567</v>
      </c>
      <c r="N401" s="2">
        <f t="shared" si="92"/>
        <v>0.48837697073358433</v>
      </c>
    </row>
    <row r="402" spans="1:14" x14ac:dyDescent="0.35">
      <c r="A402" t="s">
        <v>16</v>
      </c>
      <c r="B402" t="s">
        <v>22</v>
      </c>
      <c r="C402">
        <v>2003</v>
      </c>
      <c r="D402" t="s">
        <v>31</v>
      </c>
      <c r="E402" s="4">
        <v>4578</v>
      </c>
      <c r="F402" s="4">
        <v>1467</v>
      </c>
      <c r="G402" s="1">
        <f t="shared" si="93"/>
        <v>6045</v>
      </c>
      <c r="H402" s="2">
        <f t="shared" si="94"/>
        <v>0.75732009925558308</v>
      </c>
      <c r="I402" s="2">
        <f t="shared" si="95"/>
        <v>0.24267990074441687</v>
      </c>
      <c r="J402" s="4">
        <v>895264.29900000012</v>
      </c>
      <c r="K402" s="4">
        <v>842803.23800000013</v>
      </c>
      <c r="L402" s="1">
        <f t="shared" si="90"/>
        <v>1738067.5370000002</v>
      </c>
      <c r="M402" s="2">
        <f t="shared" si="91"/>
        <v>0.51509177862286948</v>
      </c>
      <c r="N402" s="2">
        <f t="shared" si="92"/>
        <v>0.48490822137713052</v>
      </c>
    </row>
    <row r="403" spans="1:14" x14ac:dyDescent="0.35">
      <c r="A403" t="s">
        <v>16</v>
      </c>
      <c r="B403" t="s">
        <v>23</v>
      </c>
      <c r="C403">
        <v>2003</v>
      </c>
      <c r="D403" t="s">
        <v>31</v>
      </c>
      <c r="E403" s="4">
        <v>4419</v>
      </c>
      <c r="F403" s="4">
        <v>1596</v>
      </c>
      <c r="G403" s="1">
        <f t="shared" si="93"/>
        <v>6015</v>
      </c>
      <c r="H403" s="2">
        <f t="shared" si="94"/>
        <v>0.73466334164588531</v>
      </c>
      <c r="I403" s="2">
        <f t="shared" si="95"/>
        <v>0.26533665835411474</v>
      </c>
      <c r="J403" s="4">
        <v>936086.08</v>
      </c>
      <c r="K403" s="4">
        <v>899666.84200000006</v>
      </c>
      <c r="L403" s="1">
        <f t="shared" si="90"/>
        <v>1835752.922</v>
      </c>
      <c r="M403" s="2">
        <f t="shared" si="91"/>
        <v>0.50991942803509804</v>
      </c>
      <c r="N403" s="2">
        <f t="shared" si="92"/>
        <v>0.49008057196490196</v>
      </c>
    </row>
    <row r="404" spans="1:14" x14ac:dyDescent="0.35">
      <c r="A404" t="s">
        <v>16</v>
      </c>
      <c r="B404" t="s">
        <v>24</v>
      </c>
      <c r="C404">
        <v>2003</v>
      </c>
      <c r="D404" t="s">
        <v>31</v>
      </c>
      <c r="E404" s="4">
        <v>4375</v>
      </c>
      <c r="F404" s="4">
        <v>1630</v>
      </c>
      <c r="G404" s="1">
        <f t="shared" si="93"/>
        <v>6005</v>
      </c>
      <c r="H404" s="2">
        <f t="shared" si="94"/>
        <v>0.72855953372189841</v>
      </c>
      <c r="I404" s="2">
        <f t="shared" si="95"/>
        <v>0.27144046627810159</v>
      </c>
      <c r="J404" s="4">
        <v>947189.17399999988</v>
      </c>
      <c r="K404" s="4">
        <v>934471.80600000033</v>
      </c>
      <c r="L404" s="1">
        <f t="shared" si="90"/>
        <v>1881660.9800000002</v>
      </c>
      <c r="M404" s="2">
        <f t="shared" si="91"/>
        <v>0.50337929311793439</v>
      </c>
      <c r="N404" s="2">
        <f t="shared" si="92"/>
        <v>0.49662070688206555</v>
      </c>
    </row>
    <row r="405" spans="1:14" x14ac:dyDescent="0.35">
      <c r="A405" t="s">
        <v>16</v>
      </c>
      <c r="B405" t="s">
        <v>25</v>
      </c>
      <c r="C405">
        <v>2003</v>
      </c>
      <c r="D405" t="s">
        <v>31</v>
      </c>
      <c r="E405" s="4">
        <v>4366</v>
      </c>
      <c r="F405" s="4">
        <v>1619</v>
      </c>
      <c r="G405" s="1">
        <f t="shared" si="93"/>
        <v>5985</v>
      </c>
      <c r="H405" s="2">
        <f t="shared" si="94"/>
        <v>0.72949039264828741</v>
      </c>
      <c r="I405" s="2">
        <f t="shared" si="95"/>
        <v>0.27050960735171259</v>
      </c>
      <c r="J405" s="4">
        <v>880216.397</v>
      </c>
      <c r="K405" s="4">
        <v>1081800.1680000001</v>
      </c>
      <c r="L405" s="1">
        <f t="shared" si="90"/>
        <v>1962016.5649999999</v>
      </c>
      <c r="M405" s="2">
        <f t="shared" si="91"/>
        <v>0.44862842276767423</v>
      </c>
      <c r="N405" s="2">
        <f t="shared" si="92"/>
        <v>0.55137157723232577</v>
      </c>
    </row>
    <row r="406" spans="1:14" x14ac:dyDescent="0.35">
      <c r="A406" t="s">
        <v>16</v>
      </c>
      <c r="B406" t="s">
        <v>26</v>
      </c>
      <c r="C406">
        <v>2003</v>
      </c>
      <c r="D406" t="s">
        <v>31</v>
      </c>
      <c r="E406" s="4">
        <v>4274</v>
      </c>
      <c r="F406" s="4">
        <v>1696</v>
      </c>
      <c r="G406" s="1">
        <f t="shared" si="93"/>
        <v>5970</v>
      </c>
      <c r="H406" s="2">
        <f t="shared" si="94"/>
        <v>0.7159128978224456</v>
      </c>
      <c r="I406" s="2">
        <f t="shared" si="95"/>
        <v>0.28408710217755445</v>
      </c>
      <c r="J406" s="4">
        <v>898724.19900000002</v>
      </c>
      <c r="K406" s="4">
        <v>994727.01700000034</v>
      </c>
      <c r="L406" s="1">
        <f t="shared" si="90"/>
        <v>1893451.2160000005</v>
      </c>
      <c r="M406" s="2">
        <f t="shared" si="91"/>
        <v>0.47464872155438714</v>
      </c>
      <c r="N406" s="2">
        <f t="shared" si="92"/>
        <v>0.5253512784456128</v>
      </c>
    </row>
    <row r="407" spans="1:14" x14ac:dyDescent="0.35">
      <c r="A407" t="s">
        <v>16</v>
      </c>
      <c r="B407" t="s">
        <v>27</v>
      </c>
      <c r="C407">
        <v>2003</v>
      </c>
      <c r="D407" t="s">
        <v>31</v>
      </c>
      <c r="E407" s="4">
        <v>4248</v>
      </c>
      <c r="F407" s="4">
        <v>1709</v>
      </c>
      <c r="G407" s="1">
        <f t="shared" si="93"/>
        <v>5957</v>
      </c>
      <c r="H407" s="2">
        <f t="shared" si="94"/>
        <v>0.71311062615410437</v>
      </c>
      <c r="I407" s="2">
        <f t="shared" si="95"/>
        <v>0.28688937384589558</v>
      </c>
      <c r="J407" s="4">
        <v>865186</v>
      </c>
      <c r="K407" s="4">
        <v>973868</v>
      </c>
      <c r="L407" s="1">
        <f t="shared" si="90"/>
        <v>1839054</v>
      </c>
      <c r="M407" s="2">
        <f t="shared" si="91"/>
        <v>0.4704516561232025</v>
      </c>
      <c r="N407" s="2">
        <f t="shared" si="92"/>
        <v>0.5295483438767975</v>
      </c>
    </row>
    <row r="408" spans="1:14" x14ac:dyDescent="0.35">
      <c r="A408" t="s">
        <v>16</v>
      </c>
      <c r="B408" t="s">
        <v>28</v>
      </c>
      <c r="C408">
        <v>2003</v>
      </c>
      <c r="D408" t="s">
        <v>31</v>
      </c>
      <c r="E408" s="4">
        <v>4217</v>
      </c>
      <c r="F408" s="4">
        <v>1730</v>
      </c>
      <c r="G408" s="1">
        <f t="shared" si="93"/>
        <v>5947</v>
      </c>
      <c r="H408" s="2">
        <f t="shared" si="94"/>
        <v>0.70909702370943328</v>
      </c>
      <c r="I408" s="2">
        <f t="shared" si="95"/>
        <v>0.29090297629056666</v>
      </c>
      <c r="J408" s="4">
        <v>831792</v>
      </c>
      <c r="K408" s="4">
        <v>962282</v>
      </c>
      <c r="L408" s="1">
        <f t="shared" si="90"/>
        <v>1794074</v>
      </c>
      <c r="M408" s="2">
        <f t="shared" si="91"/>
        <v>0.46363304969583197</v>
      </c>
      <c r="N408" s="2">
        <f t="shared" si="92"/>
        <v>0.53636695030416803</v>
      </c>
    </row>
    <row r="409" spans="1:14" x14ac:dyDescent="0.35">
      <c r="A409" t="s">
        <v>16</v>
      </c>
      <c r="B409" t="s">
        <v>29</v>
      </c>
      <c r="C409">
        <v>2003</v>
      </c>
      <c r="D409" t="s">
        <v>31</v>
      </c>
      <c r="E409" s="4">
        <v>4178</v>
      </c>
      <c r="F409" s="4">
        <v>1768</v>
      </c>
      <c r="G409" s="1">
        <f t="shared" si="93"/>
        <v>5946</v>
      </c>
      <c r="H409" s="2">
        <f t="shared" si="94"/>
        <v>0.70265724857046752</v>
      </c>
      <c r="I409" s="2">
        <f t="shared" si="95"/>
        <v>0.29734275142953248</v>
      </c>
      <c r="J409" s="4">
        <v>808631</v>
      </c>
      <c r="K409" s="4">
        <v>933821</v>
      </c>
      <c r="L409" s="1">
        <f t="shared" si="90"/>
        <v>1742452</v>
      </c>
      <c r="M409" s="2">
        <f t="shared" si="91"/>
        <v>0.46407648532068602</v>
      </c>
      <c r="N409" s="2">
        <f t="shared" si="92"/>
        <v>0.53592351467931398</v>
      </c>
    </row>
    <row r="410" spans="1:14" x14ac:dyDescent="0.35">
      <c r="A410" t="s">
        <v>16</v>
      </c>
      <c r="B410" t="s">
        <v>17</v>
      </c>
      <c r="C410">
        <v>2004</v>
      </c>
      <c r="D410" t="s">
        <v>31</v>
      </c>
      <c r="E410" s="4">
        <v>4025</v>
      </c>
      <c r="F410" s="4">
        <v>1907</v>
      </c>
      <c r="G410" s="1">
        <f t="shared" si="93"/>
        <v>5932</v>
      </c>
      <c r="H410" s="2">
        <f t="shared" si="94"/>
        <v>0.67852326365475391</v>
      </c>
      <c r="I410" s="2">
        <f t="shared" si="95"/>
        <v>0.32147673634524615</v>
      </c>
      <c r="J410" s="4">
        <v>773603.6</v>
      </c>
      <c r="K410" s="4">
        <v>902333.4</v>
      </c>
      <c r="L410" s="1">
        <f t="shared" si="90"/>
        <v>1675937</v>
      </c>
      <c r="M410" s="2">
        <f t="shared" si="91"/>
        <v>0.46159467808157467</v>
      </c>
      <c r="N410" s="2">
        <f t="shared" si="92"/>
        <v>0.53840532191842538</v>
      </c>
    </row>
    <row r="411" spans="1:14" x14ac:dyDescent="0.35">
      <c r="A411" t="s">
        <v>16</v>
      </c>
      <c r="B411" t="s">
        <v>19</v>
      </c>
      <c r="C411">
        <v>2004</v>
      </c>
      <c r="D411" t="s">
        <v>31</v>
      </c>
      <c r="E411" s="4">
        <v>4007</v>
      </c>
      <c r="F411" s="4">
        <v>1919</v>
      </c>
      <c r="G411" s="1">
        <f t="shared" si="93"/>
        <v>5926</v>
      </c>
      <c r="H411" s="2">
        <f t="shared" si="94"/>
        <v>0.67617279784002704</v>
      </c>
      <c r="I411" s="2">
        <f t="shared" si="95"/>
        <v>0.32382720215997302</v>
      </c>
      <c r="J411" s="4">
        <v>816871.6</v>
      </c>
      <c r="K411" s="4">
        <v>881886.3</v>
      </c>
      <c r="L411" s="1">
        <f t="shared" si="90"/>
        <v>1698757.9</v>
      </c>
      <c r="M411" s="2">
        <f t="shared" si="91"/>
        <v>0.48086404778456071</v>
      </c>
      <c r="N411" s="2">
        <f t="shared" si="92"/>
        <v>0.5191359522154394</v>
      </c>
    </row>
    <row r="412" spans="1:14" x14ac:dyDescent="0.35">
      <c r="A412" t="s">
        <v>16</v>
      </c>
      <c r="B412" t="s">
        <v>20</v>
      </c>
      <c r="C412">
        <v>2004</v>
      </c>
      <c r="D412" t="s">
        <v>31</v>
      </c>
      <c r="E412" s="4">
        <v>3981</v>
      </c>
      <c r="F412" s="4">
        <v>1941</v>
      </c>
      <c r="G412" s="1">
        <f t="shared" si="93"/>
        <v>5922</v>
      </c>
      <c r="H412" s="2">
        <f t="shared" si="94"/>
        <v>0.67223910840932122</v>
      </c>
      <c r="I412" s="2">
        <f t="shared" si="95"/>
        <v>0.32776089159067884</v>
      </c>
      <c r="J412" s="4">
        <v>837871.1</v>
      </c>
      <c r="K412" s="4">
        <v>871663.8</v>
      </c>
      <c r="L412" s="1">
        <f t="shared" si="90"/>
        <v>1709534.9</v>
      </c>
      <c r="M412" s="2">
        <f t="shared" si="91"/>
        <v>0.49011640534510292</v>
      </c>
      <c r="N412" s="2">
        <f t="shared" si="92"/>
        <v>0.50988359465489708</v>
      </c>
    </row>
    <row r="413" spans="1:14" x14ac:dyDescent="0.35">
      <c r="A413" t="s">
        <v>16</v>
      </c>
      <c r="B413" t="s">
        <v>21</v>
      </c>
      <c r="C413">
        <v>2004</v>
      </c>
      <c r="D413" t="s">
        <v>31</v>
      </c>
      <c r="E413" s="4">
        <v>3892</v>
      </c>
      <c r="F413" s="4">
        <v>2016</v>
      </c>
      <c r="G413" s="1">
        <f t="shared" si="93"/>
        <v>5908</v>
      </c>
      <c r="H413" s="2">
        <f t="shared" si="94"/>
        <v>0.65876777251184837</v>
      </c>
      <c r="I413" s="2">
        <f t="shared" si="95"/>
        <v>0.34123222748815168</v>
      </c>
      <c r="J413" s="4">
        <v>910011.4</v>
      </c>
      <c r="K413" s="4">
        <v>929530.7</v>
      </c>
      <c r="L413" s="1">
        <f t="shared" si="90"/>
        <v>1839542.1</v>
      </c>
      <c r="M413" s="2">
        <f t="shared" si="91"/>
        <v>0.49469452207698861</v>
      </c>
      <c r="N413" s="2">
        <f t="shared" si="92"/>
        <v>0.50530547792301128</v>
      </c>
    </row>
    <row r="414" spans="1:14" x14ac:dyDescent="0.35">
      <c r="A414" t="s">
        <v>16</v>
      </c>
      <c r="B414" t="s">
        <v>22</v>
      </c>
      <c r="C414">
        <v>2004</v>
      </c>
      <c r="D414" t="s">
        <v>31</v>
      </c>
      <c r="E414" s="4">
        <v>3839</v>
      </c>
      <c r="F414" s="4">
        <v>2058</v>
      </c>
      <c r="G414" s="1">
        <f t="shared" si="93"/>
        <v>5897</v>
      </c>
      <c r="H414" s="2">
        <f t="shared" si="94"/>
        <v>0.65100898762082415</v>
      </c>
      <c r="I414" s="2">
        <f t="shared" si="95"/>
        <v>0.34899101237917585</v>
      </c>
      <c r="J414" s="4">
        <v>841689.7</v>
      </c>
      <c r="K414" s="4">
        <v>969491.1</v>
      </c>
      <c r="L414" s="1">
        <f t="shared" si="90"/>
        <v>1811180.7999999998</v>
      </c>
      <c r="M414" s="2">
        <f t="shared" si="91"/>
        <v>0.4647187624780475</v>
      </c>
      <c r="N414" s="2">
        <f t="shared" si="92"/>
        <v>0.53528123752195256</v>
      </c>
    </row>
    <row r="415" spans="1:14" x14ac:dyDescent="0.35">
      <c r="A415" t="s">
        <v>16</v>
      </c>
      <c r="B415" t="s">
        <v>23</v>
      </c>
      <c r="C415">
        <v>2004</v>
      </c>
      <c r="D415" t="s">
        <v>31</v>
      </c>
      <c r="E415" s="4">
        <v>3762</v>
      </c>
      <c r="F415" s="4">
        <v>2131</v>
      </c>
      <c r="G415" s="1">
        <f t="shared" si="93"/>
        <v>5893</v>
      </c>
      <c r="H415" s="2">
        <f t="shared" si="94"/>
        <v>0.63838452401153911</v>
      </c>
      <c r="I415" s="2">
        <f t="shared" si="95"/>
        <v>0.36161547598846089</v>
      </c>
      <c r="J415" s="4">
        <v>839512</v>
      </c>
      <c r="K415" s="4">
        <v>1061820.5</v>
      </c>
      <c r="L415" s="1">
        <f t="shared" si="90"/>
        <v>1901332.5</v>
      </c>
      <c r="M415" s="2">
        <f t="shared" si="91"/>
        <v>0.44153876294651251</v>
      </c>
      <c r="N415" s="2">
        <f t="shared" si="92"/>
        <v>0.55846123705348749</v>
      </c>
    </row>
    <row r="416" spans="1:14" x14ac:dyDescent="0.35">
      <c r="A416" t="s">
        <v>16</v>
      </c>
      <c r="B416" t="s">
        <v>24</v>
      </c>
      <c r="C416">
        <v>2004</v>
      </c>
      <c r="D416" t="s">
        <v>31</v>
      </c>
      <c r="E416" s="4">
        <v>3705</v>
      </c>
      <c r="F416" s="4">
        <v>2169</v>
      </c>
      <c r="G416" s="1">
        <f t="shared" si="93"/>
        <v>5874</v>
      </c>
      <c r="H416" s="2">
        <f t="shared" si="94"/>
        <v>0.63074565883554645</v>
      </c>
      <c r="I416" s="2">
        <f t="shared" si="95"/>
        <v>0.36925434116445355</v>
      </c>
      <c r="J416" s="4">
        <v>776227</v>
      </c>
      <c r="K416" s="4">
        <v>1133644.2</v>
      </c>
      <c r="L416" s="1">
        <f t="shared" si="90"/>
        <v>1909871.2</v>
      </c>
      <c r="M416" s="2">
        <f t="shared" si="91"/>
        <v>0.40642897803789074</v>
      </c>
      <c r="N416" s="2">
        <f t="shared" si="92"/>
        <v>0.59357102196210931</v>
      </c>
    </row>
    <row r="417" spans="1:14" x14ac:dyDescent="0.35">
      <c r="A417" t="s">
        <v>16</v>
      </c>
      <c r="B417" t="s">
        <v>25</v>
      </c>
      <c r="C417">
        <v>2004</v>
      </c>
      <c r="D417" t="s">
        <v>31</v>
      </c>
      <c r="E417" s="4">
        <v>3681</v>
      </c>
      <c r="F417" s="4">
        <v>2188</v>
      </c>
      <c r="G417" s="1">
        <f t="shared" si="93"/>
        <v>5869</v>
      </c>
      <c r="H417" s="2">
        <f t="shared" si="94"/>
        <v>0.62719372976657006</v>
      </c>
      <c r="I417" s="2">
        <f t="shared" si="95"/>
        <v>0.37280627023342988</v>
      </c>
      <c r="J417" s="4">
        <v>773924.3</v>
      </c>
      <c r="K417" s="4">
        <v>1165952.3</v>
      </c>
      <c r="L417" s="1">
        <f t="shared" si="90"/>
        <v>1939876.6</v>
      </c>
      <c r="M417" s="2">
        <f t="shared" si="91"/>
        <v>0.39895542840199216</v>
      </c>
      <c r="N417" s="2">
        <f t="shared" si="92"/>
        <v>0.60104457159800784</v>
      </c>
    </row>
    <row r="418" spans="1:14" x14ac:dyDescent="0.35">
      <c r="A418" t="s">
        <v>16</v>
      </c>
      <c r="B418" t="s">
        <v>26</v>
      </c>
      <c r="C418">
        <v>2004</v>
      </c>
      <c r="D418" t="s">
        <v>31</v>
      </c>
      <c r="E418" s="4">
        <v>3667</v>
      </c>
      <c r="F418" s="4">
        <v>2182</v>
      </c>
      <c r="G418" s="1">
        <f t="shared" si="93"/>
        <v>5849</v>
      </c>
      <c r="H418" s="2">
        <f t="shared" si="94"/>
        <v>0.62694477688493755</v>
      </c>
      <c r="I418" s="2">
        <f t="shared" si="95"/>
        <v>0.3730552231150624</v>
      </c>
      <c r="J418" s="4">
        <v>747467.8</v>
      </c>
      <c r="K418" s="4">
        <v>1174293.6000000001</v>
      </c>
      <c r="L418" s="1">
        <f t="shared" si="90"/>
        <v>1921761.4000000001</v>
      </c>
      <c r="M418" s="2">
        <f t="shared" si="91"/>
        <v>0.38894932534288595</v>
      </c>
      <c r="N418" s="2">
        <f t="shared" si="92"/>
        <v>0.61105067465711405</v>
      </c>
    </row>
    <row r="419" spans="1:14" x14ac:dyDescent="0.35">
      <c r="A419" t="s">
        <v>16</v>
      </c>
      <c r="B419" t="s">
        <v>27</v>
      </c>
      <c r="C419">
        <v>2004</v>
      </c>
      <c r="D419" t="s">
        <v>31</v>
      </c>
      <c r="E419" s="4">
        <v>3611</v>
      </c>
      <c r="F419" s="4">
        <v>2242</v>
      </c>
      <c r="G419" s="1">
        <f t="shared" si="93"/>
        <v>5853</v>
      </c>
      <c r="H419" s="2">
        <f t="shared" si="94"/>
        <v>0.61694857338117204</v>
      </c>
      <c r="I419" s="2">
        <f t="shared" si="95"/>
        <v>0.38305142661882796</v>
      </c>
      <c r="J419" s="4">
        <v>748772.71200000006</v>
      </c>
      <c r="K419" s="4">
        <v>1145674.452</v>
      </c>
      <c r="L419" s="1">
        <f t="shared" si="90"/>
        <v>1894447.1640000001</v>
      </c>
      <c r="M419" s="2">
        <f t="shared" si="91"/>
        <v>0.39524602545209858</v>
      </c>
      <c r="N419" s="2">
        <f t="shared" si="92"/>
        <v>0.60475397454790136</v>
      </c>
    </row>
    <row r="420" spans="1:14" x14ac:dyDescent="0.35">
      <c r="A420" t="s">
        <v>16</v>
      </c>
      <c r="B420" t="s">
        <v>28</v>
      </c>
      <c r="C420">
        <v>2004</v>
      </c>
      <c r="D420" t="s">
        <v>31</v>
      </c>
      <c r="E420" s="4">
        <v>3583</v>
      </c>
      <c r="F420" s="4">
        <v>2276</v>
      </c>
      <c r="G420" s="1">
        <f t="shared" si="93"/>
        <v>5859</v>
      </c>
      <c r="H420" s="2">
        <f t="shared" si="94"/>
        <v>0.61153780508619215</v>
      </c>
      <c r="I420" s="2">
        <f t="shared" si="95"/>
        <v>0.38846219491380779</v>
      </c>
      <c r="J420" s="4">
        <v>691224.17700000003</v>
      </c>
      <c r="K420" s="4">
        <v>1082287.2169999999</v>
      </c>
      <c r="L420" s="1">
        <f t="shared" si="90"/>
        <v>1773511.3939999999</v>
      </c>
      <c r="M420" s="2">
        <f t="shared" si="91"/>
        <v>0.38974893498767116</v>
      </c>
      <c r="N420" s="2">
        <f t="shared" si="92"/>
        <v>0.61025106501232884</v>
      </c>
    </row>
    <row r="421" spans="1:14" x14ac:dyDescent="0.35">
      <c r="A421" t="s">
        <v>16</v>
      </c>
      <c r="B421" t="s">
        <v>29</v>
      </c>
      <c r="C421">
        <v>2004</v>
      </c>
      <c r="D421" t="s">
        <v>31</v>
      </c>
      <c r="E421" s="4">
        <v>3524</v>
      </c>
      <c r="F421" s="4">
        <v>2338</v>
      </c>
      <c r="G421" s="1">
        <f t="shared" si="93"/>
        <v>5862</v>
      </c>
      <c r="H421" s="2">
        <f t="shared" si="94"/>
        <v>0.60116001364721938</v>
      </c>
      <c r="I421" s="2">
        <f t="shared" si="95"/>
        <v>0.39883998635278062</v>
      </c>
      <c r="J421" s="4">
        <v>700114.777</v>
      </c>
      <c r="K421" s="4">
        <v>1148136.3700000001</v>
      </c>
      <c r="L421" s="1">
        <f t="shared" si="90"/>
        <v>1848251.1470000001</v>
      </c>
      <c r="M421" s="2">
        <f t="shared" si="91"/>
        <v>0.37879850805795279</v>
      </c>
      <c r="N421" s="2">
        <f t="shared" si="92"/>
        <v>0.62120149194204721</v>
      </c>
    </row>
    <row r="422" spans="1:14" x14ac:dyDescent="0.35">
      <c r="A422" t="s">
        <v>16</v>
      </c>
      <c r="B422" t="s">
        <v>17</v>
      </c>
      <c r="C422">
        <v>2005</v>
      </c>
      <c r="D422" t="s">
        <v>31</v>
      </c>
      <c r="E422" s="4">
        <f>3246+62</f>
        <v>3308</v>
      </c>
      <c r="F422" s="4">
        <f>2320+72</f>
        <v>2392</v>
      </c>
      <c r="G422" s="1">
        <f t="shared" si="93"/>
        <v>5700</v>
      </c>
      <c r="H422" s="2">
        <f t="shared" si="94"/>
        <v>0.58035087719298251</v>
      </c>
      <c r="I422" s="2">
        <f t="shared" si="95"/>
        <v>0.41964912280701755</v>
      </c>
      <c r="J422" s="4">
        <v>637155</v>
      </c>
      <c r="K422" s="4">
        <v>1106734</v>
      </c>
      <c r="L422" s="1">
        <f t="shared" si="90"/>
        <v>1743889</v>
      </c>
      <c r="M422" s="2">
        <f t="shared" si="91"/>
        <v>0.36536442399716956</v>
      </c>
      <c r="N422" s="2">
        <f t="shared" si="92"/>
        <v>0.63463557600283049</v>
      </c>
    </row>
    <row r="423" spans="1:14" x14ac:dyDescent="0.35">
      <c r="A423" t="s">
        <v>16</v>
      </c>
      <c r="B423" t="s">
        <v>19</v>
      </c>
      <c r="C423">
        <v>2005</v>
      </c>
      <c r="D423" t="s">
        <v>31</v>
      </c>
      <c r="E423" s="4">
        <f>3212+60</f>
        <v>3272</v>
      </c>
      <c r="F423" s="4">
        <f>2353+74</f>
        <v>2427</v>
      </c>
      <c r="G423" s="1">
        <f t="shared" si="93"/>
        <v>5699</v>
      </c>
      <c r="H423" s="2">
        <f t="shared" si="94"/>
        <v>0.57413581330057906</v>
      </c>
      <c r="I423" s="2">
        <f t="shared" si="95"/>
        <v>0.42586418669942094</v>
      </c>
      <c r="J423" s="4">
        <v>590692</v>
      </c>
      <c r="K423" s="4">
        <v>1130740</v>
      </c>
      <c r="L423" s="1">
        <f t="shared" si="90"/>
        <v>1721432</v>
      </c>
      <c r="M423" s="2">
        <f t="shared" si="91"/>
        <v>0.34313989748070212</v>
      </c>
      <c r="N423" s="2">
        <f t="shared" si="92"/>
        <v>0.65686010251929794</v>
      </c>
    </row>
    <row r="424" spans="1:14" x14ac:dyDescent="0.35">
      <c r="A424" t="s">
        <v>16</v>
      </c>
      <c r="B424" t="s">
        <v>20</v>
      </c>
      <c r="C424">
        <v>2005</v>
      </c>
      <c r="D424" t="s">
        <v>31</v>
      </c>
      <c r="E424" s="4">
        <v>3214</v>
      </c>
      <c r="F424" s="4">
        <f>2406+74</f>
        <v>2480</v>
      </c>
      <c r="G424" s="1">
        <f t="shared" si="93"/>
        <v>5694</v>
      </c>
      <c r="H424" s="2">
        <f t="shared" si="94"/>
        <v>0.56445381102915348</v>
      </c>
      <c r="I424" s="2">
        <f t="shared" si="95"/>
        <v>0.43554618897084652</v>
      </c>
      <c r="J424" s="4">
        <v>533219</v>
      </c>
      <c r="K424" s="4">
        <v>1196383</v>
      </c>
      <c r="L424" s="1">
        <f t="shared" si="90"/>
        <v>1729602</v>
      </c>
      <c r="M424" s="2">
        <f t="shared" si="91"/>
        <v>0.30828999966466275</v>
      </c>
      <c r="N424" s="2">
        <f t="shared" si="92"/>
        <v>0.69171000033533725</v>
      </c>
    </row>
    <row r="425" spans="1:14" x14ac:dyDescent="0.35">
      <c r="A425" t="s">
        <v>16</v>
      </c>
      <c r="B425" t="s">
        <v>21</v>
      </c>
      <c r="C425">
        <v>2005</v>
      </c>
      <c r="D425" t="s">
        <v>31</v>
      </c>
      <c r="E425" s="4">
        <f>3121+58</f>
        <v>3179</v>
      </c>
      <c r="F425" s="4">
        <f>2435+74</f>
        <v>2509</v>
      </c>
      <c r="G425" s="1">
        <f t="shared" si="93"/>
        <v>5688</v>
      </c>
      <c r="H425" s="2">
        <f t="shared" si="94"/>
        <v>0.55889592123769338</v>
      </c>
      <c r="I425" s="2">
        <f t="shared" si="95"/>
        <v>0.44110407876230662</v>
      </c>
      <c r="J425" s="4">
        <f>245556.3+307930.4</f>
        <v>553486.69999999995</v>
      </c>
      <c r="K425" s="4">
        <f>700188.6+558138.9</f>
        <v>1258327.5</v>
      </c>
      <c r="L425" s="1">
        <f t="shared" si="90"/>
        <v>1811814.2</v>
      </c>
      <c r="M425" s="2">
        <f t="shared" si="91"/>
        <v>0.30548756047943548</v>
      </c>
      <c r="N425" s="2">
        <f t="shared" si="92"/>
        <v>0.69451243952056452</v>
      </c>
    </row>
    <row r="426" spans="1:14" x14ac:dyDescent="0.35">
      <c r="A426" t="s">
        <v>16</v>
      </c>
      <c r="B426" t="s">
        <v>22</v>
      </c>
      <c r="C426">
        <v>2005</v>
      </c>
      <c r="D426" t="s">
        <v>31</v>
      </c>
      <c r="E426" s="4">
        <f>3067+57</f>
        <v>3124</v>
      </c>
      <c r="F426" s="4">
        <f>2477+74</f>
        <v>2551</v>
      </c>
      <c r="G426" s="1">
        <f t="shared" si="93"/>
        <v>5675</v>
      </c>
      <c r="H426" s="2">
        <f t="shared" si="94"/>
        <v>0.55048458149779733</v>
      </c>
      <c r="I426" s="2">
        <f t="shared" si="95"/>
        <v>0.44951541850220267</v>
      </c>
      <c r="J426" s="4">
        <f>268793.8+352496.5</f>
        <v>621290.30000000005</v>
      </c>
      <c r="K426" s="4">
        <f>704984+572325.5</f>
        <v>1277309.5</v>
      </c>
      <c r="L426" s="1">
        <f t="shared" si="90"/>
        <v>1898599.8</v>
      </c>
      <c r="M426" s="2">
        <f t="shared" si="91"/>
        <v>0.32723605048309812</v>
      </c>
      <c r="N426" s="2">
        <f t="shared" si="92"/>
        <v>0.67276394951690188</v>
      </c>
    </row>
    <row r="427" spans="1:14" x14ac:dyDescent="0.35">
      <c r="A427" t="s">
        <v>16</v>
      </c>
      <c r="B427" t="s">
        <v>23</v>
      </c>
      <c r="C427">
        <v>2005</v>
      </c>
      <c r="D427" t="s">
        <v>31</v>
      </c>
      <c r="E427" s="4">
        <f>2783+54</f>
        <v>2837</v>
      </c>
      <c r="F427" s="4">
        <f>2758+77</f>
        <v>2835</v>
      </c>
      <c r="G427" s="1">
        <f t="shared" si="93"/>
        <v>5672</v>
      </c>
      <c r="H427" s="2">
        <f t="shared" si="94"/>
        <v>0.50017630465444285</v>
      </c>
      <c r="I427" s="2">
        <f t="shared" si="95"/>
        <v>0.4998236953455571</v>
      </c>
      <c r="J427" s="4">
        <f>260930.2+251619.5</f>
        <v>512549.7</v>
      </c>
      <c r="K427" s="4">
        <f>823431.4+655957.3</f>
        <v>1479388.7000000002</v>
      </c>
      <c r="L427" s="1">
        <f t="shared" si="90"/>
        <v>1991938.4000000001</v>
      </c>
      <c r="M427" s="2">
        <f t="shared" si="91"/>
        <v>0.25731202330353187</v>
      </c>
      <c r="N427" s="2">
        <f t="shared" si="92"/>
        <v>0.74268797669646813</v>
      </c>
    </row>
    <row r="428" spans="1:14" x14ac:dyDescent="0.35">
      <c r="A428" t="s">
        <v>16</v>
      </c>
      <c r="B428" t="s">
        <v>24</v>
      </c>
      <c r="C428">
        <v>2005</v>
      </c>
      <c r="D428" t="s">
        <v>31</v>
      </c>
      <c r="E428" s="4">
        <f>2707+49</f>
        <v>2756</v>
      </c>
      <c r="F428" s="4">
        <f>2821+79</f>
        <v>2900</v>
      </c>
      <c r="G428" s="1">
        <f t="shared" si="93"/>
        <v>5656</v>
      </c>
      <c r="H428" s="2">
        <f t="shared" si="94"/>
        <v>0.48727015558698727</v>
      </c>
      <c r="I428" s="2">
        <f t="shared" si="95"/>
        <v>0.51272984441301273</v>
      </c>
      <c r="J428" s="4">
        <f>222307.8+288013.6</f>
        <v>510321.39999999997</v>
      </c>
      <c r="K428" s="4">
        <f>811805.5+600049.9</f>
        <v>1411855.4</v>
      </c>
      <c r="L428" s="1">
        <f t="shared" si="90"/>
        <v>1922176.7999999998</v>
      </c>
      <c r="M428" s="2">
        <f t="shared" si="91"/>
        <v>0.26549139496429258</v>
      </c>
      <c r="N428" s="2">
        <f t="shared" si="92"/>
        <v>0.73450860503570747</v>
      </c>
    </row>
    <row r="429" spans="1:14" x14ac:dyDescent="0.35">
      <c r="A429" t="s">
        <v>16</v>
      </c>
      <c r="B429" t="s">
        <v>25</v>
      </c>
      <c r="C429">
        <v>2005</v>
      </c>
      <c r="D429" t="s">
        <v>31</v>
      </c>
      <c r="E429" s="4">
        <f>2691+50</f>
        <v>2741</v>
      </c>
      <c r="F429" s="4">
        <f>2836+80</f>
        <v>2916</v>
      </c>
      <c r="G429" s="1">
        <f t="shared" si="93"/>
        <v>5657</v>
      </c>
      <c r="H429" s="2">
        <f t="shared" si="94"/>
        <v>0.48453243768782039</v>
      </c>
      <c r="I429" s="2">
        <f t="shared" si="95"/>
        <v>0.51546756231217961</v>
      </c>
      <c r="J429" s="4">
        <f>217057.1+301816</f>
        <v>518873.1</v>
      </c>
      <c r="K429" s="4">
        <f>844256.7+587963.8</f>
        <v>1432220.5</v>
      </c>
      <c r="L429" s="1">
        <f t="shared" si="90"/>
        <v>1951093.6</v>
      </c>
      <c r="M429" s="2">
        <f t="shared" si="91"/>
        <v>0.26593962483399053</v>
      </c>
      <c r="N429" s="2">
        <f t="shared" si="92"/>
        <v>0.73406037516600942</v>
      </c>
    </row>
    <row r="430" spans="1:14" x14ac:dyDescent="0.35">
      <c r="A430" t="s">
        <v>16</v>
      </c>
      <c r="B430" t="s">
        <v>26</v>
      </c>
      <c r="C430">
        <v>2005</v>
      </c>
      <c r="D430" t="s">
        <v>31</v>
      </c>
      <c r="E430" s="4">
        <f>2672+52</f>
        <v>2724</v>
      </c>
      <c r="F430" s="4">
        <f>2858+79</f>
        <v>2937</v>
      </c>
      <c r="G430" s="1">
        <f t="shared" si="93"/>
        <v>5661</v>
      </c>
      <c r="H430" s="2">
        <f t="shared" si="94"/>
        <v>0.48118706942236356</v>
      </c>
      <c r="I430" s="2">
        <f t="shared" si="95"/>
        <v>0.51881293057763644</v>
      </c>
      <c r="J430" s="4">
        <f>216258.6+312730.3</f>
        <v>528988.9</v>
      </c>
      <c r="K430" s="4">
        <f>900755.7+626321</f>
        <v>1527076.7</v>
      </c>
      <c r="L430" s="1">
        <f t="shared" si="90"/>
        <v>2056065.6</v>
      </c>
      <c r="M430" s="2">
        <f t="shared" si="91"/>
        <v>0.25728211201043388</v>
      </c>
      <c r="N430" s="2">
        <f t="shared" si="92"/>
        <v>0.74271788798956606</v>
      </c>
    </row>
    <row r="431" spans="1:14" x14ac:dyDescent="0.35">
      <c r="A431" t="s">
        <v>16</v>
      </c>
      <c r="B431" t="s">
        <v>27</v>
      </c>
      <c r="C431">
        <v>2005</v>
      </c>
      <c r="D431" t="s">
        <v>31</v>
      </c>
      <c r="E431" s="4">
        <f>52+2625</f>
        <v>2677</v>
      </c>
      <c r="F431" s="4">
        <f>2905+79</f>
        <v>2984</v>
      </c>
      <c r="G431" s="1">
        <f t="shared" si="93"/>
        <v>5661</v>
      </c>
      <c r="H431" s="2">
        <f t="shared" si="94"/>
        <v>0.47288464935523761</v>
      </c>
      <c r="I431" s="2">
        <f t="shared" si="95"/>
        <v>0.52711535064476245</v>
      </c>
      <c r="J431" s="4">
        <f>254789+188205.8</f>
        <v>442994.8</v>
      </c>
      <c r="K431" s="4">
        <f>840265.1+588831.3</f>
        <v>1429096.4</v>
      </c>
      <c r="L431" s="1">
        <f t="shared" si="90"/>
        <v>1872091.2</v>
      </c>
      <c r="M431" s="2">
        <f t="shared" si="91"/>
        <v>0.23663099319093001</v>
      </c>
      <c r="N431" s="2">
        <f t="shared" si="92"/>
        <v>0.76336900680906994</v>
      </c>
    </row>
    <row r="432" spans="1:14" x14ac:dyDescent="0.35">
      <c r="A432" t="s">
        <v>16</v>
      </c>
      <c r="B432" t="s">
        <v>28</v>
      </c>
      <c r="C432">
        <v>2005</v>
      </c>
      <c r="D432" t="s">
        <v>31</v>
      </c>
      <c r="E432" s="4">
        <f>2576+50</f>
        <v>2626</v>
      </c>
      <c r="F432" s="4">
        <f>2956+81</f>
        <v>3037</v>
      </c>
      <c r="G432" s="1">
        <f t="shared" si="93"/>
        <v>5663</v>
      </c>
      <c r="H432" s="2">
        <f t="shared" si="94"/>
        <v>0.46371181352639945</v>
      </c>
      <c r="I432" s="2">
        <f t="shared" si="95"/>
        <v>0.53628818647360055</v>
      </c>
      <c r="J432" s="4">
        <f>297455.6+176715.5</f>
        <v>474171.1</v>
      </c>
      <c r="K432" s="4">
        <f>799622+544599.9</f>
        <v>1344221.9</v>
      </c>
      <c r="L432" s="1">
        <f t="shared" si="90"/>
        <v>1818393</v>
      </c>
      <c r="M432" s="2">
        <f t="shared" si="91"/>
        <v>0.2607638172826226</v>
      </c>
      <c r="N432" s="2">
        <f t="shared" si="92"/>
        <v>0.73923618271737734</v>
      </c>
    </row>
    <row r="433" spans="1:14" x14ac:dyDescent="0.35">
      <c r="A433" t="s">
        <v>16</v>
      </c>
      <c r="B433" t="s">
        <v>29</v>
      </c>
      <c r="C433">
        <v>2005</v>
      </c>
      <c r="D433" t="s">
        <v>31</v>
      </c>
      <c r="E433" s="4">
        <f>2564+50</f>
        <v>2614</v>
      </c>
      <c r="F433" s="4">
        <f>2970+81</f>
        <v>3051</v>
      </c>
      <c r="G433" s="1">
        <f t="shared" si="93"/>
        <v>5665</v>
      </c>
      <c r="H433" s="2">
        <f t="shared" si="94"/>
        <v>0.46142983230361873</v>
      </c>
      <c r="I433" s="2">
        <f t="shared" si="95"/>
        <v>0.53857016769638133</v>
      </c>
      <c r="J433" s="4">
        <f>163010.3+250580.2</f>
        <v>413590.5</v>
      </c>
      <c r="K433" s="4">
        <f>558432.6+807114.7</f>
        <v>1365547.2999999998</v>
      </c>
      <c r="L433" s="1">
        <f t="shared" si="90"/>
        <v>1779137.7999999998</v>
      </c>
      <c r="M433" s="2">
        <f t="shared" si="91"/>
        <v>0.23246681622974907</v>
      </c>
      <c r="N433" s="2">
        <f t="shared" si="92"/>
        <v>0.76753318377025093</v>
      </c>
    </row>
    <row r="434" spans="1:14" x14ac:dyDescent="0.35">
      <c r="A434" t="s">
        <v>16</v>
      </c>
      <c r="B434" t="s">
        <v>17</v>
      </c>
      <c r="C434">
        <v>2006</v>
      </c>
      <c r="D434" t="s">
        <v>31</v>
      </c>
      <c r="E434" s="4">
        <f>2536+59</f>
        <v>2595</v>
      </c>
      <c r="F434" s="4">
        <f>3165+86</f>
        <v>3251</v>
      </c>
      <c r="G434" s="1">
        <f t="shared" si="93"/>
        <v>5846</v>
      </c>
      <c r="H434" s="2">
        <f t="shared" si="94"/>
        <v>0.44389326034895654</v>
      </c>
      <c r="I434" s="2">
        <f t="shared" si="95"/>
        <v>0.5561067396510434</v>
      </c>
      <c r="J434" s="4">
        <f>198627+274473</f>
        <v>473100</v>
      </c>
      <c r="K434" s="4">
        <f>787568.3+553182.4</f>
        <v>1340750.7000000002</v>
      </c>
      <c r="L434" s="1">
        <f t="shared" si="90"/>
        <v>1813850.7000000002</v>
      </c>
      <c r="M434" s="2">
        <f t="shared" si="91"/>
        <v>0.26082631828518188</v>
      </c>
      <c r="N434" s="2">
        <f t="shared" si="92"/>
        <v>0.73917368171481812</v>
      </c>
    </row>
    <row r="435" spans="1:14" x14ac:dyDescent="0.35">
      <c r="A435" t="s">
        <v>16</v>
      </c>
      <c r="B435" t="s">
        <v>19</v>
      </c>
      <c r="C435">
        <v>2006</v>
      </c>
      <c r="D435" t="s">
        <v>31</v>
      </c>
      <c r="E435" s="4">
        <f>2510+57</f>
        <v>2567</v>
      </c>
      <c r="F435" s="4">
        <f>3191+88</f>
        <v>3279</v>
      </c>
      <c r="G435" s="1">
        <f t="shared" si="93"/>
        <v>5846</v>
      </c>
      <c r="H435" s="2">
        <f t="shared" si="94"/>
        <v>0.43910366062264794</v>
      </c>
      <c r="I435" s="2">
        <f t="shared" si="95"/>
        <v>0.56089633937735206</v>
      </c>
      <c r="J435" s="4">
        <f>330878+182701</f>
        <v>513579</v>
      </c>
      <c r="K435" s="4">
        <f>730650.6+525107.6</f>
        <v>1255758.2</v>
      </c>
      <c r="L435" s="1">
        <f t="shared" si="90"/>
        <v>1769337.2</v>
      </c>
      <c r="M435" s="2">
        <f t="shared" si="91"/>
        <v>0.29026632119643447</v>
      </c>
      <c r="N435" s="2">
        <f t="shared" si="92"/>
        <v>0.70973367880356553</v>
      </c>
    </row>
    <row r="436" spans="1:14" x14ac:dyDescent="0.35">
      <c r="A436" t="s">
        <v>16</v>
      </c>
      <c r="B436" t="s">
        <v>20</v>
      </c>
      <c r="C436">
        <v>2006</v>
      </c>
      <c r="D436" t="s">
        <v>31</v>
      </c>
      <c r="E436" s="4">
        <f>2495+55</f>
        <v>2550</v>
      </c>
      <c r="F436" s="4">
        <f>3196+88</f>
        <v>3284</v>
      </c>
      <c r="G436" s="1">
        <f t="shared" si="93"/>
        <v>5834</v>
      </c>
      <c r="H436" s="2">
        <f t="shared" si="94"/>
        <v>0.43709290366815223</v>
      </c>
      <c r="I436" s="2">
        <f t="shared" si="95"/>
        <v>0.56290709633184777</v>
      </c>
      <c r="J436" s="4">
        <f>172882+215756</f>
        <v>388638</v>
      </c>
      <c r="K436" s="4">
        <f>609487.1+763982.4</f>
        <v>1373469.5</v>
      </c>
      <c r="L436" s="1">
        <f t="shared" si="90"/>
        <v>1762107.5</v>
      </c>
      <c r="M436" s="2">
        <f t="shared" si="91"/>
        <v>0.22055294583332744</v>
      </c>
      <c r="N436" s="2">
        <f t="shared" si="92"/>
        <v>0.77944705416667259</v>
      </c>
    </row>
    <row r="437" spans="1:14" x14ac:dyDescent="0.35">
      <c r="A437" t="s">
        <v>16</v>
      </c>
      <c r="B437" t="s">
        <v>21</v>
      </c>
      <c r="C437">
        <v>2006</v>
      </c>
      <c r="D437" t="s">
        <v>31</v>
      </c>
      <c r="E437" s="4">
        <f>2485+53</f>
        <v>2538</v>
      </c>
      <c r="F437" s="4">
        <f>3215+92</f>
        <v>3307</v>
      </c>
      <c r="G437" s="1">
        <f t="shared" si="93"/>
        <v>5845</v>
      </c>
      <c r="H437" s="2">
        <f t="shared" si="94"/>
        <v>0.43421727972626178</v>
      </c>
      <c r="I437" s="2">
        <f t="shared" si="95"/>
        <v>0.56578272027373822</v>
      </c>
      <c r="J437" s="4">
        <f>202913+227835</f>
        <v>430748</v>
      </c>
      <c r="K437" s="4">
        <f>810941+626902</f>
        <v>1437843</v>
      </c>
      <c r="L437" s="1">
        <f t="shared" si="90"/>
        <v>1868591</v>
      </c>
      <c r="M437" s="2">
        <f t="shared" si="91"/>
        <v>0.2305202154992719</v>
      </c>
      <c r="N437" s="2">
        <f t="shared" si="92"/>
        <v>0.76947978450072807</v>
      </c>
    </row>
    <row r="438" spans="1:14" x14ac:dyDescent="0.35">
      <c r="A438" t="s">
        <v>16</v>
      </c>
      <c r="B438" t="s">
        <v>22</v>
      </c>
      <c r="C438">
        <v>2006</v>
      </c>
      <c r="D438" t="s">
        <v>31</v>
      </c>
      <c r="E438" s="4">
        <f>2497+53</f>
        <v>2550</v>
      </c>
      <c r="F438" s="4">
        <f>3207+92</f>
        <v>3299</v>
      </c>
      <c r="G438" s="1">
        <f t="shared" si="93"/>
        <v>5849</v>
      </c>
      <c r="H438" s="2">
        <f t="shared" si="94"/>
        <v>0.43597196101897762</v>
      </c>
      <c r="I438" s="2">
        <f t="shared" si="95"/>
        <v>0.56402803898102238</v>
      </c>
      <c r="J438" s="4">
        <f>177438+244492</f>
        <v>421930</v>
      </c>
      <c r="K438" s="4">
        <f>848953+634583</f>
        <v>1483536</v>
      </c>
      <c r="L438" s="1">
        <f t="shared" si="90"/>
        <v>1905466</v>
      </c>
      <c r="M438" s="2">
        <f t="shared" si="91"/>
        <v>0.22143139788377225</v>
      </c>
      <c r="N438" s="2">
        <f t="shared" si="92"/>
        <v>0.77856860211622769</v>
      </c>
    </row>
    <row r="439" spans="1:14" x14ac:dyDescent="0.35">
      <c r="A439" t="s">
        <v>16</v>
      </c>
      <c r="B439" t="s">
        <v>23</v>
      </c>
      <c r="C439">
        <v>2006</v>
      </c>
      <c r="D439" t="s">
        <v>31</v>
      </c>
      <c r="E439" s="4">
        <f>2477+55</f>
        <v>2532</v>
      </c>
      <c r="F439" s="4">
        <f>3231+93</f>
        <v>3324</v>
      </c>
      <c r="G439" s="1">
        <f t="shared" si="93"/>
        <v>5856</v>
      </c>
      <c r="H439" s="2">
        <f t="shared" si="94"/>
        <v>0.43237704918032788</v>
      </c>
      <c r="I439" s="2">
        <f t="shared" si="95"/>
        <v>0.56762295081967218</v>
      </c>
      <c r="J439" s="4">
        <f>193748+243139</f>
        <v>436887</v>
      </c>
      <c r="K439" s="4">
        <f>860338+682791</f>
        <v>1543129</v>
      </c>
      <c r="L439" s="1">
        <f t="shared" si="90"/>
        <v>1980016</v>
      </c>
      <c r="M439" s="2">
        <f t="shared" si="91"/>
        <v>0.22064821698410517</v>
      </c>
      <c r="N439" s="2">
        <f t="shared" si="92"/>
        <v>0.77935178301589481</v>
      </c>
    </row>
    <row r="440" spans="1:14" x14ac:dyDescent="0.35">
      <c r="A440" t="s">
        <v>16</v>
      </c>
      <c r="B440" t="s">
        <v>24</v>
      </c>
      <c r="C440">
        <v>2006</v>
      </c>
      <c r="D440" t="s">
        <v>31</v>
      </c>
      <c r="E440" s="4">
        <f>2477+55</f>
        <v>2532</v>
      </c>
      <c r="F440" s="4">
        <f>3220+93</f>
        <v>3313</v>
      </c>
      <c r="G440" s="1">
        <f t="shared" si="93"/>
        <v>5845</v>
      </c>
      <c r="H440" s="2">
        <f t="shared" si="94"/>
        <v>0.43319076133447393</v>
      </c>
      <c r="I440" s="2">
        <f t="shared" si="95"/>
        <v>0.56680923866552613</v>
      </c>
      <c r="J440" s="4">
        <f>189654.5+308753.1</f>
        <v>498407.6</v>
      </c>
      <c r="K440" s="4">
        <f>668549.5+880996.4</f>
        <v>1549545.9</v>
      </c>
      <c r="L440" s="1">
        <f t="shared" si="90"/>
        <v>2047953.5</v>
      </c>
      <c r="M440" s="2">
        <f t="shared" si="91"/>
        <v>0.24336861164084048</v>
      </c>
      <c r="N440" s="2">
        <f t="shared" si="92"/>
        <v>0.75663138835915944</v>
      </c>
    </row>
    <row r="441" spans="1:14" x14ac:dyDescent="0.35">
      <c r="A441" t="s">
        <v>16</v>
      </c>
      <c r="B441" t="s">
        <v>25</v>
      </c>
      <c r="C441">
        <v>2006</v>
      </c>
      <c r="D441" t="s">
        <v>31</v>
      </c>
      <c r="E441" s="4">
        <f>2466+55</f>
        <v>2521</v>
      </c>
      <c r="F441" s="4">
        <f>3237+93</f>
        <v>3330</v>
      </c>
      <c r="G441" s="1">
        <f t="shared" si="93"/>
        <v>5851</v>
      </c>
      <c r="H441" s="2">
        <f t="shared" si="94"/>
        <v>0.43086651854383867</v>
      </c>
      <c r="I441" s="2">
        <f t="shared" si="95"/>
        <v>0.56913348145616138</v>
      </c>
      <c r="J441" s="4">
        <f>200549.9+272503.2</f>
        <v>473053.1</v>
      </c>
      <c r="K441" s="4">
        <f>902446.7+658916.5</f>
        <v>1561363.2</v>
      </c>
      <c r="L441" s="1">
        <f t="shared" si="90"/>
        <v>2034416.2999999998</v>
      </c>
      <c r="M441" s="2">
        <f t="shared" si="91"/>
        <v>0.23252522111624843</v>
      </c>
      <c r="N441" s="2">
        <f t="shared" si="92"/>
        <v>0.7674747788837516</v>
      </c>
    </row>
    <row r="442" spans="1:14" x14ac:dyDescent="0.35">
      <c r="A442" t="s">
        <v>16</v>
      </c>
      <c r="B442" t="s">
        <v>26</v>
      </c>
      <c r="C442">
        <v>2006</v>
      </c>
      <c r="D442" t="s">
        <v>31</v>
      </c>
      <c r="E442" s="4">
        <f>2425+55</f>
        <v>2480</v>
      </c>
      <c r="F442" s="4">
        <f>3282+94</f>
        <v>3376</v>
      </c>
      <c r="G442" s="1">
        <f t="shared" si="93"/>
        <v>5856</v>
      </c>
      <c r="H442" s="2">
        <f t="shared" si="94"/>
        <v>0.42349726775956287</v>
      </c>
      <c r="I442" s="2">
        <f t="shared" si="95"/>
        <v>0.57650273224043713</v>
      </c>
      <c r="J442" s="4">
        <f>211129+268568.3</f>
        <v>479697.3</v>
      </c>
      <c r="K442" s="4">
        <f>908990.4+698956.8</f>
        <v>1607947.2000000002</v>
      </c>
      <c r="L442" s="1">
        <f t="shared" si="90"/>
        <v>2087644.5000000002</v>
      </c>
      <c r="M442" s="2">
        <f t="shared" si="91"/>
        <v>0.22977920809793043</v>
      </c>
      <c r="N442" s="2">
        <f t="shared" si="92"/>
        <v>0.77022079190206949</v>
      </c>
    </row>
    <row r="443" spans="1:14" x14ac:dyDescent="0.35">
      <c r="A443" t="s">
        <v>16</v>
      </c>
      <c r="B443" t="s">
        <v>27</v>
      </c>
      <c r="C443">
        <v>2006</v>
      </c>
      <c r="D443" t="s">
        <v>31</v>
      </c>
      <c r="E443" s="4">
        <f>2425+54</f>
        <v>2479</v>
      </c>
      <c r="F443" s="4">
        <f>3298+94</f>
        <v>3392</v>
      </c>
      <c r="G443" s="1">
        <f t="shared" si="93"/>
        <v>5871</v>
      </c>
      <c r="H443" s="2">
        <f t="shared" si="94"/>
        <v>0.4222449327201499</v>
      </c>
      <c r="I443" s="2">
        <f t="shared" si="95"/>
        <v>0.57775506727985015</v>
      </c>
      <c r="J443" s="4">
        <f>201582.3+252816.6</f>
        <v>454398.9</v>
      </c>
      <c r="K443" s="4">
        <f>823076.5+657302.2</f>
        <v>1480378.7</v>
      </c>
      <c r="L443" s="1">
        <f t="shared" si="90"/>
        <v>1934777.6</v>
      </c>
      <c r="M443" s="2">
        <f t="shared" si="91"/>
        <v>0.23485846642011982</v>
      </c>
      <c r="N443" s="2">
        <f t="shared" si="92"/>
        <v>0.76514153357988013</v>
      </c>
    </row>
    <row r="444" spans="1:14" x14ac:dyDescent="0.35">
      <c r="A444" t="s">
        <v>16</v>
      </c>
      <c r="B444" t="s">
        <v>28</v>
      </c>
      <c r="C444">
        <v>2006</v>
      </c>
      <c r="D444" t="s">
        <v>31</v>
      </c>
      <c r="E444" s="4">
        <f>2414+53</f>
        <v>2467</v>
      </c>
      <c r="F444" s="4">
        <f>3310+95</f>
        <v>3405</v>
      </c>
      <c r="G444" s="1">
        <f t="shared" si="93"/>
        <v>5872</v>
      </c>
      <c r="H444" s="2">
        <f t="shared" si="94"/>
        <v>0.42012942779291551</v>
      </c>
      <c r="I444" s="2">
        <f t="shared" si="95"/>
        <v>0.57987057220708449</v>
      </c>
      <c r="J444" s="4">
        <f>353593.8+185469.2</f>
        <v>539063</v>
      </c>
      <c r="K444" s="4">
        <f>781950.9+636811.7</f>
        <v>1418762.6</v>
      </c>
      <c r="L444" s="1">
        <f t="shared" si="90"/>
        <v>1957825.6</v>
      </c>
      <c r="M444" s="2">
        <f t="shared" si="91"/>
        <v>0.27533759901801264</v>
      </c>
      <c r="N444" s="2">
        <f t="shared" si="92"/>
        <v>0.72466240098198742</v>
      </c>
    </row>
    <row r="445" spans="1:14" x14ac:dyDescent="0.35">
      <c r="A445" t="s">
        <v>16</v>
      </c>
      <c r="B445" t="s">
        <v>29</v>
      </c>
      <c r="C445">
        <v>2006</v>
      </c>
      <c r="D445" t="s">
        <v>31</v>
      </c>
      <c r="E445" s="4">
        <f>2411+54</f>
        <v>2465</v>
      </c>
      <c r="F445" s="4">
        <f>3322+95</f>
        <v>3417</v>
      </c>
      <c r="G445" s="1">
        <f t="shared" si="93"/>
        <v>5882</v>
      </c>
      <c r="H445" s="2">
        <f t="shared" si="94"/>
        <v>0.41907514450867051</v>
      </c>
      <c r="I445" s="2">
        <f t="shared" si="95"/>
        <v>0.58092485549132944</v>
      </c>
      <c r="J445" s="4">
        <f>197527.5+291591.9</f>
        <v>489119.4</v>
      </c>
      <c r="K445" s="4">
        <f>749917.6+614151.4</f>
        <v>1364069</v>
      </c>
      <c r="L445" s="1">
        <f t="shared" si="90"/>
        <v>1853188.4</v>
      </c>
      <c r="M445" s="2">
        <f t="shared" si="91"/>
        <v>0.26393398534115586</v>
      </c>
      <c r="N445" s="2">
        <f t="shared" si="92"/>
        <v>0.73606601465884425</v>
      </c>
    </row>
    <row r="446" spans="1:14" x14ac:dyDescent="0.35">
      <c r="A446" t="s">
        <v>16</v>
      </c>
      <c r="B446" t="s">
        <v>17</v>
      </c>
      <c r="C446">
        <v>2007</v>
      </c>
      <c r="D446" t="s">
        <v>31</v>
      </c>
      <c r="E446" s="4">
        <f>2377+51</f>
        <v>2428</v>
      </c>
      <c r="F446" s="4">
        <f>3368+99</f>
        <v>3467</v>
      </c>
      <c r="G446" s="1">
        <f t="shared" si="93"/>
        <v>5895</v>
      </c>
      <c r="H446" s="2">
        <f t="shared" si="94"/>
        <v>0.41187446988973708</v>
      </c>
      <c r="I446" s="2">
        <f t="shared" si="95"/>
        <v>0.58812553011026292</v>
      </c>
      <c r="J446" s="4">
        <f>201168.4+263220.6</f>
        <v>464389</v>
      </c>
      <c r="K446" s="4">
        <f>731563.3+596646.7</f>
        <v>1328210</v>
      </c>
      <c r="L446" s="1">
        <f t="shared" si="90"/>
        <v>1792599</v>
      </c>
      <c r="M446" s="2">
        <f t="shared" si="91"/>
        <v>0.25905905336330098</v>
      </c>
      <c r="N446" s="2">
        <f t="shared" si="92"/>
        <v>0.74094094663669896</v>
      </c>
    </row>
    <row r="447" spans="1:14" x14ac:dyDescent="0.35">
      <c r="A447" t="s">
        <v>16</v>
      </c>
      <c r="B447" t="s">
        <v>19</v>
      </c>
      <c r="C447">
        <v>2007</v>
      </c>
      <c r="D447" t="s">
        <v>31</v>
      </c>
      <c r="E447" s="4">
        <f>2336+51</f>
        <v>2387</v>
      </c>
      <c r="F447" s="4">
        <f>3417+99</f>
        <v>3516</v>
      </c>
      <c r="G447" s="1">
        <f t="shared" si="93"/>
        <v>5903</v>
      </c>
      <c r="H447" s="2">
        <f t="shared" si="94"/>
        <v>0.40437065898695579</v>
      </c>
      <c r="I447" s="2">
        <f t="shared" si="95"/>
        <v>0.59562934101304421</v>
      </c>
      <c r="J447" s="4">
        <f>217582.1+234750</f>
        <v>452332.1</v>
      </c>
      <c r="K447" s="4">
        <f>791101.4+600305.8</f>
        <v>1391407.2000000002</v>
      </c>
      <c r="L447" s="1">
        <f t="shared" si="90"/>
        <v>1843739.3000000003</v>
      </c>
      <c r="M447" s="2">
        <f t="shared" si="91"/>
        <v>0.245334088176132</v>
      </c>
      <c r="N447" s="2">
        <f t="shared" si="92"/>
        <v>0.75466591182386789</v>
      </c>
    </row>
    <row r="448" spans="1:14" x14ac:dyDescent="0.35">
      <c r="A448" t="s">
        <v>16</v>
      </c>
      <c r="B448" t="s">
        <v>20</v>
      </c>
      <c r="C448">
        <v>2007</v>
      </c>
      <c r="D448" t="s">
        <v>31</v>
      </c>
      <c r="E448" s="4">
        <f>2319+49</f>
        <v>2368</v>
      </c>
      <c r="F448" s="4">
        <f>3439+102</f>
        <v>3541</v>
      </c>
      <c r="G448" s="1">
        <f t="shared" si="93"/>
        <v>5909</v>
      </c>
      <c r="H448" s="2">
        <f t="shared" si="94"/>
        <v>0.40074462684041295</v>
      </c>
      <c r="I448" s="2">
        <f t="shared" si="95"/>
        <v>0.5992553731595871</v>
      </c>
      <c r="J448" s="4">
        <f>200014.7+252496.3</f>
        <v>452511</v>
      </c>
      <c r="K448" s="4">
        <f>701052.8+578086.9</f>
        <v>1279139.7000000002</v>
      </c>
      <c r="L448" s="1">
        <f t="shared" si="90"/>
        <v>1731650.7000000002</v>
      </c>
      <c r="M448" s="2">
        <f t="shared" si="91"/>
        <v>0.26131771263107506</v>
      </c>
      <c r="N448" s="2">
        <f t="shared" si="92"/>
        <v>0.73868228736892494</v>
      </c>
    </row>
    <row r="449" spans="1:14" x14ac:dyDescent="0.35">
      <c r="A449" t="s">
        <v>16</v>
      </c>
      <c r="B449" t="s">
        <v>21</v>
      </c>
      <c r="C449">
        <v>2007</v>
      </c>
      <c r="D449" t="s">
        <v>31</v>
      </c>
      <c r="E449" s="4">
        <f>2302+50</f>
        <v>2352</v>
      </c>
      <c r="F449" s="4">
        <f>3461+103</f>
        <v>3564</v>
      </c>
      <c r="G449" s="1">
        <f t="shared" si="93"/>
        <v>5916</v>
      </c>
      <c r="H449" s="2">
        <f t="shared" si="94"/>
        <v>0.39756592292089249</v>
      </c>
      <c r="I449" s="2">
        <f t="shared" si="95"/>
        <v>0.60243407707910746</v>
      </c>
      <c r="J449" s="4">
        <f>213399.772+301981.515</f>
        <v>515381.28700000001</v>
      </c>
      <c r="K449" s="4">
        <f>744694.018+631052.604</f>
        <v>1375746.622</v>
      </c>
      <c r="L449" s="1">
        <f t="shared" si="90"/>
        <v>1891127.909</v>
      </c>
      <c r="M449" s="2">
        <f t="shared" si="91"/>
        <v>0.27252587439869463</v>
      </c>
      <c r="N449" s="2">
        <f t="shared" si="92"/>
        <v>0.72747412560130542</v>
      </c>
    </row>
    <row r="450" spans="1:14" x14ac:dyDescent="0.35">
      <c r="A450" t="s">
        <v>16</v>
      </c>
      <c r="B450" t="s">
        <v>22</v>
      </c>
      <c r="C450">
        <v>2007</v>
      </c>
      <c r="D450" t="s">
        <v>31</v>
      </c>
      <c r="E450" s="4">
        <f>2291+51</f>
        <v>2342</v>
      </c>
      <c r="F450" s="4">
        <f>3491+102</f>
        <v>3593</v>
      </c>
      <c r="G450" s="1">
        <f t="shared" si="93"/>
        <v>5935</v>
      </c>
      <c r="H450" s="2">
        <f t="shared" si="94"/>
        <v>0.3946082561078349</v>
      </c>
      <c r="I450" s="2">
        <f t="shared" si="95"/>
        <v>0.6053917438921651</v>
      </c>
      <c r="J450" s="4">
        <f>248622.04+211797.17</f>
        <v>460419.21</v>
      </c>
      <c r="K450" s="4">
        <f>752522.203+625756.368</f>
        <v>1378278.571</v>
      </c>
      <c r="L450" s="1">
        <f t="shared" ref="L450:L513" si="96">SUM(J450:K450)</f>
        <v>1838697.781</v>
      </c>
      <c r="M450" s="2">
        <f t="shared" ref="M450:M513" si="97">SUM(J450)/L450</f>
        <v>0.25040505011628122</v>
      </c>
      <c r="N450" s="2">
        <f t="shared" ref="N450:N513" si="98">SUM(K450/L450)</f>
        <v>0.74959494988371889</v>
      </c>
    </row>
    <row r="451" spans="1:14" x14ac:dyDescent="0.35">
      <c r="A451" t="s">
        <v>16</v>
      </c>
      <c r="B451" t="s">
        <v>23</v>
      </c>
      <c r="C451">
        <v>2007</v>
      </c>
      <c r="D451" t="s">
        <v>31</v>
      </c>
      <c r="E451" s="4">
        <f>2270+54</f>
        <v>2324</v>
      </c>
      <c r="F451" s="4">
        <f>3514+99</f>
        <v>3613</v>
      </c>
      <c r="G451" s="1">
        <f t="shared" si="93"/>
        <v>5937</v>
      </c>
      <c r="H451" s="2">
        <f t="shared" si="94"/>
        <v>0.39144348997810341</v>
      </c>
      <c r="I451" s="2">
        <f t="shared" si="95"/>
        <v>0.60855651002189659</v>
      </c>
      <c r="J451" s="4">
        <f>222952.329+391571.382</f>
        <v>614523.71100000001</v>
      </c>
      <c r="K451" s="4">
        <f>806317.513+625091.126</f>
        <v>1431408.639</v>
      </c>
      <c r="L451" s="1">
        <f t="shared" si="96"/>
        <v>2045932.35</v>
      </c>
      <c r="M451" s="2">
        <f t="shared" si="97"/>
        <v>0.30036365132014259</v>
      </c>
      <c r="N451" s="2">
        <f t="shared" si="98"/>
        <v>0.69963634867985736</v>
      </c>
    </row>
    <row r="452" spans="1:14" x14ac:dyDescent="0.35">
      <c r="A452" t="s">
        <v>16</v>
      </c>
      <c r="B452" t="s">
        <v>24</v>
      </c>
      <c r="C452">
        <v>2007</v>
      </c>
      <c r="D452" t="s">
        <v>31</v>
      </c>
      <c r="E452" s="4">
        <f>2262+56</f>
        <v>2318</v>
      </c>
      <c r="F452" s="4">
        <f>3514+96</f>
        <v>3610</v>
      </c>
      <c r="G452" s="1">
        <f t="shared" ref="G452:G515" si="99">SUM(E452:F452)</f>
        <v>5928</v>
      </c>
      <c r="H452" s="2">
        <f t="shared" ref="H452:H515" si="100">SUM(E452)/G452</f>
        <v>0.39102564102564102</v>
      </c>
      <c r="I452" s="2">
        <f t="shared" ref="I452:I515" si="101">SUM(F452/G452)</f>
        <v>0.60897435897435892</v>
      </c>
      <c r="J452" s="4">
        <f>238696+299897</f>
        <v>538593</v>
      </c>
      <c r="K452" s="4">
        <f>787867+643259</f>
        <v>1431126</v>
      </c>
      <c r="L452" s="1">
        <f t="shared" si="96"/>
        <v>1969719</v>
      </c>
      <c r="M452" s="2">
        <f t="shared" si="97"/>
        <v>0.2734364647952322</v>
      </c>
      <c r="N452" s="2">
        <f t="shared" si="98"/>
        <v>0.7265635352047678</v>
      </c>
    </row>
    <row r="453" spans="1:14" x14ac:dyDescent="0.35">
      <c r="A453" t="s">
        <v>16</v>
      </c>
      <c r="B453" t="s">
        <v>25</v>
      </c>
      <c r="C453">
        <v>2007</v>
      </c>
      <c r="D453" t="s">
        <v>31</v>
      </c>
      <c r="E453" s="4">
        <f>2243+57</f>
        <v>2300</v>
      </c>
      <c r="F453" s="4">
        <f>3542+96</f>
        <v>3638</v>
      </c>
      <c r="G453" s="1">
        <f t="shared" si="99"/>
        <v>5938</v>
      </c>
      <c r="H453" s="2">
        <f t="shared" si="100"/>
        <v>0.38733580330077466</v>
      </c>
      <c r="I453" s="2">
        <f t="shared" si="101"/>
        <v>0.61266419669922534</v>
      </c>
      <c r="J453" s="4">
        <f>296780+225743</f>
        <v>522523</v>
      </c>
      <c r="K453" s="4">
        <f>808518+638096</f>
        <v>1446614</v>
      </c>
      <c r="L453" s="1">
        <f t="shared" si="96"/>
        <v>1969137</v>
      </c>
      <c r="M453" s="2">
        <f t="shared" si="97"/>
        <v>0.26535634646040374</v>
      </c>
      <c r="N453" s="2">
        <f t="shared" si="98"/>
        <v>0.73464365353959626</v>
      </c>
    </row>
    <row r="454" spans="1:14" x14ac:dyDescent="0.35">
      <c r="A454" t="s">
        <v>16</v>
      </c>
      <c r="B454" t="s">
        <v>26</v>
      </c>
      <c r="C454">
        <v>2007</v>
      </c>
      <c r="D454" t="s">
        <v>31</v>
      </c>
      <c r="E454" s="4">
        <f>2223+57</f>
        <v>2280</v>
      </c>
      <c r="F454" s="4">
        <f>97+3561</f>
        <v>3658</v>
      </c>
      <c r="G454" s="1">
        <f t="shared" si="99"/>
        <v>5938</v>
      </c>
      <c r="H454" s="2">
        <f t="shared" si="100"/>
        <v>0.38396766588076792</v>
      </c>
      <c r="I454" s="2">
        <f t="shared" si="101"/>
        <v>0.61603233411923208</v>
      </c>
      <c r="J454" s="4">
        <f>234823+352211</f>
        <v>587034</v>
      </c>
      <c r="K454" s="4">
        <f>664066+854213</f>
        <v>1518279</v>
      </c>
      <c r="L454" s="1">
        <f t="shared" si="96"/>
        <v>2105313</v>
      </c>
      <c r="M454" s="2">
        <f t="shared" si="97"/>
        <v>0.27883454859206208</v>
      </c>
      <c r="N454" s="2">
        <f t="shared" si="98"/>
        <v>0.72116545140793786</v>
      </c>
    </row>
    <row r="455" spans="1:14" x14ac:dyDescent="0.35">
      <c r="A455" t="s">
        <v>16</v>
      </c>
      <c r="B455" t="s">
        <v>27</v>
      </c>
      <c r="C455">
        <v>2007</v>
      </c>
      <c r="D455" t="s">
        <v>31</v>
      </c>
      <c r="E455" s="4">
        <f>2198+57</f>
        <v>2255</v>
      </c>
      <c r="F455" s="4">
        <v>3696</v>
      </c>
      <c r="G455" s="1">
        <f t="shared" si="99"/>
        <v>5951</v>
      </c>
      <c r="H455" s="2">
        <f t="shared" si="100"/>
        <v>0.37892791127541592</v>
      </c>
      <c r="I455" s="2">
        <f t="shared" si="101"/>
        <v>0.62107208872458408</v>
      </c>
      <c r="J455" s="4">
        <f>216659.5+284932.7</f>
        <v>501592.2</v>
      </c>
      <c r="K455" s="4">
        <f>806020.4+638809.3</f>
        <v>1444829.7000000002</v>
      </c>
      <c r="L455" s="1">
        <f t="shared" si="96"/>
        <v>1946421.9000000001</v>
      </c>
      <c r="M455" s="2">
        <f t="shared" si="97"/>
        <v>0.25769962822551473</v>
      </c>
      <c r="N455" s="2">
        <f t="shared" si="98"/>
        <v>0.74230037177448527</v>
      </c>
    </row>
    <row r="456" spans="1:14" x14ac:dyDescent="0.35">
      <c r="A456" t="s">
        <v>16</v>
      </c>
      <c r="B456" t="s">
        <v>28</v>
      </c>
      <c r="C456">
        <v>2007</v>
      </c>
      <c r="D456" t="s">
        <v>31</v>
      </c>
      <c r="E456" s="4">
        <v>2257</v>
      </c>
      <c r="F456" s="4">
        <v>3714</v>
      </c>
      <c r="G456" s="1">
        <f t="shared" si="99"/>
        <v>5971</v>
      </c>
      <c r="H456" s="2">
        <f t="shared" si="100"/>
        <v>0.37799363590688329</v>
      </c>
      <c r="I456" s="2">
        <f t="shared" si="101"/>
        <v>0.62200636409311671</v>
      </c>
      <c r="J456" s="4">
        <f>312935.9+205017.3</f>
        <v>517953.2</v>
      </c>
      <c r="K456" s="4">
        <f>787620.2+652576.6</f>
        <v>1440196.7999999998</v>
      </c>
      <c r="L456" s="1">
        <f t="shared" si="96"/>
        <v>1958149.9999999998</v>
      </c>
      <c r="M456" s="2">
        <f t="shared" si="97"/>
        <v>0.26451150320455535</v>
      </c>
      <c r="N456" s="2">
        <f t="shared" si="98"/>
        <v>0.7354884967954447</v>
      </c>
    </row>
    <row r="457" spans="1:14" x14ac:dyDescent="0.35">
      <c r="A457" t="s">
        <v>16</v>
      </c>
      <c r="B457" t="s">
        <v>29</v>
      </c>
      <c r="C457">
        <v>2007</v>
      </c>
      <c r="D457" t="s">
        <v>31</v>
      </c>
      <c r="E457" s="4">
        <f>2200+56</f>
        <v>2256</v>
      </c>
      <c r="F457" s="4">
        <v>3737</v>
      </c>
      <c r="G457" s="1">
        <f t="shared" si="99"/>
        <v>5993</v>
      </c>
      <c r="H457" s="2">
        <f t="shared" si="100"/>
        <v>0.37643917904221591</v>
      </c>
      <c r="I457" s="2">
        <f t="shared" si="101"/>
        <v>0.62356082095778409</v>
      </c>
      <c r="J457" s="4">
        <f>214587.1+323945.4</f>
        <v>538532.5</v>
      </c>
      <c r="K457" s="4">
        <f>788233.2+644086.9</f>
        <v>1432320.1</v>
      </c>
      <c r="L457" s="1">
        <f t="shared" si="96"/>
        <v>1970852.6</v>
      </c>
      <c r="M457" s="2">
        <f t="shared" si="97"/>
        <v>0.27324849154117359</v>
      </c>
      <c r="N457" s="2">
        <f t="shared" si="98"/>
        <v>0.72675150845882641</v>
      </c>
    </row>
    <row r="458" spans="1:14" x14ac:dyDescent="0.35">
      <c r="A458" t="s">
        <v>16</v>
      </c>
      <c r="B458" t="s">
        <v>17</v>
      </c>
      <c r="C458">
        <v>2008</v>
      </c>
      <c r="D458" t="s">
        <v>31</v>
      </c>
      <c r="E458" s="4">
        <f>2190+56</f>
        <v>2246</v>
      </c>
      <c r="F458" s="4">
        <f>3664+102</f>
        <v>3766</v>
      </c>
      <c r="G458" s="1">
        <f t="shared" si="99"/>
        <v>6012</v>
      </c>
      <c r="H458" s="2">
        <f t="shared" si="100"/>
        <v>0.3735861610113107</v>
      </c>
      <c r="I458" s="2">
        <f t="shared" si="101"/>
        <v>0.6264138389886893</v>
      </c>
      <c r="J458" s="4">
        <f>222065+286870</f>
        <v>508935</v>
      </c>
      <c r="K458" s="4">
        <f>775685+631310</f>
        <v>1406995</v>
      </c>
      <c r="L458" s="1">
        <f t="shared" si="96"/>
        <v>1915930</v>
      </c>
      <c r="M458" s="2">
        <f t="shared" si="97"/>
        <v>0.26563339996763974</v>
      </c>
      <c r="N458" s="2">
        <f t="shared" si="98"/>
        <v>0.73436660003236032</v>
      </c>
    </row>
    <row r="459" spans="1:14" x14ac:dyDescent="0.35">
      <c r="A459" t="s">
        <v>16</v>
      </c>
      <c r="B459" t="s">
        <v>19</v>
      </c>
      <c r="C459">
        <v>2008</v>
      </c>
      <c r="D459" t="s">
        <v>31</v>
      </c>
      <c r="E459" s="4">
        <f>2190+56</f>
        <v>2246</v>
      </c>
      <c r="F459" s="4">
        <f>3696+102</f>
        <v>3798</v>
      </c>
      <c r="G459" s="1">
        <f t="shared" si="99"/>
        <v>6044</v>
      </c>
      <c r="H459" s="2">
        <f t="shared" si="100"/>
        <v>0.37160820648577103</v>
      </c>
      <c r="I459" s="2">
        <f t="shared" si="101"/>
        <v>0.62839179351422902</v>
      </c>
      <c r="J459" s="4">
        <f>346888+199888</f>
        <v>546776</v>
      </c>
      <c r="K459" s="4">
        <f>755908+592021</f>
        <v>1347929</v>
      </c>
      <c r="L459" s="1">
        <f t="shared" si="96"/>
        <v>1894705</v>
      </c>
      <c r="M459" s="2">
        <f t="shared" si="97"/>
        <v>0.2885810719874598</v>
      </c>
      <c r="N459" s="2">
        <f t="shared" si="98"/>
        <v>0.71141892801254025</v>
      </c>
    </row>
    <row r="460" spans="1:14" x14ac:dyDescent="0.35">
      <c r="A460" t="s">
        <v>16</v>
      </c>
      <c r="B460" t="s">
        <v>20</v>
      </c>
      <c r="C460">
        <v>2008</v>
      </c>
      <c r="D460" t="s">
        <v>31</v>
      </c>
      <c r="E460" s="4">
        <f>2200+56</f>
        <v>2256</v>
      </c>
      <c r="F460" s="4">
        <f>103+3698</f>
        <v>3801</v>
      </c>
      <c r="G460" s="1">
        <f t="shared" si="99"/>
        <v>6057</v>
      </c>
      <c r="H460" s="2">
        <f t="shared" si="100"/>
        <v>0.37246161466072314</v>
      </c>
      <c r="I460" s="2">
        <f t="shared" si="101"/>
        <v>0.62753838533927686</v>
      </c>
      <c r="J460" s="4">
        <f>193729+329433</f>
        <v>523162</v>
      </c>
      <c r="K460" s="4">
        <f>736063+553511</f>
        <v>1289574</v>
      </c>
      <c r="L460" s="1">
        <f t="shared" si="96"/>
        <v>1812736</v>
      </c>
      <c r="M460" s="2">
        <f t="shared" si="97"/>
        <v>0.28860352527891542</v>
      </c>
      <c r="N460" s="2">
        <f t="shared" si="98"/>
        <v>0.71139647472108458</v>
      </c>
    </row>
    <row r="461" spans="1:14" x14ac:dyDescent="0.35">
      <c r="A461" t="s">
        <v>16</v>
      </c>
      <c r="B461" t="s">
        <v>21</v>
      </c>
      <c r="C461">
        <v>2008</v>
      </c>
      <c r="D461" t="s">
        <v>31</v>
      </c>
      <c r="E461" s="4">
        <f>2203+58</f>
        <v>2261</v>
      </c>
      <c r="F461" s="4">
        <f>3709+103</f>
        <v>3812</v>
      </c>
      <c r="G461" s="1">
        <f t="shared" si="99"/>
        <v>6073</v>
      </c>
      <c r="H461" s="2">
        <f t="shared" si="100"/>
        <v>0.37230363905812613</v>
      </c>
      <c r="I461" s="2">
        <f t="shared" si="101"/>
        <v>0.62769636094187387</v>
      </c>
      <c r="J461" s="4">
        <f>211656.8+366519.4</f>
        <v>578176.19999999995</v>
      </c>
      <c r="K461" s="4">
        <f>781619.3+569392.7</f>
        <v>1351012</v>
      </c>
      <c r="L461" s="1">
        <f t="shared" si="96"/>
        <v>1929188.2</v>
      </c>
      <c r="M461" s="2">
        <f t="shared" si="97"/>
        <v>0.29969922063591303</v>
      </c>
      <c r="N461" s="2">
        <f t="shared" si="98"/>
        <v>0.70030077936408697</v>
      </c>
    </row>
    <row r="462" spans="1:14" x14ac:dyDescent="0.35">
      <c r="A462" t="s">
        <v>16</v>
      </c>
      <c r="B462" t="s">
        <v>22</v>
      </c>
      <c r="C462">
        <v>2008</v>
      </c>
      <c r="D462" t="s">
        <v>31</v>
      </c>
      <c r="E462" s="4">
        <f>2207+57</f>
        <v>2264</v>
      </c>
      <c r="F462" s="4">
        <f>3707+106</f>
        <v>3813</v>
      </c>
      <c r="G462" s="1">
        <f t="shared" si="99"/>
        <v>6077</v>
      </c>
      <c r="H462" s="2">
        <f t="shared" si="100"/>
        <v>0.37255224617409904</v>
      </c>
      <c r="I462" s="2">
        <f t="shared" si="101"/>
        <v>0.6274477538259009</v>
      </c>
      <c r="J462" s="4">
        <f>333720.9+200569.2</f>
        <v>534290.10000000009</v>
      </c>
      <c r="K462" s="4">
        <f>780181.6+600737.7</f>
        <v>1380919.2999999998</v>
      </c>
      <c r="L462" s="1">
        <f t="shared" si="96"/>
        <v>1915209.4</v>
      </c>
      <c r="M462" s="2">
        <f t="shared" si="97"/>
        <v>0.27897215834466982</v>
      </c>
      <c r="N462" s="2">
        <f t="shared" si="98"/>
        <v>0.72102784165533018</v>
      </c>
    </row>
    <row r="463" spans="1:14" x14ac:dyDescent="0.35">
      <c r="A463" t="s">
        <v>16</v>
      </c>
      <c r="B463" t="s">
        <v>23</v>
      </c>
      <c r="C463">
        <v>2008</v>
      </c>
      <c r="D463" t="s">
        <v>31</v>
      </c>
      <c r="E463" s="4">
        <f>2190+55</f>
        <v>2245</v>
      </c>
      <c r="F463" s="4">
        <f>109+3730</f>
        <v>3839</v>
      </c>
      <c r="G463" s="1">
        <f t="shared" si="99"/>
        <v>6084</v>
      </c>
      <c r="H463" s="2">
        <f t="shared" si="100"/>
        <v>0.3690006574621959</v>
      </c>
      <c r="I463" s="2">
        <f t="shared" si="101"/>
        <v>0.6309993425378041</v>
      </c>
      <c r="J463" s="4">
        <f>306548.606+635696.641</f>
        <v>942245.24699999997</v>
      </c>
      <c r="K463" s="4">
        <f>708550.7+897214.8</f>
        <v>1605765.5</v>
      </c>
      <c r="L463" s="1">
        <f t="shared" si="96"/>
        <v>2548010.747</v>
      </c>
      <c r="M463" s="2">
        <f t="shared" si="97"/>
        <v>0.36979641789556389</v>
      </c>
      <c r="N463" s="2">
        <f t="shared" si="98"/>
        <v>0.63020358210443606</v>
      </c>
    </row>
    <row r="464" spans="1:14" x14ac:dyDescent="0.35">
      <c r="A464" t="s">
        <v>16</v>
      </c>
      <c r="B464" t="s">
        <v>24</v>
      </c>
      <c r="C464">
        <v>2008</v>
      </c>
      <c r="D464" t="s">
        <v>31</v>
      </c>
      <c r="E464" s="4">
        <f>2191+53</f>
        <v>2244</v>
      </c>
      <c r="F464" s="4">
        <f>3736+111</f>
        <v>3847</v>
      </c>
      <c r="G464" s="1">
        <f t="shared" si="99"/>
        <v>6091</v>
      </c>
      <c r="H464" s="2">
        <f t="shared" si="100"/>
        <v>0.36841241175504841</v>
      </c>
      <c r="I464" s="2">
        <f t="shared" si="101"/>
        <v>0.63158758824495154</v>
      </c>
      <c r="J464" s="4">
        <f>220390.684+398171.764</f>
        <v>618562.44800000009</v>
      </c>
      <c r="K464" s="4">
        <f>863671.035+637099.413</f>
        <v>1500770.4479999999</v>
      </c>
      <c r="L464" s="1">
        <f t="shared" si="96"/>
        <v>2119332.8959999997</v>
      </c>
      <c r="M464" s="2">
        <f t="shared" si="97"/>
        <v>0.29186658177555141</v>
      </c>
      <c r="N464" s="2">
        <f t="shared" si="98"/>
        <v>0.70813341822444875</v>
      </c>
    </row>
    <row r="465" spans="1:14" x14ac:dyDescent="0.35">
      <c r="A465" t="s">
        <v>16</v>
      </c>
      <c r="B465" t="s">
        <v>25</v>
      </c>
      <c r="C465">
        <v>2008</v>
      </c>
      <c r="D465" t="s">
        <v>31</v>
      </c>
      <c r="E465" s="4">
        <f>2206+52</f>
        <v>2258</v>
      </c>
      <c r="F465" s="4">
        <f>113+3734</f>
        <v>3847</v>
      </c>
      <c r="G465" s="1">
        <f t="shared" si="99"/>
        <v>6105</v>
      </c>
      <c r="H465" s="2">
        <f t="shared" si="100"/>
        <v>0.36986076986076988</v>
      </c>
      <c r="I465" s="2">
        <f t="shared" si="101"/>
        <v>0.63013923013923012</v>
      </c>
      <c r="J465" s="4">
        <f>223350.323+327270.04</f>
        <v>550620.36300000001</v>
      </c>
      <c r="K465" s="4">
        <f>867548.698+697319.737</f>
        <v>1564868.4350000001</v>
      </c>
      <c r="L465" s="1">
        <f t="shared" si="96"/>
        <v>2115488.798</v>
      </c>
      <c r="M465" s="2">
        <f t="shared" si="97"/>
        <v>0.26028044370670311</v>
      </c>
      <c r="N465" s="2">
        <f t="shared" si="98"/>
        <v>0.739719556293297</v>
      </c>
    </row>
    <row r="466" spans="1:14" x14ac:dyDescent="0.35">
      <c r="A466" t="s">
        <v>16</v>
      </c>
      <c r="B466" t="s">
        <v>26</v>
      </c>
      <c r="C466">
        <v>2008</v>
      </c>
      <c r="D466" t="s">
        <v>31</v>
      </c>
      <c r="E466" s="4">
        <f>2206+53</f>
        <v>2259</v>
      </c>
      <c r="F466" s="4">
        <f>3732+112</f>
        <v>3844</v>
      </c>
      <c r="G466" s="1">
        <f t="shared" si="99"/>
        <v>6103</v>
      </c>
      <c r="H466" s="2">
        <f t="shared" si="100"/>
        <v>0.37014582991971162</v>
      </c>
      <c r="I466" s="2">
        <f t="shared" si="101"/>
        <v>0.62985417008028843</v>
      </c>
      <c r="J466" s="4">
        <f>222074.323+297056.836</f>
        <v>519131.15899999999</v>
      </c>
      <c r="K466" s="4">
        <f>868389.972+689657.74</f>
        <v>1558047.7119999998</v>
      </c>
      <c r="L466" s="1">
        <f t="shared" si="96"/>
        <v>2077178.8709999998</v>
      </c>
      <c r="M466" s="2">
        <f t="shared" si="97"/>
        <v>0.24992125918846786</v>
      </c>
      <c r="N466" s="2">
        <f t="shared" si="98"/>
        <v>0.75007874081153214</v>
      </c>
    </row>
    <row r="467" spans="1:14" x14ac:dyDescent="0.35">
      <c r="A467" t="s">
        <v>16</v>
      </c>
      <c r="B467" t="s">
        <v>27</v>
      </c>
      <c r="C467">
        <v>2008</v>
      </c>
      <c r="D467" t="s">
        <v>31</v>
      </c>
      <c r="E467" s="4">
        <f>2203+53</f>
        <v>2256</v>
      </c>
      <c r="F467" s="4">
        <f>3743+112</f>
        <v>3855</v>
      </c>
      <c r="G467" s="1">
        <f t="shared" si="99"/>
        <v>6111</v>
      </c>
      <c r="H467" s="2">
        <f t="shared" si="100"/>
        <v>0.36917034855179187</v>
      </c>
      <c r="I467" s="2">
        <f t="shared" si="101"/>
        <v>0.63082965144820813</v>
      </c>
      <c r="J467" s="4">
        <f>198260+288072</f>
        <v>486332</v>
      </c>
      <c r="K467" s="4">
        <f>796250+633475</f>
        <v>1429725</v>
      </c>
      <c r="L467" s="1">
        <f t="shared" si="96"/>
        <v>1916057</v>
      </c>
      <c r="M467" s="2">
        <f t="shared" si="97"/>
        <v>0.25381917135033039</v>
      </c>
      <c r="N467" s="2">
        <f t="shared" si="98"/>
        <v>0.74618082864966961</v>
      </c>
    </row>
    <row r="468" spans="1:14" x14ac:dyDescent="0.35">
      <c r="A468" t="s">
        <v>16</v>
      </c>
      <c r="B468" t="s">
        <v>28</v>
      </c>
      <c r="C468">
        <v>2008</v>
      </c>
      <c r="D468" t="s">
        <v>31</v>
      </c>
      <c r="E468" s="4">
        <f>2207+50</f>
        <v>2257</v>
      </c>
      <c r="F468" s="4">
        <f>3760+116</f>
        <v>3876</v>
      </c>
      <c r="G468" s="1">
        <f t="shared" si="99"/>
        <v>6133</v>
      </c>
      <c r="H468" s="2">
        <f t="shared" si="100"/>
        <v>0.36800913093102888</v>
      </c>
      <c r="I468" s="2">
        <f t="shared" si="101"/>
        <v>0.63199086906897117</v>
      </c>
      <c r="J468" s="4">
        <f>190732+229993</f>
        <v>420725</v>
      </c>
      <c r="K468" s="4">
        <f>778508+619403</f>
        <v>1397911</v>
      </c>
      <c r="L468" s="1">
        <f t="shared" si="96"/>
        <v>1818636</v>
      </c>
      <c r="M468" s="2">
        <f t="shared" si="97"/>
        <v>0.23134096102793522</v>
      </c>
      <c r="N468" s="2">
        <f t="shared" si="98"/>
        <v>0.76865903897206478</v>
      </c>
    </row>
    <row r="469" spans="1:14" x14ac:dyDescent="0.35">
      <c r="A469" t="s">
        <v>16</v>
      </c>
      <c r="B469" t="s">
        <v>29</v>
      </c>
      <c r="C469">
        <v>2008</v>
      </c>
      <c r="D469" t="s">
        <v>31</v>
      </c>
      <c r="E469" s="4">
        <f>2207+52</f>
        <v>2259</v>
      </c>
      <c r="F469" s="4">
        <f>3771+117</f>
        <v>3888</v>
      </c>
      <c r="G469" s="1">
        <f t="shared" si="99"/>
        <v>6147</v>
      </c>
      <c r="H469" s="2">
        <f t="shared" si="100"/>
        <v>0.36749633967789164</v>
      </c>
      <c r="I469" s="2">
        <f t="shared" si="101"/>
        <v>0.63250366032210836</v>
      </c>
      <c r="J469" s="4">
        <f>187362+182085</f>
        <v>369447</v>
      </c>
      <c r="K469" s="4">
        <f>780995+609136</f>
        <v>1390131</v>
      </c>
      <c r="L469" s="1">
        <f t="shared" si="96"/>
        <v>1759578</v>
      </c>
      <c r="M469" s="2">
        <f t="shared" si="97"/>
        <v>0.20996341168166457</v>
      </c>
      <c r="N469" s="2">
        <f t="shared" si="98"/>
        <v>0.79003658831833545</v>
      </c>
    </row>
    <row r="470" spans="1:14" x14ac:dyDescent="0.35">
      <c r="A470" t="s">
        <v>16</v>
      </c>
      <c r="B470" t="s">
        <v>17</v>
      </c>
      <c r="C470">
        <v>2009</v>
      </c>
      <c r="D470" t="s">
        <v>31</v>
      </c>
      <c r="E470" s="4">
        <f>2224+55</f>
        <v>2279</v>
      </c>
      <c r="F470" s="4">
        <f>3766+116</f>
        <v>3882</v>
      </c>
      <c r="G470" s="1">
        <f t="shared" si="99"/>
        <v>6161</v>
      </c>
      <c r="H470" s="2">
        <f t="shared" si="100"/>
        <v>0.36990748255153383</v>
      </c>
      <c r="I470" s="2">
        <f t="shared" si="101"/>
        <v>0.63009251744846617</v>
      </c>
      <c r="J470" s="4">
        <f>184460+230741</f>
        <v>415201</v>
      </c>
      <c r="K470" s="4">
        <f>786521+611226</f>
        <v>1397747</v>
      </c>
      <c r="L470" s="1">
        <f t="shared" si="96"/>
        <v>1812948</v>
      </c>
      <c r="M470" s="2">
        <f t="shared" si="97"/>
        <v>0.22901980641474548</v>
      </c>
      <c r="N470" s="2">
        <f t="shared" si="98"/>
        <v>0.77098019358525449</v>
      </c>
    </row>
    <row r="471" spans="1:14" x14ac:dyDescent="0.35">
      <c r="A471" t="s">
        <v>16</v>
      </c>
      <c r="B471" t="s">
        <v>19</v>
      </c>
      <c r="C471">
        <v>2009</v>
      </c>
      <c r="D471" t="s">
        <v>31</v>
      </c>
      <c r="E471" s="4">
        <f>2226+55</f>
        <v>2281</v>
      </c>
      <c r="F471" s="4">
        <f>3772+116</f>
        <v>3888</v>
      </c>
      <c r="G471" s="1">
        <f t="shared" si="99"/>
        <v>6169</v>
      </c>
      <c r="H471" s="2">
        <f t="shared" si="100"/>
        <v>0.36975198573512724</v>
      </c>
      <c r="I471" s="2">
        <f t="shared" si="101"/>
        <v>0.63024801426487276</v>
      </c>
      <c r="J471" s="4">
        <f>207400+219914</f>
        <v>427314</v>
      </c>
      <c r="K471" s="4">
        <f>689681+529955</f>
        <v>1219636</v>
      </c>
      <c r="L471" s="1">
        <f t="shared" si="96"/>
        <v>1646950</v>
      </c>
      <c r="M471" s="2">
        <f t="shared" si="97"/>
        <v>0.25945778560369165</v>
      </c>
      <c r="N471" s="2">
        <f t="shared" si="98"/>
        <v>0.7405422143963083</v>
      </c>
    </row>
    <row r="472" spans="1:14" x14ac:dyDescent="0.35">
      <c r="A472" t="s">
        <v>16</v>
      </c>
      <c r="B472" t="s">
        <v>20</v>
      </c>
      <c r="C472">
        <v>2009</v>
      </c>
      <c r="D472" t="s">
        <v>31</v>
      </c>
      <c r="E472" s="4">
        <f>2238+54</f>
        <v>2292</v>
      </c>
      <c r="F472" s="4">
        <f>3778+117</f>
        <v>3895</v>
      </c>
      <c r="G472" s="1">
        <f t="shared" si="99"/>
        <v>6187</v>
      </c>
      <c r="H472" s="2">
        <f t="shared" si="100"/>
        <v>0.37045417811540327</v>
      </c>
      <c r="I472" s="2">
        <f t="shared" si="101"/>
        <v>0.62954582188459673</v>
      </c>
      <c r="J472" s="4">
        <f>208806+219828</f>
        <v>428634</v>
      </c>
      <c r="K472" s="4">
        <f>667961+544087</f>
        <v>1212048</v>
      </c>
      <c r="L472" s="1">
        <f t="shared" si="96"/>
        <v>1640682</v>
      </c>
      <c r="M472" s="2">
        <f t="shared" si="97"/>
        <v>0.26125355187659766</v>
      </c>
      <c r="N472" s="2">
        <f t="shared" si="98"/>
        <v>0.73874644812340229</v>
      </c>
    </row>
    <row r="473" spans="1:14" x14ac:dyDescent="0.35">
      <c r="A473" t="s">
        <v>16</v>
      </c>
      <c r="B473" t="s">
        <v>21</v>
      </c>
      <c r="C473">
        <v>2009</v>
      </c>
      <c r="D473" t="s">
        <v>31</v>
      </c>
      <c r="E473" s="4">
        <f>2232+56</f>
        <v>2288</v>
      </c>
      <c r="F473" s="4">
        <f>3780+116</f>
        <v>3896</v>
      </c>
      <c r="G473" s="1">
        <f t="shared" si="99"/>
        <v>6184</v>
      </c>
      <c r="H473" s="2">
        <f t="shared" si="100"/>
        <v>0.36998706338939197</v>
      </c>
      <c r="I473" s="2">
        <f t="shared" si="101"/>
        <v>0.63001293661060798</v>
      </c>
      <c r="J473" s="4">
        <f>224091+220035</f>
        <v>444126</v>
      </c>
      <c r="K473" s="4">
        <f>717993+545801</f>
        <v>1263794</v>
      </c>
      <c r="L473" s="1">
        <f t="shared" si="96"/>
        <v>1707920</v>
      </c>
      <c r="M473" s="2">
        <f t="shared" si="97"/>
        <v>0.26003911190219681</v>
      </c>
      <c r="N473" s="2">
        <f t="shared" si="98"/>
        <v>0.73996088809780314</v>
      </c>
    </row>
    <row r="474" spans="1:14" x14ac:dyDescent="0.35">
      <c r="A474" t="s">
        <v>16</v>
      </c>
      <c r="B474" t="s">
        <v>22</v>
      </c>
      <c r="C474">
        <v>2009</v>
      </c>
      <c r="D474" t="s">
        <v>31</v>
      </c>
      <c r="E474" s="4">
        <f>2214+58</f>
        <v>2272</v>
      </c>
      <c r="F474" s="4">
        <f>3795+116</f>
        <v>3911</v>
      </c>
      <c r="G474" s="1">
        <f t="shared" si="99"/>
        <v>6183</v>
      </c>
      <c r="H474" s="2">
        <f t="shared" si="100"/>
        <v>0.36745916221898756</v>
      </c>
      <c r="I474" s="2">
        <f t="shared" si="101"/>
        <v>0.63254083778101244</v>
      </c>
      <c r="J474" s="4">
        <f>224527+247055</f>
        <v>471582</v>
      </c>
      <c r="K474" s="4">
        <f>506654+712105</f>
        <v>1218759</v>
      </c>
      <c r="L474" s="1">
        <f t="shared" si="96"/>
        <v>1690341</v>
      </c>
      <c r="M474" s="2">
        <f t="shared" si="97"/>
        <v>0.27898631104611438</v>
      </c>
      <c r="N474" s="2">
        <f t="shared" si="98"/>
        <v>0.72101368895388562</v>
      </c>
    </row>
    <row r="475" spans="1:14" x14ac:dyDescent="0.35">
      <c r="A475" t="s">
        <v>16</v>
      </c>
      <c r="B475" t="s">
        <v>23</v>
      </c>
      <c r="C475">
        <v>2009</v>
      </c>
      <c r="D475" t="s">
        <v>31</v>
      </c>
      <c r="E475" s="4">
        <f>2209+62</f>
        <v>2271</v>
      </c>
      <c r="F475" s="4">
        <f>3798+113</f>
        <v>3911</v>
      </c>
      <c r="G475" s="1">
        <f t="shared" si="99"/>
        <v>6182</v>
      </c>
      <c r="H475" s="2">
        <f t="shared" si="100"/>
        <v>0.36735684244581041</v>
      </c>
      <c r="I475" s="2">
        <f t="shared" si="101"/>
        <v>0.63264315755418954</v>
      </c>
      <c r="J475" s="4">
        <f>251087+284411</f>
        <v>535498</v>
      </c>
      <c r="K475" s="4">
        <f>741060+536249</f>
        <v>1277309</v>
      </c>
      <c r="L475" s="1">
        <f t="shared" si="96"/>
        <v>1812807</v>
      </c>
      <c r="M475" s="2">
        <f t="shared" si="97"/>
        <v>0.29539713825023844</v>
      </c>
      <c r="N475" s="2">
        <f t="shared" si="98"/>
        <v>0.70460286174976161</v>
      </c>
    </row>
    <row r="476" spans="1:14" x14ac:dyDescent="0.35">
      <c r="A476" t="s">
        <v>16</v>
      </c>
      <c r="B476" t="s">
        <v>24</v>
      </c>
      <c r="C476">
        <v>2009</v>
      </c>
      <c r="D476" t="s">
        <v>31</v>
      </c>
      <c r="E476" s="4">
        <f>2200+62</f>
        <v>2262</v>
      </c>
      <c r="F476" s="4">
        <f>3808+113</f>
        <v>3921</v>
      </c>
      <c r="G476" s="1">
        <f t="shared" si="99"/>
        <v>6183</v>
      </c>
      <c r="H476" s="2">
        <f t="shared" si="100"/>
        <v>0.36584182435710821</v>
      </c>
      <c r="I476" s="2">
        <f t="shared" si="101"/>
        <v>0.63415817564289179</v>
      </c>
      <c r="J476" s="4">
        <f>273034+274465.6</f>
        <v>547499.6</v>
      </c>
      <c r="K476" s="4">
        <f>765774.4+545803.8</f>
        <v>1311578.2000000002</v>
      </c>
      <c r="L476" s="1">
        <f t="shared" si="96"/>
        <v>1859077.8000000003</v>
      </c>
      <c r="M476" s="2">
        <f t="shared" si="97"/>
        <v>0.29450063897272072</v>
      </c>
      <c r="N476" s="2">
        <f t="shared" si="98"/>
        <v>0.70549936102727917</v>
      </c>
    </row>
    <row r="477" spans="1:14" x14ac:dyDescent="0.35">
      <c r="A477" t="s">
        <v>16</v>
      </c>
      <c r="B477" t="s">
        <v>25</v>
      </c>
      <c r="C477">
        <v>2009</v>
      </c>
      <c r="D477" t="s">
        <v>31</v>
      </c>
      <c r="E477" s="4">
        <f>2194+62</f>
        <v>2256</v>
      </c>
      <c r="F477" s="4">
        <f>3821+112</f>
        <v>3933</v>
      </c>
      <c r="G477" s="1">
        <f t="shared" si="99"/>
        <v>6189</v>
      </c>
      <c r="H477" s="2">
        <f t="shared" si="100"/>
        <v>0.36451769268056228</v>
      </c>
      <c r="I477" s="2">
        <f t="shared" si="101"/>
        <v>0.63548230731943767</v>
      </c>
      <c r="J477" s="4">
        <f>274465.6+305400.7</f>
        <v>579866.30000000005</v>
      </c>
      <c r="K477" s="4">
        <f>756274.3+537404.3</f>
        <v>1293678.6000000001</v>
      </c>
      <c r="L477" s="1">
        <f t="shared" si="96"/>
        <v>1873544.9000000001</v>
      </c>
      <c r="M477" s="2">
        <f t="shared" si="97"/>
        <v>0.30950221689376112</v>
      </c>
      <c r="N477" s="2">
        <f t="shared" si="98"/>
        <v>0.69049778310623888</v>
      </c>
    </row>
    <row r="478" spans="1:14" x14ac:dyDescent="0.35">
      <c r="A478" t="s">
        <v>16</v>
      </c>
      <c r="B478" t="s">
        <v>26</v>
      </c>
      <c r="C478">
        <v>2009</v>
      </c>
      <c r="D478" t="s">
        <v>31</v>
      </c>
      <c r="E478" s="4">
        <f>2188+62</f>
        <v>2250</v>
      </c>
      <c r="F478" s="4">
        <f>3830+113</f>
        <v>3943</v>
      </c>
      <c r="G478" s="1">
        <f t="shared" si="99"/>
        <v>6193</v>
      </c>
      <c r="H478" s="2">
        <f t="shared" si="100"/>
        <v>0.36331341837558534</v>
      </c>
      <c r="I478" s="2">
        <f t="shared" si="101"/>
        <v>0.63668658162441472</v>
      </c>
      <c r="J478" s="4">
        <f>272697.5+319752.1</f>
        <v>592449.6</v>
      </c>
      <c r="K478" s="4">
        <f>758084.6+570844.2</f>
        <v>1328928.7999999998</v>
      </c>
      <c r="L478" s="1">
        <f t="shared" si="96"/>
        <v>1921378.4</v>
      </c>
      <c r="M478" s="2">
        <f t="shared" si="97"/>
        <v>0.30834613317189369</v>
      </c>
      <c r="N478" s="2">
        <f t="shared" si="98"/>
        <v>0.69165386682810626</v>
      </c>
    </row>
    <row r="479" spans="1:14" x14ac:dyDescent="0.35">
      <c r="A479" t="s">
        <v>16</v>
      </c>
      <c r="B479" t="s">
        <v>27</v>
      </c>
      <c r="C479">
        <v>2009</v>
      </c>
      <c r="D479" t="s">
        <v>31</v>
      </c>
      <c r="E479" s="4">
        <f>2177+30</f>
        <v>2207</v>
      </c>
      <c r="F479" s="4">
        <f>3842+145</f>
        <v>3987</v>
      </c>
      <c r="G479" s="1">
        <f t="shared" si="99"/>
        <v>6194</v>
      </c>
      <c r="H479" s="2">
        <f t="shared" si="100"/>
        <v>0.35631256054246047</v>
      </c>
      <c r="I479" s="2">
        <f t="shared" si="101"/>
        <v>0.64368743945753959</v>
      </c>
      <c r="J479" s="4">
        <f>251611.3+265947.8</f>
        <v>517559.1</v>
      </c>
      <c r="K479" s="4">
        <f>702726.7+570613.1</f>
        <v>1273339.7999999998</v>
      </c>
      <c r="L479" s="1">
        <f t="shared" si="96"/>
        <v>1790898.9</v>
      </c>
      <c r="M479" s="2">
        <f t="shared" si="97"/>
        <v>0.28899403534169349</v>
      </c>
      <c r="N479" s="2">
        <f t="shared" si="98"/>
        <v>0.71100596465830646</v>
      </c>
    </row>
    <row r="480" spans="1:14" x14ac:dyDescent="0.35">
      <c r="A480" t="s">
        <v>16</v>
      </c>
      <c r="B480" t="s">
        <v>28</v>
      </c>
      <c r="C480">
        <v>2009</v>
      </c>
      <c r="D480" t="s">
        <v>31</v>
      </c>
      <c r="E480" s="4">
        <f>2170+30</f>
        <v>2200</v>
      </c>
      <c r="F480" s="4">
        <f>3842+145</f>
        <v>3987</v>
      </c>
      <c r="G480" s="1">
        <f t="shared" si="99"/>
        <v>6187</v>
      </c>
      <c r="H480" s="2">
        <f t="shared" si="100"/>
        <v>0.35558428963956684</v>
      </c>
      <c r="I480" s="2">
        <f t="shared" si="101"/>
        <v>0.64441571036043321</v>
      </c>
      <c r="J480" s="4">
        <f>234924+259965.3</f>
        <v>494889.3</v>
      </c>
      <c r="K480" s="4">
        <f>679571.2+521071.1</f>
        <v>1200642.2999999998</v>
      </c>
      <c r="L480" s="1">
        <f t="shared" si="96"/>
        <v>1695531.5999999999</v>
      </c>
      <c r="M480" s="2">
        <f t="shared" si="97"/>
        <v>0.29187854711761196</v>
      </c>
      <c r="N480" s="2">
        <f t="shared" si="98"/>
        <v>0.70812145288238804</v>
      </c>
    </row>
    <row r="481" spans="1:14" x14ac:dyDescent="0.35">
      <c r="A481" t="s">
        <v>16</v>
      </c>
      <c r="B481" t="s">
        <v>29</v>
      </c>
      <c r="C481">
        <v>2009</v>
      </c>
      <c r="D481" t="s">
        <v>31</v>
      </c>
      <c r="E481" s="4">
        <f>2162+30</f>
        <v>2192</v>
      </c>
      <c r="F481" s="4">
        <f>3848+145</f>
        <v>3993</v>
      </c>
      <c r="G481" s="1">
        <f t="shared" si="99"/>
        <v>6185</v>
      </c>
      <c r="H481" s="2">
        <f t="shared" si="100"/>
        <v>0.35440582053354891</v>
      </c>
      <c r="I481" s="2">
        <f t="shared" si="101"/>
        <v>0.64559417946645115</v>
      </c>
      <c r="J481" s="4">
        <f>235537.4+236832.2</f>
        <v>472369.6</v>
      </c>
      <c r="K481" s="4">
        <f>703244.9+532991.5</f>
        <v>1236236.3999999999</v>
      </c>
      <c r="L481" s="1">
        <f t="shared" si="96"/>
        <v>1708606</v>
      </c>
      <c r="M481" s="2">
        <f t="shared" si="97"/>
        <v>0.27646490764986192</v>
      </c>
      <c r="N481" s="2">
        <f t="shared" si="98"/>
        <v>0.72353509235013802</v>
      </c>
    </row>
    <row r="482" spans="1:14" x14ac:dyDescent="0.35">
      <c r="A482" t="s">
        <v>16</v>
      </c>
      <c r="B482" t="s">
        <v>17</v>
      </c>
      <c r="C482">
        <v>2010</v>
      </c>
      <c r="D482" t="s">
        <v>31</v>
      </c>
      <c r="E482" s="4">
        <f>2147+71</f>
        <v>2218</v>
      </c>
      <c r="F482" s="4">
        <f>3820+152</f>
        <v>3972</v>
      </c>
      <c r="G482" s="1">
        <f t="shared" si="99"/>
        <v>6190</v>
      </c>
      <c r="H482" s="2">
        <f t="shared" si="100"/>
        <v>0.35831987075928917</v>
      </c>
      <c r="I482" s="2">
        <f t="shared" si="101"/>
        <v>0.64168012924071083</v>
      </c>
      <c r="J482" s="4">
        <f>209606.92+31634.735+274465.693</f>
        <v>515707.34800000006</v>
      </c>
      <c r="K482" s="4">
        <f>622874.782+78170.64+551707.041</f>
        <v>1252752.463</v>
      </c>
      <c r="L482" s="1">
        <f t="shared" si="96"/>
        <v>1768459.811</v>
      </c>
      <c r="M482" s="2">
        <f t="shared" si="97"/>
        <v>0.29161383526628532</v>
      </c>
      <c r="N482" s="2">
        <f t="shared" si="98"/>
        <v>0.70838616473371474</v>
      </c>
    </row>
    <row r="483" spans="1:14" x14ac:dyDescent="0.35">
      <c r="A483" t="s">
        <v>16</v>
      </c>
      <c r="B483" t="s">
        <v>19</v>
      </c>
      <c r="C483">
        <v>2010</v>
      </c>
      <c r="D483" t="s">
        <v>31</v>
      </c>
      <c r="E483" s="4">
        <f>2191+71</f>
        <v>2262</v>
      </c>
      <c r="F483" s="4">
        <f>3771+151</f>
        <v>3922</v>
      </c>
      <c r="G483" s="1">
        <f t="shared" si="99"/>
        <v>6184</v>
      </c>
      <c r="H483" s="2">
        <f t="shared" si="100"/>
        <v>0.36578266494178524</v>
      </c>
      <c r="I483" s="2">
        <f t="shared" si="101"/>
        <v>0.63421733505821476</v>
      </c>
      <c r="J483" s="4">
        <f>221740.711+30330.806+292975.148</f>
        <v>545046.66500000004</v>
      </c>
      <c r="K483" s="4">
        <f>564562.562+73719.254+512215.156</f>
        <v>1150496.9720000001</v>
      </c>
      <c r="L483" s="1">
        <f t="shared" si="96"/>
        <v>1695543.6370000001</v>
      </c>
      <c r="M483" s="2">
        <f t="shared" si="97"/>
        <v>0.32145835300610431</v>
      </c>
      <c r="N483" s="2">
        <f t="shared" si="98"/>
        <v>0.67854164699389563</v>
      </c>
    </row>
    <row r="484" spans="1:14" x14ac:dyDescent="0.35">
      <c r="A484" t="s">
        <v>16</v>
      </c>
      <c r="B484" t="s">
        <v>20</v>
      </c>
      <c r="C484">
        <v>2010</v>
      </c>
      <c r="D484" t="s">
        <v>31</v>
      </c>
      <c r="E484" s="4">
        <f>2171+71</f>
        <v>2242</v>
      </c>
      <c r="F484" s="4">
        <f>3787+150</f>
        <v>3937</v>
      </c>
      <c r="G484" s="1">
        <f t="shared" si="99"/>
        <v>6179</v>
      </c>
      <c r="H484" s="2">
        <f t="shared" si="100"/>
        <v>0.36284188379996762</v>
      </c>
      <c r="I484" s="2">
        <f t="shared" si="101"/>
        <v>0.63715811620003238</v>
      </c>
      <c r="J484" s="4">
        <f>222904.336+28819.557+280945.783</f>
        <v>532669.67599999998</v>
      </c>
      <c r="K484" s="4">
        <f>587501.726+64591.721+483395.886</f>
        <v>1135489.3330000001</v>
      </c>
      <c r="L484" s="1">
        <f t="shared" si="96"/>
        <v>1668159.0090000001</v>
      </c>
      <c r="M484" s="2">
        <f t="shared" si="97"/>
        <v>0.31931588842919467</v>
      </c>
      <c r="N484" s="2">
        <f t="shared" si="98"/>
        <v>0.68068411157080533</v>
      </c>
    </row>
    <row r="485" spans="1:14" x14ac:dyDescent="0.35">
      <c r="A485" t="s">
        <v>16</v>
      </c>
      <c r="B485" t="s">
        <v>21</v>
      </c>
      <c r="C485">
        <v>2010</v>
      </c>
      <c r="D485" t="s">
        <v>31</v>
      </c>
      <c r="E485" s="4">
        <f>2165+72</f>
        <v>2237</v>
      </c>
      <c r="F485" s="4">
        <f>3801+40+111</f>
        <v>3952</v>
      </c>
      <c r="G485" s="1">
        <f t="shared" si="99"/>
        <v>6189</v>
      </c>
      <c r="H485" s="2">
        <f t="shared" si="100"/>
        <v>0.36144772984327034</v>
      </c>
      <c r="I485" s="2">
        <f t="shared" si="101"/>
        <v>0.63855227015672966</v>
      </c>
      <c r="J485" s="4">
        <f>239606.5+33180.4+302744.2</f>
        <v>575531.10000000009</v>
      </c>
      <c r="K485" s="4">
        <f>610877.199+78043.2+505022.752</f>
        <v>1193943.1510000001</v>
      </c>
      <c r="L485" s="1">
        <f t="shared" si="96"/>
        <v>1769474.2510000002</v>
      </c>
      <c r="M485" s="2">
        <f t="shared" si="97"/>
        <v>0.32525542526247253</v>
      </c>
      <c r="N485" s="2">
        <f t="shared" si="98"/>
        <v>0.67474457473752747</v>
      </c>
    </row>
    <row r="486" spans="1:14" x14ac:dyDescent="0.35">
      <c r="A486" t="s">
        <v>16</v>
      </c>
      <c r="B486" t="s">
        <v>22</v>
      </c>
      <c r="C486">
        <v>2010</v>
      </c>
      <c r="D486" t="s">
        <v>31</v>
      </c>
      <c r="E486" s="4">
        <f>2142+70</f>
        <v>2212</v>
      </c>
      <c r="F486" s="4">
        <f>3801+53+113</f>
        <v>3967</v>
      </c>
      <c r="G486" s="1">
        <f t="shared" si="99"/>
        <v>6179</v>
      </c>
      <c r="H486" s="2">
        <f t="shared" si="100"/>
        <v>0.35798672924421426</v>
      </c>
      <c r="I486" s="2">
        <f t="shared" si="101"/>
        <v>0.64201327075578574</v>
      </c>
      <c r="J486" s="4">
        <f>236387.9+39821.8+287680.4</f>
        <v>563890.10000000009</v>
      </c>
      <c r="K486" s="4">
        <f>489399.8+185183.2+516635.319</f>
        <v>1191218.3190000001</v>
      </c>
      <c r="L486" s="1">
        <f t="shared" si="96"/>
        <v>1755108.4190000002</v>
      </c>
      <c r="M486" s="2">
        <f t="shared" si="97"/>
        <v>0.32128505219141112</v>
      </c>
      <c r="N486" s="2">
        <f t="shared" si="98"/>
        <v>0.67871494780858888</v>
      </c>
    </row>
    <row r="487" spans="1:14" x14ac:dyDescent="0.35">
      <c r="A487" t="s">
        <v>16</v>
      </c>
      <c r="B487" t="s">
        <v>23</v>
      </c>
      <c r="C487">
        <v>2010</v>
      </c>
      <c r="D487" t="s">
        <v>31</v>
      </c>
      <c r="E487" s="4">
        <f>2112+69</f>
        <v>2181</v>
      </c>
      <c r="F487" s="4">
        <f>3852+53+113</f>
        <v>4018</v>
      </c>
      <c r="G487" s="1">
        <f t="shared" si="99"/>
        <v>6199</v>
      </c>
      <c r="H487" s="2">
        <f t="shared" si="100"/>
        <v>0.35183094047427005</v>
      </c>
      <c r="I487" s="2">
        <f t="shared" si="101"/>
        <v>0.64816905952573001</v>
      </c>
      <c r="J487" s="4">
        <f>259827.7+48122.6+285914.6</f>
        <v>593864.89999999991</v>
      </c>
      <c r="K487" s="4">
        <f>624669.898+108204.7+569082.144</f>
        <v>1301956.7420000001</v>
      </c>
      <c r="L487" s="1">
        <f t="shared" si="96"/>
        <v>1895821.642</v>
      </c>
      <c r="M487" s="2">
        <f t="shared" si="97"/>
        <v>0.31324935154422079</v>
      </c>
      <c r="N487" s="2">
        <f t="shared" si="98"/>
        <v>0.68675064845577916</v>
      </c>
    </row>
    <row r="488" spans="1:14" x14ac:dyDescent="0.35">
      <c r="A488" t="s">
        <v>16</v>
      </c>
      <c r="B488" t="s">
        <v>24</v>
      </c>
      <c r="C488">
        <v>2010</v>
      </c>
      <c r="D488" t="s">
        <v>31</v>
      </c>
      <c r="E488" s="4">
        <f>2093+68</f>
        <v>2161</v>
      </c>
      <c r="F488" s="4">
        <f>3882+54+114</f>
        <v>4050</v>
      </c>
      <c r="G488" s="1">
        <f t="shared" si="99"/>
        <v>6211</v>
      </c>
      <c r="H488" s="2">
        <f t="shared" si="100"/>
        <v>0.34793109000161004</v>
      </c>
      <c r="I488" s="2">
        <f t="shared" si="101"/>
        <v>0.65206890999838996</v>
      </c>
      <c r="J488" s="4">
        <f>276191+54748.6+306625.5</f>
        <v>637565.1</v>
      </c>
      <c r="K488" s="4">
        <f>634457.2+110916.1+594800.6</f>
        <v>1340173.8999999999</v>
      </c>
      <c r="L488" s="1">
        <f t="shared" si="96"/>
        <v>1977739</v>
      </c>
      <c r="M488" s="2">
        <f t="shared" si="97"/>
        <v>0.32237069704344201</v>
      </c>
      <c r="N488" s="2">
        <f t="shared" si="98"/>
        <v>0.67762930295655788</v>
      </c>
    </row>
    <row r="489" spans="1:14" x14ac:dyDescent="0.35">
      <c r="A489" t="s">
        <v>16</v>
      </c>
      <c r="B489" t="s">
        <v>25</v>
      </c>
      <c r="C489">
        <v>2010</v>
      </c>
      <c r="D489" t="s">
        <v>31</v>
      </c>
      <c r="E489" s="4">
        <f>2059+70</f>
        <v>2129</v>
      </c>
      <c r="F489" s="4">
        <f>3922+57+114</f>
        <v>4093</v>
      </c>
      <c r="G489" s="1">
        <f t="shared" si="99"/>
        <v>6222</v>
      </c>
      <c r="H489" s="2">
        <f t="shared" si="100"/>
        <v>0.34217293474766958</v>
      </c>
      <c r="I489" s="2">
        <f t="shared" si="101"/>
        <v>0.65782706525233048</v>
      </c>
      <c r="J489" s="4">
        <f>264638.4+63520.2+297925.8</f>
        <v>626084.4</v>
      </c>
      <c r="K489" s="4">
        <f>636008.2+120230.2+552033</f>
        <v>1308271.3999999999</v>
      </c>
      <c r="L489" s="1">
        <f t="shared" si="96"/>
        <v>1934355.7999999998</v>
      </c>
      <c r="M489" s="2">
        <f t="shared" si="97"/>
        <v>0.32366558417019253</v>
      </c>
      <c r="N489" s="2">
        <f t="shared" si="98"/>
        <v>0.67633441582980758</v>
      </c>
    </row>
    <row r="490" spans="1:14" x14ac:dyDescent="0.35">
      <c r="A490" t="s">
        <v>16</v>
      </c>
      <c r="B490" t="s">
        <v>26</v>
      </c>
      <c r="C490">
        <v>2010</v>
      </c>
      <c r="D490" t="s">
        <v>31</v>
      </c>
      <c r="E490" s="4">
        <f>2050+69</f>
        <v>2119</v>
      </c>
      <c r="F490" s="4">
        <f>3948+57+114</f>
        <v>4119</v>
      </c>
      <c r="G490" s="1">
        <f t="shared" si="99"/>
        <v>6238</v>
      </c>
      <c r="H490" s="2">
        <f t="shared" si="100"/>
        <v>0.33969220904135938</v>
      </c>
      <c r="I490" s="2">
        <f t="shared" si="101"/>
        <v>0.66030779095864056</v>
      </c>
      <c r="J490" s="4">
        <f>269526.8+67976+317619.7</f>
        <v>655122.5</v>
      </c>
      <c r="K490" s="4">
        <f>641948+127935.5+636884.9</f>
        <v>1406768.4</v>
      </c>
      <c r="L490" s="1">
        <f t="shared" si="96"/>
        <v>2061890.9</v>
      </c>
      <c r="M490" s="2">
        <f t="shared" si="97"/>
        <v>0.31772898362372132</v>
      </c>
      <c r="N490" s="2">
        <f t="shared" si="98"/>
        <v>0.68227101637627863</v>
      </c>
    </row>
    <row r="491" spans="1:14" x14ac:dyDescent="0.35">
      <c r="A491" t="s">
        <v>16</v>
      </c>
      <c r="B491" t="s">
        <v>27</v>
      </c>
      <c r="C491">
        <v>2010</v>
      </c>
      <c r="D491" t="s">
        <v>31</v>
      </c>
      <c r="E491" s="4">
        <f>2026+69</f>
        <v>2095</v>
      </c>
      <c r="F491" s="4">
        <f>3978+57+114</f>
        <v>4149</v>
      </c>
      <c r="G491" s="1">
        <f t="shared" si="99"/>
        <v>6244</v>
      </c>
      <c r="H491" s="2">
        <f t="shared" si="100"/>
        <v>0.33552210121716847</v>
      </c>
      <c r="I491" s="2">
        <f t="shared" si="101"/>
        <v>0.66447789878283148</v>
      </c>
      <c r="J491" s="4">
        <f>304297.9+59660.5+309862.2</f>
        <v>673820.60000000009</v>
      </c>
      <c r="K491" s="4">
        <f>613007.1+112341+580484.3</f>
        <v>1305832.3999999999</v>
      </c>
      <c r="L491" s="1">
        <f t="shared" si="96"/>
        <v>1979653</v>
      </c>
      <c r="M491" s="2">
        <f t="shared" si="97"/>
        <v>0.34037308558621138</v>
      </c>
      <c r="N491" s="2">
        <f t="shared" si="98"/>
        <v>0.65962691441378862</v>
      </c>
    </row>
    <row r="492" spans="1:14" x14ac:dyDescent="0.35">
      <c r="A492" t="s">
        <v>16</v>
      </c>
      <c r="B492" t="s">
        <v>28</v>
      </c>
      <c r="C492">
        <v>2010</v>
      </c>
      <c r="D492" t="s">
        <v>31</v>
      </c>
      <c r="E492" s="4">
        <f>2024+69</f>
        <v>2093</v>
      </c>
      <c r="F492" s="4">
        <f>3977+57+116</f>
        <v>4150</v>
      </c>
      <c r="G492" s="1">
        <f t="shared" si="99"/>
        <v>6243</v>
      </c>
      <c r="H492" s="2">
        <f t="shared" si="100"/>
        <v>0.33525548614448181</v>
      </c>
      <c r="I492" s="2">
        <f t="shared" si="101"/>
        <v>0.66474451385551814</v>
      </c>
      <c r="J492" s="4">
        <f>226803+52768.1+267045.7</f>
        <v>546616.80000000005</v>
      </c>
      <c r="K492" s="4">
        <f>588957.4+109680.1+555240.6</f>
        <v>1253878.1000000001</v>
      </c>
      <c r="L492" s="1">
        <f t="shared" si="96"/>
        <v>1800494.9000000001</v>
      </c>
      <c r="M492" s="2">
        <f t="shared" si="97"/>
        <v>0.30359252892079841</v>
      </c>
      <c r="N492" s="2">
        <f t="shared" si="98"/>
        <v>0.69640747107920165</v>
      </c>
    </row>
    <row r="493" spans="1:14" x14ac:dyDescent="0.35">
      <c r="A493" t="s">
        <v>16</v>
      </c>
      <c r="B493" t="s">
        <v>29</v>
      </c>
      <c r="C493">
        <v>2010</v>
      </c>
      <c r="D493" t="s">
        <v>31</v>
      </c>
      <c r="E493" s="4">
        <f>2007+70</f>
        <v>2077</v>
      </c>
      <c r="F493" s="4">
        <f>4008+57+116</f>
        <v>4181</v>
      </c>
      <c r="G493" s="1">
        <f t="shared" si="99"/>
        <v>6258</v>
      </c>
      <c r="H493" s="2">
        <f t="shared" si="100"/>
        <v>0.33189517417705339</v>
      </c>
      <c r="I493" s="2">
        <f t="shared" si="101"/>
        <v>0.66810482582294661</v>
      </c>
      <c r="J493" s="4">
        <f>233778.6+48697.5+275274.5</f>
        <v>557750.6</v>
      </c>
      <c r="K493" s="4">
        <f>622432.9+107618.1+588477.3</f>
        <v>1318528.3</v>
      </c>
      <c r="L493" s="1">
        <f t="shared" si="96"/>
        <v>1876278.9</v>
      </c>
      <c r="M493" s="2">
        <f t="shared" si="97"/>
        <v>0.29726422868156754</v>
      </c>
      <c r="N493" s="2">
        <f t="shared" si="98"/>
        <v>0.70273577131843257</v>
      </c>
    </row>
    <row r="494" spans="1:14" x14ac:dyDescent="0.35">
      <c r="A494" t="s">
        <v>16</v>
      </c>
      <c r="B494" t="s">
        <v>17</v>
      </c>
      <c r="C494">
        <v>2011</v>
      </c>
      <c r="D494" t="s">
        <v>31</v>
      </c>
      <c r="E494" s="4">
        <f>2089+76</f>
        <v>2165</v>
      </c>
      <c r="F494" s="4">
        <f>3953+50+116</f>
        <v>4119</v>
      </c>
      <c r="G494" s="1">
        <f t="shared" si="99"/>
        <v>6284</v>
      </c>
      <c r="H494" s="2">
        <f t="shared" si="100"/>
        <v>0.34452577975811582</v>
      </c>
      <c r="I494" s="2">
        <f t="shared" si="101"/>
        <v>0.65547422024188418</v>
      </c>
      <c r="J494" s="6">
        <f>227953+45151.7+277444</f>
        <v>550548.69999999995</v>
      </c>
      <c r="K494" s="6">
        <f>641751.9+100222.1+584780.9</f>
        <v>1326754.8999999999</v>
      </c>
      <c r="L494" s="1">
        <f t="shared" si="96"/>
        <v>1877303.5999999999</v>
      </c>
      <c r="M494" s="2">
        <f t="shared" si="97"/>
        <v>0.29326567104010243</v>
      </c>
      <c r="N494" s="2">
        <f t="shared" si="98"/>
        <v>0.70673432895989763</v>
      </c>
    </row>
    <row r="495" spans="1:14" x14ac:dyDescent="0.35">
      <c r="A495" t="s">
        <v>16</v>
      </c>
      <c r="B495" t="s">
        <v>19</v>
      </c>
      <c r="C495">
        <v>2011</v>
      </c>
      <c r="D495" t="s">
        <v>31</v>
      </c>
      <c r="E495" s="4">
        <f>2076+70</f>
        <v>2146</v>
      </c>
      <c r="F495" s="4">
        <f>3993+51+120</f>
        <v>4164</v>
      </c>
      <c r="G495" s="1">
        <f t="shared" si="99"/>
        <v>6310</v>
      </c>
      <c r="H495" s="2">
        <f t="shared" si="100"/>
        <v>0.34009508716323295</v>
      </c>
      <c r="I495" s="2">
        <f t="shared" si="101"/>
        <v>0.659904912836767</v>
      </c>
      <c r="J495" s="6">
        <f>262932.4+64240.8+331476.8</f>
        <v>658650</v>
      </c>
      <c r="K495" s="6">
        <f>623357.8+165862.4+772159.4</f>
        <v>1561379.6</v>
      </c>
      <c r="L495" s="1">
        <f t="shared" si="96"/>
        <v>2220029.6</v>
      </c>
      <c r="M495" s="2">
        <f t="shared" si="97"/>
        <v>0.29668523338607738</v>
      </c>
      <c r="N495" s="2">
        <f t="shared" si="98"/>
        <v>0.70331476661392267</v>
      </c>
    </row>
    <row r="496" spans="1:14" x14ac:dyDescent="0.35">
      <c r="A496" t="s">
        <v>16</v>
      </c>
      <c r="B496" t="s">
        <v>20</v>
      </c>
      <c r="C496">
        <v>2011</v>
      </c>
      <c r="D496" t="s">
        <v>31</v>
      </c>
      <c r="E496" s="4">
        <f>2054+68</f>
        <v>2122</v>
      </c>
      <c r="F496" s="4">
        <f>4024+51+119</f>
        <v>4194</v>
      </c>
      <c r="G496" s="1">
        <f t="shared" si="99"/>
        <v>6316</v>
      </c>
      <c r="H496" s="2">
        <f t="shared" si="100"/>
        <v>0.33597213426219125</v>
      </c>
      <c r="I496" s="2">
        <f t="shared" si="101"/>
        <v>0.6640278657378087</v>
      </c>
      <c r="J496" s="6">
        <f>239679.9+33192.9+280056.9</f>
        <v>552929.69999999995</v>
      </c>
      <c r="K496" s="6">
        <f>547655.7+124925.3+614463.3</f>
        <v>1287044.3</v>
      </c>
      <c r="L496" s="1">
        <f t="shared" si="96"/>
        <v>1839974</v>
      </c>
      <c r="M496" s="2">
        <f t="shared" si="97"/>
        <v>0.30050951806927706</v>
      </c>
      <c r="N496" s="2">
        <f t="shared" si="98"/>
        <v>0.69949048193072294</v>
      </c>
    </row>
    <row r="497" spans="1:14" x14ac:dyDescent="0.35">
      <c r="A497" t="s">
        <v>16</v>
      </c>
      <c r="B497" t="s">
        <v>21</v>
      </c>
      <c r="C497">
        <v>2011</v>
      </c>
      <c r="D497" t="s">
        <v>31</v>
      </c>
      <c r="E497" s="4">
        <f>2043+14+52</f>
        <v>2109</v>
      </c>
      <c r="F497" s="4">
        <f>4022+51+121</f>
        <v>4194</v>
      </c>
      <c r="G497" s="1">
        <f t="shared" si="99"/>
        <v>6303</v>
      </c>
      <c r="H497" s="2">
        <f t="shared" si="100"/>
        <v>0.33460257020466444</v>
      </c>
      <c r="I497" s="2">
        <f t="shared" si="101"/>
        <v>0.66539742979533556</v>
      </c>
      <c r="J497" s="6">
        <f>218134+11205.8+113332.4</f>
        <v>342672.19999999995</v>
      </c>
      <c r="K497" s="6">
        <f>531670.9+36666.2+427241.6</f>
        <v>995578.7</v>
      </c>
      <c r="L497" s="1">
        <f t="shared" si="96"/>
        <v>1338250.8999999999</v>
      </c>
      <c r="M497" s="2">
        <f t="shared" si="97"/>
        <v>0.25605975680644039</v>
      </c>
      <c r="N497" s="2">
        <f t="shared" si="98"/>
        <v>0.74394024319355956</v>
      </c>
    </row>
    <row r="498" spans="1:14" x14ac:dyDescent="0.35">
      <c r="A498" t="s">
        <v>16</v>
      </c>
      <c r="B498" t="s">
        <v>22</v>
      </c>
      <c r="C498">
        <v>2011</v>
      </c>
      <c r="D498" t="s">
        <v>31</v>
      </c>
      <c r="E498" s="4">
        <f>2033+14+51</f>
        <v>2098</v>
      </c>
      <c r="F498" s="4">
        <f>4040+51+122</f>
        <v>4213</v>
      </c>
      <c r="G498" s="1">
        <f t="shared" si="99"/>
        <v>6311</v>
      </c>
      <c r="H498" s="2">
        <f t="shared" si="100"/>
        <v>0.33243543020123595</v>
      </c>
      <c r="I498" s="2">
        <f t="shared" si="101"/>
        <v>0.66756456979876411</v>
      </c>
      <c r="J498" s="6">
        <f>246568.6+36893+146845.8</f>
        <v>430307.39999999997</v>
      </c>
      <c r="K498" s="6">
        <f>628622.6+120220.6+732347.5</f>
        <v>1481190.7</v>
      </c>
      <c r="L498" s="1">
        <f t="shared" si="96"/>
        <v>1911498.0999999999</v>
      </c>
      <c r="M498" s="2">
        <f t="shared" si="97"/>
        <v>0.2251152643049972</v>
      </c>
      <c r="N498" s="2">
        <f t="shared" si="98"/>
        <v>0.77488473569500282</v>
      </c>
    </row>
    <row r="499" spans="1:14" x14ac:dyDescent="0.35">
      <c r="A499" t="s">
        <v>16</v>
      </c>
      <c r="B499" t="s">
        <v>23</v>
      </c>
      <c r="C499">
        <v>2011</v>
      </c>
      <c r="D499" t="s">
        <v>31</v>
      </c>
      <c r="E499" s="4">
        <f>1967+13+50</f>
        <v>2030</v>
      </c>
      <c r="F499" s="4">
        <f>4118+53+122</f>
        <v>4293</v>
      </c>
      <c r="G499" s="1">
        <f t="shared" si="99"/>
        <v>6323</v>
      </c>
      <c r="H499" s="2">
        <f t="shared" si="100"/>
        <v>0.32105013442985925</v>
      </c>
      <c r="I499" s="2">
        <f t="shared" si="101"/>
        <v>0.67894986557014081</v>
      </c>
      <c r="J499" s="6">
        <f>262255.3+44886.7+155790.1</f>
        <v>462932.1</v>
      </c>
      <c r="K499" s="6">
        <f>662913.5+125401.2+747441.3</f>
        <v>1535756</v>
      </c>
      <c r="L499" s="1">
        <f t="shared" si="96"/>
        <v>1998688.1</v>
      </c>
      <c r="M499" s="2">
        <f t="shared" si="97"/>
        <v>0.23161797981385887</v>
      </c>
      <c r="N499" s="2">
        <f t="shared" si="98"/>
        <v>0.7683820201861411</v>
      </c>
    </row>
    <row r="500" spans="1:14" x14ac:dyDescent="0.35">
      <c r="A500" t="s">
        <v>16</v>
      </c>
      <c r="B500" t="s">
        <v>24</v>
      </c>
      <c r="C500">
        <v>2011</v>
      </c>
      <c r="D500" t="s">
        <v>31</v>
      </c>
      <c r="E500" s="4">
        <f>1964+13+50</f>
        <v>2027</v>
      </c>
      <c r="F500" s="4">
        <f>4115+53+122</f>
        <v>4290</v>
      </c>
      <c r="G500" s="1">
        <f t="shared" si="99"/>
        <v>6317</v>
      </c>
      <c r="H500" s="2">
        <f t="shared" si="100"/>
        <v>0.3208801646351116</v>
      </c>
      <c r="I500" s="2">
        <f t="shared" si="101"/>
        <v>0.6791198353648884</v>
      </c>
      <c r="J500" s="6">
        <f>259957.1+42613.8+173492</f>
        <v>476062.9</v>
      </c>
      <c r="K500" s="6">
        <f>697635.3+138462.6+779071.8</f>
        <v>1615169.7000000002</v>
      </c>
      <c r="L500" s="1">
        <f t="shared" si="96"/>
        <v>2091232.6</v>
      </c>
      <c r="M500" s="2">
        <f t="shared" si="97"/>
        <v>0.22764703457664154</v>
      </c>
      <c r="N500" s="2">
        <f t="shared" si="98"/>
        <v>0.77235296542335852</v>
      </c>
    </row>
    <row r="501" spans="1:14" x14ac:dyDescent="0.35">
      <c r="A501" t="s">
        <v>16</v>
      </c>
      <c r="B501" t="s">
        <v>25</v>
      </c>
      <c r="C501">
        <v>2011</v>
      </c>
      <c r="D501" t="s">
        <v>31</v>
      </c>
      <c r="E501" s="4">
        <f>1962+13+50</f>
        <v>2025</v>
      </c>
      <c r="F501" s="4">
        <f>4125+53+120</f>
        <v>4298</v>
      </c>
      <c r="G501" s="1">
        <f t="shared" si="99"/>
        <v>6323</v>
      </c>
      <c r="H501" s="2">
        <f t="shared" si="100"/>
        <v>0.32025937055195319</v>
      </c>
      <c r="I501" s="2">
        <f t="shared" si="101"/>
        <v>0.67974062944804681</v>
      </c>
      <c r="J501" s="6">
        <f>258896.6+46134.77+175425.4</f>
        <v>480456.77</v>
      </c>
      <c r="K501" s="6">
        <f>718726+146738.8+755360.3</f>
        <v>1620825.1</v>
      </c>
      <c r="L501" s="1">
        <f t="shared" si="96"/>
        <v>2101281.87</v>
      </c>
      <c r="M501" s="2">
        <f t="shared" si="97"/>
        <v>0.22864936725504609</v>
      </c>
      <c r="N501" s="2">
        <f t="shared" si="98"/>
        <v>0.77135063274495397</v>
      </c>
    </row>
    <row r="502" spans="1:14" x14ac:dyDescent="0.35">
      <c r="A502" t="s">
        <v>16</v>
      </c>
      <c r="B502" t="s">
        <v>26</v>
      </c>
      <c r="C502">
        <v>2011</v>
      </c>
      <c r="D502" t="s">
        <v>31</v>
      </c>
      <c r="E502" s="4">
        <f>1951+12+50</f>
        <v>2013</v>
      </c>
      <c r="F502" s="4">
        <f>4138+58+120</f>
        <v>4316</v>
      </c>
      <c r="G502" s="1">
        <f t="shared" si="99"/>
        <v>6329</v>
      </c>
      <c r="H502" s="2">
        <f t="shared" si="100"/>
        <v>0.31805972507505137</v>
      </c>
      <c r="I502" s="2">
        <f t="shared" si="101"/>
        <v>0.68194027492494869</v>
      </c>
      <c r="J502" s="6">
        <f>258840.3+44818.4+175855.7</f>
        <v>479514.4</v>
      </c>
      <c r="K502" s="6">
        <f>697411.25+156669.8+786833.3</f>
        <v>1640914.35</v>
      </c>
      <c r="L502" s="1">
        <f t="shared" si="96"/>
        <v>2120428.75</v>
      </c>
      <c r="M502" s="2">
        <f t="shared" si="97"/>
        <v>0.22614030299296783</v>
      </c>
      <c r="N502" s="2">
        <f t="shared" si="98"/>
        <v>0.77385969700703228</v>
      </c>
    </row>
    <row r="503" spans="1:14" x14ac:dyDescent="0.35">
      <c r="A503" t="s">
        <v>16</v>
      </c>
      <c r="B503" t="s">
        <v>27</v>
      </c>
      <c r="C503">
        <v>2011</v>
      </c>
      <c r="D503" t="s">
        <v>31</v>
      </c>
      <c r="E503" s="4">
        <f>1936+12+50</f>
        <v>1998</v>
      </c>
      <c r="F503" s="4">
        <f>4156+58+120</f>
        <v>4334</v>
      </c>
      <c r="G503" s="1">
        <f t="shared" si="99"/>
        <v>6332</v>
      </c>
      <c r="H503" s="2">
        <f t="shared" si="100"/>
        <v>0.31554011370814911</v>
      </c>
      <c r="I503" s="2">
        <f t="shared" si="101"/>
        <v>0.68445988629185095</v>
      </c>
      <c r="J503" s="6">
        <f>229213.4+33230.5+161593.2</f>
        <v>424037.10000000003</v>
      </c>
      <c r="K503" s="6">
        <f>660565.2+152432.8+830791.7</f>
        <v>1643789.7</v>
      </c>
      <c r="L503" s="1">
        <f t="shared" si="96"/>
        <v>2067826.8</v>
      </c>
      <c r="M503" s="2">
        <f t="shared" si="97"/>
        <v>0.20506412819487591</v>
      </c>
      <c r="N503" s="2">
        <f t="shared" si="98"/>
        <v>0.79493587180512404</v>
      </c>
    </row>
    <row r="504" spans="1:14" x14ac:dyDescent="0.35">
      <c r="A504" t="s">
        <v>16</v>
      </c>
      <c r="B504" t="s">
        <v>28</v>
      </c>
      <c r="C504">
        <v>2011</v>
      </c>
      <c r="D504" t="s">
        <v>31</v>
      </c>
      <c r="E504" s="4">
        <f>1920+12+50</f>
        <v>1982</v>
      </c>
      <c r="F504" s="4">
        <f>4163+58+120</f>
        <v>4341</v>
      </c>
      <c r="G504" s="1">
        <f t="shared" si="99"/>
        <v>6323</v>
      </c>
      <c r="H504" s="2">
        <f t="shared" si="100"/>
        <v>0.31345880120196107</v>
      </c>
      <c r="I504" s="2">
        <f t="shared" si="101"/>
        <v>0.68654119879803888</v>
      </c>
      <c r="J504" s="6">
        <f>210651.8+26926.9+163198</f>
        <v>400776.69999999995</v>
      </c>
      <c r="K504" s="6">
        <f>644914.1+144070.9+715272.8</f>
        <v>1504257.8</v>
      </c>
      <c r="L504" s="1">
        <f t="shared" si="96"/>
        <v>1905034.5</v>
      </c>
      <c r="M504" s="2">
        <f t="shared" si="97"/>
        <v>0.21037765982715795</v>
      </c>
      <c r="N504" s="2">
        <f t="shared" si="98"/>
        <v>0.78962234017284205</v>
      </c>
    </row>
    <row r="505" spans="1:14" x14ac:dyDescent="0.35">
      <c r="A505" t="s">
        <v>16</v>
      </c>
      <c r="B505" t="s">
        <v>29</v>
      </c>
      <c r="C505">
        <v>2011</v>
      </c>
      <c r="D505" t="s">
        <v>31</v>
      </c>
      <c r="E505" s="4">
        <f>1903+12+49</f>
        <v>1964</v>
      </c>
      <c r="F505" s="4">
        <f>4188+58+121</f>
        <v>4367</v>
      </c>
      <c r="G505" s="1">
        <f t="shared" si="99"/>
        <v>6331</v>
      </c>
      <c r="H505" s="2">
        <f t="shared" si="100"/>
        <v>0.31021955457273731</v>
      </c>
      <c r="I505" s="2">
        <f t="shared" si="101"/>
        <v>0.68978044542726269</v>
      </c>
      <c r="J505" s="6">
        <f>219327.8+23446.1+155443.6</f>
        <v>398217.5</v>
      </c>
      <c r="K505" s="6">
        <f>673337.3+132531.5+753538.4</f>
        <v>1559407.2000000002</v>
      </c>
      <c r="L505" s="1">
        <f t="shared" si="96"/>
        <v>1957624.7000000002</v>
      </c>
      <c r="M505" s="2">
        <f t="shared" si="97"/>
        <v>0.20341871452684468</v>
      </c>
      <c r="N505" s="2">
        <f t="shared" si="98"/>
        <v>0.79658128547315532</v>
      </c>
    </row>
    <row r="506" spans="1:14" x14ac:dyDescent="0.35">
      <c r="A506" t="s">
        <v>16</v>
      </c>
      <c r="B506" t="s">
        <v>17</v>
      </c>
      <c r="C506">
        <v>2012</v>
      </c>
      <c r="D506" t="s">
        <v>31</v>
      </c>
      <c r="E506" s="4">
        <v>1953</v>
      </c>
      <c r="F506" s="4">
        <v>4389</v>
      </c>
      <c r="G506" s="1">
        <f t="shared" si="99"/>
        <v>6342</v>
      </c>
      <c r="H506" s="2">
        <f t="shared" si="100"/>
        <v>0.30794701986754969</v>
      </c>
      <c r="I506" s="2">
        <f t="shared" si="101"/>
        <v>0.69205298013245031</v>
      </c>
      <c r="J506" s="6">
        <f>205960.1+22791.6+143141.1</f>
        <v>371892.80000000005</v>
      </c>
      <c r="K506" s="6">
        <f>693109.1+145232.4+787718.4</f>
        <v>1626059.9</v>
      </c>
      <c r="L506" s="1">
        <f t="shared" si="96"/>
        <v>1997952.7</v>
      </c>
      <c r="M506" s="2">
        <f t="shared" si="97"/>
        <v>0.18613693907768691</v>
      </c>
      <c r="N506" s="2">
        <f t="shared" si="98"/>
        <v>0.81386306092231309</v>
      </c>
    </row>
    <row r="507" spans="1:14" x14ac:dyDescent="0.35">
      <c r="A507" t="s">
        <v>16</v>
      </c>
      <c r="B507" t="s">
        <v>19</v>
      </c>
      <c r="C507">
        <v>2012</v>
      </c>
      <c r="D507" t="s">
        <v>31</v>
      </c>
      <c r="E507" s="4">
        <v>1944</v>
      </c>
      <c r="F507" s="4">
        <v>4401</v>
      </c>
      <c r="G507" s="1">
        <f t="shared" si="99"/>
        <v>6345</v>
      </c>
      <c r="H507" s="2">
        <f t="shared" si="100"/>
        <v>0.30638297872340425</v>
      </c>
      <c r="I507" s="2">
        <f t="shared" si="101"/>
        <v>0.69361702127659575</v>
      </c>
      <c r="J507" s="6">
        <f>193722.8+20972.4+136153.7</f>
        <v>350848.9</v>
      </c>
      <c r="K507" s="6">
        <f>664771.5+138971+765165.6</f>
        <v>1568908.1</v>
      </c>
      <c r="L507" s="1">
        <f t="shared" si="96"/>
        <v>1919757</v>
      </c>
      <c r="M507" s="2">
        <f t="shared" si="97"/>
        <v>0.1827569322575722</v>
      </c>
      <c r="N507" s="2">
        <f t="shared" si="98"/>
        <v>0.81724306774242783</v>
      </c>
    </row>
    <row r="508" spans="1:14" x14ac:dyDescent="0.35">
      <c r="A508" t="s">
        <v>16</v>
      </c>
      <c r="B508" t="s">
        <v>20</v>
      </c>
      <c r="C508">
        <v>2012</v>
      </c>
      <c r="D508" t="s">
        <v>31</v>
      </c>
      <c r="E508" s="4">
        <v>1937</v>
      </c>
      <c r="F508" s="4">
        <v>4413</v>
      </c>
      <c r="G508" s="1">
        <f t="shared" si="99"/>
        <v>6350</v>
      </c>
      <c r="H508" s="2">
        <f t="shared" si="100"/>
        <v>0.30503937007874016</v>
      </c>
      <c r="I508" s="2">
        <f t="shared" si="101"/>
        <v>0.69496062992125984</v>
      </c>
      <c r="J508" s="6">
        <f>183919.6+21751.5+132405.3</f>
        <v>338076.4</v>
      </c>
      <c r="K508" s="6">
        <f>648446.9+140275.5+740107.6</f>
        <v>1528830</v>
      </c>
      <c r="L508" s="1">
        <f t="shared" si="96"/>
        <v>1866906.4</v>
      </c>
      <c r="M508" s="2">
        <f t="shared" si="97"/>
        <v>0.18108910012842638</v>
      </c>
      <c r="N508" s="2">
        <f t="shared" si="98"/>
        <v>0.81891089987157373</v>
      </c>
    </row>
    <row r="509" spans="1:14" x14ac:dyDescent="0.35">
      <c r="A509" t="s">
        <v>16</v>
      </c>
      <c r="B509" t="s">
        <v>21</v>
      </c>
      <c r="C509">
        <v>2012</v>
      </c>
      <c r="D509" t="s">
        <v>31</v>
      </c>
      <c r="E509" s="4">
        <v>1925</v>
      </c>
      <c r="F509" s="4">
        <v>4449</v>
      </c>
      <c r="G509" s="1">
        <f t="shared" si="99"/>
        <v>6374</v>
      </c>
      <c r="H509" s="2">
        <f t="shared" si="100"/>
        <v>0.30200815814245374</v>
      </c>
      <c r="I509" s="2">
        <f t="shared" si="101"/>
        <v>0.69799184185754626</v>
      </c>
      <c r="J509" s="6">
        <f>195454.2+22857.3+129781.5</f>
        <v>348093</v>
      </c>
      <c r="K509" s="6">
        <f>695620+152151.5+781588.7</f>
        <v>1629360.2</v>
      </c>
      <c r="L509" s="1">
        <f t="shared" si="96"/>
        <v>1977453.2</v>
      </c>
      <c r="M509" s="2">
        <f t="shared" si="97"/>
        <v>0.17603096750911729</v>
      </c>
      <c r="N509" s="2">
        <f t="shared" si="98"/>
        <v>0.82396903249088271</v>
      </c>
    </row>
    <row r="510" spans="1:14" x14ac:dyDescent="0.35">
      <c r="A510" t="s">
        <v>16</v>
      </c>
      <c r="B510" t="s">
        <v>22</v>
      </c>
      <c r="C510">
        <v>2012</v>
      </c>
      <c r="D510" t="s">
        <v>31</v>
      </c>
      <c r="E510" s="4">
        <v>1899</v>
      </c>
      <c r="F510" s="4">
        <v>4489</v>
      </c>
      <c r="G510" s="1">
        <f t="shared" si="99"/>
        <v>6388</v>
      </c>
      <c r="H510" s="2">
        <f t="shared" si="100"/>
        <v>0.29727614276768943</v>
      </c>
      <c r="I510" s="2">
        <f t="shared" si="101"/>
        <v>0.70272385723231057</v>
      </c>
      <c r="J510" s="6">
        <f>192885.4+23795+135267.9</f>
        <v>351948.3</v>
      </c>
      <c r="K510" s="6">
        <f>724905+147780.8+654564.1</f>
        <v>1527249.9</v>
      </c>
      <c r="L510" s="1">
        <f t="shared" si="96"/>
        <v>1879198.2</v>
      </c>
      <c r="M510" s="2">
        <f t="shared" si="97"/>
        <v>0.18728641821815284</v>
      </c>
      <c r="N510" s="2">
        <f t="shared" si="98"/>
        <v>0.81271358178184716</v>
      </c>
    </row>
    <row r="511" spans="1:14" x14ac:dyDescent="0.35">
      <c r="A511" t="s">
        <v>16</v>
      </c>
      <c r="B511" t="s">
        <v>23</v>
      </c>
      <c r="C511">
        <v>2012</v>
      </c>
      <c r="D511" t="s">
        <v>31</v>
      </c>
      <c r="E511" s="4">
        <v>1876</v>
      </c>
      <c r="F511" s="4">
        <v>4522</v>
      </c>
      <c r="G511" s="1">
        <f t="shared" si="99"/>
        <v>6398</v>
      </c>
      <c r="H511" s="2">
        <f t="shared" si="100"/>
        <v>0.29321663019693656</v>
      </c>
      <c r="I511" s="2">
        <f t="shared" si="101"/>
        <v>0.70678336980306344</v>
      </c>
      <c r="J511" s="6">
        <f>201534.2+28652.1+162491.8</f>
        <v>392678.1</v>
      </c>
      <c r="K511" s="6">
        <f>753276.2+161444.3+907123.1</f>
        <v>1821843.6</v>
      </c>
      <c r="L511" s="1">
        <f t="shared" si="96"/>
        <v>2214521.7000000002</v>
      </c>
      <c r="M511" s="2">
        <f t="shared" si="97"/>
        <v>0.17731959908092115</v>
      </c>
      <c r="N511" s="2">
        <f t="shared" si="98"/>
        <v>0.82268040091907879</v>
      </c>
    </row>
    <row r="512" spans="1:14" x14ac:dyDescent="0.35">
      <c r="A512" t="s">
        <v>16</v>
      </c>
      <c r="B512" t="s">
        <v>24</v>
      </c>
      <c r="C512">
        <v>2012</v>
      </c>
      <c r="D512" t="s">
        <v>31</v>
      </c>
      <c r="E512" s="4">
        <v>1812</v>
      </c>
      <c r="F512" s="4">
        <v>4430</v>
      </c>
      <c r="G512" s="1">
        <f t="shared" si="99"/>
        <v>6242</v>
      </c>
      <c r="H512" s="2">
        <f t="shared" si="100"/>
        <v>0.29029157321371357</v>
      </c>
      <c r="I512" s="2">
        <f t="shared" si="101"/>
        <v>0.70970842678628643</v>
      </c>
      <c r="J512" s="6">
        <f>198661.5+28284.3+143526.8</f>
        <v>370472.6</v>
      </c>
      <c r="K512" s="6">
        <f>778927.6+163510.3+823932.2</f>
        <v>1766370.0999999999</v>
      </c>
      <c r="L512" s="1">
        <f t="shared" si="96"/>
        <v>2136842.6999999997</v>
      </c>
      <c r="M512" s="2">
        <f t="shared" si="97"/>
        <v>0.17337382859299846</v>
      </c>
      <c r="N512" s="2">
        <f t="shared" si="98"/>
        <v>0.82662617140700156</v>
      </c>
    </row>
    <row r="513" spans="1:14" x14ac:dyDescent="0.35">
      <c r="A513" t="s">
        <v>16</v>
      </c>
      <c r="B513" t="s">
        <v>25</v>
      </c>
      <c r="C513">
        <v>2012</v>
      </c>
      <c r="D513" t="s">
        <v>31</v>
      </c>
      <c r="E513" s="4">
        <v>1798</v>
      </c>
      <c r="F513" s="4">
        <v>4461</v>
      </c>
      <c r="G513" s="1">
        <f t="shared" si="99"/>
        <v>6259</v>
      </c>
      <c r="H513" s="2">
        <f t="shared" si="100"/>
        <v>0.28726633647547534</v>
      </c>
      <c r="I513" s="2">
        <f t="shared" si="101"/>
        <v>0.71273366352452472</v>
      </c>
      <c r="J513" s="6">
        <f>185304.9+29462+152396.5</f>
        <v>367163.4</v>
      </c>
      <c r="K513" s="6">
        <f>806052.1+173947.2+803341.2</f>
        <v>1783340.5</v>
      </c>
      <c r="L513" s="1">
        <f t="shared" si="96"/>
        <v>2150503.9</v>
      </c>
      <c r="M513" s="2">
        <f t="shared" si="97"/>
        <v>0.17073365921354527</v>
      </c>
      <c r="N513" s="2">
        <f t="shared" si="98"/>
        <v>0.82926634078645478</v>
      </c>
    </row>
    <row r="514" spans="1:14" x14ac:dyDescent="0.35">
      <c r="A514" t="s">
        <v>16</v>
      </c>
      <c r="B514" t="s">
        <v>26</v>
      </c>
      <c r="C514">
        <v>2012</v>
      </c>
      <c r="D514" t="s">
        <v>31</v>
      </c>
      <c r="E514" s="4">
        <v>1787</v>
      </c>
      <c r="F514" s="4">
        <v>4473</v>
      </c>
      <c r="G514" s="1">
        <f t="shared" si="99"/>
        <v>6260</v>
      </c>
      <c r="H514" s="2">
        <f t="shared" si="100"/>
        <v>0.28546325878594248</v>
      </c>
      <c r="I514" s="2">
        <f t="shared" si="101"/>
        <v>0.71453674121405752</v>
      </c>
      <c r="J514" s="6">
        <f>182141.5+29473.2+153892.2</f>
        <v>365506.9</v>
      </c>
      <c r="K514" s="6">
        <f>803905.8+183068.6+825120.7</f>
        <v>1812095.1</v>
      </c>
      <c r="L514" s="1">
        <f t="shared" ref="L514:L577" si="102">SUM(J514:K514)</f>
        <v>2177602</v>
      </c>
      <c r="M514" s="2">
        <f t="shared" ref="M514:M577" si="103">SUM(J514)/L514</f>
        <v>0.16784834877998828</v>
      </c>
      <c r="N514" s="2">
        <f t="shared" ref="N514:N577" si="104">SUM(K514/L514)</f>
        <v>0.83215165122001178</v>
      </c>
    </row>
    <row r="515" spans="1:14" x14ac:dyDescent="0.35">
      <c r="A515" t="s">
        <v>16</v>
      </c>
      <c r="B515" t="s">
        <v>27</v>
      </c>
      <c r="C515">
        <v>2012</v>
      </c>
      <c r="D515" t="s">
        <v>31</v>
      </c>
      <c r="E515" s="4">
        <f>1770+12+43</f>
        <v>1825</v>
      </c>
      <c r="F515" s="4">
        <f>4423+58+127</f>
        <v>4608</v>
      </c>
      <c r="G515" s="1">
        <f t="shared" si="99"/>
        <v>6433</v>
      </c>
      <c r="H515" s="2">
        <f t="shared" si="100"/>
        <v>0.28369345561946213</v>
      </c>
      <c r="I515" s="2">
        <f t="shared" si="101"/>
        <v>0.71630654438053787</v>
      </c>
      <c r="J515" s="6">
        <f>169371.5+38719.2+147857.7</f>
        <v>355948.4</v>
      </c>
      <c r="K515" s="6">
        <f>754619.6+164526+784688.6</f>
        <v>1703834.2</v>
      </c>
      <c r="L515" s="1">
        <f t="shared" si="102"/>
        <v>2059782.6</v>
      </c>
      <c r="M515" s="2">
        <f t="shared" si="103"/>
        <v>0.17280872262927166</v>
      </c>
      <c r="N515" s="2">
        <f t="shared" si="104"/>
        <v>0.82719127737072828</v>
      </c>
    </row>
    <row r="516" spans="1:14" x14ac:dyDescent="0.35">
      <c r="A516" t="s">
        <v>16</v>
      </c>
      <c r="B516" t="s">
        <v>28</v>
      </c>
      <c r="C516">
        <v>2012</v>
      </c>
      <c r="D516" t="s">
        <v>31</v>
      </c>
      <c r="E516" s="4">
        <f>1763+12+43</f>
        <v>1818</v>
      </c>
      <c r="F516" s="4">
        <f>4441+59+127</f>
        <v>4627</v>
      </c>
      <c r="G516" s="1">
        <f t="shared" ref="G516:G579" si="105">SUM(E516:F516)</f>
        <v>6445</v>
      </c>
      <c r="H516" s="2">
        <f t="shared" ref="H516:H579" si="106">SUM(E516)/G516</f>
        <v>0.28207913110938715</v>
      </c>
      <c r="I516" s="2">
        <f t="shared" ref="I516:I579" si="107">SUM(F516/G516)</f>
        <v>0.71792086889061291</v>
      </c>
      <c r="J516" s="6">
        <f>168369.4+28633.3+127906.9</f>
        <v>324909.59999999998</v>
      </c>
      <c r="K516" s="6">
        <f>739928.5+160293.4+779657</f>
        <v>1679878.9</v>
      </c>
      <c r="L516" s="1">
        <f t="shared" si="102"/>
        <v>2004788.5</v>
      </c>
      <c r="M516" s="2">
        <f t="shared" si="103"/>
        <v>0.16206677163202002</v>
      </c>
      <c r="N516" s="2">
        <f t="shared" si="104"/>
        <v>0.8379332283679799</v>
      </c>
    </row>
    <row r="517" spans="1:14" x14ac:dyDescent="0.35">
      <c r="A517" t="s">
        <v>16</v>
      </c>
      <c r="B517" t="s">
        <v>29</v>
      </c>
      <c r="C517">
        <v>2012</v>
      </c>
      <c r="D517" t="s">
        <v>31</v>
      </c>
      <c r="E517" s="4">
        <f>1761+13+43</f>
        <v>1817</v>
      </c>
      <c r="F517" s="4">
        <f>4456+58+128</f>
        <v>4642</v>
      </c>
      <c r="G517" s="1">
        <f t="shared" si="105"/>
        <v>6459</v>
      </c>
      <c r="H517" s="2">
        <f t="shared" si="106"/>
        <v>0.28131289673324045</v>
      </c>
      <c r="I517" s="2">
        <f t="shared" si="107"/>
        <v>0.71868710326675955</v>
      </c>
      <c r="J517" s="6">
        <f>169998.2+25371.1+140751.7</f>
        <v>336121</v>
      </c>
      <c r="K517" s="6">
        <f>737138.9+176678+736100.1</f>
        <v>1649917</v>
      </c>
      <c r="L517" s="1">
        <f t="shared" si="102"/>
        <v>1986038</v>
      </c>
      <c r="M517" s="2">
        <f t="shared" si="103"/>
        <v>0.1692419782501644</v>
      </c>
      <c r="N517" s="2">
        <f t="shared" si="104"/>
        <v>0.8307580217498356</v>
      </c>
    </row>
    <row r="518" spans="1:14" x14ac:dyDescent="0.35">
      <c r="A518" t="s">
        <v>16</v>
      </c>
      <c r="B518" t="s">
        <v>17</v>
      </c>
      <c r="C518">
        <v>2013</v>
      </c>
      <c r="D518" t="s">
        <v>31</v>
      </c>
      <c r="E518" s="4">
        <f>1811+17+39</f>
        <v>1867</v>
      </c>
      <c r="F518" s="4">
        <f>4420+53+131</f>
        <v>4604</v>
      </c>
      <c r="G518" s="1">
        <f t="shared" si="105"/>
        <v>6471</v>
      </c>
      <c r="H518" s="2">
        <f t="shared" si="106"/>
        <v>0.28851800339978367</v>
      </c>
      <c r="I518" s="2">
        <f t="shared" si="107"/>
        <v>0.71148199660021638</v>
      </c>
      <c r="J518" s="6">
        <f>165245.8+29741.9+140140.8</f>
        <v>335128.5</v>
      </c>
      <c r="K518" s="6">
        <f>727239.5+134171.2+773210.9</f>
        <v>1634621.6</v>
      </c>
      <c r="L518" s="1">
        <f t="shared" si="102"/>
        <v>1969750.1</v>
      </c>
      <c r="M518" s="2">
        <f t="shared" si="103"/>
        <v>0.17013757227376203</v>
      </c>
      <c r="N518" s="2">
        <f t="shared" si="104"/>
        <v>0.82986242772623797</v>
      </c>
    </row>
    <row r="519" spans="1:14" x14ac:dyDescent="0.35">
      <c r="A519" t="s">
        <v>16</v>
      </c>
      <c r="B519" t="s">
        <v>19</v>
      </c>
      <c r="C519">
        <v>2013</v>
      </c>
      <c r="D519" t="s">
        <v>31</v>
      </c>
      <c r="E519" s="4">
        <f>1815+17+37</f>
        <v>1869</v>
      </c>
      <c r="F519" s="4">
        <f>4434+53+133</f>
        <v>4620</v>
      </c>
      <c r="G519" s="1">
        <f t="shared" si="105"/>
        <v>6489</v>
      </c>
      <c r="H519" s="2">
        <f t="shared" si="106"/>
        <v>0.28802588996763756</v>
      </c>
      <c r="I519" s="2">
        <f t="shared" si="107"/>
        <v>0.71197411003236244</v>
      </c>
      <c r="J519" s="6">
        <f>175028.3+41484.7+94286.2</f>
        <v>310799.2</v>
      </c>
      <c r="K519" s="6">
        <f>717587.2+130882.2+809261.7</f>
        <v>1657731.0999999999</v>
      </c>
      <c r="L519" s="1">
        <f t="shared" si="102"/>
        <v>1968530.2999999998</v>
      </c>
      <c r="M519" s="2">
        <f t="shared" si="103"/>
        <v>0.15788387915593682</v>
      </c>
      <c r="N519" s="2">
        <f t="shared" si="104"/>
        <v>0.84211612084406318</v>
      </c>
    </row>
    <row r="520" spans="1:14" x14ac:dyDescent="0.35">
      <c r="A520" t="s">
        <v>16</v>
      </c>
      <c r="B520" t="s">
        <v>20</v>
      </c>
      <c r="C520">
        <v>2013</v>
      </c>
      <c r="D520" t="s">
        <v>31</v>
      </c>
      <c r="E520" s="4">
        <f>1808+17+37</f>
        <v>1862</v>
      </c>
      <c r="F520" s="4">
        <f>4450+54+133</f>
        <v>4637</v>
      </c>
      <c r="G520" s="1">
        <f t="shared" si="105"/>
        <v>6499</v>
      </c>
      <c r="H520" s="2">
        <f t="shared" si="106"/>
        <v>0.28650561624865362</v>
      </c>
      <c r="I520" s="2">
        <f t="shared" si="107"/>
        <v>0.71349438375134633</v>
      </c>
      <c r="J520" s="6">
        <f>158181.8+43058+79836.4</f>
        <v>281076.19999999995</v>
      </c>
      <c r="K520" s="6">
        <f>717717.5+125533.8+771338.7</f>
        <v>1614590</v>
      </c>
      <c r="L520" s="1">
        <f t="shared" si="102"/>
        <v>1895666.2</v>
      </c>
      <c r="M520" s="2">
        <f t="shared" si="103"/>
        <v>0.1482730451173313</v>
      </c>
      <c r="N520" s="2">
        <f t="shared" si="104"/>
        <v>0.8517269548826687</v>
      </c>
    </row>
    <row r="521" spans="1:14" x14ac:dyDescent="0.35">
      <c r="A521" t="s">
        <v>16</v>
      </c>
      <c r="B521" t="s">
        <v>21</v>
      </c>
      <c r="C521">
        <v>2013</v>
      </c>
      <c r="D521" t="s">
        <v>31</v>
      </c>
      <c r="E521" s="4">
        <f>1806+17+36</f>
        <v>1859</v>
      </c>
      <c r="F521" s="4">
        <f>4471+55+134</f>
        <v>4660</v>
      </c>
      <c r="G521" s="1">
        <f t="shared" si="105"/>
        <v>6519</v>
      </c>
      <c r="H521" s="2">
        <f t="shared" si="106"/>
        <v>0.28516643657002611</v>
      </c>
      <c r="I521" s="2">
        <f t="shared" si="107"/>
        <v>0.71483356342997395</v>
      </c>
      <c r="J521" s="6">
        <f>176102+48280.8+100417.9</f>
        <v>324800.69999999995</v>
      </c>
      <c r="K521" s="6">
        <f>762323.4+143203+867846.8</f>
        <v>1773373.2000000002</v>
      </c>
      <c r="L521" s="1">
        <f t="shared" si="102"/>
        <v>2098173.9000000004</v>
      </c>
      <c r="M521" s="2">
        <f t="shared" si="103"/>
        <v>0.15480161105807289</v>
      </c>
      <c r="N521" s="2">
        <f t="shared" si="104"/>
        <v>0.845198388941927</v>
      </c>
    </row>
    <row r="522" spans="1:14" x14ac:dyDescent="0.35">
      <c r="A522" t="s">
        <v>16</v>
      </c>
      <c r="B522" t="s">
        <v>22</v>
      </c>
      <c r="C522">
        <v>2013</v>
      </c>
      <c r="D522" t="s">
        <v>31</v>
      </c>
      <c r="E522" s="4">
        <f>1791+17+34</f>
        <v>1842</v>
      </c>
      <c r="F522" s="4">
        <f>4491+59+135</f>
        <v>4685</v>
      </c>
      <c r="G522" s="1">
        <f t="shared" si="105"/>
        <v>6527</v>
      </c>
      <c r="H522" s="2">
        <f t="shared" si="106"/>
        <v>0.28221234870537765</v>
      </c>
      <c r="I522" s="2">
        <f t="shared" si="107"/>
        <v>0.7177876512946223</v>
      </c>
      <c r="J522" s="6">
        <f>171361.5+45509.3+98268.6</f>
        <v>315139.40000000002</v>
      </c>
      <c r="K522" s="6">
        <f>725073.4+155154.3+827050.6</f>
        <v>1707278.2999999998</v>
      </c>
      <c r="L522" s="1">
        <f t="shared" si="102"/>
        <v>2022417.6999999997</v>
      </c>
      <c r="M522" s="2">
        <f t="shared" si="103"/>
        <v>0.15582310222067383</v>
      </c>
      <c r="N522" s="2">
        <f t="shared" si="104"/>
        <v>0.84417689777932625</v>
      </c>
    </row>
    <row r="523" spans="1:14" x14ac:dyDescent="0.35">
      <c r="A523" t="s">
        <v>16</v>
      </c>
      <c r="B523" t="s">
        <v>23</v>
      </c>
      <c r="C523">
        <v>2013</v>
      </c>
      <c r="D523" t="s">
        <v>31</v>
      </c>
      <c r="E523" s="4">
        <f>1783+17+34</f>
        <v>1834</v>
      </c>
      <c r="F523" s="4">
        <f>4539+59+135</f>
        <v>4733</v>
      </c>
      <c r="G523" s="1">
        <f t="shared" si="105"/>
        <v>6567</v>
      </c>
      <c r="H523" s="2">
        <f t="shared" si="106"/>
        <v>0.27927516369727423</v>
      </c>
      <c r="I523" s="2">
        <f t="shared" si="107"/>
        <v>0.72072483630272577</v>
      </c>
      <c r="J523" s="6">
        <f>181283.6+47218.9+72008.9</f>
        <v>300511.40000000002</v>
      </c>
      <c r="K523" s="6">
        <f>793408.1+165534.6+919486</f>
        <v>1878428.7</v>
      </c>
      <c r="L523" s="1">
        <f t="shared" si="102"/>
        <v>2178940.1</v>
      </c>
      <c r="M523" s="2">
        <f t="shared" si="103"/>
        <v>0.13791631995757939</v>
      </c>
      <c r="N523" s="2">
        <f t="shared" si="104"/>
        <v>0.86208368004242053</v>
      </c>
    </row>
    <row r="524" spans="1:14" x14ac:dyDescent="0.35">
      <c r="A524" t="s">
        <v>16</v>
      </c>
      <c r="B524" t="s">
        <v>24</v>
      </c>
      <c r="C524">
        <v>2013</v>
      </c>
      <c r="D524" t="s">
        <v>31</v>
      </c>
      <c r="E524" s="4">
        <f>1796+18+35</f>
        <v>1849</v>
      </c>
      <c r="F524" s="4">
        <f>4537+60+136</f>
        <v>4733</v>
      </c>
      <c r="G524" s="1">
        <f t="shared" si="105"/>
        <v>6582</v>
      </c>
      <c r="H524" s="2">
        <f t="shared" si="106"/>
        <v>0.28091765420844728</v>
      </c>
      <c r="I524" s="2">
        <f t="shared" si="107"/>
        <v>0.71908234579155272</v>
      </c>
      <c r="J524" s="6">
        <f>182429.8+45790+70507.4</f>
        <v>298727.19999999995</v>
      </c>
      <c r="K524" s="6">
        <f>816467+169764.9+909989.8</f>
        <v>1896221.7000000002</v>
      </c>
      <c r="L524" s="1">
        <f t="shared" si="102"/>
        <v>2194948.9000000004</v>
      </c>
      <c r="M524" s="2">
        <f t="shared" si="103"/>
        <v>0.13609756473146137</v>
      </c>
      <c r="N524" s="2">
        <f t="shared" si="104"/>
        <v>0.86390243526853849</v>
      </c>
    </row>
    <row r="525" spans="1:14" x14ac:dyDescent="0.35">
      <c r="A525" t="s">
        <v>16</v>
      </c>
      <c r="B525" t="s">
        <v>25</v>
      </c>
      <c r="C525">
        <v>2013</v>
      </c>
      <c r="D525" t="s">
        <v>31</v>
      </c>
      <c r="E525" s="4">
        <f>1791+18+38</f>
        <v>1847</v>
      </c>
      <c r="F525" s="4">
        <f>4549+60+138</f>
        <v>4747</v>
      </c>
      <c r="G525" s="1">
        <f t="shared" si="105"/>
        <v>6594</v>
      </c>
      <c r="H525" s="2">
        <f t="shared" si="106"/>
        <v>0.28010312405216864</v>
      </c>
      <c r="I525" s="2">
        <f t="shared" si="107"/>
        <v>0.71989687594783136</v>
      </c>
      <c r="J525" s="6">
        <f>175985+63297.3+95732.5</f>
        <v>335014.8</v>
      </c>
      <c r="K525" s="6">
        <f>825048+164407.8+896690.4</f>
        <v>1886146.2000000002</v>
      </c>
      <c r="L525" s="1">
        <f t="shared" si="102"/>
        <v>2221161</v>
      </c>
      <c r="M525" s="2">
        <f t="shared" si="103"/>
        <v>0.15082868824006904</v>
      </c>
      <c r="N525" s="2">
        <f t="shared" si="104"/>
        <v>0.84917131175993099</v>
      </c>
    </row>
    <row r="526" spans="1:14" x14ac:dyDescent="0.35">
      <c r="A526" t="s">
        <v>16</v>
      </c>
      <c r="B526" t="s">
        <v>26</v>
      </c>
      <c r="C526">
        <v>2013</v>
      </c>
      <c r="D526" t="s">
        <v>31</v>
      </c>
      <c r="E526" s="4">
        <f>1802+18+36</f>
        <v>1856</v>
      </c>
      <c r="F526" s="4">
        <f>4557+60+139</f>
        <v>4756</v>
      </c>
      <c r="G526" s="1">
        <f t="shared" si="105"/>
        <v>6612</v>
      </c>
      <c r="H526" s="2">
        <f t="shared" si="106"/>
        <v>0.2807017543859649</v>
      </c>
      <c r="I526" s="2">
        <f t="shared" si="107"/>
        <v>0.7192982456140351</v>
      </c>
      <c r="J526" s="6">
        <f>180739.3+61499.3+106535.7</f>
        <v>348774.3</v>
      </c>
      <c r="K526" s="6">
        <f>835215+176283.3+936116.4</f>
        <v>1947614.7000000002</v>
      </c>
      <c r="L526" s="1">
        <f t="shared" si="102"/>
        <v>2296389</v>
      </c>
      <c r="M526" s="2">
        <f t="shared" si="103"/>
        <v>0.15187945073765813</v>
      </c>
      <c r="N526" s="2">
        <f t="shared" si="104"/>
        <v>0.84812054926234193</v>
      </c>
    </row>
    <row r="527" spans="1:14" x14ac:dyDescent="0.35">
      <c r="A527" t="s">
        <v>16</v>
      </c>
      <c r="B527" t="s">
        <v>27</v>
      </c>
      <c r="C527">
        <v>2013</v>
      </c>
      <c r="D527" t="s">
        <v>31</v>
      </c>
      <c r="E527" s="4">
        <f>1809+17+36</f>
        <v>1862</v>
      </c>
      <c r="F527" s="4">
        <f>4560+61+140</f>
        <v>4761</v>
      </c>
      <c r="G527" s="1">
        <f t="shared" si="105"/>
        <v>6623</v>
      </c>
      <c r="H527" s="2">
        <f t="shared" si="106"/>
        <v>0.28114147667220291</v>
      </c>
      <c r="I527" s="2">
        <f t="shared" si="107"/>
        <v>0.71885852332779709</v>
      </c>
      <c r="J527" s="6">
        <f>171333.7+53893.9+86560.1</f>
        <v>311787.7</v>
      </c>
      <c r="K527" s="6">
        <f>787566+165915.8+907951.4</f>
        <v>1861433.2000000002</v>
      </c>
      <c r="L527" s="1">
        <f t="shared" si="102"/>
        <v>2173220.9000000004</v>
      </c>
      <c r="M527" s="2">
        <f t="shared" si="103"/>
        <v>0.14346802020908228</v>
      </c>
      <c r="N527" s="2">
        <f t="shared" si="104"/>
        <v>0.85653197979091766</v>
      </c>
    </row>
    <row r="528" spans="1:14" x14ac:dyDescent="0.35">
      <c r="A528" t="s">
        <v>16</v>
      </c>
      <c r="B528" t="s">
        <v>28</v>
      </c>
      <c r="C528">
        <v>2013</v>
      </c>
      <c r="D528" t="s">
        <v>31</v>
      </c>
      <c r="E528" s="4">
        <f>1817+17+34</f>
        <v>1868</v>
      </c>
      <c r="F528" s="4">
        <f>4576+61+141</f>
        <v>4778</v>
      </c>
      <c r="G528" s="1">
        <f t="shared" si="105"/>
        <v>6646</v>
      </c>
      <c r="H528" s="2">
        <f t="shared" si="106"/>
        <v>0.28107132109539573</v>
      </c>
      <c r="I528" s="2">
        <f t="shared" si="107"/>
        <v>0.71892867890460432</v>
      </c>
      <c r="J528" s="6">
        <f>163218.2+55023.9+90800.7</f>
        <v>309042.8</v>
      </c>
      <c r="K528" s="6">
        <f>734596.1+158940.5+947382.3</f>
        <v>1840918.9</v>
      </c>
      <c r="L528" s="1">
        <f t="shared" si="102"/>
        <v>2149961.6999999997</v>
      </c>
      <c r="M528" s="2">
        <f t="shared" si="103"/>
        <v>0.14374339784750587</v>
      </c>
      <c r="N528" s="2">
        <f t="shared" si="104"/>
        <v>0.85625660215249422</v>
      </c>
    </row>
    <row r="529" spans="1:14" x14ac:dyDescent="0.35">
      <c r="A529" t="s">
        <v>16</v>
      </c>
      <c r="B529" t="s">
        <v>29</v>
      </c>
      <c r="C529">
        <v>2013</v>
      </c>
      <c r="D529" t="s">
        <v>31</v>
      </c>
      <c r="E529" s="4">
        <f>1812+16+34</f>
        <v>1862</v>
      </c>
      <c r="F529" s="4">
        <f>4580+62+141</f>
        <v>4783</v>
      </c>
      <c r="G529" s="1">
        <f t="shared" si="105"/>
        <v>6645</v>
      </c>
      <c r="H529" s="2">
        <f t="shared" si="106"/>
        <v>0.28021068472535743</v>
      </c>
      <c r="I529" s="2">
        <f t="shared" si="107"/>
        <v>0.71978931527464263</v>
      </c>
      <c r="J529" s="6">
        <f>166073.2+53362.5+93832.2</f>
        <v>313267.90000000002</v>
      </c>
      <c r="K529" s="6">
        <f>769339.3+150218.8+895050</f>
        <v>1814608.1</v>
      </c>
      <c r="L529" s="1">
        <f t="shared" si="102"/>
        <v>2127876</v>
      </c>
      <c r="M529" s="2">
        <f t="shared" si="103"/>
        <v>0.14722093768621858</v>
      </c>
      <c r="N529" s="2">
        <f t="shared" si="104"/>
        <v>0.85277906231378153</v>
      </c>
    </row>
    <row r="530" spans="1:14" x14ac:dyDescent="0.35">
      <c r="A530" t="s">
        <v>16</v>
      </c>
      <c r="B530" t="s">
        <v>17</v>
      </c>
      <c r="C530">
        <v>2014</v>
      </c>
      <c r="D530" t="s">
        <v>31</v>
      </c>
      <c r="E530" s="4">
        <f>1833+16+37</f>
        <v>1886</v>
      </c>
      <c r="F530" s="4">
        <f>4573+62+138</f>
        <v>4773</v>
      </c>
      <c r="G530" s="1">
        <f t="shared" si="105"/>
        <v>6659</v>
      </c>
      <c r="H530" s="2">
        <f t="shared" si="106"/>
        <v>0.2832257095660009</v>
      </c>
      <c r="I530" s="2">
        <f t="shared" si="107"/>
        <v>0.7167742904339991</v>
      </c>
      <c r="J530" s="6">
        <f>160839.9+43360.3+90833.1</f>
        <v>295033.30000000005</v>
      </c>
      <c r="K530" s="6">
        <f>751747.4+153241.3+885753.7</f>
        <v>1790742.4</v>
      </c>
      <c r="L530" s="1">
        <f t="shared" si="102"/>
        <v>2085775.7</v>
      </c>
      <c r="M530" s="2">
        <f t="shared" si="103"/>
        <v>0.14145015688887355</v>
      </c>
      <c r="N530" s="2">
        <f t="shared" si="104"/>
        <v>0.85854984311112648</v>
      </c>
    </row>
    <row r="531" spans="1:14" x14ac:dyDescent="0.35">
      <c r="A531" t="s">
        <v>16</v>
      </c>
      <c r="B531" t="s">
        <v>19</v>
      </c>
      <c r="C531">
        <v>2014</v>
      </c>
      <c r="D531" t="s">
        <v>31</v>
      </c>
      <c r="E531" s="4">
        <f>1831+16+37</f>
        <v>1884</v>
      </c>
      <c r="F531" s="4">
        <f>4593+62+139</f>
        <v>4794</v>
      </c>
      <c r="G531" s="1">
        <f t="shared" si="105"/>
        <v>6678</v>
      </c>
      <c r="H531" s="2">
        <f t="shared" si="106"/>
        <v>0.28212039532794247</v>
      </c>
      <c r="I531" s="2">
        <f t="shared" si="107"/>
        <v>0.71787960467205747</v>
      </c>
      <c r="J531" s="6">
        <f>154953+42677.4+105503.4</f>
        <v>303133.8</v>
      </c>
      <c r="K531" s="6">
        <f>693181+153676.8+867056.6</f>
        <v>1713914.4</v>
      </c>
      <c r="L531" s="1">
        <f t="shared" si="102"/>
        <v>2017048.2</v>
      </c>
      <c r="M531" s="2">
        <f t="shared" si="103"/>
        <v>0.15028584839965647</v>
      </c>
      <c r="N531" s="2">
        <f t="shared" si="104"/>
        <v>0.84971415160034347</v>
      </c>
    </row>
    <row r="532" spans="1:14" x14ac:dyDescent="0.35">
      <c r="A532" t="s">
        <v>16</v>
      </c>
      <c r="B532" t="s">
        <v>20</v>
      </c>
      <c r="C532">
        <v>2014</v>
      </c>
      <c r="D532" t="s">
        <v>31</v>
      </c>
      <c r="E532" s="4">
        <f>1824+16+38</f>
        <v>1878</v>
      </c>
      <c r="F532" s="4">
        <f>4605+62+139</f>
        <v>4806</v>
      </c>
      <c r="G532" s="1">
        <f t="shared" si="105"/>
        <v>6684</v>
      </c>
      <c r="H532" s="2">
        <f t="shared" si="106"/>
        <v>0.28096947935368044</v>
      </c>
      <c r="I532" s="2">
        <f t="shared" si="107"/>
        <v>0.71903052064631956</v>
      </c>
      <c r="J532" s="6">
        <f>161280.5+39661.2+102257.1</f>
        <v>303198.80000000005</v>
      </c>
      <c r="K532" s="6">
        <f>703548.7+150502.8+827994.2</f>
        <v>1682045.7</v>
      </c>
      <c r="L532" s="1">
        <f t="shared" si="102"/>
        <v>1985244.5</v>
      </c>
      <c r="M532" s="2">
        <f t="shared" si="103"/>
        <v>0.15272617554160209</v>
      </c>
      <c r="N532" s="2">
        <f t="shared" si="104"/>
        <v>0.84727382445839794</v>
      </c>
    </row>
    <row r="533" spans="1:14" x14ac:dyDescent="0.35">
      <c r="A533" t="s">
        <v>16</v>
      </c>
      <c r="B533" t="s">
        <v>21</v>
      </c>
      <c r="C533">
        <v>2014</v>
      </c>
      <c r="D533" t="s">
        <v>31</v>
      </c>
      <c r="E533" s="4">
        <f>1849+16+38</f>
        <v>1903</v>
      </c>
      <c r="F533" s="4">
        <f>4615+62+140</f>
        <v>4817</v>
      </c>
      <c r="G533" s="1">
        <f t="shared" si="105"/>
        <v>6720</v>
      </c>
      <c r="H533" s="2">
        <f t="shared" si="106"/>
        <v>0.2831845238095238</v>
      </c>
      <c r="I533" s="2">
        <f t="shared" si="107"/>
        <v>0.71681547619047614</v>
      </c>
      <c r="J533" s="6">
        <f>175123.3+44476.7+113280.3</f>
        <v>332880.3</v>
      </c>
      <c r="K533" s="6">
        <f>760220.1+165787.8+953068.9</f>
        <v>1879076.7999999998</v>
      </c>
      <c r="L533" s="1">
        <f t="shared" si="102"/>
        <v>2211957.0999999996</v>
      </c>
      <c r="M533" s="2">
        <f t="shared" si="103"/>
        <v>0.15049130021554216</v>
      </c>
      <c r="N533" s="2">
        <f t="shared" si="104"/>
        <v>0.84950869978445787</v>
      </c>
    </row>
    <row r="534" spans="1:14" x14ac:dyDescent="0.35">
      <c r="A534" t="s">
        <v>16</v>
      </c>
      <c r="B534" t="s">
        <v>22</v>
      </c>
      <c r="C534">
        <v>2014</v>
      </c>
      <c r="D534" t="s">
        <v>31</v>
      </c>
      <c r="E534" s="4">
        <f>1846+16+38</f>
        <v>1900</v>
      </c>
      <c r="F534" s="4">
        <f>4633+62+140</f>
        <v>4835</v>
      </c>
      <c r="G534" s="1">
        <f t="shared" si="105"/>
        <v>6735</v>
      </c>
      <c r="H534" s="2">
        <f t="shared" si="106"/>
        <v>0.28210838901262064</v>
      </c>
      <c r="I534" s="2">
        <f t="shared" si="107"/>
        <v>0.71789161098737941</v>
      </c>
      <c r="J534" s="6">
        <f>183258+44415.5+116267</f>
        <v>343940.5</v>
      </c>
      <c r="K534" s="6">
        <f>768752.5+162249.9+935017.4</f>
        <v>1866019.8</v>
      </c>
      <c r="L534" s="1">
        <f t="shared" si="102"/>
        <v>2209960.2999999998</v>
      </c>
      <c r="M534" s="2">
        <f t="shared" si="103"/>
        <v>0.15563198126228786</v>
      </c>
      <c r="N534" s="2">
        <f t="shared" si="104"/>
        <v>0.84436801873771228</v>
      </c>
    </row>
    <row r="535" spans="1:14" x14ac:dyDescent="0.35">
      <c r="A535" t="s">
        <v>16</v>
      </c>
      <c r="B535" t="s">
        <v>23</v>
      </c>
      <c r="C535">
        <v>2014</v>
      </c>
      <c r="D535" t="s">
        <v>31</v>
      </c>
      <c r="E535" s="4">
        <f>1852+17+37</f>
        <v>1906</v>
      </c>
      <c r="F535" s="4">
        <f>4639+62+141</f>
        <v>4842</v>
      </c>
      <c r="G535" s="1">
        <f t="shared" si="105"/>
        <v>6748</v>
      </c>
      <c r="H535" s="2">
        <f t="shared" si="106"/>
        <v>0.28245406046235921</v>
      </c>
      <c r="I535" s="2">
        <f t="shared" si="107"/>
        <v>0.71754593953764079</v>
      </c>
      <c r="J535" s="6">
        <f>204484.5+48135.9+110591.9</f>
        <v>363212.3</v>
      </c>
      <c r="K535" s="6">
        <f>813575.8+170524.6+981822.9</f>
        <v>1965923.3</v>
      </c>
      <c r="L535" s="1">
        <f t="shared" si="102"/>
        <v>2329135.6</v>
      </c>
      <c r="M535" s="2">
        <f t="shared" si="103"/>
        <v>0.15594296012649497</v>
      </c>
      <c r="N535" s="2">
        <f t="shared" si="104"/>
        <v>0.844057039873505</v>
      </c>
    </row>
    <row r="536" spans="1:14" x14ac:dyDescent="0.35">
      <c r="A536" t="s">
        <v>16</v>
      </c>
      <c r="B536" t="s">
        <v>24</v>
      </c>
      <c r="C536">
        <v>2014</v>
      </c>
      <c r="D536" t="s">
        <v>31</v>
      </c>
      <c r="E536" s="4">
        <f>1853+18+37</f>
        <v>1908</v>
      </c>
      <c r="F536" s="4">
        <f>4642+63+141</f>
        <v>4846</v>
      </c>
      <c r="G536" s="1">
        <f t="shared" si="105"/>
        <v>6754</v>
      </c>
      <c r="H536" s="2">
        <f t="shared" si="106"/>
        <v>0.28249925969795675</v>
      </c>
      <c r="I536" s="2">
        <f t="shared" si="107"/>
        <v>0.71750074030204325</v>
      </c>
      <c r="J536" s="6">
        <f>206695.1+46820.8+87772</f>
        <v>341287.9</v>
      </c>
      <c r="K536" s="6">
        <f>772340.7+192046+955344.3</f>
        <v>1919731</v>
      </c>
      <c r="L536" s="1">
        <f t="shared" si="102"/>
        <v>2261018.9</v>
      </c>
      <c r="M536" s="2">
        <f t="shared" si="103"/>
        <v>0.15094429330068848</v>
      </c>
      <c r="N536" s="2">
        <f t="shared" si="104"/>
        <v>0.84905570669931152</v>
      </c>
    </row>
    <row r="537" spans="1:14" x14ac:dyDescent="0.35">
      <c r="A537" t="s">
        <v>16</v>
      </c>
      <c r="B537" t="s">
        <v>25</v>
      </c>
      <c r="C537">
        <v>2014</v>
      </c>
      <c r="D537" t="s">
        <v>31</v>
      </c>
      <c r="E537" s="4">
        <f>1859+18+37</f>
        <v>1914</v>
      </c>
      <c r="F537" s="4">
        <f>4648+64+142</f>
        <v>4854</v>
      </c>
      <c r="G537" s="1">
        <f t="shared" si="105"/>
        <v>6768</v>
      </c>
      <c r="H537" s="2">
        <f t="shared" si="106"/>
        <v>0.28280141843971629</v>
      </c>
      <c r="I537" s="2">
        <f t="shared" si="107"/>
        <v>0.71719858156028371</v>
      </c>
      <c r="J537" s="6">
        <f>214870.9+50252.4+105696.9</f>
        <v>370820.19999999995</v>
      </c>
      <c r="K537" s="6">
        <f>802776.1+180526.9+959675.9</f>
        <v>1942978.9</v>
      </c>
      <c r="L537" s="1">
        <f t="shared" si="102"/>
        <v>2313799.0999999996</v>
      </c>
      <c r="M537" s="2">
        <f t="shared" si="103"/>
        <v>0.16026464873289994</v>
      </c>
      <c r="N537" s="2">
        <f t="shared" si="104"/>
        <v>0.83973535126710019</v>
      </c>
    </row>
    <row r="538" spans="1:14" x14ac:dyDescent="0.35">
      <c r="A538" t="s">
        <v>16</v>
      </c>
      <c r="B538" t="s">
        <v>26</v>
      </c>
      <c r="C538">
        <v>2014</v>
      </c>
      <c r="D538" t="s">
        <v>31</v>
      </c>
      <c r="E538" s="4">
        <f>1856+18+37</f>
        <v>1911</v>
      </c>
      <c r="F538" s="4">
        <f>4658+64+143</f>
        <v>4865</v>
      </c>
      <c r="G538" s="1">
        <f t="shared" si="105"/>
        <v>6776</v>
      </c>
      <c r="H538" s="2">
        <f t="shared" si="106"/>
        <v>0.28202479338842973</v>
      </c>
      <c r="I538" s="2">
        <f t="shared" si="107"/>
        <v>0.71797520661157022</v>
      </c>
      <c r="J538" s="6">
        <f>222161.5+52378.3+109108.6</f>
        <v>383648.4</v>
      </c>
      <c r="K538" s="6">
        <f>825470.68+193613.6+1010321</f>
        <v>2029405.28</v>
      </c>
      <c r="L538" s="1">
        <f t="shared" si="102"/>
        <v>2413053.6800000002</v>
      </c>
      <c r="M538" s="2">
        <f t="shared" si="103"/>
        <v>0.15898875486267675</v>
      </c>
      <c r="N538" s="2">
        <f t="shared" si="104"/>
        <v>0.84101124513732317</v>
      </c>
    </row>
    <row r="539" spans="1:14" x14ac:dyDescent="0.35">
      <c r="A539" t="s">
        <v>16</v>
      </c>
      <c r="B539" t="s">
        <v>27</v>
      </c>
      <c r="C539">
        <v>2014</v>
      </c>
      <c r="D539" t="s">
        <v>31</v>
      </c>
      <c r="E539" s="4">
        <f>1850+19+38</f>
        <v>1907</v>
      </c>
      <c r="F539" s="4">
        <f>4673+63+142</f>
        <v>4878</v>
      </c>
      <c r="G539" s="1">
        <f t="shared" si="105"/>
        <v>6785</v>
      </c>
      <c r="H539" s="2">
        <f t="shared" si="106"/>
        <v>0.2810611643330877</v>
      </c>
      <c r="I539" s="2">
        <f t="shared" si="107"/>
        <v>0.7189388356669123</v>
      </c>
      <c r="J539" s="6">
        <f>201599.7+49859.5+100439.2</f>
        <v>351898.4</v>
      </c>
      <c r="K539" s="6">
        <f>777440.6+174708+977228</f>
        <v>1929376.6</v>
      </c>
      <c r="L539" s="1">
        <f t="shared" si="102"/>
        <v>2281275</v>
      </c>
      <c r="M539" s="2">
        <f t="shared" si="103"/>
        <v>0.15425514240939828</v>
      </c>
      <c r="N539" s="2">
        <f t="shared" si="104"/>
        <v>0.84574485759060181</v>
      </c>
    </row>
    <row r="540" spans="1:14" x14ac:dyDescent="0.35">
      <c r="A540" t="s">
        <v>16</v>
      </c>
      <c r="B540" t="s">
        <v>28</v>
      </c>
      <c r="C540">
        <v>2014</v>
      </c>
      <c r="D540" t="s">
        <v>31</v>
      </c>
      <c r="E540" s="4">
        <f>1840+19+38</f>
        <v>1897</v>
      </c>
      <c r="F540" s="4">
        <f>4699+63+142</f>
        <v>4904</v>
      </c>
      <c r="G540" s="1">
        <f t="shared" si="105"/>
        <v>6801</v>
      </c>
      <c r="H540" s="2">
        <f t="shared" si="106"/>
        <v>0.27892956918100281</v>
      </c>
      <c r="I540" s="2">
        <f t="shared" si="107"/>
        <v>0.72107043081899724</v>
      </c>
      <c r="J540" s="6">
        <f>193346.5+46206+114595</f>
        <v>354147.5</v>
      </c>
      <c r="K540" s="6">
        <f>764531.9+167846.5+934009.2</f>
        <v>1866387.6</v>
      </c>
      <c r="L540" s="1">
        <f t="shared" si="102"/>
        <v>2220535.1</v>
      </c>
      <c r="M540" s="2">
        <f t="shared" si="103"/>
        <v>0.15948745867606415</v>
      </c>
      <c r="N540" s="2">
        <f t="shared" si="104"/>
        <v>0.84051254132393582</v>
      </c>
    </row>
    <row r="541" spans="1:14" x14ac:dyDescent="0.35">
      <c r="A541" t="s">
        <v>16</v>
      </c>
      <c r="B541" t="s">
        <v>29</v>
      </c>
      <c r="C541">
        <v>2014</v>
      </c>
      <c r="D541" t="s">
        <v>31</v>
      </c>
      <c r="E541" s="4">
        <f>1853+19+36</f>
        <v>1908</v>
      </c>
      <c r="F541" s="4">
        <f>4698+63+142</f>
        <v>4903</v>
      </c>
      <c r="G541" s="1">
        <f t="shared" si="105"/>
        <v>6811</v>
      </c>
      <c r="H541" s="2">
        <f t="shared" si="106"/>
        <v>0.28013507561297901</v>
      </c>
      <c r="I541" s="2">
        <f t="shared" si="107"/>
        <v>0.71986492438702099</v>
      </c>
      <c r="J541" s="6">
        <f>195018.5+40884.5+106610.4</f>
        <v>342513.4</v>
      </c>
      <c r="K541" s="6">
        <f>754758.6+153079.4+911673.9</f>
        <v>1819511.9</v>
      </c>
      <c r="L541" s="1">
        <f t="shared" si="102"/>
        <v>2162025.2999999998</v>
      </c>
      <c r="M541" s="2">
        <f t="shared" si="103"/>
        <v>0.15842247544466759</v>
      </c>
      <c r="N541" s="2">
        <f t="shared" si="104"/>
        <v>0.84157752455533252</v>
      </c>
    </row>
    <row r="542" spans="1:14" x14ac:dyDescent="0.35">
      <c r="A542" t="s">
        <v>16</v>
      </c>
      <c r="B542" t="s">
        <v>17</v>
      </c>
      <c r="C542">
        <v>2015</v>
      </c>
      <c r="D542" t="s">
        <v>31</v>
      </c>
      <c r="E542" s="4">
        <f>1841+21+40</f>
        <v>1902</v>
      </c>
      <c r="F542" s="4">
        <f>4720+61+138</f>
        <v>4919</v>
      </c>
      <c r="G542" s="1">
        <f t="shared" si="105"/>
        <v>6821</v>
      </c>
      <c r="H542" s="2">
        <f t="shared" si="106"/>
        <v>0.27884474417240873</v>
      </c>
      <c r="I542" s="2">
        <f t="shared" si="107"/>
        <v>0.72115525582759121</v>
      </c>
      <c r="J542" s="6">
        <f>189470.8+38725.6+109105.8</f>
        <v>337302.2</v>
      </c>
      <c r="K542" s="6">
        <f>753210.46+172721+918580.9</f>
        <v>1844512.3599999999</v>
      </c>
      <c r="L542" s="1">
        <f t="shared" si="102"/>
        <v>2181814.56</v>
      </c>
      <c r="M542" s="2">
        <f t="shared" si="103"/>
        <v>0.15459709829784984</v>
      </c>
      <c r="N542" s="2">
        <f t="shared" si="104"/>
        <v>0.84540290170215004</v>
      </c>
    </row>
    <row r="543" spans="1:14" x14ac:dyDescent="0.35">
      <c r="A543" t="s">
        <v>16</v>
      </c>
      <c r="B543" t="s">
        <v>19</v>
      </c>
      <c r="C543">
        <v>2015</v>
      </c>
      <c r="D543" t="s">
        <v>31</v>
      </c>
      <c r="E543" s="4">
        <f>1848+21+40</f>
        <v>1909</v>
      </c>
      <c r="F543" s="4">
        <f>4725+61+138</f>
        <v>4924</v>
      </c>
      <c r="G543" s="1">
        <f t="shared" si="105"/>
        <v>6833</v>
      </c>
      <c r="H543" s="2">
        <f t="shared" si="106"/>
        <v>0.27937948192594758</v>
      </c>
      <c r="I543" s="2">
        <f t="shared" si="107"/>
        <v>0.72062051807405236</v>
      </c>
      <c r="J543" s="6">
        <f>189863.4+63218+122744.6</f>
        <v>375826</v>
      </c>
      <c r="K543" s="6">
        <f>763233.1+140938.4+895579.4</f>
        <v>1799750.9</v>
      </c>
      <c r="L543" s="1">
        <f t="shared" si="102"/>
        <v>2175576.9</v>
      </c>
      <c r="M543" s="2">
        <f t="shared" si="103"/>
        <v>0.17274774336866697</v>
      </c>
      <c r="N543" s="2">
        <f t="shared" si="104"/>
        <v>0.82725225663133306</v>
      </c>
    </row>
    <row r="544" spans="1:14" x14ac:dyDescent="0.35">
      <c r="A544" t="s">
        <v>16</v>
      </c>
      <c r="B544" t="s">
        <v>20</v>
      </c>
      <c r="C544">
        <v>2015</v>
      </c>
      <c r="D544" t="s">
        <v>31</v>
      </c>
      <c r="E544" s="4">
        <f>1843+21+40</f>
        <v>1904</v>
      </c>
      <c r="F544" s="4">
        <f>4739+61+138</f>
        <v>4938</v>
      </c>
      <c r="G544" s="1">
        <f t="shared" si="105"/>
        <v>6842</v>
      </c>
      <c r="H544" s="2">
        <f t="shared" si="106"/>
        <v>0.27828120432622039</v>
      </c>
      <c r="I544" s="2">
        <f t="shared" si="107"/>
        <v>0.72171879567377961</v>
      </c>
      <c r="J544" s="6">
        <f>189577.9+55441.2+109487.2</f>
        <v>354506.3</v>
      </c>
      <c r="K544" s="6">
        <f>732950.2+136611.7+856766.8</f>
        <v>1726328.7</v>
      </c>
      <c r="L544" s="1">
        <f t="shared" si="102"/>
        <v>2080835</v>
      </c>
      <c r="M544" s="2">
        <f t="shared" si="103"/>
        <v>0.17036732850033759</v>
      </c>
      <c r="N544" s="2">
        <f t="shared" si="104"/>
        <v>0.82963267149966236</v>
      </c>
    </row>
    <row r="545" spans="1:14" x14ac:dyDescent="0.35">
      <c r="A545" t="s">
        <v>16</v>
      </c>
      <c r="B545" t="s">
        <v>21</v>
      </c>
      <c r="C545">
        <v>2015</v>
      </c>
      <c r="D545" t="s">
        <v>31</v>
      </c>
      <c r="E545" s="4">
        <f>1841+21+40</f>
        <v>1902</v>
      </c>
      <c r="F545" s="4">
        <f>4746+61+140</f>
        <v>4947</v>
      </c>
      <c r="G545" s="1">
        <f t="shared" si="105"/>
        <v>6849</v>
      </c>
      <c r="H545" s="2">
        <f t="shared" si="106"/>
        <v>0.27770477441962332</v>
      </c>
      <c r="I545" s="2">
        <f t="shared" si="107"/>
        <v>0.72229522558037673</v>
      </c>
      <c r="J545" s="6">
        <f>202923+62499.5+114628.8</f>
        <v>380051.3</v>
      </c>
      <c r="K545" s="6">
        <f>771995.4+149143+933970.4</f>
        <v>1855108.8</v>
      </c>
      <c r="L545" s="1">
        <f t="shared" si="102"/>
        <v>2235160.1</v>
      </c>
      <c r="M545" s="2">
        <f t="shared" si="103"/>
        <v>0.17003314438191697</v>
      </c>
      <c r="N545" s="2">
        <f t="shared" si="104"/>
        <v>0.82996685561808303</v>
      </c>
    </row>
    <row r="546" spans="1:14" x14ac:dyDescent="0.35">
      <c r="A546" t="s">
        <v>16</v>
      </c>
      <c r="B546" t="s">
        <v>22</v>
      </c>
      <c r="C546">
        <v>2015</v>
      </c>
      <c r="D546" t="s">
        <v>31</v>
      </c>
      <c r="E546" s="4">
        <f>1814+21+40</f>
        <v>1875</v>
      </c>
      <c r="F546" s="4">
        <f>4765+61+141</f>
        <v>4967</v>
      </c>
      <c r="G546" s="1">
        <f t="shared" si="105"/>
        <v>6842</v>
      </c>
      <c r="H546" s="2">
        <f t="shared" si="106"/>
        <v>0.27404267757965506</v>
      </c>
      <c r="I546" s="2">
        <f t="shared" si="107"/>
        <v>0.72595732242034494</v>
      </c>
      <c r="J546" s="6">
        <f>198633.6+60048.2+130351.8</f>
        <v>389033.6</v>
      </c>
      <c r="K546" s="6">
        <f>780862.6+140515.1+926073.3</f>
        <v>1847451</v>
      </c>
      <c r="L546" s="1">
        <f t="shared" si="102"/>
        <v>2236484.6</v>
      </c>
      <c r="M546" s="2">
        <f t="shared" si="103"/>
        <v>0.17394870503467807</v>
      </c>
      <c r="N546" s="2">
        <f t="shared" si="104"/>
        <v>0.82605129496532193</v>
      </c>
    </row>
    <row r="547" spans="1:14" x14ac:dyDescent="0.35">
      <c r="A547" t="s">
        <v>16</v>
      </c>
      <c r="B547" t="s">
        <v>23</v>
      </c>
      <c r="C547">
        <v>2015</v>
      </c>
      <c r="D547" t="s">
        <v>31</v>
      </c>
      <c r="E547" s="4">
        <f>1810+22+40</f>
        <v>1872</v>
      </c>
      <c r="F547" s="4">
        <f>4766+63+143</f>
        <v>4972</v>
      </c>
      <c r="G547" s="1">
        <f t="shared" si="105"/>
        <v>6844</v>
      </c>
      <c r="H547" s="2">
        <f t="shared" si="106"/>
        <v>0.2735242548217417</v>
      </c>
      <c r="I547" s="2">
        <f t="shared" si="107"/>
        <v>0.7264757451782583</v>
      </c>
      <c r="J547" s="6">
        <f>212628.4+68600.3+135889.7</f>
        <v>417118.4</v>
      </c>
      <c r="K547" s="6">
        <f>754739.5+187796.9+945741.2</f>
        <v>1888277.6</v>
      </c>
      <c r="L547" s="1">
        <f t="shared" si="102"/>
        <v>2305396</v>
      </c>
      <c r="M547" s="2">
        <f t="shared" si="103"/>
        <v>0.18093134541744674</v>
      </c>
      <c r="N547" s="2">
        <f t="shared" si="104"/>
        <v>0.81906865458255329</v>
      </c>
    </row>
    <row r="548" spans="1:14" x14ac:dyDescent="0.35">
      <c r="A548" t="s">
        <v>16</v>
      </c>
      <c r="B548" t="s">
        <v>24</v>
      </c>
      <c r="C548">
        <v>2015</v>
      </c>
      <c r="D548" t="s">
        <v>31</v>
      </c>
      <c r="E548" s="4">
        <f>1804+22+40</f>
        <v>1866</v>
      </c>
      <c r="F548" s="4">
        <f>4781+63+143</f>
        <v>4987</v>
      </c>
      <c r="G548" s="1">
        <f t="shared" si="105"/>
        <v>6853</v>
      </c>
      <c r="H548" s="2">
        <f t="shared" si="106"/>
        <v>0.27228950824456444</v>
      </c>
      <c r="I548" s="2">
        <f t="shared" si="107"/>
        <v>0.72771049175543556</v>
      </c>
      <c r="J548" s="6">
        <f>213700.2+77118+128703.1</f>
        <v>419521.30000000005</v>
      </c>
      <c r="K548" s="6">
        <f>830783.3+152163.4+972212.1</f>
        <v>1955158.8</v>
      </c>
      <c r="L548" s="1">
        <f t="shared" si="102"/>
        <v>2374680.1</v>
      </c>
      <c r="M548" s="2">
        <f t="shared" si="103"/>
        <v>0.17666434312562776</v>
      </c>
      <c r="N548" s="2">
        <f t="shared" si="104"/>
        <v>0.82333565687437227</v>
      </c>
    </row>
    <row r="549" spans="1:14" x14ac:dyDescent="0.35">
      <c r="A549" t="s">
        <v>16</v>
      </c>
      <c r="B549" t="s">
        <v>25</v>
      </c>
      <c r="C549">
        <v>2015</v>
      </c>
      <c r="D549" t="s">
        <v>31</v>
      </c>
      <c r="E549" s="4">
        <f>1809+23+41</f>
        <v>1873</v>
      </c>
      <c r="F549" s="4">
        <f>4790+63+144</f>
        <v>4997</v>
      </c>
      <c r="G549" s="1">
        <f t="shared" si="105"/>
        <v>6870</v>
      </c>
      <c r="H549" s="2">
        <f t="shared" si="106"/>
        <v>0.27263464337700144</v>
      </c>
      <c r="I549" s="2">
        <f t="shared" si="107"/>
        <v>0.7273653566229985</v>
      </c>
      <c r="J549" s="6">
        <f>215777.8+78593.4+138659.2</f>
        <v>433030.39999999997</v>
      </c>
      <c r="K549" s="6">
        <f>832717.7+150206+980551.8</f>
        <v>1963475.5</v>
      </c>
      <c r="L549" s="1">
        <f t="shared" si="102"/>
        <v>2396505.9</v>
      </c>
      <c r="M549" s="2">
        <f t="shared" si="103"/>
        <v>0.1806923988795521</v>
      </c>
      <c r="N549" s="2">
        <f t="shared" si="104"/>
        <v>0.81930760112044798</v>
      </c>
    </row>
    <row r="550" spans="1:14" x14ac:dyDescent="0.35">
      <c r="A550" t="s">
        <v>16</v>
      </c>
      <c r="B550" t="s">
        <v>26</v>
      </c>
      <c r="C550">
        <v>2015</v>
      </c>
      <c r="D550" t="s">
        <v>31</v>
      </c>
      <c r="E550" s="4">
        <f>1805+23+41</f>
        <v>1869</v>
      </c>
      <c r="F550" s="4">
        <f>4806+64+145</f>
        <v>5015</v>
      </c>
      <c r="G550" s="1">
        <f t="shared" si="105"/>
        <v>6884</v>
      </c>
      <c r="H550" s="2">
        <f t="shared" si="106"/>
        <v>0.27149912841371293</v>
      </c>
      <c r="I550" s="2">
        <f t="shared" si="107"/>
        <v>0.72850087158628707</v>
      </c>
      <c r="J550" s="6">
        <f>212702.8+80558.4+147478.7</f>
        <v>440739.89999999997</v>
      </c>
      <c r="K550" s="6">
        <f>808292.6+184124.6+1014234.9</f>
        <v>2006652.1</v>
      </c>
      <c r="L550" s="1">
        <f t="shared" si="102"/>
        <v>2447392</v>
      </c>
      <c r="M550" s="2">
        <f t="shared" si="103"/>
        <v>0.18008553595010524</v>
      </c>
      <c r="N550" s="2">
        <f t="shared" si="104"/>
        <v>0.81991446404989476</v>
      </c>
    </row>
    <row r="551" spans="1:14" x14ac:dyDescent="0.35">
      <c r="A551" t="s">
        <v>16</v>
      </c>
      <c r="B551" t="s">
        <v>27</v>
      </c>
      <c r="C551">
        <v>2015</v>
      </c>
      <c r="D551" t="s">
        <v>31</v>
      </c>
      <c r="E551" s="4">
        <f>1803+23+40</f>
        <v>1866</v>
      </c>
      <c r="F551" s="4">
        <f>4812+64+146</f>
        <v>5022</v>
      </c>
      <c r="G551" s="1">
        <f t="shared" si="105"/>
        <v>6888</v>
      </c>
      <c r="H551" s="2">
        <f t="shared" si="106"/>
        <v>0.27090592334494773</v>
      </c>
      <c r="I551" s="2">
        <f t="shared" si="107"/>
        <v>0.72909407665505221</v>
      </c>
      <c r="J551" s="6">
        <f>203986.1+71868.4+136186</f>
        <v>412040.5</v>
      </c>
      <c r="K551" s="6">
        <f>800977.7+152967.3+997565.5</f>
        <v>1951510.5</v>
      </c>
      <c r="L551" s="1">
        <f t="shared" si="102"/>
        <v>2363551</v>
      </c>
      <c r="M551" s="2">
        <f t="shared" si="103"/>
        <v>0.17433112295863301</v>
      </c>
      <c r="N551" s="2">
        <f t="shared" si="104"/>
        <v>0.82566887704136704</v>
      </c>
    </row>
    <row r="552" spans="1:14" x14ac:dyDescent="0.35">
      <c r="A552" t="s">
        <v>16</v>
      </c>
      <c r="B552" t="s">
        <v>28</v>
      </c>
      <c r="C552">
        <v>2015</v>
      </c>
      <c r="D552" t="s">
        <v>31</v>
      </c>
      <c r="E552" s="4">
        <f>1818+23+40</f>
        <v>1881</v>
      </c>
      <c r="F552" s="4">
        <f>4807+66+146</f>
        <v>5019</v>
      </c>
      <c r="G552" s="1">
        <f t="shared" si="105"/>
        <v>6900</v>
      </c>
      <c r="H552" s="2">
        <f t="shared" si="106"/>
        <v>0.27260869565217394</v>
      </c>
      <c r="I552" s="2">
        <f t="shared" si="107"/>
        <v>0.72739130434782606</v>
      </c>
      <c r="J552" s="6">
        <f>190885.7+66529.8+123010</f>
        <v>380425.5</v>
      </c>
      <c r="K552" s="6">
        <f>473586.8+440575.7+935200.6</f>
        <v>1849363.1</v>
      </c>
      <c r="L552" s="1">
        <f t="shared" si="102"/>
        <v>2229788.6</v>
      </c>
      <c r="M552" s="2">
        <f t="shared" si="103"/>
        <v>0.17061056819467099</v>
      </c>
      <c r="N552" s="2">
        <f t="shared" si="104"/>
        <v>0.82938943180532898</v>
      </c>
    </row>
    <row r="553" spans="1:14" x14ac:dyDescent="0.35">
      <c r="A553" t="s">
        <v>16</v>
      </c>
      <c r="B553" t="s">
        <v>29</v>
      </c>
      <c r="C553">
        <v>2015</v>
      </c>
      <c r="D553" t="s">
        <v>31</v>
      </c>
      <c r="E553" s="4">
        <f>1814+23+40</f>
        <v>1877</v>
      </c>
      <c r="F553" s="4">
        <f>4822+67+147</f>
        <v>5036</v>
      </c>
      <c r="G553" s="1">
        <f t="shared" si="105"/>
        <v>6913</v>
      </c>
      <c r="H553" s="2">
        <f t="shared" si="106"/>
        <v>0.27151743092723851</v>
      </c>
      <c r="I553" s="2">
        <f t="shared" si="107"/>
        <v>0.72848256907276143</v>
      </c>
      <c r="J553" s="6">
        <f>195328.3+58631.5+122103.5</f>
        <v>376063.3</v>
      </c>
      <c r="K553" s="6">
        <f>728866.1+169698.1+917661.9</f>
        <v>1816226.1</v>
      </c>
      <c r="L553" s="1">
        <f t="shared" si="102"/>
        <v>2192289.4</v>
      </c>
      <c r="M553" s="2">
        <f t="shared" si="103"/>
        <v>0.1715390769120172</v>
      </c>
      <c r="N553" s="2">
        <f t="shared" si="104"/>
        <v>0.82846092308798291</v>
      </c>
    </row>
    <row r="554" spans="1:14" x14ac:dyDescent="0.35">
      <c r="A554" t="s">
        <v>16</v>
      </c>
      <c r="B554" t="s">
        <v>17</v>
      </c>
      <c r="C554">
        <v>2016</v>
      </c>
      <c r="D554" t="s">
        <v>31</v>
      </c>
      <c r="E554" s="4">
        <f>1821+22+40</f>
        <v>1883</v>
      </c>
      <c r="F554" s="4">
        <f>4821+67+148</f>
        <v>5036</v>
      </c>
      <c r="G554" s="1">
        <f t="shared" si="105"/>
        <v>6919</v>
      </c>
      <c r="H554" s="2">
        <f t="shared" si="106"/>
        <v>0.2721491545020957</v>
      </c>
      <c r="I554" s="2">
        <f t="shared" si="107"/>
        <v>0.72785084549790435</v>
      </c>
      <c r="J554" s="6">
        <f>200123+60693.4+124033.7</f>
        <v>384850.1</v>
      </c>
      <c r="K554" s="6">
        <f>747617.1+171455.3+937677.9</f>
        <v>1856750.2999999998</v>
      </c>
      <c r="L554" s="1">
        <f t="shared" si="102"/>
        <v>2241600.4</v>
      </c>
      <c r="M554" s="2">
        <f t="shared" si="103"/>
        <v>0.17168541725813397</v>
      </c>
      <c r="N554" s="2">
        <f t="shared" si="104"/>
        <v>0.82831458274186598</v>
      </c>
    </row>
    <row r="555" spans="1:14" x14ac:dyDescent="0.35">
      <c r="A555" t="s">
        <v>16</v>
      </c>
      <c r="B555" t="s">
        <v>19</v>
      </c>
      <c r="C555">
        <v>2016</v>
      </c>
      <c r="D555" t="s">
        <v>31</v>
      </c>
      <c r="E555" s="4">
        <f>1799+22+38</f>
        <v>1859</v>
      </c>
      <c r="F555" s="4">
        <f>4858+68+147</f>
        <v>5073</v>
      </c>
      <c r="G555" s="1">
        <f t="shared" si="105"/>
        <v>6932</v>
      </c>
      <c r="H555" s="2">
        <f t="shared" si="106"/>
        <v>0.26817657241777265</v>
      </c>
      <c r="I555" s="2">
        <f t="shared" si="107"/>
        <v>0.7318234275822274</v>
      </c>
      <c r="J555" s="6">
        <f>185665.2+55299.8+114635.1</f>
        <v>355600.1</v>
      </c>
      <c r="K555" s="6">
        <f>721325.4+169280.6+935077.1</f>
        <v>1825683.1</v>
      </c>
      <c r="L555" s="1">
        <f t="shared" si="102"/>
        <v>2181283.2000000002</v>
      </c>
      <c r="M555" s="2">
        <f t="shared" si="103"/>
        <v>0.16302335249269786</v>
      </c>
      <c r="N555" s="2">
        <f t="shared" si="104"/>
        <v>0.83697664750730205</v>
      </c>
    </row>
    <row r="556" spans="1:14" x14ac:dyDescent="0.35">
      <c r="A556" t="s">
        <v>16</v>
      </c>
      <c r="B556" t="s">
        <v>20</v>
      </c>
      <c r="C556">
        <v>2016</v>
      </c>
      <c r="D556" t="s">
        <v>31</v>
      </c>
      <c r="E556" s="4">
        <f>1786+22+38</f>
        <v>1846</v>
      </c>
      <c r="F556" s="4">
        <f>4874+68+146</f>
        <v>5088</v>
      </c>
      <c r="G556" s="1">
        <f t="shared" si="105"/>
        <v>6934</v>
      </c>
      <c r="H556" s="2">
        <f t="shared" si="106"/>
        <v>0.26622440149985577</v>
      </c>
      <c r="I556" s="2">
        <f t="shared" si="107"/>
        <v>0.73377559850014418</v>
      </c>
      <c r="J556" s="6">
        <f>176662.3+54988.3+118699.4</f>
        <v>350350</v>
      </c>
      <c r="K556" s="6">
        <f>695862.9+166587.7+902382.2</f>
        <v>1764832.8</v>
      </c>
      <c r="L556" s="1">
        <f t="shared" si="102"/>
        <v>2115182.7999999998</v>
      </c>
      <c r="M556" s="2">
        <f t="shared" si="103"/>
        <v>0.16563580225784741</v>
      </c>
      <c r="N556" s="2">
        <f t="shared" si="104"/>
        <v>0.83436419774215265</v>
      </c>
    </row>
    <row r="557" spans="1:14" x14ac:dyDescent="0.35">
      <c r="A557" t="s">
        <v>16</v>
      </c>
      <c r="B557" t="s">
        <v>21</v>
      </c>
      <c r="C557">
        <v>2016</v>
      </c>
      <c r="D557" t="s">
        <v>31</v>
      </c>
      <c r="E557" s="4">
        <f>1765+22+40</f>
        <v>1827</v>
      </c>
      <c r="F557" s="4">
        <f>4895+68+145</f>
        <v>5108</v>
      </c>
      <c r="G557" s="1">
        <f t="shared" si="105"/>
        <v>6935</v>
      </c>
      <c r="H557" s="2">
        <f t="shared" si="106"/>
        <v>0.26344628695025235</v>
      </c>
      <c r="I557" s="2">
        <f t="shared" si="107"/>
        <v>0.7365537130497477</v>
      </c>
      <c r="J557" s="6">
        <f>182254.8+57774.9+126804.6</f>
        <v>366834.3</v>
      </c>
      <c r="K557" s="6">
        <f>755053.8+167940.3+971101.3</f>
        <v>1894095.4000000001</v>
      </c>
      <c r="L557" s="1">
        <f t="shared" si="102"/>
        <v>2260929.7000000002</v>
      </c>
      <c r="M557" s="2">
        <f t="shared" si="103"/>
        <v>0.16224931717248881</v>
      </c>
      <c r="N557" s="2">
        <f t="shared" si="104"/>
        <v>0.83775068282751119</v>
      </c>
    </row>
    <row r="558" spans="1:14" x14ac:dyDescent="0.35">
      <c r="A558" t="s">
        <v>16</v>
      </c>
      <c r="B558" t="s">
        <v>22</v>
      </c>
      <c r="C558">
        <v>2016</v>
      </c>
      <c r="D558" t="s">
        <v>31</v>
      </c>
      <c r="E558" s="4">
        <f>1756+21+41</f>
        <v>1818</v>
      </c>
      <c r="F558" s="4">
        <f>4917+69+145</f>
        <v>5131</v>
      </c>
      <c r="G558" s="1">
        <f t="shared" si="105"/>
        <v>6949</v>
      </c>
      <c r="H558" s="2">
        <f t="shared" si="106"/>
        <v>0.26162037703266655</v>
      </c>
      <c r="I558" s="2">
        <f t="shared" si="107"/>
        <v>0.73837962296733339</v>
      </c>
      <c r="J558" s="6">
        <f>181301.3+63021.3+142747.8</f>
        <v>387070.39999999997</v>
      </c>
      <c r="K558" s="6">
        <f>726139.2+161614.8+967390.3</f>
        <v>1855144.3</v>
      </c>
      <c r="L558" s="1">
        <f t="shared" si="102"/>
        <v>2242214.7000000002</v>
      </c>
      <c r="M558" s="2">
        <f t="shared" si="103"/>
        <v>0.17262860688586151</v>
      </c>
      <c r="N558" s="2">
        <f t="shared" si="104"/>
        <v>0.82737139311413843</v>
      </c>
    </row>
    <row r="559" spans="1:14" x14ac:dyDescent="0.35">
      <c r="A559" t="s">
        <v>16</v>
      </c>
      <c r="B559" t="s">
        <v>23</v>
      </c>
      <c r="C559">
        <v>2016</v>
      </c>
      <c r="D559" t="s">
        <v>31</v>
      </c>
      <c r="E559" s="4">
        <f>1729+22+40</f>
        <v>1791</v>
      </c>
      <c r="F559" s="4">
        <f>4948+69+146</f>
        <v>5163</v>
      </c>
      <c r="G559" s="1">
        <f t="shared" si="105"/>
        <v>6954</v>
      </c>
      <c r="H559" s="2">
        <f t="shared" si="106"/>
        <v>0.25754961173425367</v>
      </c>
      <c r="I559" s="2">
        <f t="shared" si="107"/>
        <v>0.74245038826574639</v>
      </c>
      <c r="J559" s="6">
        <f>196303.4+63493.1+151213.4</f>
        <v>411009.9</v>
      </c>
      <c r="K559" s="6">
        <f>747560+174866.3+1004553.4</f>
        <v>1926979.7000000002</v>
      </c>
      <c r="L559" s="1">
        <f t="shared" si="102"/>
        <v>2337989.6</v>
      </c>
      <c r="M559" s="2">
        <f t="shared" si="103"/>
        <v>0.17579629096724811</v>
      </c>
      <c r="N559" s="2">
        <f t="shared" si="104"/>
        <v>0.82420370903275197</v>
      </c>
    </row>
    <row r="560" spans="1:14" x14ac:dyDescent="0.35">
      <c r="A560" t="s">
        <v>16</v>
      </c>
      <c r="B560" t="s">
        <v>24</v>
      </c>
      <c r="C560">
        <v>2016</v>
      </c>
      <c r="D560" t="s">
        <v>31</v>
      </c>
      <c r="E560" s="4">
        <f>1701+23+39</f>
        <v>1763</v>
      </c>
      <c r="F560" s="4">
        <f>4975+69+148</f>
        <v>5192</v>
      </c>
      <c r="G560" s="1">
        <f t="shared" si="105"/>
        <v>6955</v>
      </c>
      <c r="H560" s="2">
        <f t="shared" si="106"/>
        <v>0.25348670021567216</v>
      </c>
      <c r="I560" s="2">
        <f t="shared" si="107"/>
        <v>0.74651329978432779</v>
      </c>
      <c r="J560" s="6">
        <f>205694.6+75684.1+135429.8</f>
        <v>416808.5</v>
      </c>
      <c r="K560" s="6">
        <f>811748.7+166621.5+1019580.4</f>
        <v>1997950.6</v>
      </c>
      <c r="L560" s="1">
        <f t="shared" si="102"/>
        <v>2414759.1</v>
      </c>
      <c r="M560" s="2">
        <f t="shared" si="103"/>
        <v>0.17260872937594479</v>
      </c>
      <c r="N560" s="2">
        <f t="shared" si="104"/>
        <v>0.82739127062405526</v>
      </c>
    </row>
    <row r="561" spans="1:14" x14ac:dyDescent="0.35">
      <c r="A561" t="s">
        <v>16</v>
      </c>
      <c r="B561" t="s">
        <v>25</v>
      </c>
      <c r="C561">
        <v>2016</v>
      </c>
      <c r="D561" t="s">
        <v>31</v>
      </c>
      <c r="E561" s="4">
        <f>1694+23+39</f>
        <v>1756</v>
      </c>
      <c r="F561" s="4">
        <f>5000+69+148</f>
        <v>5217</v>
      </c>
      <c r="G561" s="1">
        <f t="shared" si="105"/>
        <v>6973</v>
      </c>
      <c r="H561" s="2">
        <f t="shared" si="106"/>
        <v>0.25182848128495627</v>
      </c>
      <c r="I561" s="2">
        <f t="shared" si="107"/>
        <v>0.74817151871504373</v>
      </c>
      <c r="J561" s="6">
        <f>212973+91702.8+125748.7</f>
        <v>430424.5</v>
      </c>
      <c r="K561" s="6">
        <f>823633.1+178556.9+1070925.1</f>
        <v>2073115.1</v>
      </c>
      <c r="L561" s="1">
        <f t="shared" si="102"/>
        <v>2503539.6</v>
      </c>
      <c r="M561" s="2">
        <f t="shared" si="103"/>
        <v>0.17192637975448841</v>
      </c>
      <c r="N561" s="2">
        <f t="shared" si="104"/>
        <v>0.82807362024551157</v>
      </c>
    </row>
    <row r="562" spans="1:14" x14ac:dyDescent="0.35">
      <c r="A562" t="s">
        <v>16</v>
      </c>
      <c r="B562" t="s">
        <v>26</v>
      </c>
      <c r="C562">
        <v>2016</v>
      </c>
      <c r="D562" t="s">
        <v>31</v>
      </c>
      <c r="E562" s="4">
        <f>1685+23+39</f>
        <v>1747</v>
      </c>
      <c r="F562" s="4">
        <f>5007+69+148</f>
        <v>5224</v>
      </c>
      <c r="G562" s="1">
        <f t="shared" si="105"/>
        <v>6971</v>
      </c>
      <c r="H562" s="2">
        <f t="shared" si="106"/>
        <v>0.25060966862716971</v>
      </c>
      <c r="I562" s="2">
        <f t="shared" si="107"/>
        <v>0.74939033137283029</v>
      </c>
      <c r="J562" s="6">
        <f>214701.6+87087.1+133196.5</f>
        <v>434985.2</v>
      </c>
      <c r="K562" s="6">
        <f>808778.5+180080.4+1062510.8</f>
        <v>2051369.7000000002</v>
      </c>
      <c r="L562" s="1">
        <f t="shared" si="102"/>
        <v>2486354.9000000004</v>
      </c>
      <c r="M562" s="2">
        <f t="shared" si="103"/>
        <v>0.17494895841297634</v>
      </c>
      <c r="N562" s="2">
        <f t="shared" si="104"/>
        <v>0.82505104158702358</v>
      </c>
    </row>
    <row r="563" spans="1:14" x14ac:dyDescent="0.35">
      <c r="A563" t="s">
        <v>16</v>
      </c>
      <c r="B563" t="s">
        <v>27</v>
      </c>
      <c r="C563">
        <v>2016</v>
      </c>
      <c r="D563" t="s">
        <v>31</v>
      </c>
      <c r="E563" s="4">
        <f>1692+23+19+21</f>
        <v>1755</v>
      </c>
      <c r="F563" s="4">
        <v>5237</v>
      </c>
      <c r="G563" s="1">
        <f t="shared" si="105"/>
        <v>6992</v>
      </c>
      <c r="H563" s="2">
        <f t="shared" si="106"/>
        <v>0.25100114416475972</v>
      </c>
      <c r="I563" s="2">
        <f t="shared" si="107"/>
        <v>0.74899885583524028</v>
      </c>
      <c r="J563" s="4">
        <v>406272</v>
      </c>
      <c r="K563" s="4">
        <v>2002357</v>
      </c>
      <c r="L563" s="1">
        <f t="shared" si="102"/>
        <v>2408629</v>
      </c>
      <c r="M563" s="2">
        <f t="shared" si="103"/>
        <v>0.16867354831316902</v>
      </c>
      <c r="N563" s="2">
        <f t="shared" si="104"/>
        <v>0.83132645168683095</v>
      </c>
    </row>
    <row r="564" spans="1:14" x14ac:dyDescent="0.35">
      <c r="A564" t="s">
        <v>16</v>
      </c>
      <c r="B564" t="s">
        <v>28</v>
      </c>
      <c r="C564">
        <v>2016</v>
      </c>
      <c r="D564" t="s">
        <v>31</v>
      </c>
      <c r="E564" s="4">
        <f>1682+23+19+21</f>
        <v>1745</v>
      </c>
      <c r="F564" s="4">
        <v>5255</v>
      </c>
      <c r="G564" s="1">
        <f t="shared" si="105"/>
        <v>7000</v>
      </c>
      <c r="H564" s="2">
        <f t="shared" si="106"/>
        <v>0.24928571428571428</v>
      </c>
      <c r="I564" s="2">
        <f t="shared" si="107"/>
        <v>0.75071428571428567</v>
      </c>
      <c r="J564" s="4">
        <v>388179</v>
      </c>
      <c r="K564" s="4">
        <v>1876427.2</v>
      </c>
      <c r="L564" s="1">
        <f t="shared" si="102"/>
        <v>2264606.2000000002</v>
      </c>
      <c r="M564" s="2">
        <f t="shared" si="103"/>
        <v>0.17141125905245688</v>
      </c>
      <c r="N564" s="2">
        <f t="shared" si="104"/>
        <v>0.82858874094754298</v>
      </c>
    </row>
    <row r="565" spans="1:14" x14ac:dyDescent="0.35">
      <c r="A565" t="s">
        <v>16</v>
      </c>
      <c r="B565" t="s">
        <v>29</v>
      </c>
      <c r="C565">
        <v>2016</v>
      </c>
      <c r="D565" t="s">
        <v>31</v>
      </c>
      <c r="E565" s="4">
        <f>1694+23+19+21</f>
        <v>1757</v>
      </c>
      <c r="F565" s="4">
        <v>5239</v>
      </c>
      <c r="G565" s="1">
        <f t="shared" si="105"/>
        <v>6996</v>
      </c>
      <c r="H565" s="2">
        <f t="shared" si="106"/>
        <v>0.25114351057747286</v>
      </c>
      <c r="I565" s="2">
        <f t="shared" si="107"/>
        <v>0.74885648942252714</v>
      </c>
      <c r="J565" s="4">
        <v>365064</v>
      </c>
      <c r="K565" s="4">
        <v>1922292.1</v>
      </c>
      <c r="L565" s="1">
        <f t="shared" si="102"/>
        <v>2287356.1</v>
      </c>
      <c r="M565" s="2">
        <f t="shared" si="103"/>
        <v>0.15960085969998286</v>
      </c>
      <c r="N565" s="2">
        <f t="shared" si="104"/>
        <v>0.84039914030001717</v>
      </c>
    </row>
    <row r="566" spans="1:14" x14ac:dyDescent="0.35">
      <c r="A566" t="s">
        <v>16</v>
      </c>
      <c r="B566" t="s">
        <v>17</v>
      </c>
      <c r="C566">
        <v>2017</v>
      </c>
      <c r="D566" t="s">
        <v>31</v>
      </c>
      <c r="E566" s="4">
        <f>2039+21+17+21</f>
        <v>2098</v>
      </c>
      <c r="F566" s="4">
        <v>4900</v>
      </c>
      <c r="G566" s="1">
        <f t="shared" si="105"/>
        <v>6998</v>
      </c>
      <c r="H566" s="2">
        <f t="shared" si="106"/>
        <v>0.29979994284081168</v>
      </c>
      <c r="I566" s="2">
        <f t="shared" si="107"/>
        <v>0.70020005715918832</v>
      </c>
      <c r="J566" s="4">
        <f>76.6+32946+192633+66366.48+81985.2</f>
        <v>374007.28</v>
      </c>
      <c r="K566" s="4">
        <v>1928731</v>
      </c>
      <c r="L566" s="1">
        <f t="shared" si="102"/>
        <v>2302738.2800000003</v>
      </c>
      <c r="M566" s="2">
        <f t="shared" si="103"/>
        <v>0.16241849247409915</v>
      </c>
      <c r="N566" s="2">
        <f t="shared" si="104"/>
        <v>0.83758150752590077</v>
      </c>
    </row>
    <row r="567" spans="1:14" x14ac:dyDescent="0.35">
      <c r="A567" t="s">
        <v>16</v>
      </c>
      <c r="B567" t="s">
        <v>19</v>
      </c>
      <c r="C567">
        <v>2017</v>
      </c>
      <c r="D567" t="s">
        <v>31</v>
      </c>
      <c r="E567" s="4">
        <f>2169+21+17+21</f>
        <v>2228</v>
      </c>
      <c r="F567" s="4">
        <v>4781</v>
      </c>
      <c r="G567" s="1">
        <f t="shared" si="105"/>
        <v>7009</v>
      </c>
      <c r="H567" s="2">
        <f t="shared" si="106"/>
        <v>0.31787701526608647</v>
      </c>
      <c r="I567" s="2">
        <f t="shared" si="107"/>
        <v>0.68212298473391353</v>
      </c>
      <c r="J567" s="4">
        <f xml:space="preserve"> 46.1+24543.8+189024.3+49207.8+66768.8</f>
        <v>329590.8</v>
      </c>
      <c r="K567" s="4">
        <v>1860035</v>
      </c>
      <c r="L567" s="1">
        <f t="shared" si="102"/>
        <v>2189625.7999999998</v>
      </c>
      <c r="M567" s="2">
        <f t="shared" si="103"/>
        <v>0.15052380182951811</v>
      </c>
      <c r="N567" s="2">
        <f t="shared" si="104"/>
        <v>0.84947619817048203</v>
      </c>
    </row>
    <row r="568" spans="1:14" x14ac:dyDescent="0.35">
      <c r="A568" t="s">
        <v>16</v>
      </c>
      <c r="B568" t="s">
        <v>20</v>
      </c>
      <c r="C568">
        <v>2017</v>
      </c>
      <c r="D568" t="s">
        <v>31</v>
      </c>
      <c r="E568" s="4">
        <f>2162+21+17+21</f>
        <v>2221</v>
      </c>
      <c r="F568" s="4">
        <v>4780</v>
      </c>
      <c r="G568" s="1">
        <f t="shared" si="105"/>
        <v>7001</v>
      </c>
      <c r="H568" s="2">
        <f t="shared" si="106"/>
        <v>0.31724039422939582</v>
      </c>
      <c r="I568" s="2">
        <f t="shared" si="107"/>
        <v>0.68275960577060424</v>
      </c>
      <c r="J568" s="4">
        <f xml:space="preserve"> 13+22197.3+192480.1+47909.9+62831.7</f>
        <v>325432</v>
      </c>
      <c r="K568" s="4">
        <v>1887238</v>
      </c>
      <c r="L568" s="1">
        <f t="shared" si="102"/>
        <v>2212670</v>
      </c>
      <c r="M568" s="2">
        <f t="shared" si="103"/>
        <v>0.14707660880293943</v>
      </c>
      <c r="N568" s="2">
        <f t="shared" si="104"/>
        <v>0.85292339119706051</v>
      </c>
    </row>
    <row r="569" spans="1:14" x14ac:dyDescent="0.35">
      <c r="A569" t="s">
        <v>16</v>
      </c>
      <c r="B569" t="s">
        <v>21</v>
      </c>
      <c r="C569">
        <v>2017</v>
      </c>
      <c r="D569" t="s">
        <v>31</v>
      </c>
      <c r="E569" s="4">
        <f>2179+21+17+20</f>
        <v>2237</v>
      </c>
      <c r="F569" s="4">
        <f>6721+93+188-2237</f>
        <v>4765</v>
      </c>
      <c r="G569" s="1">
        <f t="shared" si="105"/>
        <v>7002</v>
      </c>
      <c r="H569" s="2">
        <f t="shared" si="106"/>
        <v>0.3194801485289917</v>
      </c>
      <c r="I569" s="2">
        <f t="shared" si="107"/>
        <v>0.68051985147100824</v>
      </c>
      <c r="J569" s="4">
        <f xml:space="preserve"> 10.9+36829.6+204988.2+54206.3+66548.6</f>
        <v>362583.6</v>
      </c>
      <c r="K569" s="4">
        <f>989998.5+259869.5+1173142.8-362584</f>
        <v>2060426.7999999998</v>
      </c>
      <c r="L569" s="1">
        <f t="shared" si="102"/>
        <v>2423010.4</v>
      </c>
      <c r="M569" s="2">
        <f t="shared" si="103"/>
        <v>0.14964178445127599</v>
      </c>
      <c r="N569" s="2">
        <f t="shared" si="104"/>
        <v>0.85035821554872393</v>
      </c>
    </row>
    <row r="570" spans="1:14" x14ac:dyDescent="0.35">
      <c r="A570" t="s">
        <v>16</v>
      </c>
      <c r="B570" t="s">
        <v>22</v>
      </c>
      <c r="C570">
        <v>2017</v>
      </c>
      <c r="D570" t="s">
        <v>31</v>
      </c>
      <c r="E570" s="4">
        <f>2160+21+17+20</f>
        <v>2218</v>
      </c>
      <c r="F570" s="4">
        <f>6720+93+188-2218</f>
        <v>4783</v>
      </c>
      <c r="G570" s="1">
        <f t="shared" si="105"/>
        <v>7001</v>
      </c>
      <c r="H570" s="2">
        <f t="shared" si="106"/>
        <v>0.31681188401656907</v>
      </c>
      <c r="I570" s="2">
        <f t="shared" si="107"/>
        <v>0.68318811598343099</v>
      </c>
      <c r="J570" s="4">
        <f xml:space="preserve"> 7.3+42076.6+198052.7+54810.6+68395.2</f>
        <v>363342.4</v>
      </c>
      <c r="K570" s="4">
        <f>971725.2+238373.3+1163976.5-363342</f>
        <v>2010733</v>
      </c>
      <c r="L570" s="1">
        <f t="shared" si="102"/>
        <v>2374075.4</v>
      </c>
      <c r="M570" s="2">
        <f t="shared" si="103"/>
        <v>0.15304585524116043</v>
      </c>
      <c r="N570" s="2">
        <f t="shared" si="104"/>
        <v>0.84695414475883957</v>
      </c>
    </row>
    <row r="571" spans="1:14" x14ac:dyDescent="0.35">
      <c r="A571" t="s">
        <v>16</v>
      </c>
      <c r="B571" t="s">
        <v>23</v>
      </c>
      <c r="C571">
        <v>2017</v>
      </c>
      <c r="D571" t="s">
        <v>31</v>
      </c>
      <c r="E571" s="4">
        <f>2140+21+17+20</f>
        <v>2198</v>
      </c>
      <c r="F571" s="4">
        <f>6740+93+189-2198</f>
        <v>4824</v>
      </c>
      <c r="G571" s="1">
        <f t="shared" si="105"/>
        <v>7022</v>
      </c>
      <c r="H571" s="2">
        <f t="shared" si="106"/>
        <v>0.31301623469097123</v>
      </c>
      <c r="I571" s="2">
        <f t="shared" si="107"/>
        <v>0.68698376530902872</v>
      </c>
      <c r="J571" s="4">
        <f xml:space="preserve"> 6.7+32044+208122.1+59798.9+65802.2</f>
        <v>365773.9</v>
      </c>
      <c r="K571" s="4">
        <f>989976.2+266479.7+1192088.2-365774</f>
        <v>2082770.0999999996</v>
      </c>
      <c r="L571" s="1">
        <f t="shared" si="102"/>
        <v>2448543.9999999995</v>
      </c>
      <c r="M571" s="2">
        <f t="shared" si="103"/>
        <v>0.14938424631127728</v>
      </c>
      <c r="N571" s="2">
        <f t="shared" si="104"/>
        <v>0.85061575368872278</v>
      </c>
    </row>
    <row r="572" spans="1:14" x14ac:dyDescent="0.35">
      <c r="A572" t="s">
        <v>16</v>
      </c>
      <c r="B572" t="s">
        <v>24</v>
      </c>
      <c r="C572">
        <v>2017</v>
      </c>
      <c r="D572" t="s">
        <v>31</v>
      </c>
      <c r="E572" s="4">
        <f>2141+21+17+20+1</f>
        <v>2200</v>
      </c>
      <c r="F572" s="4">
        <f>6737+93+189-E572</f>
        <v>4819</v>
      </c>
      <c r="G572" s="1">
        <f t="shared" si="105"/>
        <v>7019</v>
      </c>
      <c r="H572" s="2">
        <f t="shared" si="106"/>
        <v>0.31343496224533407</v>
      </c>
      <c r="I572" s="2">
        <f t="shared" si="107"/>
        <v>0.68656503775466593</v>
      </c>
      <c r="J572" s="4">
        <f>8.2+27187.6+220951.6+57834+70362</f>
        <v>376343.4</v>
      </c>
      <c r="K572" s="4">
        <f>1085280.1+270968.9+1197521.6-376343</f>
        <v>2177427.6</v>
      </c>
      <c r="L572" s="1">
        <f t="shared" si="102"/>
        <v>2553771</v>
      </c>
      <c r="M572" s="2">
        <f t="shared" si="103"/>
        <v>0.14736771621261266</v>
      </c>
      <c r="N572" s="2">
        <f t="shared" si="104"/>
        <v>0.85263228378738742</v>
      </c>
    </row>
    <row r="573" spans="1:14" x14ac:dyDescent="0.35">
      <c r="A573" t="s">
        <v>16</v>
      </c>
      <c r="B573" t="s">
        <v>25</v>
      </c>
      <c r="C573">
        <v>2017</v>
      </c>
      <c r="D573" t="s">
        <v>31</v>
      </c>
      <c r="E573" s="4">
        <f>2123+21+17+20+1</f>
        <v>2182</v>
      </c>
      <c r="F573" s="4">
        <f>6713+93+188-E573</f>
        <v>4812</v>
      </c>
      <c r="G573" s="1">
        <f t="shared" si="105"/>
        <v>6994</v>
      </c>
      <c r="H573" s="2">
        <f t="shared" si="106"/>
        <v>0.31198169859879898</v>
      </c>
      <c r="I573" s="2">
        <f t="shared" si="107"/>
        <v>0.68801830140120102</v>
      </c>
      <c r="J573" s="4">
        <f xml:space="preserve"> 4.5+34982.9+221618.2+58449.3+74974</f>
        <v>390028.9</v>
      </c>
      <c r="K573" s="4">
        <f>1056819.6+273048+1256043.7-390029</f>
        <v>2195882.2999999998</v>
      </c>
      <c r="L573" s="1">
        <f t="shared" si="102"/>
        <v>2585911.1999999997</v>
      </c>
      <c r="M573" s="2">
        <f t="shared" si="103"/>
        <v>0.15082841978487121</v>
      </c>
      <c r="N573" s="2">
        <f t="shared" si="104"/>
        <v>0.84917158021512884</v>
      </c>
    </row>
    <row r="574" spans="1:14" x14ac:dyDescent="0.35">
      <c r="A574" t="s">
        <v>16</v>
      </c>
      <c r="B574" t="s">
        <v>26</v>
      </c>
      <c r="C574">
        <v>2017</v>
      </c>
      <c r="D574" t="s">
        <v>31</v>
      </c>
      <c r="E574" s="4">
        <f>2116+21+17+20+1</f>
        <v>2175</v>
      </c>
      <c r="F574" s="4">
        <f>6698+92+188-E574</f>
        <v>4803</v>
      </c>
      <c r="G574" s="1">
        <f t="shared" si="105"/>
        <v>6978</v>
      </c>
      <c r="H574" s="2">
        <f t="shared" si="106"/>
        <v>0.31169389509888218</v>
      </c>
      <c r="I574" s="2">
        <f t="shared" si="107"/>
        <v>0.68830610490111777</v>
      </c>
      <c r="J574" s="4">
        <f xml:space="preserve"> 7.4+25778.7+220580.9+59978.1+71271.9</f>
        <v>377617</v>
      </c>
      <c r="K574" s="4">
        <f>1054381.7+277660.1+1246988.4-377617</f>
        <v>2201413.1999999997</v>
      </c>
      <c r="L574" s="1">
        <f t="shared" si="102"/>
        <v>2579030.1999999997</v>
      </c>
      <c r="M574" s="2">
        <f t="shared" si="103"/>
        <v>0.14641821565331031</v>
      </c>
      <c r="N574" s="2">
        <f t="shared" si="104"/>
        <v>0.85358178434668963</v>
      </c>
    </row>
    <row r="575" spans="1:14" x14ac:dyDescent="0.35">
      <c r="A575" t="s">
        <v>16</v>
      </c>
      <c r="B575" t="s">
        <v>27</v>
      </c>
      <c r="C575">
        <v>2017</v>
      </c>
      <c r="D575" t="s">
        <v>31</v>
      </c>
      <c r="E575" s="4">
        <f>2111+21+17+20+1</f>
        <v>2170</v>
      </c>
      <c r="F575" s="4">
        <f>6694+92+189-E575</f>
        <v>4805</v>
      </c>
      <c r="G575" s="1">
        <f t="shared" si="105"/>
        <v>6975</v>
      </c>
      <c r="H575" s="2">
        <f t="shared" si="106"/>
        <v>0.31111111111111112</v>
      </c>
      <c r="I575" s="2">
        <f t="shared" si="107"/>
        <v>0.68888888888888888</v>
      </c>
      <c r="J575" s="4">
        <f>210253.2+57337.4+70568.8+2.5+26187.1</f>
        <v>364349</v>
      </c>
      <c r="K575" s="4">
        <f>1015063.6+258156.7+1198658.5-J575</f>
        <v>2107529.7999999998</v>
      </c>
      <c r="L575" s="1">
        <f t="shared" si="102"/>
        <v>2471878.7999999998</v>
      </c>
      <c r="M575" s="2">
        <f t="shared" si="103"/>
        <v>0.147397598943767</v>
      </c>
      <c r="N575" s="2">
        <f t="shared" si="104"/>
        <v>0.85260240105623297</v>
      </c>
    </row>
    <row r="576" spans="1:14" x14ac:dyDescent="0.35">
      <c r="A576" t="s">
        <v>16</v>
      </c>
      <c r="B576" t="s">
        <v>28</v>
      </c>
      <c r="C576">
        <v>2017</v>
      </c>
      <c r="D576" t="s">
        <v>31</v>
      </c>
      <c r="E576" s="4">
        <f>2378+22+17+20+1</f>
        <v>2438</v>
      </c>
      <c r="F576" s="4">
        <f>6680+93+189-E576</f>
        <v>4524</v>
      </c>
      <c r="G576" s="1">
        <f t="shared" si="105"/>
        <v>6962</v>
      </c>
      <c r="H576" s="2">
        <f t="shared" si="106"/>
        <v>0.350186727951738</v>
      </c>
      <c r="I576" s="2">
        <f t="shared" si="107"/>
        <v>0.649813272048262</v>
      </c>
      <c r="J576" s="4">
        <f>2+24291.9+190252.2+56789.1+65071.5</f>
        <v>336406.7</v>
      </c>
      <c r="K576" s="4">
        <f>995292.2+249146.4+1105988.5-J576</f>
        <v>2014020.3999999997</v>
      </c>
      <c r="L576" s="1">
        <f t="shared" si="102"/>
        <v>2350427.0999999996</v>
      </c>
      <c r="M576" s="2">
        <f t="shared" si="103"/>
        <v>0.14312577488576442</v>
      </c>
      <c r="N576" s="2">
        <f t="shared" si="104"/>
        <v>0.85687422511423561</v>
      </c>
    </row>
    <row r="577" spans="1:14" x14ac:dyDescent="0.35">
      <c r="A577" t="s">
        <v>16</v>
      </c>
      <c r="B577" t="s">
        <v>29</v>
      </c>
      <c r="C577">
        <v>2017</v>
      </c>
      <c r="D577" t="s">
        <v>31</v>
      </c>
      <c r="E577" s="4">
        <f>2104+22+17+20+1</f>
        <v>2164</v>
      </c>
      <c r="F577" s="4">
        <f>7639+93+189-E577</f>
        <v>5757</v>
      </c>
      <c r="G577" s="1">
        <f t="shared" si="105"/>
        <v>7921</v>
      </c>
      <c r="H577" s="2">
        <f t="shared" si="106"/>
        <v>0.27319782855700037</v>
      </c>
      <c r="I577" s="2">
        <f t="shared" si="107"/>
        <v>0.72680217144299963</v>
      </c>
      <c r="J577" s="4">
        <f>2.2+25719.7+196750.7+57572.7+66706.9</f>
        <v>346752.19999999995</v>
      </c>
      <c r="K577" s="4">
        <f>987671.3+268807.8+1173339.2-J577</f>
        <v>2083066.0999999999</v>
      </c>
      <c r="L577" s="1">
        <f t="shared" si="102"/>
        <v>2429818.2999999998</v>
      </c>
      <c r="M577" s="2">
        <f t="shared" si="103"/>
        <v>0.14270704932957332</v>
      </c>
      <c r="N577" s="2">
        <f t="shared" si="104"/>
        <v>0.85729295067042666</v>
      </c>
    </row>
    <row r="578" spans="1:14" x14ac:dyDescent="0.35">
      <c r="A578" t="s">
        <v>16</v>
      </c>
      <c r="B578" t="s">
        <v>17</v>
      </c>
      <c r="C578">
        <v>2002</v>
      </c>
      <c r="D578" t="s">
        <v>32</v>
      </c>
      <c r="E578" s="4">
        <v>94721</v>
      </c>
      <c r="F578" s="4">
        <v>5</v>
      </c>
      <c r="G578" s="1">
        <f t="shared" si="105"/>
        <v>94726</v>
      </c>
      <c r="H578" s="2">
        <f t="shared" si="106"/>
        <v>0.99994721618140747</v>
      </c>
      <c r="I578" s="2">
        <f t="shared" si="107"/>
        <v>5.278381859257226E-5</v>
      </c>
      <c r="J578" s="4">
        <v>25480.23</v>
      </c>
      <c r="K578" s="4">
        <v>0</v>
      </c>
      <c r="L578" s="1">
        <f t="shared" ref="L578:L641" si="108">SUM(J578:K578)</f>
        <v>25480.23</v>
      </c>
      <c r="M578" s="2">
        <f t="shared" ref="M578:M641" si="109">SUM(J578)/L578</f>
        <v>1</v>
      </c>
      <c r="N578" s="2">
        <f t="shared" ref="N578:N641" si="110">SUM(K578/L578)</f>
        <v>0</v>
      </c>
    </row>
    <row r="579" spans="1:14" x14ac:dyDescent="0.35">
      <c r="A579" t="s">
        <v>16</v>
      </c>
      <c r="B579" t="s">
        <v>19</v>
      </c>
      <c r="C579">
        <v>2002</v>
      </c>
      <c r="D579" t="s">
        <v>32</v>
      </c>
      <c r="E579" s="4">
        <v>94721</v>
      </c>
      <c r="F579" s="4">
        <v>506</v>
      </c>
      <c r="G579" s="1">
        <f t="shared" si="105"/>
        <v>95227</v>
      </c>
      <c r="H579" s="2">
        <f t="shared" si="106"/>
        <v>0.99468638096338224</v>
      </c>
      <c r="I579" s="2">
        <f t="shared" si="107"/>
        <v>5.3136190366177656E-3</v>
      </c>
      <c r="J579" s="4">
        <v>25480.23</v>
      </c>
      <c r="K579" s="4">
        <v>4425.7740000000013</v>
      </c>
      <c r="L579" s="1">
        <f t="shared" si="108"/>
        <v>29906.004000000001</v>
      </c>
      <c r="M579" s="2">
        <f t="shared" si="109"/>
        <v>0.85201051935925642</v>
      </c>
      <c r="N579" s="2">
        <f t="shared" si="110"/>
        <v>0.1479894806407436</v>
      </c>
    </row>
    <row r="580" spans="1:14" x14ac:dyDescent="0.35">
      <c r="A580" t="s">
        <v>16</v>
      </c>
      <c r="B580" t="s">
        <v>20</v>
      </c>
      <c r="C580">
        <v>2002</v>
      </c>
      <c r="D580" t="s">
        <v>32</v>
      </c>
      <c r="E580" s="4">
        <v>112035</v>
      </c>
      <c r="F580" s="4">
        <v>772</v>
      </c>
      <c r="G580" s="1">
        <f t="shared" ref="G580:G643" si="111">SUM(E580:F580)</f>
        <v>112807</v>
      </c>
      <c r="H580" s="2">
        <f t="shared" ref="H580:H643" si="112">SUM(E580)/G580</f>
        <v>0.99315645305699118</v>
      </c>
      <c r="I580" s="2">
        <f t="shared" ref="I580:I643" si="113">SUM(F580/G580)</f>
        <v>6.8435469430088557E-3</v>
      </c>
      <c r="J580" s="4">
        <v>29237.991999999998</v>
      </c>
      <c r="K580" s="4">
        <v>12322.069000000003</v>
      </c>
      <c r="L580" s="1">
        <f t="shared" si="108"/>
        <v>41560.061000000002</v>
      </c>
      <c r="M580" s="2">
        <f t="shared" si="109"/>
        <v>0.70351176818532579</v>
      </c>
      <c r="N580" s="2">
        <f t="shared" si="110"/>
        <v>0.29648823181467426</v>
      </c>
    </row>
    <row r="581" spans="1:14" x14ac:dyDescent="0.35">
      <c r="A581" t="s">
        <v>16</v>
      </c>
      <c r="B581" t="s">
        <v>21</v>
      </c>
      <c r="C581">
        <v>2002</v>
      </c>
      <c r="D581" t="s">
        <v>32</v>
      </c>
      <c r="E581" s="4">
        <v>111313</v>
      </c>
      <c r="F581" s="4">
        <v>884</v>
      </c>
      <c r="G581" s="1">
        <f t="shared" si="111"/>
        <v>112197</v>
      </c>
      <c r="H581" s="2">
        <f t="shared" si="112"/>
        <v>0.9921210014528018</v>
      </c>
      <c r="I581" s="2">
        <f t="shared" si="113"/>
        <v>7.8789985471982311E-3</v>
      </c>
      <c r="J581" s="4">
        <v>27985.363999999998</v>
      </c>
      <c r="K581" s="4">
        <v>14178.679</v>
      </c>
      <c r="L581" s="1">
        <f t="shared" si="108"/>
        <v>42164.042999999998</v>
      </c>
      <c r="M581" s="2">
        <f t="shared" si="109"/>
        <v>0.66372581965159272</v>
      </c>
      <c r="N581" s="2">
        <f t="shared" si="110"/>
        <v>0.33627418034840734</v>
      </c>
    </row>
    <row r="582" spans="1:14" x14ac:dyDescent="0.35">
      <c r="A582" t="s">
        <v>16</v>
      </c>
      <c r="B582" t="s">
        <v>22</v>
      </c>
      <c r="C582">
        <v>2002</v>
      </c>
      <c r="D582" t="s">
        <v>32</v>
      </c>
      <c r="E582" s="4">
        <v>109152</v>
      </c>
      <c r="F582" s="4">
        <v>1028</v>
      </c>
      <c r="G582" s="1">
        <f t="shared" si="111"/>
        <v>110180</v>
      </c>
      <c r="H582" s="2">
        <f t="shared" si="112"/>
        <v>0.99066981303321833</v>
      </c>
      <c r="I582" s="2">
        <f t="shared" si="113"/>
        <v>9.3301869667816294E-3</v>
      </c>
      <c r="J582" s="4">
        <v>26500.456000000002</v>
      </c>
      <c r="K582" s="4">
        <v>14359.715</v>
      </c>
      <c r="L582" s="1">
        <f t="shared" si="108"/>
        <v>40860.171000000002</v>
      </c>
      <c r="M582" s="2">
        <f t="shared" si="109"/>
        <v>0.64856449083387346</v>
      </c>
      <c r="N582" s="2">
        <f t="shared" si="110"/>
        <v>0.35143550916612659</v>
      </c>
    </row>
    <row r="583" spans="1:14" x14ac:dyDescent="0.35">
      <c r="A583" t="s">
        <v>16</v>
      </c>
      <c r="B583" t="s">
        <v>23</v>
      </c>
      <c r="C583">
        <v>2002</v>
      </c>
      <c r="D583" t="s">
        <v>32</v>
      </c>
      <c r="E583" s="4">
        <v>110336</v>
      </c>
      <c r="F583" s="4">
        <v>1399</v>
      </c>
      <c r="G583" s="1">
        <f t="shared" si="111"/>
        <v>111735</v>
      </c>
      <c r="H583" s="2">
        <f t="shared" si="112"/>
        <v>0.98747930370967019</v>
      </c>
      <c r="I583" s="2">
        <f t="shared" si="113"/>
        <v>1.2520696290329798E-2</v>
      </c>
      <c r="J583" s="4">
        <v>28218.807000000001</v>
      </c>
      <c r="K583" s="4">
        <v>14728.572</v>
      </c>
      <c r="L583" s="1">
        <f t="shared" si="108"/>
        <v>42947.379000000001</v>
      </c>
      <c r="M583" s="2">
        <f t="shared" si="109"/>
        <v>0.65705539329885532</v>
      </c>
      <c r="N583" s="2">
        <f t="shared" si="110"/>
        <v>0.34294460670114468</v>
      </c>
    </row>
    <row r="584" spans="1:14" x14ac:dyDescent="0.35">
      <c r="A584" t="s">
        <v>16</v>
      </c>
      <c r="B584" t="s">
        <v>24</v>
      </c>
      <c r="C584">
        <v>2002</v>
      </c>
      <c r="D584" t="s">
        <v>32</v>
      </c>
      <c r="E584" s="4">
        <v>108539</v>
      </c>
      <c r="F584" s="4">
        <v>1445</v>
      </c>
      <c r="G584" s="1">
        <f t="shared" si="111"/>
        <v>109984</v>
      </c>
      <c r="H584" s="2">
        <f t="shared" si="112"/>
        <v>0.98686172534186789</v>
      </c>
      <c r="I584" s="2">
        <f t="shared" si="113"/>
        <v>1.3138274658132092E-2</v>
      </c>
      <c r="J584" s="4">
        <v>27076.575000000001</v>
      </c>
      <c r="K584" s="4">
        <v>15395.927000000007</v>
      </c>
      <c r="L584" s="1">
        <f t="shared" si="108"/>
        <v>42472.502000000008</v>
      </c>
      <c r="M584" s="2">
        <f t="shared" si="109"/>
        <v>0.6375083577605104</v>
      </c>
      <c r="N584" s="2">
        <f t="shared" si="110"/>
        <v>0.36249164223948954</v>
      </c>
    </row>
    <row r="585" spans="1:14" x14ac:dyDescent="0.35">
      <c r="A585" t="s">
        <v>16</v>
      </c>
      <c r="B585" t="s">
        <v>25</v>
      </c>
      <c r="C585">
        <v>2002</v>
      </c>
      <c r="D585" t="s">
        <v>32</v>
      </c>
      <c r="E585" s="4">
        <v>108116</v>
      </c>
      <c r="F585" s="4">
        <v>1469</v>
      </c>
      <c r="G585" s="1">
        <f t="shared" si="111"/>
        <v>109585</v>
      </c>
      <c r="H585" s="2">
        <f t="shared" si="112"/>
        <v>0.98659488068622525</v>
      </c>
      <c r="I585" s="2">
        <f t="shared" si="113"/>
        <v>1.3405119313774696E-2</v>
      </c>
      <c r="J585" s="4">
        <v>24987.457000000002</v>
      </c>
      <c r="K585" s="4">
        <v>15452.277999999998</v>
      </c>
      <c r="L585" s="1">
        <f t="shared" si="108"/>
        <v>40439.735000000001</v>
      </c>
      <c r="M585" s="2">
        <f t="shared" si="109"/>
        <v>0.61789368797792577</v>
      </c>
      <c r="N585" s="2">
        <f t="shared" si="110"/>
        <v>0.38210631202207429</v>
      </c>
    </row>
    <row r="586" spans="1:14" x14ac:dyDescent="0.35">
      <c r="A586" t="s">
        <v>16</v>
      </c>
      <c r="B586" t="s">
        <v>26</v>
      </c>
      <c r="C586">
        <v>2002</v>
      </c>
      <c r="D586" t="s">
        <v>32</v>
      </c>
      <c r="E586" s="4">
        <v>107711</v>
      </c>
      <c r="F586" s="4">
        <v>1564</v>
      </c>
      <c r="G586" s="1">
        <f t="shared" si="111"/>
        <v>109275</v>
      </c>
      <c r="H586" s="2">
        <f t="shared" si="112"/>
        <v>0.98568748570121256</v>
      </c>
      <c r="I586" s="2">
        <f t="shared" si="113"/>
        <v>1.4312514298787464E-2</v>
      </c>
      <c r="J586" s="4">
        <v>26266.613000000001</v>
      </c>
      <c r="K586" s="4">
        <v>17227.71</v>
      </c>
      <c r="L586" s="1">
        <f t="shared" si="108"/>
        <v>43494.323000000004</v>
      </c>
      <c r="M586" s="2">
        <f t="shared" si="109"/>
        <v>0.60390899750296145</v>
      </c>
      <c r="N586" s="2">
        <f t="shared" si="110"/>
        <v>0.39609100249703849</v>
      </c>
    </row>
    <row r="587" spans="1:14" x14ac:dyDescent="0.35">
      <c r="A587" t="s">
        <v>16</v>
      </c>
      <c r="B587" t="s">
        <v>27</v>
      </c>
      <c r="C587">
        <v>2002</v>
      </c>
      <c r="D587" t="s">
        <v>32</v>
      </c>
      <c r="E587" s="4">
        <v>107151</v>
      </c>
      <c r="F587" s="4">
        <v>1750</v>
      </c>
      <c r="G587" s="1">
        <f t="shared" si="111"/>
        <v>108901</v>
      </c>
      <c r="H587" s="2">
        <f t="shared" si="112"/>
        <v>0.98393035876621882</v>
      </c>
      <c r="I587" s="2">
        <f t="shared" si="113"/>
        <v>1.6069641233781139E-2</v>
      </c>
      <c r="J587" s="4">
        <v>25792.135999999999</v>
      </c>
      <c r="K587" s="4">
        <v>16158.416000000005</v>
      </c>
      <c r="L587" s="1">
        <f t="shared" si="108"/>
        <v>41950.552000000003</v>
      </c>
      <c r="M587" s="2">
        <f t="shared" si="109"/>
        <v>0.61482232701014272</v>
      </c>
      <c r="N587" s="2">
        <f t="shared" si="110"/>
        <v>0.38517767298985728</v>
      </c>
    </row>
    <row r="588" spans="1:14" x14ac:dyDescent="0.35">
      <c r="A588" t="s">
        <v>16</v>
      </c>
      <c r="B588" t="s">
        <v>28</v>
      </c>
      <c r="C588">
        <v>2002</v>
      </c>
      <c r="D588" t="s">
        <v>32</v>
      </c>
      <c r="E588" s="4">
        <v>106697</v>
      </c>
      <c r="F588" s="4">
        <v>1903</v>
      </c>
      <c r="G588" s="1">
        <f t="shared" si="111"/>
        <v>108600</v>
      </c>
      <c r="H588" s="2">
        <f t="shared" si="112"/>
        <v>0.98247697974217307</v>
      </c>
      <c r="I588" s="2">
        <f t="shared" si="113"/>
        <v>1.7523020257826889E-2</v>
      </c>
      <c r="J588" s="4">
        <v>26037.058000000001</v>
      </c>
      <c r="K588" s="4">
        <v>16282.549000000003</v>
      </c>
      <c r="L588" s="1">
        <f t="shared" si="108"/>
        <v>42319.607000000004</v>
      </c>
      <c r="M588" s="2">
        <f t="shared" si="109"/>
        <v>0.61524810473783464</v>
      </c>
      <c r="N588" s="2">
        <f t="shared" si="110"/>
        <v>0.38475189526216541</v>
      </c>
    </row>
    <row r="589" spans="1:14" x14ac:dyDescent="0.35">
      <c r="A589" t="s">
        <v>16</v>
      </c>
      <c r="B589" t="s">
        <v>29</v>
      </c>
      <c r="C589">
        <v>2002</v>
      </c>
      <c r="D589" t="s">
        <v>32</v>
      </c>
      <c r="E589" s="4">
        <v>106111</v>
      </c>
      <c r="F589" s="4">
        <v>2147</v>
      </c>
      <c r="G589" s="1">
        <f t="shared" si="111"/>
        <v>108258</v>
      </c>
      <c r="H589" s="2">
        <f t="shared" si="112"/>
        <v>0.98016774741820467</v>
      </c>
      <c r="I589" s="2">
        <f t="shared" si="113"/>
        <v>1.9832252581795339E-2</v>
      </c>
      <c r="J589" s="4">
        <v>26258.975999999999</v>
      </c>
      <c r="K589" s="4">
        <v>16010.791999999998</v>
      </c>
      <c r="L589" s="1">
        <f t="shared" si="108"/>
        <v>42269.767999999996</v>
      </c>
      <c r="M589" s="2">
        <f t="shared" si="109"/>
        <v>0.621223565740886</v>
      </c>
      <c r="N589" s="2">
        <f t="shared" si="110"/>
        <v>0.37877643425911395</v>
      </c>
    </row>
    <row r="590" spans="1:14" x14ac:dyDescent="0.35">
      <c r="A590" t="s">
        <v>16</v>
      </c>
      <c r="B590" t="s">
        <v>17</v>
      </c>
      <c r="C590">
        <v>2003</v>
      </c>
      <c r="D590" t="s">
        <v>32</v>
      </c>
      <c r="E590" s="4">
        <v>105531</v>
      </c>
      <c r="F590" s="4">
        <v>2416</v>
      </c>
      <c r="G590" s="1">
        <f t="shared" si="111"/>
        <v>107947</v>
      </c>
      <c r="H590" s="2">
        <f t="shared" si="112"/>
        <v>0.97761864618748084</v>
      </c>
      <c r="I590" s="2">
        <f t="shared" si="113"/>
        <v>2.2381353812519107E-2</v>
      </c>
      <c r="J590" s="4">
        <v>25732</v>
      </c>
      <c r="K590" s="4">
        <v>17020</v>
      </c>
      <c r="L590" s="1">
        <f t="shared" si="108"/>
        <v>42752</v>
      </c>
      <c r="M590" s="2">
        <f t="shared" si="109"/>
        <v>0.60188997005988021</v>
      </c>
      <c r="N590" s="2">
        <f t="shared" si="110"/>
        <v>0.39811002994011974</v>
      </c>
    </row>
    <row r="591" spans="1:14" x14ac:dyDescent="0.35">
      <c r="A591" t="s">
        <v>16</v>
      </c>
      <c r="B591" t="s">
        <v>19</v>
      </c>
      <c r="C591">
        <v>2003</v>
      </c>
      <c r="D591" t="s">
        <v>32</v>
      </c>
      <c r="E591" s="4">
        <v>104627</v>
      </c>
      <c r="F591" s="4">
        <v>2886</v>
      </c>
      <c r="G591" s="1">
        <f t="shared" si="111"/>
        <v>107513</v>
      </c>
      <c r="H591" s="2">
        <f t="shared" si="112"/>
        <v>0.97315673453442841</v>
      </c>
      <c r="I591" s="2">
        <f t="shared" si="113"/>
        <v>2.6843265465571604E-2</v>
      </c>
      <c r="J591" s="4">
        <v>25504</v>
      </c>
      <c r="K591" s="4">
        <v>17444</v>
      </c>
      <c r="L591" s="1">
        <f t="shared" si="108"/>
        <v>42948</v>
      </c>
      <c r="M591" s="2">
        <f t="shared" si="109"/>
        <v>0.59383440439601376</v>
      </c>
      <c r="N591" s="2">
        <f t="shared" si="110"/>
        <v>0.40616559560398624</v>
      </c>
    </row>
    <row r="592" spans="1:14" x14ac:dyDescent="0.35">
      <c r="A592" t="s">
        <v>16</v>
      </c>
      <c r="B592" t="s">
        <v>20</v>
      </c>
      <c r="C592">
        <v>2003</v>
      </c>
      <c r="D592" t="s">
        <v>32</v>
      </c>
      <c r="E592" s="4">
        <v>103920</v>
      </c>
      <c r="F592" s="4">
        <v>3186</v>
      </c>
      <c r="G592" s="1">
        <f t="shared" si="111"/>
        <v>107106</v>
      </c>
      <c r="H592" s="2">
        <f t="shared" si="112"/>
        <v>0.97025376729594981</v>
      </c>
      <c r="I592" s="2">
        <f t="shared" si="113"/>
        <v>2.9746232704050194E-2</v>
      </c>
      <c r="J592" s="4">
        <v>24858</v>
      </c>
      <c r="K592" s="4">
        <v>17518</v>
      </c>
      <c r="L592" s="1">
        <f t="shared" si="108"/>
        <v>42376</v>
      </c>
      <c r="M592" s="2">
        <f t="shared" si="109"/>
        <v>0.58660562582593923</v>
      </c>
      <c r="N592" s="2">
        <f t="shared" si="110"/>
        <v>0.41339437417406077</v>
      </c>
    </row>
    <row r="593" spans="1:14" x14ac:dyDescent="0.35">
      <c r="A593" t="s">
        <v>16</v>
      </c>
      <c r="B593" t="s">
        <v>21</v>
      </c>
      <c r="C593">
        <v>2003</v>
      </c>
      <c r="D593" t="s">
        <v>32</v>
      </c>
      <c r="E593" s="4">
        <v>103232</v>
      </c>
      <c r="F593" s="4">
        <v>3425</v>
      </c>
      <c r="G593" s="1">
        <f t="shared" si="111"/>
        <v>106657</v>
      </c>
      <c r="H593" s="2">
        <f t="shared" si="112"/>
        <v>0.96788771482415592</v>
      </c>
      <c r="I593" s="2">
        <f t="shared" si="113"/>
        <v>3.2112285175844059E-2</v>
      </c>
      <c r="J593" s="4">
        <v>25223.062999999998</v>
      </c>
      <c r="K593" s="4">
        <v>17497.887000000006</v>
      </c>
      <c r="L593" s="1">
        <f t="shared" si="108"/>
        <v>42720.950000000004</v>
      </c>
      <c r="M593" s="2">
        <f t="shared" si="109"/>
        <v>0.5904143751484926</v>
      </c>
      <c r="N593" s="2">
        <f t="shared" si="110"/>
        <v>0.4095856248515074</v>
      </c>
    </row>
    <row r="594" spans="1:14" x14ac:dyDescent="0.35">
      <c r="A594" t="s">
        <v>16</v>
      </c>
      <c r="B594" t="s">
        <v>22</v>
      </c>
      <c r="C594">
        <v>2003</v>
      </c>
      <c r="D594" t="s">
        <v>32</v>
      </c>
      <c r="E594" s="4">
        <v>102461</v>
      </c>
      <c r="F594" s="4">
        <v>3712</v>
      </c>
      <c r="G594" s="1">
        <f t="shared" si="111"/>
        <v>106173</v>
      </c>
      <c r="H594" s="2">
        <f t="shared" si="112"/>
        <v>0.9650381923841278</v>
      </c>
      <c r="I594" s="2">
        <f t="shared" si="113"/>
        <v>3.4961807615872212E-2</v>
      </c>
      <c r="J594" s="4">
        <v>24973.164000000001</v>
      </c>
      <c r="K594" s="4">
        <v>17558.768999999989</v>
      </c>
      <c r="L594" s="1">
        <f t="shared" si="108"/>
        <v>42531.93299999999</v>
      </c>
      <c r="M594" s="2">
        <f t="shared" si="109"/>
        <v>0.58716268550503004</v>
      </c>
      <c r="N594" s="2">
        <f t="shared" si="110"/>
        <v>0.41283731449497002</v>
      </c>
    </row>
    <row r="595" spans="1:14" x14ac:dyDescent="0.35">
      <c r="A595" t="s">
        <v>16</v>
      </c>
      <c r="B595" t="s">
        <v>23</v>
      </c>
      <c r="C595">
        <v>2003</v>
      </c>
      <c r="D595" t="s">
        <v>32</v>
      </c>
      <c r="E595" s="4">
        <v>101808</v>
      </c>
      <c r="F595" s="4">
        <v>3995</v>
      </c>
      <c r="G595" s="1">
        <f t="shared" si="111"/>
        <v>105803</v>
      </c>
      <c r="H595" s="2">
        <f t="shared" si="112"/>
        <v>0.96224114628129642</v>
      </c>
      <c r="I595" s="2">
        <f t="shared" si="113"/>
        <v>3.7758853718703626E-2</v>
      </c>
      <c r="J595" s="4">
        <v>24525.228000000003</v>
      </c>
      <c r="K595" s="4">
        <v>17881.259999999998</v>
      </c>
      <c r="L595" s="1">
        <f t="shared" si="108"/>
        <v>42406.487999999998</v>
      </c>
      <c r="M595" s="2">
        <f t="shared" si="109"/>
        <v>0.57833669225331752</v>
      </c>
      <c r="N595" s="2">
        <f t="shared" si="110"/>
        <v>0.42166330774668254</v>
      </c>
    </row>
    <row r="596" spans="1:14" x14ac:dyDescent="0.35">
      <c r="A596" t="s">
        <v>16</v>
      </c>
      <c r="B596" t="s">
        <v>24</v>
      </c>
      <c r="C596">
        <v>2003</v>
      </c>
      <c r="D596" t="s">
        <v>32</v>
      </c>
      <c r="E596" s="4">
        <v>101305</v>
      </c>
      <c r="F596" s="4">
        <v>4049</v>
      </c>
      <c r="G596" s="1">
        <f t="shared" si="111"/>
        <v>105354</v>
      </c>
      <c r="H596" s="2">
        <f t="shared" si="112"/>
        <v>0.96156766710328989</v>
      </c>
      <c r="I596" s="2">
        <f t="shared" si="113"/>
        <v>3.8432332896710136E-2</v>
      </c>
      <c r="J596" s="4">
        <v>23061.465000000004</v>
      </c>
      <c r="K596" s="4">
        <v>10859.849000000002</v>
      </c>
      <c r="L596" s="1">
        <f t="shared" si="108"/>
        <v>33921.314000000006</v>
      </c>
      <c r="M596" s="2">
        <f t="shared" si="109"/>
        <v>0.6798517592803156</v>
      </c>
      <c r="N596" s="2">
        <f t="shared" si="110"/>
        <v>0.3201482407196844</v>
      </c>
    </row>
    <row r="597" spans="1:14" x14ac:dyDescent="0.35">
      <c r="A597" t="s">
        <v>16</v>
      </c>
      <c r="B597" t="s">
        <v>25</v>
      </c>
      <c r="C597">
        <v>2003</v>
      </c>
      <c r="D597" t="s">
        <v>32</v>
      </c>
      <c r="E597" s="4">
        <v>101580</v>
      </c>
      <c r="F597" s="4">
        <v>4548</v>
      </c>
      <c r="G597" s="1">
        <f t="shared" si="111"/>
        <v>106128</v>
      </c>
      <c r="H597" s="2">
        <f t="shared" si="112"/>
        <v>0.95714608774310261</v>
      </c>
      <c r="I597" s="2">
        <f t="shared" si="113"/>
        <v>4.2853912256897331E-2</v>
      </c>
      <c r="J597" s="4">
        <v>25553.473999999998</v>
      </c>
      <c r="K597" s="4">
        <v>32919.928</v>
      </c>
      <c r="L597" s="1">
        <f t="shared" si="108"/>
        <v>58473.402000000002</v>
      </c>
      <c r="M597" s="2">
        <f t="shared" si="109"/>
        <v>0.43701021534543172</v>
      </c>
      <c r="N597" s="2">
        <f t="shared" si="110"/>
        <v>0.56298978465456817</v>
      </c>
    </row>
    <row r="598" spans="1:14" x14ac:dyDescent="0.35">
      <c r="A598" t="s">
        <v>16</v>
      </c>
      <c r="B598" t="s">
        <v>26</v>
      </c>
      <c r="C598">
        <v>2003</v>
      </c>
      <c r="D598" t="s">
        <v>32</v>
      </c>
      <c r="E598" s="4">
        <v>101090</v>
      </c>
      <c r="F598" s="4">
        <v>4738</v>
      </c>
      <c r="G598" s="1">
        <f t="shared" si="111"/>
        <v>105828</v>
      </c>
      <c r="H598" s="2">
        <f t="shared" si="112"/>
        <v>0.95522923989870356</v>
      </c>
      <c r="I598" s="2">
        <f t="shared" si="113"/>
        <v>4.4770760101296443E-2</v>
      </c>
      <c r="J598" s="4">
        <v>31858.302000000003</v>
      </c>
      <c r="K598" s="4">
        <v>2989.81</v>
      </c>
      <c r="L598" s="1">
        <f t="shared" si="108"/>
        <v>34848.112000000001</v>
      </c>
      <c r="M598" s="2">
        <f t="shared" si="109"/>
        <v>0.91420453423703418</v>
      </c>
      <c r="N598" s="2">
        <f t="shared" si="110"/>
        <v>8.5795465762965858E-2</v>
      </c>
    </row>
    <row r="599" spans="1:14" x14ac:dyDescent="0.35">
      <c r="A599" t="s">
        <v>16</v>
      </c>
      <c r="B599" t="s">
        <v>27</v>
      </c>
      <c r="C599">
        <v>2003</v>
      </c>
      <c r="D599" t="s">
        <v>32</v>
      </c>
      <c r="E599" s="4">
        <v>100513</v>
      </c>
      <c r="F599" s="4">
        <v>4805</v>
      </c>
      <c r="G599" s="1">
        <f t="shared" si="111"/>
        <v>105318</v>
      </c>
      <c r="H599" s="2">
        <f t="shared" si="112"/>
        <v>0.95437626996334912</v>
      </c>
      <c r="I599" s="2">
        <f t="shared" si="113"/>
        <v>4.5623730036650906E-2</v>
      </c>
      <c r="J599" s="4">
        <v>30922</v>
      </c>
      <c r="K599" s="4">
        <v>10345</v>
      </c>
      <c r="L599" s="1">
        <f t="shared" si="108"/>
        <v>41267</v>
      </c>
      <c r="M599" s="2">
        <f t="shared" si="109"/>
        <v>0.74931543363946984</v>
      </c>
      <c r="N599" s="2">
        <f t="shared" si="110"/>
        <v>0.25068456636053021</v>
      </c>
    </row>
    <row r="600" spans="1:14" x14ac:dyDescent="0.35">
      <c r="A600" t="s">
        <v>16</v>
      </c>
      <c r="B600" t="s">
        <v>28</v>
      </c>
      <c r="C600">
        <v>2003</v>
      </c>
      <c r="D600" t="s">
        <v>32</v>
      </c>
      <c r="E600" s="4">
        <v>100014</v>
      </c>
      <c r="F600" s="4">
        <v>4880</v>
      </c>
      <c r="G600" s="1">
        <f t="shared" si="111"/>
        <v>104894</v>
      </c>
      <c r="H600" s="2">
        <f t="shared" si="112"/>
        <v>0.95347684328941595</v>
      </c>
      <c r="I600" s="2">
        <f t="shared" si="113"/>
        <v>4.6523156710584018E-2</v>
      </c>
      <c r="J600" s="4">
        <v>31690</v>
      </c>
      <c r="K600" s="4">
        <v>10427</v>
      </c>
      <c r="L600" s="1">
        <f t="shared" si="108"/>
        <v>42117</v>
      </c>
      <c r="M600" s="2">
        <f t="shared" si="109"/>
        <v>0.75242776076168771</v>
      </c>
      <c r="N600" s="2">
        <f t="shared" si="110"/>
        <v>0.24757223923831231</v>
      </c>
    </row>
    <row r="601" spans="1:14" x14ac:dyDescent="0.35">
      <c r="A601" t="s">
        <v>16</v>
      </c>
      <c r="B601" t="s">
        <v>29</v>
      </c>
      <c r="C601">
        <v>2003</v>
      </c>
      <c r="D601" t="s">
        <v>32</v>
      </c>
      <c r="E601" s="4">
        <v>99449</v>
      </c>
      <c r="F601" s="4">
        <v>5026</v>
      </c>
      <c r="G601" s="1">
        <f t="shared" si="111"/>
        <v>104475</v>
      </c>
      <c r="H601" s="2">
        <f t="shared" si="112"/>
        <v>0.95189279731993304</v>
      </c>
      <c r="I601" s="2">
        <f t="shared" si="113"/>
        <v>4.8107202680067004E-2</v>
      </c>
      <c r="J601" s="4">
        <v>31779</v>
      </c>
      <c r="K601" s="4">
        <v>10533</v>
      </c>
      <c r="L601" s="1">
        <f t="shared" si="108"/>
        <v>42312</v>
      </c>
      <c r="M601" s="2">
        <f t="shared" si="109"/>
        <v>0.75106352807714127</v>
      </c>
      <c r="N601" s="2">
        <f t="shared" si="110"/>
        <v>0.24893647192285875</v>
      </c>
    </row>
    <row r="602" spans="1:14" x14ac:dyDescent="0.35">
      <c r="A602" t="s">
        <v>16</v>
      </c>
      <c r="B602" t="s">
        <v>17</v>
      </c>
      <c r="C602">
        <v>2004</v>
      </c>
      <c r="D602" t="s">
        <v>32</v>
      </c>
      <c r="E602" s="4">
        <v>99951</v>
      </c>
      <c r="F602" s="4">
        <v>4092</v>
      </c>
      <c r="G602" s="1">
        <f t="shared" si="111"/>
        <v>104043</v>
      </c>
      <c r="H602" s="2">
        <f t="shared" si="112"/>
        <v>0.96067010755168536</v>
      </c>
      <c r="I602" s="2">
        <f t="shared" si="113"/>
        <v>3.9329892448314641E-2</v>
      </c>
      <c r="J602" s="4">
        <v>31743.5</v>
      </c>
      <c r="K602" s="4">
        <v>10491</v>
      </c>
      <c r="L602" s="1">
        <f t="shared" si="108"/>
        <v>42234.5</v>
      </c>
      <c r="M602" s="2">
        <f t="shared" si="109"/>
        <v>0.75160117913080537</v>
      </c>
      <c r="N602" s="2">
        <f t="shared" si="110"/>
        <v>0.24839882086919463</v>
      </c>
    </row>
    <row r="603" spans="1:14" x14ac:dyDescent="0.35">
      <c r="A603" t="s">
        <v>16</v>
      </c>
      <c r="B603" t="s">
        <v>19</v>
      </c>
      <c r="C603">
        <v>2004</v>
      </c>
      <c r="D603" t="s">
        <v>32</v>
      </c>
      <c r="E603" s="4">
        <v>99605</v>
      </c>
      <c r="F603" s="4">
        <v>4082</v>
      </c>
      <c r="G603" s="1">
        <f t="shared" si="111"/>
        <v>103687</v>
      </c>
      <c r="H603" s="2">
        <f t="shared" si="112"/>
        <v>0.96063151600489938</v>
      </c>
      <c r="I603" s="2">
        <f t="shared" si="113"/>
        <v>3.9368483995100637E-2</v>
      </c>
      <c r="J603" s="4">
        <v>39216.1</v>
      </c>
      <c r="K603" s="4">
        <v>2528.3000000000002</v>
      </c>
      <c r="L603" s="1">
        <f t="shared" si="108"/>
        <v>41744.400000000001</v>
      </c>
      <c r="M603" s="2">
        <f t="shared" si="109"/>
        <v>0.93943379231705326</v>
      </c>
      <c r="N603" s="2">
        <f t="shared" si="110"/>
        <v>6.0566207682946696E-2</v>
      </c>
    </row>
    <row r="604" spans="1:14" x14ac:dyDescent="0.35">
      <c r="A604" t="s">
        <v>16</v>
      </c>
      <c r="B604" t="s">
        <v>20</v>
      </c>
      <c r="C604">
        <v>2004</v>
      </c>
      <c r="D604" t="s">
        <v>32</v>
      </c>
      <c r="E604" s="4">
        <v>98982</v>
      </c>
      <c r="F604" s="4">
        <v>4116</v>
      </c>
      <c r="G604" s="1">
        <f t="shared" si="111"/>
        <v>103098</v>
      </c>
      <c r="H604" s="2">
        <f t="shared" si="112"/>
        <v>0.9600768201129023</v>
      </c>
      <c r="I604" s="2">
        <f t="shared" si="113"/>
        <v>3.9923179887097711E-2</v>
      </c>
      <c r="J604" s="4">
        <v>39868.199999999997</v>
      </c>
      <c r="K604" s="4">
        <v>2612.8000000000002</v>
      </c>
      <c r="L604" s="1">
        <f t="shared" si="108"/>
        <v>42481</v>
      </c>
      <c r="M604" s="2">
        <f t="shared" si="109"/>
        <v>0.93849485652409304</v>
      </c>
      <c r="N604" s="2">
        <f t="shared" si="110"/>
        <v>6.1505143475906882E-2</v>
      </c>
    </row>
    <row r="605" spans="1:14" x14ac:dyDescent="0.35">
      <c r="A605" t="s">
        <v>16</v>
      </c>
      <c r="B605" t="s">
        <v>21</v>
      </c>
      <c r="C605">
        <v>2004</v>
      </c>
      <c r="D605" t="s">
        <v>32</v>
      </c>
      <c r="E605" s="4">
        <v>98536</v>
      </c>
      <c r="F605" s="4">
        <v>4216</v>
      </c>
      <c r="G605" s="1">
        <f t="shared" si="111"/>
        <v>102752</v>
      </c>
      <c r="H605" s="2">
        <f t="shared" si="112"/>
        <v>0.95896916848333857</v>
      </c>
      <c r="I605" s="2">
        <f t="shared" si="113"/>
        <v>4.1030831516661474E-2</v>
      </c>
      <c r="J605" s="4">
        <v>39255.199999999997</v>
      </c>
      <c r="K605" s="4">
        <v>2411</v>
      </c>
      <c r="L605" s="1">
        <f t="shared" si="108"/>
        <v>41666.199999999997</v>
      </c>
      <c r="M605" s="2">
        <f t="shared" si="109"/>
        <v>0.94213535191594144</v>
      </c>
      <c r="N605" s="2">
        <f t="shared" si="110"/>
        <v>5.7864648084058543E-2</v>
      </c>
    </row>
    <row r="606" spans="1:14" x14ac:dyDescent="0.35">
      <c r="A606" t="s">
        <v>16</v>
      </c>
      <c r="B606" t="s">
        <v>22</v>
      </c>
      <c r="C606">
        <v>2004</v>
      </c>
      <c r="D606" t="s">
        <v>32</v>
      </c>
      <c r="E606" s="4">
        <v>98119</v>
      </c>
      <c r="F606" s="4">
        <v>4263</v>
      </c>
      <c r="G606" s="1">
        <f t="shared" si="111"/>
        <v>102382</v>
      </c>
      <c r="H606" s="2">
        <f t="shared" si="112"/>
        <v>0.95836182141392046</v>
      </c>
      <c r="I606" s="2">
        <f t="shared" si="113"/>
        <v>4.1638178586079586E-2</v>
      </c>
      <c r="J606" s="4">
        <v>39147.599999999999</v>
      </c>
      <c r="K606" s="4">
        <v>2535.4</v>
      </c>
      <c r="L606" s="1">
        <f t="shared" si="108"/>
        <v>41683</v>
      </c>
      <c r="M606" s="2">
        <f t="shared" si="109"/>
        <v>0.93917424369647096</v>
      </c>
      <c r="N606" s="2">
        <f t="shared" si="110"/>
        <v>6.0825756303529016E-2</v>
      </c>
    </row>
    <row r="607" spans="1:14" x14ac:dyDescent="0.35">
      <c r="A607" t="s">
        <v>16</v>
      </c>
      <c r="B607" t="s">
        <v>23</v>
      </c>
      <c r="C607">
        <v>2004</v>
      </c>
      <c r="D607" t="s">
        <v>32</v>
      </c>
      <c r="E607" s="4">
        <v>97408</v>
      </c>
      <c r="F607" s="4">
        <v>4429</v>
      </c>
      <c r="G607" s="1">
        <f t="shared" si="111"/>
        <v>101837</v>
      </c>
      <c r="H607" s="2">
        <f t="shared" si="112"/>
        <v>0.95650893093865685</v>
      </c>
      <c r="I607" s="2">
        <f t="shared" si="113"/>
        <v>4.3491069061343125E-2</v>
      </c>
      <c r="J607" s="4">
        <v>39485.5</v>
      </c>
      <c r="K607" s="4">
        <v>2440.3000000000002</v>
      </c>
      <c r="L607" s="1">
        <f t="shared" si="108"/>
        <v>41925.800000000003</v>
      </c>
      <c r="M607" s="2">
        <f t="shared" si="109"/>
        <v>0.94179478984300835</v>
      </c>
      <c r="N607" s="2">
        <f t="shared" si="110"/>
        <v>5.8205210156991635E-2</v>
      </c>
    </row>
    <row r="608" spans="1:14" x14ac:dyDescent="0.35">
      <c r="A608" t="s">
        <v>16</v>
      </c>
      <c r="B608" t="s">
        <v>24</v>
      </c>
      <c r="C608">
        <v>2004</v>
      </c>
      <c r="D608" t="s">
        <v>32</v>
      </c>
      <c r="E608" s="4">
        <v>96705</v>
      </c>
      <c r="F608" s="4">
        <v>4564</v>
      </c>
      <c r="G608" s="1">
        <f t="shared" si="111"/>
        <v>101269</v>
      </c>
      <c r="H608" s="2">
        <f t="shared" si="112"/>
        <v>0.95493191401119792</v>
      </c>
      <c r="I608" s="2">
        <f t="shared" si="113"/>
        <v>4.5068085988802103E-2</v>
      </c>
      <c r="J608" s="4">
        <v>38552.199999999997</v>
      </c>
      <c r="K608" s="4">
        <v>2459.3000000000002</v>
      </c>
      <c r="L608" s="1">
        <f t="shared" si="108"/>
        <v>41011.5</v>
      </c>
      <c r="M608" s="2">
        <f t="shared" si="109"/>
        <v>0.94003389293247008</v>
      </c>
      <c r="N608" s="2">
        <f t="shared" si="110"/>
        <v>5.996610706752984E-2</v>
      </c>
    </row>
    <row r="609" spans="1:14" x14ac:dyDescent="0.35">
      <c r="A609" t="s">
        <v>16</v>
      </c>
      <c r="B609" t="s">
        <v>25</v>
      </c>
      <c r="C609">
        <v>2004</v>
      </c>
      <c r="D609" t="s">
        <v>32</v>
      </c>
      <c r="E609" s="4">
        <v>95931</v>
      </c>
      <c r="F609" s="4">
        <v>4772</v>
      </c>
      <c r="G609" s="1">
        <f t="shared" si="111"/>
        <v>100703</v>
      </c>
      <c r="H609" s="2">
        <f t="shared" si="112"/>
        <v>0.95261312969822154</v>
      </c>
      <c r="I609" s="2">
        <f t="shared" si="113"/>
        <v>4.7386870301778496E-2</v>
      </c>
      <c r="J609" s="4">
        <v>38907.9</v>
      </c>
      <c r="K609" s="4">
        <v>2386.6999999999998</v>
      </c>
      <c r="L609" s="1">
        <f t="shared" si="108"/>
        <v>41294.6</v>
      </c>
      <c r="M609" s="2">
        <f t="shared" si="109"/>
        <v>0.94220309677294378</v>
      </c>
      <c r="N609" s="2">
        <f t="shared" si="110"/>
        <v>5.7796903227056322E-2</v>
      </c>
    </row>
    <row r="610" spans="1:14" x14ac:dyDescent="0.35">
      <c r="A610" t="s">
        <v>16</v>
      </c>
      <c r="B610" t="s">
        <v>26</v>
      </c>
      <c r="C610">
        <v>2004</v>
      </c>
      <c r="D610" t="s">
        <v>32</v>
      </c>
      <c r="E610" s="4">
        <v>95059</v>
      </c>
      <c r="F610" s="4">
        <v>5057</v>
      </c>
      <c r="G610" s="1">
        <f t="shared" si="111"/>
        <v>100116</v>
      </c>
      <c r="H610" s="2">
        <f t="shared" si="112"/>
        <v>0.94948859323185109</v>
      </c>
      <c r="I610" s="2">
        <f t="shared" si="113"/>
        <v>5.0511406768148949E-2</v>
      </c>
      <c r="J610" s="4">
        <v>39235.300000000003</v>
      </c>
      <c r="K610" s="4">
        <v>2327.6999999999998</v>
      </c>
      <c r="L610" s="1">
        <f t="shared" si="108"/>
        <v>41563</v>
      </c>
      <c r="M610" s="2">
        <f t="shared" si="109"/>
        <v>0.94399586170391947</v>
      </c>
      <c r="N610" s="2">
        <f t="shared" si="110"/>
        <v>5.6004138296080641E-2</v>
      </c>
    </row>
    <row r="611" spans="1:14" x14ac:dyDescent="0.35">
      <c r="A611" t="s">
        <v>16</v>
      </c>
      <c r="B611" t="s">
        <v>27</v>
      </c>
      <c r="C611">
        <v>2004</v>
      </c>
      <c r="D611" t="s">
        <v>32</v>
      </c>
      <c r="E611" s="4">
        <v>94338</v>
      </c>
      <c r="F611" s="4">
        <v>5248</v>
      </c>
      <c r="G611" s="1">
        <f t="shared" si="111"/>
        <v>99586</v>
      </c>
      <c r="H611" s="2">
        <f t="shared" si="112"/>
        <v>0.9473018295744382</v>
      </c>
      <c r="I611" s="2">
        <f t="shared" si="113"/>
        <v>5.2698170425561824E-2</v>
      </c>
      <c r="J611" s="4">
        <v>39411.828000000001</v>
      </c>
      <c r="K611" s="4">
        <v>2381.299</v>
      </c>
      <c r="L611" s="1">
        <f t="shared" si="108"/>
        <v>41793.127</v>
      </c>
      <c r="M611" s="2">
        <f t="shared" si="109"/>
        <v>0.94302175570638691</v>
      </c>
      <c r="N611" s="2">
        <f t="shared" si="110"/>
        <v>5.6978244293613159E-2</v>
      </c>
    </row>
    <row r="612" spans="1:14" x14ac:dyDescent="0.35">
      <c r="A612" t="s">
        <v>16</v>
      </c>
      <c r="B612" t="s">
        <v>28</v>
      </c>
      <c r="C612">
        <v>2004</v>
      </c>
      <c r="D612" t="s">
        <v>32</v>
      </c>
      <c r="E612" s="4">
        <v>93722</v>
      </c>
      <c r="F612" s="4">
        <v>5461</v>
      </c>
      <c r="G612" s="1">
        <f t="shared" si="111"/>
        <v>99183</v>
      </c>
      <c r="H612" s="2">
        <f t="shared" si="112"/>
        <v>0.94494016111632029</v>
      </c>
      <c r="I612" s="2">
        <f t="shared" si="113"/>
        <v>5.5059838883679664E-2</v>
      </c>
      <c r="J612" s="4">
        <v>38720.383999999998</v>
      </c>
      <c r="K612" s="4">
        <v>2455.6460000000002</v>
      </c>
      <c r="L612" s="1">
        <f t="shared" si="108"/>
        <v>41176.03</v>
      </c>
      <c r="M612" s="2">
        <f t="shared" si="109"/>
        <v>0.94036224473316143</v>
      </c>
      <c r="N612" s="2">
        <f t="shared" si="110"/>
        <v>5.9637755266838503E-2</v>
      </c>
    </row>
    <row r="613" spans="1:14" x14ac:dyDescent="0.35">
      <c r="A613" t="s">
        <v>16</v>
      </c>
      <c r="B613" t="s">
        <v>29</v>
      </c>
      <c r="C613">
        <v>2004</v>
      </c>
      <c r="D613" t="s">
        <v>32</v>
      </c>
      <c r="E613" s="4">
        <v>93171</v>
      </c>
      <c r="F613" s="4">
        <v>5622</v>
      </c>
      <c r="G613" s="1">
        <f t="shared" si="111"/>
        <v>98793</v>
      </c>
      <c r="H613" s="2">
        <f t="shared" si="112"/>
        <v>0.94309313412893625</v>
      </c>
      <c r="I613" s="2">
        <f t="shared" si="113"/>
        <v>5.6906865871063736E-2</v>
      </c>
      <c r="J613" s="4">
        <v>39051.813000000002</v>
      </c>
      <c r="K613" s="4">
        <v>2525.1840000000002</v>
      </c>
      <c r="L613" s="1">
        <f t="shared" si="108"/>
        <v>41576.997000000003</v>
      </c>
      <c r="M613" s="2">
        <f t="shared" si="109"/>
        <v>0.93926487764376054</v>
      </c>
      <c r="N613" s="2">
        <f t="shared" si="110"/>
        <v>6.0735122356239436E-2</v>
      </c>
    </row>
    <row r="614" spans="1:14" x14ac:dyDescent="0.35">
      <c r="A614" t="s">
        <v>16</v>
      </c>
      <c r="B614" t="s">
        <v>17</v>
      </c>
      <c r="C614">
        <v>2005</v>
      </c>
      <c r="D614" t="s">
        <v>32</v>
      </c>
      <c r="E614" s="4">
        <v>91336</v>
      </c>
      <c r="F614" s="4">
        <v>6988</v>
      </c>
      <c r="G614" s="1">
        <f t="shared" si="111"/>
        <v>98324</v>
      </c>
      <c r="H614" s="2">
        <f t="shared" si="112"/>
        <v>0.92892884748382898</v>
      </c>
      <c r="I614" s="2">
        <f t="shared" si="113"/>
        <v>7.1071152516171021E-2</v>
      </c>
      <c r="J614" s="4">
        <v>36320</v>
      </c>
      <c r="K614" s="4">
        <v>5804.4</v>
      </c>
      <c r="L614" s="1">
        <f t="shared" si="108"/>
        <v>42124.4</v>
      </c>
      <c r="M614" s="2">
        <f t="shared" si="109"/>
        <v>0.8622081264065482</v>
      </c>
      <c r="N614" s="2">
        <f t="shared" si="110"/>
        <v>0.13779187359345177</v>
      </c>
    </row>
    <row r="615" spans="1:14" x14ac:dyDescent="0.35">
      <c r="A615" t="s">
        <v>16</v>
      </c>
      <c r="B615" t="s">
        <v>19</v>
      </c>
      <c r="C615">
        <v>2005</v>
      </c>
      <c r="D615" t="s">
        <v>32</v>
      </c>
      <c r="E615" s="4">
        <v>90848</v>
      </c>
      <c r="F615" s="4">
        <v>7096</v>
      </c>
      <c r="G615" s="1">
        <f t="shared" si="111"/>
        <v>97944</v>
      </c>
      <c r="H615" s="2">
        <f t="shared" si="112"/>
        <v>0.92755043698439921</v>
      </c>
      <c r="I615" s="2">
        <f t="shared" si="113"/>
        <v>7.2449563015600751E-2</v>
      </c>
      <c r="J615" s="4">
        <v>29895</v>
      </c>
      <c r="K615" s="4">
        <v>10721.1</v>
      </c>
      <c r="L615" s="1">
        <f t="shared" si="108"/>
        <v>40616.1</v>
      </c>
      <c r="M615" s="2">
        <f t="shared" si="109"/>
        <v>0.73603817205492406</v>
      </c>
      <c r="N615" s="2">
        <f t="shared" si="110"/>
        <v>0.263961827945076</v>
      </c>
    </row>
    <row r="616" spans="1:14" x14ac:dyDescent="0.35">
      <c r="A616" t="s">
        <v>16</v>
      </c>
      <c r="B616" t="s">
        <v>20</v>
      </c>
      <c r="C616">
        <v>2005</v>
      </c>
      <c r="D616" t="s">
        <v>32</v>
      </c>
      <c r="E616" s="4">
        <v>90296</v>
      </c>
      <c r="F616" s="4">
        <v>7304</v>
      </c>
      <c r="G616" s="1">
        <f t="shared" si="111"/>
        <v>97600</v>
      </c>
      <c r="H616" s="2">
        <f t="shared" si="112"/>
        <v>0.92516393442622946</v>
      </c>
      <c r="I616" s="2">
        <f t="shared" si="113"/>
        <v>7.4836065573770497E-2</v>
      </c>
      <c r="J616" s="4">
        <v>29787</v>
      </c>
      <c r="K616" s="4">
        <v>13753.8</v>
      </c>
      <c r="L616" s="1">
        <f t="shared" si="108"/>
        <v>43540.800000000003</v>
      </c>
      <c r="M616" s="2">
        <f t="shared" si="109"/>
        <v>0.68411696615588136</v>
      </c>
      <c r="N616" s="2">
        <f t="shared" si="110"/>
        <v>0.31588303384411859</v>
      </c>
    </row>
    <row r="617" spans="1:14" x14ac:dyDescent="0.35">
      <c r="A617" t="s">
        <v>16</v>
      </c>
      <c r="B617" t="s">
        <v>21</v>
      </c>
      <c r="C617">
        <v>2005</v>
      </c>
      <c r="D617" t="s">
        <v>32</v>
      </c>
      <c r="E617" s="4">
        <v>86372</v>
      </c>
      <c r="F617" s="4">
        <v>7502</v>
      </c>
      <c r="G617" s="1">
        <f t="shared" si="111"/>
        <v>93874</v>
      </c>
      <c r="H617" s="2">
        <f t="shared" si="112"/>
        <v>0.9200843684087181</v>
      </c>
      <c r="I617" s="2">
        <f t="shared" si="113"/>
        <v>7.9915631591281927E-2</v>
      </c>
      <c r="J617" s="4">
        <v>29492</v>
      </c>
      <c r="K617" s="4">
        <v>11963.7</v>
      </c>
      <c r="L617" s="1">
        <f t="shared" si="108"/>
        <v>41455.699999999997</v>
      </c>
      <c r="M617" s="2">
        <f t="shared" si="109"/>
        <v>0.71141001116854863</v>
      </c>
      <c r="N617" s="2">
        <f t="shared" si="110"/>
        <v>0.28858998883145143</v>
      </c>
    </row>
    <row r="618" spans="1:14" x14ac:dyDescent="0.35">
      <c r="A618" t="s">
        <v>16</v>
      </c>
      <c r="B618" t="s">
        <v>22</v>
      </c>
      <c r="C618">
        <v>2005</v>
      </c>
      <c r="D618" t="s">
        <v>32</v>
      </c>
      <c r="E618" s="4">
        <v>84264</v>
      </c>
      <c r="F618" s="4">
        <v>7798</v>
      </c>
      <c r="G618" s="1">
        <f t="shared" si="111"/>
        <v>92062</v>
      </c>
      <c r="H618" s="2">
        <f t="shared" si="112"/>
        <v>0.91529621342138989</v>
      </c>
      <c r="I618" s="2">
        <f t="shared" si="113"/>
        <v>8.4703786578610066E-2</v>
      </c>
      <c r="J618" s="4">
        <f>28442.9</f>
        <v>28442.9</v>
      </c>
      <c r="K618" s="4">
        <v>12124.4</v>
      </c>
      <c r="L618" s="1">
        <f t="shared" si="108"/>
        <v>40567.300000000003</v>
      </c>
      <c r="M618" s="2">
        <f t="shared" si="109"/>
        <v>0.70112874162194672</v>
      </c>
      <c r="N618" s="2">
        <f t="shared" si="110"/>
        <v>0.29887125837805323</v>
      </c>
    </row>
    <row r="619" spans="1:14" x14ac:dyDescent="0.35">
      <c r="A619" t="s">
        <v>16</v>
      </c>
      <c r="B619" t="s">
        <v>23</v>
      </c>
      <c r="C619">
        <v>2005</v>
      </c>
      <c r="D619" t="s">
        <v>32</v>
      </c>
      <c r="E619" s="4">
        <v>83410</v>
      </c>
      <c r="F619" s="4">
        <v>8264</v>
      </c>
      <c r="G619" s="1">
        <f t="shared" si="111"/>
        <v>91674</v>
      </c>
      <c r="H619" s="2">
        <f t="shared" si="112"/>
        <v>0.90985448436852323</v>
      </c>
      <c r="I619" s="2">
        <f t="shared" si="113"/>
        <v>9.0145515631476755E-2</v>
      </c>
      <c r="J619" s="4">
        <v>28430.400000000001</v>
      </c>
      <c r="K619" s="4">
        <v>12219.1</v>
      </c>
      <c r="L619" s="1">
        <f t="shared" si="108"/>
        <v>40649.5</v>
      </c>
      <c r="M619" s="2">
        <f t="shared" si="109"/>
        <v>0.6994034366966384</v>
      </c>
      <c r="N619" s="2">
        <f t="shared" si="110"/>
        <v>0.30059656330336165</v>
      </c>
    </row>
    <row r="620" spans="1:14" x14ac:dyDescent="0.35">
      <c r="A620" t="s">
        <v>16</v>
      </c>
      <c r="B620" t="s">
        <v>24</v>
      </c>
      <c r="C620">
        <v>2005</v>
      </c>
      <c r="D620" t="s">
        <v>32</v>
      </c>
      <c r="E620" s="4">
        <v>82788</v>
      </c>
      <c r="F620" s="4">
        <v>8587</v>
      </c>
      <c r="G620" s="1">
        <f t="shared" si="111"/>
        <v>91375</v>
      </c>
      <c r="H620" s="2">
        <f t="shared" si="112"/>
        <v>0.90602462380300952</v>
      </c>
      <c r="I620" s="2">
        <f t="shared" si="113"/>
        <v>9.3975376196990423E-2</v>
      </c>
      <c r="J620" s="4">
        <v>28263.7</v>
      </c>
      <c r="K620" s="4">
        <v>12581.7</v>
      </c>
      <c r="L620" s="1">
        <f t="shared" si="108"/>
        <v>40845.4</v>
      </c>
      <c r="M620" s="2">
        <f t="shared" si="109"/>
        <v>0.69196776136358074</v>
      </c>
      <c r="N620" s="2">
        <f t="shared" si="110"/>
        <v>0.30803223863641926</v>
      </c>
    </row>
    <row r="621" spans="1:14" x14ac:dyDescent="0.35">
      <c r="A621" t="s">
        <v>16</v>
      </c>
      <c r="B621" t="s">
        <v>25</v>
      </c>
      <c r="C621">
        <v>2005</v>
      </c>
      <c r="D621" t="s">
        <v>32</v>
      </c>
      <c r="E621" s="4">
        <v>82250</v>
      </c>
      <c r="F621" s="4">
        <v>8789</v>
      </c>
      <c r="G621" s="1">
        <f t="shared" si="111"/>
        <v>91039</v>
      </c>
      <c r="H621" s="2">
        <f t="shared" si="112"/>
        <v>0.90345895715023228</v>
      </c>
      <c r="I621" s="2">
        <f t="shared" si="113"/>
        <v>9.654104284976768E-2</v>
      </c>
      <c r="J621" s="4">
        <v>26707.9</v>
      </c>
      <c r="K621" s="4">
        <v>11936.9</v>
      </c>
      <c r="L621" s="1">
        <f t="shared" si="108"/>
        <v>38644.800000000003</v>
      </c>
      <c r="M621" s="2">
        <f t="shared" si="109"/>
        <v>0.6911123876951103</v>
      </c>
      <c r="N621" s="2">
        <f t="shared" si="110"/>
        <v>0.30888761230488965</v>
      </c>
    </row>
    <row r="622" spans="1:14" x14ac:dyDescent="0.35">
      <c r="A622" t="s">
        <v>16</v>
      </c>
      <c r="B622" t="s">
        <v>26</v>
      </c>
      <c r="C622">
        <v>2005</v>
      </c>
      <c r="D622" t="s">
        <v>32</v>
      </c>
      <c r="E622" s="4">
        <v>81694</v>
      </c>
      <c r="F622" s="4">
        <v>9059</v>
      </c>
      <c r="G622" s="1">
        <f t="shared" si="111"/>
        <v>90753</v>
      </c>
      <c r="H622" s="2">
        <f t="shared" si="112"/>
        <v>0.90017960838760147</v>
      </c>
      <c r="I622" s="2">
        <f t="shared" si="113"/>
        <v>9.9820391612398487E-2</v>
      </c>
      <c r="J622" s="4">
        <v>29335.5</v>
      </c>
      <c r="K622" s="4">
        <v>13390.7</v>
      </c>
      <c r="L622" s="1">
        <f t="shared" si="108"/>
        <v>42726.2</v>
      </c>
      <c r="M622" s="2">
        <f t="shared" si="109"/>
        <v>0.6865927697759221</v>
      </c>
      <c r="N622" s="2">
        <f t="shared" si="110"/>
        <v>0.31340723022407802</v>
      </c>
    </row>
    <row r="623" spans="1:14" x14ac:dyDescent="0.35">
      <c r="A623" t="s">
        <v>16</v>
      </c>
      <c r="B623" t="s">
        <v>27</v>
      </c>
      <c r="C623">
        <v>2005</v>
      </c>
      <c r="D623" t="s">
        <v>32</v>
      </c>
      <c r="E623" s="4">
        <v>81234</v>
      </c>
      <c r="F623" s="4">
        <v>9201</v>
      </c>
      <c r="G623" s="1">
        <f t="shared" si="111"/>
        <v>90435</v>
      </c>
      <c r="H623" s="2">
        <f t="shared" si="112"/>
        <v>0.89825841764803449</v>
      </c>
      <c r="I623" s="2">
        <f t="shared" si="113"/>
        <v>0.1017415823519655</v>
      </c>
      <c r="J623" s="4">
        <v>28266.7</v>
      </c>
      <c r="K623" s="4">
        <v>12842</v>
      </c>
      <c r="L623" s="1">
        <f t="shared" si="108"/>
        <v>41108.699999999997</v>
      </c>
      <c r="M623" s="2">
        <f t="shared" si="109"/>
        <v>0.68760870569976673</v>
      </c>
      <c r="N623" s="2">
        <f t="shared" si="110"/>
        <v>0.31239129430023332</v>
      </c>
    </row>
    <row r="624" spans="1:14" x14ac:dyDescent="0.35">
      <c r="A624" t="s">
        <v>16</v>
      </c>
      <c r="B624" t="s">
        <v>28</v>
      </c>
      <c r="C624">
        <v>2005</v>
      </c>
      <c r="D624" t="s">
        <v>32</v>
      </c>
      <c r="E624" s="4">
        <v>80794</v>
      </c>
      <c r="F624" s="4">
        <v>9394</v>
      </c>
      <c r="G624" s="1">
        <f t="shared" si="111"/>
        <v>90188</v>
      </c>
      <c r="H624" s="2">
        <f t="shared" si="112"/>
        <v>0.89583980130394292</v>
      </c>
      <c r="I624" s="2">
        <f t="shared" si="113"/>
        <v>0.10416019869605712</v>
      </c>
      <c r="J624" s="4">
        <v>27890.6</v>
      </c>
      <c r="K624" s="4">
        <v>13383.3</v>
      </c>
      <c r="L624" s="1">
        <f t="shared" si="108"/>
        <v>41273.899999999994</v>
      </c>
      <c r="M624" s="2">
        <f t="shared" si="109"/>
        <v>0.67574423546115103</v>
      </c>
      <c r="N624" s="2">
        <f t="shared" si="110"/>
        <v>0.32425576453884902</v>
      </c>
    </row>
    <row r="625" spans="1:14" x14ac:dyDescent="0.35">
      <c r="A625" t="s">
        <v>16</v>
      </c>
      <c r="B625" t="s">
        <v>29</v>
      </c>
      <c r="C625">
        <v>2005</v>
      </c>
      <c r="D625" t="s">
        <v>32</v>
      </c>
      <c r="E625" s="4">
        <v>80424</v>
      </c>
      <c r="F625" s="4">
        <v>9476</v>
      </c>
      <c r="G625" s="1">
        <f t="shared" si="111"/>
        <v>89900</v>
      </c>
      <c r="H625" s="2">
        <f t="shared" si="112"/>
        <v>0.89459399332591771</v>
      </c>
      <c r="I625" s="2">
        <f t="shared" si="113"/>
        <v>0.10540600667408231</v>
      </c>
      <c r="J625" s="4">
        <v>28588.2</v>
      </c>
      <c r="K625" s="4">
        <v>12869.5</v>
      </c>
      <c r="L625" s="1">
        <f t="shared" si="108"/>
        <v>41457.699999999997</v>
      </c>
      <c r="M625" s="2">
        <f t="shared" si="109"/>
        <v>0.68957515732903663</v>
      </c>
      <c r="N625" s="2">
        <f t="shared" si="110"/>
        <v>0.31042484267096343</v>
      </c>
    </row>
    <row r="626" spans="1:14" x14ac:dyDescent="0.35">
      <c r="A626" t="s">
        <v>16</v>
      </c>
      <c r="B626" t="s">
        <v>17</v>
      </c>
      <c r="C626">
        <v>2006</v>
      </c>
      <c r="D626" t="s">
        <v>32</v>
      </c>
      <c r="E626" s="4">
        <v>79881</v>
      </c>
      <c r="F626" s="4">
        <v>9677</v>
      </c>
      <c r="G626" s="1">
        <f t="shared" si="111"/>
        <v>89558</v>
      </c>
      <c r="H626" s="2">
        <f t="shared" si="112"/>
        <v>0.89194711806873761</v>
      </c>
      <c r="I626" s="2">
        <f t="shared" si="113"/>
        <v>0.10805288193126242</v>
      </c>
      <c r="J626" s="4">
        <v>28449</v>
      </c>
      <c r="K626" s="4">
        <f>13459.7</f>
        <v>13459.7</v>
      </c>
      <c r="L626" s="1">
        <f t="shared" si="108"/>
        <v>41908.699999999997</v>
      </c>
      <c r="M626" s="2">
        <f t="shared" si="109"/>
        <v>0.67883279605427993</v>
      </c>
      <c r="N626" s="2">
        <f t="shared" si="110"/>
        <v>0.32116720394572013</v>
      </c>
    </row>
    <row r="627" spans="1:14" x14ac:dyDescent="0.35">
      <c r="A627" t="s">
        <v>16</v>
      </c>
      <c r="B627" t="s">
        <v>19</v>
      </c>
      <c r="C627">
        <v>2006</v>
      </c>
      <c r="D627" t="s">
        <v>32</v>
      </c>
      <c r="E627" s="4">
        <v>79348</v>
      </c>
      <c r="F627" s="4">
        <v>9855</v>
      </c>
      <c r="G627" s="1">
        <f t="shared" si="111"/>
        <v>89203</v>
      </c>
      <c r="H627" s="2">
        <f t="shared" si="112"/>
        <v>0.88952165285920881</v>
      </c>
      <c r="I627" s="2">
        <f t="shared" si="113"/>
        <v>0.11047834714079123</v>
      </c>
      <c r="J627" s="4">
        <v>28183</v>
      </c>
      <c r="K627" s="4">
        <v>13559.7</v>
      </c>
      <c r="L627" s="1">
        <f t="shared" si="108"/>
        <v>41742.699999999997</v>
      </c>
      <c r="M627" s="2">
        <f t="shared" si="109"/>
        <v>0.67515996809022905</v>
      </c>
      <c r="N627" s="2">
        <f t="shared" si="110"/>
        <v>0.32484003190977107</v>
      </c>
    </row>
    <row r="628" spans="1:14" x14ac:dyDescent="0.35">
      <c r="A628" t="s">
        <v>16</v>
      </c>
      <c r="B628" t="s">
        <v>20</v>
      </c>
      <c r="C628">
        <v>2006</v>
      </c>
      <c r="D628" t="s">
        <v>32</v>
      </c>
      <c r="E628" s="4">
        <v>78867</v>
      </c>
      <c r="F628" s="4">
        <v>10050</v>
      </c>
      <c r="G628" s="1">
        <f t="shared" si="111"/>
        <v>88917</v>
      </c>
      <c r="H628" s="2">
        <f t="shared" si="112"/>
        <v>0.88697324471136008</v>
      </c>
      <c r="I628" s="2">
        <f t="shared" si="113"/>
        <v>0.11302675528863997</v>
      </c>
      <c r="J628" s="4">
        <v>27632</v>
      </c>
      <c r="K628" s="4">
        <v>13658.4</v>
      </c>
      <c r="L628" s="1">
        <f t="shared" si="108"/>
        <v>41290.400000000001</v>
      </c>
      <c r="M628" s="2">
        <f t="shared" si="109"/>
        <v>0.66921124522891517</v>
      </c>
      <c r="N628" s="2">
        <f t="shared" si="110"/>
        <v>0.33078875477108477</v>
      </c>
    </row>
    <row r="629" spans="1:14" x14ac:dyDescent="0.35">
      <c r="A629" t="s">
        <v>16</v>
      </c>
      <c r="B629" t="s">
        <v>21</v>
      </c>
      <c r="C629">
        <v>2006</v>
      </c>
      <c r="D629" t="s">
        <v>32</v>
      </c>
      <c r="E629" s="4">
        <v>78285</v>
      </c>
      <c r="F629" s="4">
        <v>10286</v>
      </c>
      <c r="G629" s="1">
        <f t="shared" si="111"/>
        <v>88571</v>
      </c>
      <c r="H629" s="2">
        <f t="shared" si="112"/>
        <v>0.88386718000248388</v>
      </c>
      <c r="I629" s="2">
        <f t="shared" si="113"/>
        <v>0.11613281999751612</v>
      </c>
      <c r="J629" s="4">
        <v>27939</v>
      </c>
      <c r="K629" s="4">
        <v>13687</v>
      </c>
      <c r="L629" s="1">
        <f t="shared" si="108"/>
        <v>41626</v>
      </c>
      <c r="M629" s="2">
        <f t="shared" si="109"/>
        <v>0.6711910824965166</v>
      </c>
      <c r="N629" s="2">
        <f t="shared" si="110"/>
        <v>0.3288089175034834</v>
      </c>
    </row>
    <row r="630" spans="1:14" x14ac:dyDescent="0.35">
      <c r="A630" t="s">
        <v>16</v>
      </c>
      <c r="B630" t="s">
        <v>22</v>
      </c>
      <c r="C630">
        <v>2006</v>
      </c>
      <c r="D630" t="s">
        <v>32</v>
      </c>
      <c r="E630" s="4">
        <v>77565</v>
      </c>
      <c r="F630" s="4">
        <v>10591</v>
      </c>
      <c r="G630" s="1">
        <f t="shared" si="111"/>
        <v>88156</v>
      </c>
      <c r="H630" s="2">
        <f t="shared" si="112"/>
        <v>0.87986070148373341</v>
      </c>
      <c r="I630" s="2">
        <f t="shared" si="113"/>
        <v>0.12013929851626662</v>
      </c>
      <c r="J630" s="4">
        <v>27640</v>
      </c>
      <c r="K630" s="4">
        <v>13854</v>
      </c>
      <c r="L630" s="1">
        <f t="shared" si="108"/>
        <v>41494</v>
      </c>
      <c r="M630" s="2">
        <f t="shared" si="109"/>
        <v>0.66612040294982411</v>
      </c>
      <c r="N630" s="2">
        <f t="shared" si="110"/>
        <v>0.33387959705017595</v>
      </c>
    </row>
    <row r="631" spans="1:14" x14ac:dyDescent="0.35">
      <c r="A631" t="s">
        <v>16</v>
      </c>
      <c r="B631" t="s">
        <v>23</v>
      </c>
      <c r="C631">
        <v>2006</v>
      </c>
      <c r="D631" t="s">
        <v>32</v>
      </c>
      <c r="E631" s="4">
        <v>76852</v>
      </c>
      <c r="F631" s="4">
        <v>10881</v>
      </c>
      <c r="G631" s="1">
        <f t="shared" si="111"/>
        <v>87733</v>
      </c>
      <c r="H631" s="2">
        <f t="shared" si="112"/>
        <v>0.87597597255308723</v>
      </c>
      <c r="I631" s="2">
        <f t="shared" si="113"/>
        <v>0.12402402744691279</v>
      </c>
      <c r="J631" s="4">
        <v>27343</v>
      </c>
      <c r="K631" s="4">
        <v>14071</v>
      </c>
      <c r="L631" s="1">
        <f t="shared" si="108"/>
        <v>41414</v>
      </c>
      <c r="M631" s="2">
        <f t="shared" si="109"/>
        <v>0.66023566909740672</v>
      </c>
      <c r="N631" s="2">
        <f t="shared" si="110"/>
        <v>0.33976433090259334</v>
      </c>
    </row>
    <row r="632" spans="1:14" x14ac:dyDescent="0.35">
      <c r="A632" t="s">
        <v>16</v>
      </c>
      <c r="B632" t="s">
        <v>24</v>
      </c>
      <c r="C632">
        <v>2006</v>
      </c>
      <c r="D632" t="s">
        <v>32</v>
      </c>
      <c r="E632" s="4">
        <v>76155</v>
      </c>
      <c r="F632" s="4">
        <v>11044</v>
      </c>
      <c r="G632" s="1">
        <f t="shared" si="111"/>
        <v>87199</v>
      </c>
      <c r="H632" s="2">
        <f t="shared" si="112"/>
        <v>0.87334717141251617</v>
      </c>
      <c r="I632" s="2">
        <f t="shared" si="113"/>
        <v>0.12665282858748381</v>
      </c>
      <c r="J632" s="4">
        <v>27189</v>
      </c>
      <c r="K632" s="4">
        <v>14714</v>
      </c>
      <c r="L632" s="1">
        <f t="shared" si="108"/>
        <v>41903</v>
      </c>
      <c r="M632" s="2">
        <f t="shared" si="109"/>
        <v>0.64885569052335157</v>
      </c>
      <c r="N632" s="2">
        <f t="shared" si="110"/>
        <v>0.35114430947664843</v>
      </c>
    </row>
    <row r="633" spans="1:14" x14ac:dyDescent="0.35">
      <c r="A633" t="s">
        <v>16</v>
      </c>
      <c r="B633" t="s">
        <v>25</v>
      </c>
      <c r="C633">
        <v>2006</v>
      </c>
      <c r="D633" t="s">
        <v>32</v>
      </c>
      <c r="E633" s="4">
        <v>75554</v>
      </c>
      <c r="F633" s="4">
        <v>11184</v>
      </c>
      <c r="G633" s="1">
        <f t="shared" si="111"/>
        <v>86738</v>
      </c>
      <c r="H633" s="2">
        <f t="shared" si="112"/>
        <v>0.87105997371394317</v>
      </c>
      <c r="I633" s="2">
        <f t="shared" si="113"/>
        <v>0.12894002628605686</v>
      </c>
      <c r="J633" s="4">
        <v>24454.9</v>
      </c>
      <c r="K633" s="4">
        <v>17085.099999999999</v>
      </c>
      <c r="L633" s="1">
        <f t="shared" si="108"/>
        <v>41540</v>
      </c>
      <c r="M633" s="2">
        <f t="shared" si="109"/>
        <v>0.58870727010110735</v>
      </c>
      <c r="N633" s="2">
        <f t="shared" si="110"/>
        <v>0.4112927298988926</v>
      </c>
    </row>
    <row r="634" spans="1:14" x14ac:dyDescent="0.35">
      <c r="A634" t="s">
        <v>16</v>
      </c>
      <c r="B634" t="s">
        <v>26</v>
      </c>
      <c r="C634">
        <v>2006</v>
      </c>
      <c r="D634" t="s">
        <v>32</v>
      </c>
      <c r="E634" s="4">
        <v>75021</v>
      </c>
      <c r="F634" s="4">
        <v>11398</v>
      </c>
      <c r="G634" s="1">
        <f t="shared" si="111"/>
        <v>86419</v>
      </c>
      <c r="H634" s="2">
        <f t="shared" si="112"/>
        <v>0.86810770779573931</v>
      </c>
      <c r="I634" s="2">
        <f t="shared" si="113"/>
        <v>0.13189229220426063</v>
      </c>
      <c r="J634" s="4">
        <v>24537.599999999999</v>
      </c>
      <c r="K634" s="4">
        <v>17174.900000000001</v>
      </c>
      <c r="L634" s="1">
        <f t="shared" si="108"/>
        <v>41712.5</v>
      </c>
      <c r="M634" s="2">
        <f t="shared" si="109"/>
        <v>0.58825531914893614</v>
      </c>
      <c r="N634" s="2">
        <f t="shared" si="110"/>
        <v>0.41174468085106386</v>
      </c>
    </row>
    <row r="635" spans="1:14" x14ac:dyDescent="0.35">
      <c r="A635" t="s">
        <v>16</v>
      </c>
      <c r="B635" t="s">
        <v>27</v>
      </c>
      <c r="C635">
        <v>2006</v>
      </c>
      <c r="D635" t="s">
        <v>32</v>
      </c>
      <c r="E635" s="4">
        <v>74597</v>
      </c>
      <c r="F635" s="4">
        <v>11554</v>
      </c>
      <c r="G635" s="1">
        <f t="shared" si="111"/>
        <v>86151</v>
      </c>
      <c r="H635" s="2">
        <f t="shared" si="112"/>
        <v>0.86588664089795819</v>
      </c>
      <c r="I635" s="2">
        <f t="shared" si="113"/>
        <v>0.13411335910204175</v>
      </c>
      <c r="J635" s="4">
        <v>24325.9</v>
      </c>
      <c r="K635" s="4">
        <v>17389.2</v>
      </c>
      <c r="L635" s="1">
        <f t="shared" si="108"/>
        <v>41715.100000000006</v>
      </c>
      <c r="M635" s="2">
        <f t="shared" si="109"/>
        <v>0.58314375370069826</v>
      </c>
      <c r="N635" s="2">
        <f t="shared" si="110"/>
        <v>0.41685624629930162</v>
      </c>
    </row>
    <row r="636" spans="1:14" x14ac:dyDescent="0.35">
      <c r="A636" t="s">
        <v>16</v>
      </c>
      <c r="B636" t="s">
        <v>28</v>
      </c>
      <c r="C636">
        <v>2006</v>
      </c>
      <c r="D636" t="s">
        <v>32</v>
      </c>
      <c r="E636" s="4">
        <v>74218</v>
      </c>
      <c r="F636" s="4">
        <v>11726</v>
      </c>
      <c r="G636" s="1">
        <f t="shared" si="111"/>
        <v>85944</v>
      </c>
      <c r="H636" s="2">
        <f t="shared" si="112"/>
        <v>0.86356231965000463</v>
      </c>
      <c r="I636" s="2">
        <f t="shared" si="113"/>
        <v>0.13643768034999534</v>
      </c>
      <c r="J636" s="4">
        <v>23881.599999999999</v>
      </c>
      <c r="K636" s="4">
        <v>17861.400000000001</v>
      </c>
      <c r="L636" s="1">
        <f t="shared" si="108"/>
        <v>41743</v>
      </c>
      <c r="M636" s="2">
        <f t="shared" si="109"/>
        <v>0.57211029394149915</v>
      </c>
      <c r="N636" s="2">
        <f t="shared" si="110"/>
        <v>0.42788970605850085</v>
      </c>
    </row>
    <row r="637" spans="1:14" x14ac:dyDescent="0.35">
      <c r="A637" t="s">
        <v>16</v>
      </c>
      <c r="B637" t="s">
        <v>29</v>
      </c>
      <c r="C637">
        <v>2006</v>
      </c>
      <c r="D637" t="s">
        <v>32</v>
      </c>
      <c r="E637" s="4">
        <v>73892</v>
      </c>
      <c r="F637" s="4">
        <v>11815</v>
      </c>
      <c r="G637" s="1">
        <f t="shared" si="111"/>
        <v>85707</v>
      </c>
      <c r="H637" s="2">
        <f t="shared" si="112"/>
        <v>0.86214661579567597</v>
      </c>
      <c r="I637" s="2">
        <f t="shared" si="113"/>
        <v>0.13785338420432403</v>
      </c>
      <c r="J637" s="4">
        <v>24165.599999999999</v>
      </c>
      <c r="K637" s="4">
        <v>17882.3</v>
      </c>
      <c r="L637" s="1">
        <f t="shared" si="108"/>
        <v>42047.899999999994</v>
      </c>
      <c r="M637" s="2">
        <f t="shared" si="109"/>
        <v>0.57471597868145619</v>
      </c>
      <c r="N637" s="2">
        <f t="shared" si="110"/>
        <v>0.42528402131854387</v>
      </c>
    </row>
    <row r="638" spans="1:14" x14ac:dyDescent="0.35">
      <c r="A638" t="s">
        <v>16</v>
      </c>
      <c r="B638" t="s">
        <v>17</v>
      </c>
      <c r="C638">
        <v>2007</v>
      </c>
      <c r="D638" t="s">
        <v>32</v>
      </c>
      <c r="E638" s="4">
        <v>72670</v>
      </c>
      <c r="F638" s="4">
        <v>12695</v>
      </c>
      <c r="G638" s="1">
        <f t="shared" si="111"/>
        <v>85365</v>
      </c>
      <c r="H638" s="2">
        <f t="shared" si="112"/>
        <v>0.85128565571369996</v>
      </c>
      <c r="I638" s="2">
        <f t="shared" si="113"/>
        <v>0.14871434428630001</v>
      </c>
      <c r="J638" s="4">
        <v>24228.6</v>
      </c>
      <c r="K638" s="4">
        <v>18726.099999999999</v>
      </c>
      <c r="L638" s="1">
        <f t="shared" si="108"/>
        <v>42954.7</v>
      </c>
      <c r="M638" s="2">
        <f t="shared" si="109"/>
        <v>0.56405003410569743</v>
      </c>
      <c r="N638" s="2">
        <f t="shared" si="110"/>
        <v>0.43594996589430257</v>
      </c>
    </row>
    <row r="639" spans="1:14" x14ac:dyDescent="0.35">
      <c r="A639" t="s">
        <v>16</v>
      </c>
      <c r="B639" t="s">
        <v>19</v>
      </c>
      <c r="C639">
        <v>2007</v>
      </c>
      <c r="D639" t="s">
        <v>32</v>
      </c>
      <c r="E639" s="4">
        <v>72146</v>
      </c>
      <c r="F639" s="4">
        <v>12923</v>
      </c>
      <c r="G639" s="1">
        <f t="shared" si="111"/>
        <v>85069</v>
      </c>
      <c r="H639" s="2">
        <f t="shared" si="112"/>
        <v>0.84808802266395511</v>
      </c>
      <c r="I639" s="2">
        <f t="shared" si="113"/>
        <v>0.15191197733604486</v>
      </c>
      <c r="J639" s="4">
        <v>22394.9</v>
      </c>
      <c r="K639" s="4">
        <v>20387</v>
      </c>
      <c r="L639" s="1">
        <f t="shared" si="108"/>
        <v>42781.9</v>
      </c>
      <c r="M639" s="2">
        <f t="shared" si="109"/>
        <v>0.5234666997024443</v>
      </c>
      <c r="N639" s="2">
        <f t="shared" si="110"/>
        <v>0.47653330029755575</v>
      </c>
    </row>
    <row r="640" spans="1:14" x14ac:dyDescent="0.35">
      <c r="A640" t="s">
        <v>16</v>
      </c>
      <c r="B640" t="s">
        <v>20</v>
      </c>
      <c r="C640">
        <v>2007</v>
      </c>
      <c r="D640" t="s">
        <v>32</v>
      </c>
      <c r="E640" s="4">
        <v>71763</v>
      </c>
      <c r="F640" s="4">
        <v>13036</v>
      </c>
      <c r="G640" s="1">
        <f t="shared" si="111"/>
        <v>84799</v>
      </c>
      <c r="H640" s="2">
        <f t="shared" si="112"/>
        <v>0.84627177207278392</v>
      </c>
      <c r="I640" s="2">
        <f t="shared" si="113"/>
        <v>0.15372822792721613</v>
      </c>
      <c r="J640" s="4">
        <v>14928.9</v>
      </c>
      <c r="K640" s="4">
        <v>26113.1</v>
      </c>
      <c r="L640" s="1">
        <f t="shared" si="108"/>
        <v>41042</v>
      </c>
      <c r="M640" s="2">
        <f t="shared" si="109"/>
        <v>0.36374689342624628</v>
      </c>
      <c r="N640" s="2">
        <f t="shared" si="110"/>
        <v>0.63625310657375367</v>
      </c>
    </row>
    <row r="641" spans="1:14" x14ac:dyDescent="0.35">
      <c r="A641" t="s">
        <v>16</v>
      </c>
      <c r="B641" t="s">
        <v>21</v>
      </c>
      <c r="C641">
        <v>2007</v>
      </c>
      <c r="D641" t="s">
        <v>32</v>
      </c>
      <c r="E641" s="4">
        <v>71376</v>
      </c>
      <c r="F641" s="4">
        <v>13169</v>
      </c>
      <c r="G641" s="1">
        <f t="shared" si="111"/>
        <v>84545</v>
      </c>
      <c r="H641" s="2">
        <f t="shared" si="112"/>
        <v>0.84423679697202669</v>
      </c>
      <c r="I641" s="2">
        <f t="shared" si="113"/>
        <v>0.15576320302797328</v>
      </c>
      <c r="J641" s="4">
        <v>14856.329</v>
      </c>
      <c r="K641" s="4">
        <v>26915.334999999999</v>
      </c>
      <c r="L641" s="1">
        <f t="shared" si="108"/>
        <v>41771.663999999997</v>
      </c>
      <c r="M641" s="2">
        <f t="shared" si="109"/>
        <v>0.35565566648242697</v>
      </c>
      <c r="N641" s="2">
        <f t="shared" si="110"/>
        <v>0.64434433351757303</v>
      </c>
    </row>
    <row r="642" spans="1:14" x14ac:dyDescent="0.35">
      <c r="A642" t="s">
        <v>16</v>
      </c>
      <c r="B642" t="s">
        <v>22</v>
      </c>
      <c r="C642">
        <v>2007</v>
      </c>
      <c r="D642" t="s">
        <v>32</v>
      </c>
      <c r="E642" s="4">
        <v>70962</v>
      </c>
      <c r="F642" s="4">
        <v>13345</v>
      </c>
      <c r="G642" s="1">
        <f t="shared" si="111"/>
        <v>84307</v>
      </c>
      <c r="H642" s="2">
        <f t="shared" si="112"/>
        <v>0.84170946659233514</v>
      </c>
      <c r="I642" s="2">
        <f t="shared" si="113"/>
        <v>0.15829053340766486</v>
      </c>
      <c r="J642" s="4">
        <v>14416.78</v>
      </c>
      <c r="K642" s="4">
        <v>27129.968000000001</v>
      </c>
      <c r="L642" s="1">
        <f t="shared" ref="L642:L705" si="114">SUM(J642:K642)</f>
        <v>41546.748</v>
      </c>
      <c r="M642" s="2">
        <f t="shared" ref="M642:M705" si="115">SUM(J642)/L642</f>
        <v>0.34700140670456325</v>
      </c>
      <c r="N642" s="2">
        <f t="shared" ref="N642:N705" si="116">SUM(K642/L642)</f>
        <v>0.65299859329543675</v>
      </c>
    </row>
    <row r="643" spans="1:14" x14ac:dyDescent="0.35">
      <c r="A643" t="s">
        <v>16</v>
      </c>
      <c r="B643" t="s">
        <v>23</v>
      </c>
      <c r="C643">
        <v>2007</v>
      </c>
      <c r="D643" t="s">
        <v>32</v>
      </c>
      <c r="E643" s="4">
        <v>69748</v>
      </c>
      <c r="F643" s="4">
        <v>13452</v>
      </c>
      <c r="G643" s="1">
        <f t="shared" si="111"/>
        <v>83200</v>
      </c>
      <c r="H643" s="2">
        <f t="shared" si="112"/>
        <v>0.83831730769230772</v>
      </c>
      <c r="I643" s="2">
        <f t="shared" si="113"/>
        <v>0.16168269230769231</v>
      </c>
      <c r="J643" s="4">
        <v>14443.507</v>
      </c>
      <c r="K643" s="4">
        <v>27153.784</v>
      </c>
      <c r="L643" s="1">
        <f t="shared" si="114"/>
        <v>41597.290999999997</v>
      </c>
      <c r="M643" s="2">
        <f t="shared" si="115"/>
        <v>0.34722229868286375</v>
      </c>
      <c r="N643" s="2">
        <f t="shared" si="116"/>
        <v>0.65277770131713631</v>
      </c>
    </row>
    <row r="644" spans="1:14" x14ac:dyDescent="0.35">
      <c r="A644" t="s">
        <v>16</v>
      </c>
      <c r="B644" t="s">
        <v>24</v>
      </c>
      <c r="C644">
        <v>2007</v>
      </c>
      <c r="D644" t="s">
        <v>32</v>
      </c>
      <c r="E644" s="4">
        <v>66482</v>
      </c>
      <c r="F644" s="4">
        <v>13564</v>
      </c>
      <c r="G644" s="1">
        <f t="shared" ref="G644:G707" si="117">SUM(E644:F644)</f>
        <v>80046</v>
      </c>
      <c r="H644" s="2">
        <f t="shared" ref="H644:H707" si="118">SUM(E644)/G644</f>
        <v>0.83054743522474572</v>
      </c>
      <c r="I644" s="2">
        <f t="shared" ref="I644:I707" si="119">SUM(F644/G644)</f>
        <v>0.16945256477525422</v>
      </c>
      <c r="J644" s="4">
        <f>14229</f>
        <v>14229</v>
      </c>
      <c r="K644" s="4">
        <v>27201</v>
      </c>
      <c r="L644" s="1">
        <f t="shared" si="114"/>
        <v>41430</v>
      </c>
      <c r="M644" s="2">
        <f t="shared" si="115"/>
        <v>0.34344677769732079</v>
      </c>
      <c r="N644" s="2">
        <f t="shared" si="116"/>
        <v>0.65655322230267921</v>
      </c>
    </row>
    <row r="645" spans="1:14" x14ac:dyDescent="0.35">
      <c r="A645" t="s">
        <v>16</v>
      </c>
      <c r="B645" t="s">
        <v>25</v>
      </c>
      <c r="C645">
        <v>2007</v>
      </c>
      <c r="D645" t="s">
        <v>32</v>
      </c>
      <c r="E645" s="4">
        <v>65218</v>
      </c>
      <c r="F645" s="4">
        <v>13662</v>
      </c>
      <c r="G645" s="1">
        <f t="shared" si="117"/>
        <v>78880</v>
      </c>
      <c r="H645" s="2">
        <f t="shared" si="118"/>
        <v>0.82680020283975664</v>
      </c>
      <c r="I645" s="2">
        <f t="shared" si="119"/>
        <v>0.17319979716024342</v>
      </c>
      <c r="J645" s="4">
        <v>13941</v>
      </c>
      <c r="K645" s="4">
        <v>27308</v>
      </c>
      <c r="L645" s="1">
        <f t="shared" si="114"/>
        <v>41249</v>
      </c>
      <c r="M645" s="2">
        <f t="shared" si="115"/>
        <v>0.33797182962011202</v>
      </c>
      <c r="N645" s="2">
        <f t="shared" si="116"/>
        <v>0.66202817037988804</v>
      </c>
    </row>
    <row r="646" spans="1:14" x14ac:dyDescent="0.35">
      <c r="A646" t="s">
        <v>16</v>
      </c>
      <c r="B646" t="s">
        <v>26</v>
      </c>
      <c r="C646">
        <v>2007</v>
      </c>
      <c r="D646" t="s">
        <v>32</v>
      </c>
      <c r="E646" s="4">
        <v>64551</v>
      </c>
      <c r="F646" s="4">
        <v>13749</v>
      </c>
      <c r="G646" s="1">
        <f t="shared" si="117"/>
        <v>78300</v>
      </c>
      <c r="H646" s="2">
        <f t="shared" si="118"/>
        <v>0.8244061302681992</v>
      </c>
      <c r="I646" s="2">
        <f t="shared" si="119"/>
        <v>0.17559386973180077</v>
      </c>
      <c r="J646" s="4">
        <v>13750</v>
      </c>
      <c r="K646" s="4">
        <v>27422</v>
      </c>
      <c r="L646" s="1">
        <f t="shared" si="114"/>
        <v>41172</v>
      </c>
      <c r="M646" s="2">
        <f t="shared" si="115"/>
        <v>0.3339648304673079</v>
      </c>
      <c r="N646" s="2">
        <f t="shared" si="116"/>
        <v>0.66603516953269215</v>
      </c>
    </row>
    <row r="647" spans="1:14" x14ac:dyDescent="0.35">
      <c r="A647" t="s">
        <v>16</v>
      </c>
      <c r="B647" t="s">
        <v>27</v>
      </c>
      <c r="C647">
        <v>2007</v>
      </c>
      <c r="D647" t="s">
        <v>32</v>
      </c>
      <c r="E647" s="4">
        <v>63916</v>
      </c>
      <c r="F647" s="4">
        <v>13930</v>
      </c>
      <c r="G647" s="1">
        <f t="shared" si="117"/>
        <v>77846</v>
      </c>
      <c r="H647" s="2">
        <f t="shared" si="118"/>
        <v>0.82105695861059014</v>
      </c>
      <c r="I647" s="2">
        <f t="shared" si="119"/>
        <v>0.17894304138940986</v>
      </c>
      <c r="J647" s="4">
        <v>13700.7</v>
      </c>
      <c r="K647" s="4">
        <v>27469</v>
      </c>
      <c r="L647" s="1">
        <f t="shared" si="114"/>
        <v>41169.699999999997</v>
      </c>
      <c r="M647" s="2">
        <f t="shared" si="115"/>
        <v>0.33278600524171909</v>
      </c>
      <c r="N647" s="2">
        <f t="shared" si="116"/>
        <v>0.66721399475828103</v>
      </c>
    </row>
    <row r="648" spans="1:14" x14ac:dyDescent="0.35">
      <c r="A648" t="s">
        <v>16</v>
      </c>
      <c r="B648" t="s">
        <v>28</v>
      </c>
      <c r="C648">
        <v>2007</v>
      </c>
      <c r="D648" t="s">
        <v>32</v>
      </c>
      <c r="E648" s="4">
        <v>63595</v>
      </c>
      <c r="F648" s="4">
        <v>14006</v>
      </c>
      <c r="G648" s="1">
        <f t="shared" si="117"/>
        <v>77601</v>
      </c>
      <c r="H648" s="2">
        <f t="shared" si="118"/>
        <v>0.81951263514645434</v>
      </c>
      <c r="I648" s="2">
        <f t="shared" si="119"/>
        <v>0.18048736485354569</v>
      </c>
      <c r="J648" s="4">
        <v>13538.3</v>
      </c>
      <c r="K648" s="4">
        <v>27758.9</v>
      </c>
      <c r="L648" s="1">
        <f t="shared" si="114"/>
        <v>41297.199999999997</v>
      </c>
      <c r="M648" s="2">
        <f t="shared" si="115"/>
        <v>0.32782609959028702</v>
      </c>
      <c r="N648" s="2">
        <f t="shared" si="116"/>
        <v>0.67217390040971314</v>
      </c>
    </row>
    <row r="649" spans="1:14" x14ac:dyDescent="0.35">
      <c r="A649" t="s">
        <v>16</v>
      </c>
      <c r="B649" t="s">
        <v>29</v>
      </c>
      <c r="C649">
        <v>2007</v>
      </c>
      <c r="D649" t="s">
        <v>32</v>
      </c>
      <c r="E649" s="4">
        <v>63200</v>
      </c>
      <c r="F649" s="4">
        <v>14155</v>
      </c>
      <c r="G649" s="1">
        <f t="shared" si="117"/>
        <v>77355</v>
      </c>
      <c r="H649" s="2">
        <f t="shared" si="118"/>
        <v>0.81701247495313811</v>
      </c>
      <c r="I649" s="2">
        <f t="shared" si="119"/>
        <v>0.18298752504686186</v>
      </c>
      <c r="J649" s="4">
        <v>13623.6</v>
      </c>
      <c r="K649" s="4">
        <v>29209.8</v>
      </c>
      <c r="L649" s="1">
        <f t="shared" si="114"/>
        <v>42833.4</v>
      </c>
      <c r="M649" s="2">
        <f t="shared" si="115"/>
        <v>0.318060205353766</v>
      </c>
      <c r="N649" s="2">
        <f t="shared" si="116"/>
        <v>0.681939794646234</v>
      </c>
    </row>
    <row r="650" spans="1:14" x14ac:dyDescent="0.35">
      <c r="A650" t="s">
        <v>16</v>
      </c>
      <c r="B650" t="s">
        <v>17</v>
      </c>
      <c r="C650">
        <v>2008</v>
      </c>
      <c r="D650" t="s">
        <v>32</v>
      </c>
      <c r="E650" s="4">
        <v>62767</v>
      </c>
      <c r="F650" s="4">
        <v>14286</v>
      </c>
      <c r="G650" s="1">
        <f t="shared" si="117"/>
        <v>77053</v>
      </c>
      <c r="H650" s="2">
        <f t="shared" si="118"/>
        <v>0.81459514879368744</v>
      </c>
      <c r="I650" s="2">
        <f t="shared" si="119"/>
        <v>0.18540485120631253</v>
      </c>
      <c r="J650" s="4">
        <v>13923</v>
      </c>
      <c r="K650" s="4">
        <v>31346</v>
      </c>
      <c r="L650" s="1">
        <f t="shared" si="114"/>
        <v>45269</v>
      </c>
      <c r="M650" s="2">
        <f t="shared" si="115"/>
        <v>0.30756146590381939</v>
      </c>
      <c r="N650" s="2">
        <f t="shared" si="116"/>
        <v>0.69243853409618061</v>
      </c>
    </row>
    <row r="651" spans="1:14" x14ac:dyDescent="0.35">
      <c r="A651" t="s">
        <v>16</v>
      </c>
      <c r="B651" t="s">
        <v>19</v>
      </c>
      <c r="C651">
        <v>2008</v>
      </c>
      <c r="D651" t="s">
        <v>32</v>
      </c>
      <c r="E651" s="4">
        <v>62447</v>
      </c>
      <c r="F651" s="4">
        <v>14346</v>
      </c>
      <c r="G651" s="1">
        <f t="shared" si="117"/>
        <v>76793</v>
      </c>
      <c r="H651" s="2">
        <f t="shared" si="118"/>
        <v>0.81318609769119576</v>
      </c>
      <c r="I651" s="2">
        <f t="shared" si="119"/>
        <v>0.18681390230880418</v>
      </c>
      <c r="J651" s="4">
        <v>12698</v>
      </c>
      <c r="K651" s="4">
        <v>28849</v>
      </c>
      <c r="L651" s="1">
        <f t="shared" si="114"/>
        <v>41547</v>
      </c>
      <c r="M651" s="2">
        <f t="shared" si="115"/>
        <v>0.30562976869569403</v>
      </c>
      <c r="N651" s="2">
        <f t="shared" si="116"/>
        <v>0.69437023130430597</v>
      </c>
    </row>
    <row r="652" spans="1:14" x14ac:dyDescent="0.35">
      <c r="A652" t="s">
        <v>16</v>
      </c>
      <c r="B652" t="s">
        <v>20</v>
      </c>
      <c r="C652">
        <v>2008</v>
      </c>
      <c r="D652" t="s">
        <v>32</v>
      </c>
      <c r="E652" s="4">
        <v>62194</v>
      </c>
      <c r="F652" s="4">
        <v>14389</v>
      </c>
      <c r="G652" s="1">
        <f t="shared" si="117"/>
        <v>76583</v>
      </c>
      <c r="H652" s="2">
        <f t="shared" si="118"/>
        <v>0.81211234869357429</v>
      </c>
      <c r="I652" s="2">
        <f t="shared" si="119"/>
        <v>0.18788765130642571</v>
      </c>
      <c r="J652" s="4">
        <v>12462</v>
      </c>
      <c r="K652" s="4">
        <v>28770</v>
      </c>
      <c r="L652" s="1">
        <f t="shared" si="114"/>
        <v>41232</v>
      </c>
      <c r="M652" s="2">
        <f t="shared" si="115"/>
        <v>0.30224097788125726</v>
      </c>
      <c r="N652" s="2">
        <f t="shared" si="116"/>
        <v>0.69775902211874274</v>
      </c>
    </row>
    <row r="653" spans="1:14" x14ac:dyDescent="0.35">
      <c r="A653" t="s">
        <v>16</v>
      </c>
      <c r="B653" t="s">
        <v>21</v>
      </c>
      <c r="C653">
        <v>2008</v>
      </c>
      <c r="D653" t="s">
        <v>32</v>
      </c>
      <c r="E653" s="4">
        <v>61912</v>
      </c>
      <c r="F653" s="4">
        <v>14421</v>
      </c>
      <c r="G653" s="1">
        <f t="shared" si="117"/>
        <v>76333</v>
      </c>
      <c r="H653" s="2">
        <f t="shared" si="118"/>
        <v>0.81107777763221678</v>
      </c>
      <c r="I653" s="2">
        <f t="shared" si="119"/>
        <v>0.18892222236778328</v>
      </c>
      <c r="J653" s="4">
        <v>12487.9</v>
      </c>
      <c r="K653" s="4">
        <v>28656.3</v>
      </c>
      <c r="L653" s="1">
        <f t="shared" si="114"/>
        <v>41144.199999999997</v>
      </c>
      <c r="M653" s="2">
        <f t="shared" si="115"/>
        <v>0.30351544081547338</v>
      </c>
      <c r="N653" s="2">
        <f t="shared" si="116"/>
        <v>0.69648455918452667</v>
      </c>
    </row>
    <row r="654" spans="1:14" x14ac:dyDescent="0.35">
      <c r="A654" t="s">
        <v>16</v>
      </c>
      <c r="B654" t="s">
        <v>22</v>
      </c>
      <c r="C654">
        <v>2008</v>
      </c>
      <c r="D654" t="s">
        <v>32</v>
      </c>
      <c r="E654" s="4">
        <v>61595</v>
      </c>
      <c r="F654" s="4">
        <v>14500</v>
      </c>
      <c r="G654" s="1">
        <f t="shared" si="117"/>
        <v>76095</v>
      </c>
      <c r="H654" s="2">
        <f t="shared" si="118"/>
        <v>0.80944871542151253</v>
      </c>
      <c r="I654" s="2">
        <f t="shared" si="119"/>
        <v>0.19055128457848741</v>
      </c>
      <c r="J654" s="4">
        <v>12446.3</v>
      </c>
      <c r="K654" s="4">
        <v>28469</v>
      </c>
      <c r="L654" s="1">
        <f t="shared" si="114"/>
        <v>40915.300000000003</v>
      </c>
      <c r="M654" s="2">
        <f t="shared" si="115"/>
        <v>0.30419671858693442</v>
      </c>
      <c r="N654" s="2">
        <f t="shared" si="116"/>
        <v>0.69580328141306547</v>
      </c>
    </row>
    <row r="655" spans="1:14" x14ac:dyDescent="0.35">
      <c r="A655" t="s">
        <v>16</v>
      </c>
      <c r="B655" t="s">
        <v>23</v>
      </c>
      <c r="C655">
        <v>2008</v>
      </c>
      <c r="D655" t="s">
        <v>32</v>
      </c>
      <c r="E655" s="4">
        <v>61208</v>
      </c>
      <c r="F655" s="4">
        <v>14574</v>
      </c>
      <c r="G655" s="1">
        <f t="shared" si="117"/>
        <v>75782</v>
      </c>
      <c r="H655" s="2">
        <f t="shared" si="118"/>
        <v>0.80768520229078145</v>
      </c>
      <c r="I655" s="2">
        <f t="shared" si="119"/>
        <v>0.19231479770921855</v>
      </c>
      <c r="J655" s="4">
        <v>12413.4</v>
      </c>
      <c r="K655" s="4">
        <v>28875.7</v>
      </c>
      <c r="L655" s="1">
        <f t="shared" si="114"/>
        <v>41289.1</v>
      </c>
      <c r="M655" s="2">
        <f t="shared" si="115"/>
        <v>0.30064593318817801</v>
      </c>
      <c r="N655" s="2">
        <f t="shared" si="116"/>
        <v>0.69935406681182199</v>
      </c>
    </row>
    <row r="656" spans="1:14" x14ac:dyDescent="0.35">
      <c r="A656" t="s">
        <v>16</v>
      </c>
      <c r="B656" t="s">
        <v>24</v>
      </c>
      <c r="C656">
        <v>2008</v>
      </c>
      <c r="D656" t="s">
        <v>32</v>
      </c>
      <c r="E656" s="4">
        <v>60843</v>
      </c>
      <c r="F656" s="4">
        <v>14625</v>
      </c>
      <c r="G656" s="1">
        <f t="shared" si="117"/>
        <v>75468</v>
      </c>
      <c r="H656" s="2">
        <f t="shared" si="118"/>
        <v>0.80620925425345846</v>
      </c>
      <c r="I656" s="2">
        <f t="shared" si="119"/>
        <v>0.19379074574654159</v>
      </c>
      <c r="J656" s="4">
        <v>12319.905000000001</v>
      </c>
      <c r="K656" s="4">
        <v>28662.517</v>
      </c>
      <c r="L656" s="1">
        <f t="shared" si="114"/>
        <v>40982.421999999999</v>
      </c>
      <c r="M656" s="2">
        <f t="shared" si="115"/>
        <v>0.30061437071727976</v>
      </c>
      <c r="N656" s="2">
        <f t="shared" si="116"/>
        <v>0.6993856292827203</v>
      </c>
    </row>
    <row r="657" spans="1:14" x14ac:dyDescent="0.35">
      <c r="A657" t="s">
        <v>16</v>
      </c>
      <c r="B657" t="s">
        <v>25</v>
      </c>
      <c r="C657">
        <v>2008</v>
      </c>
      <c r="D657" t="s">
        <v>32</v>
      </c>
      <c r="E657" s="4">
        <v>60470</v>
      </c>
      <c r="F657" s="4">
        <v>14688</v>
      </c>
      <c r="G657" s="1">
        <f t="shared" si="117"/>
        <v>75158</v>
      </c>
      <c r="H657" s="2">
        <f t="shared" si="118"/>
        <v>0.80457170228052899</v>
      </c>
      <c r="I657" s="2">
        <f t="shared" si="119"/>
        <v>0.19542829771947098</v>
      </c>
      <c r="J657" s="4">
        <v>12279.556</v>
      </c>
      <c r="K657" s="4">
        <v>28656.26</v>
      </c>
      <c r="L657" s="1">
        <f t="shared" si="114"/>
        <v>40935.815999999999</v>
      </c>
      <c r="M657" s="2">
        <f t="shared" si="115"/>
        <v>0.29997095941607715</v>
      </c>
      <c r="N657" s="2">
        <f t="shared" si="116"/>
        <v>0.7000290405839229</v>
      </c>
    </row>
    <row r="658" spans="1:14" x14ac:dyDescent="0.35">
      <c r="A658" t="s">
        <v>16</v>
      </c>
      <c r="B658" t="s">
        <v>26</v>
      </c>
      <c r="C658">
        <v>2008</v>
      </c>
      <c r="D658" t="s">
        <v>32</v>
      </c>
      <c r="E658" s="4">
        <v>60174</v>
      </c>
      <c r="F658" s="4">
        <v>14771</v>
      </c>
      <c r="G658" s="1">
        <f t="shared" si="117"/>
        <v>74945</v>
      </c>
      <c r="H658" s="2">
        <f t="shared" si="118"/>
        <v>0.80290879978651009</v>
      </c>
      <c r="I658" s="2">
        <f t="shared" si="119"/>
        <v>0.19709120021348989</v>
      </c>
      <c r="J658" s="4">
        <v>12141.64</v>
      </c>
      <c r="K658" s="4">
        <v>28909.557000000001</v>
      </c>
      <c r="L658" s="1">
        <f t="shared" si="114"/>
        <v>41051.197</v>
      </c>
      <c r="M658" s="2">
        <f t="shared" si="115"/>
        <v>0.29576823301888128</v>
      </c>
      <c r="N658" s="2">
        <f t="shared" si="116"/>
        <v>0.70423176698111878</v>
      </c>
    </row>
    <row r="659" spans="1:14" x14ac:dyDescent="0.35">
      <c r="A659" t="s">
        <v>16</v>
      </c>
      <c r="B659" t="s">
        <v>27</v>
      </c>
      <c r="C659">
        <v>2008</v>
      </c>
      <c r="D659" t="s">
        <v>32</v>
      </c>
      <c r="E659" s="4">
        <v>59965</v>
      </c>
      <c r="F659" s="4">
        <v>14845</v>
      </c>
      <c r="G659" s="1">
        <f t="shared" si="117"/>
        <v>74810</v>
      </c>
      <c r="H659" s="2">
        <f t="shared" si="118"/>
        <v>0.80156396203716085</v>
      </c>
      <c r="I659" s="2">
        <f t="shared" si="119"/>
        <v>0.19843603796283918</v>
      </c>
      <c r="J659" s="4">
        <v>12001</v>
      </c>
      <c r="K659" s="4">
        <v>29124</v>
      </c>
      <c r="L659" s="1">
        <f t="shared" si="114"/>
        <v>41125</v>
      </c>
      <c r="M659" s="2">
        <f t="shared" si="115"/>
        <v>0.29181762917933129</v>
      </c>
      <c r="N659" s="2">
        <f t="shared" si="116"/>
        <v>0.70818237082066871</v>
      </c>
    </row>
    <row r="660" spans="1:14" x14ac:dyDescent="0.35">
      <c r="A660" t="s">
        <v>16</v>
      </c>
      <c r="B660" t="s">
        <v>28</v>
      </c>
      <c r="C660">
        <v>2008</v>
      </c>
      <c r="D660" t="s">
        <v>32</v>
      </c>
      <c r="E660" s="4">
        <v>59605</v>
      </c>
      <c r="F660" s="4">
        <v>14885</v>
      </c>
      <c r="G660" s="1">
        <f t="shared" si="117"/>
        <v>74490</v>
      </c>
      <c r="H660" s="2">
        <f t="shared" si="118"/>
        <v>0.80017452006980805</v>
      </c>
      <c r="I660" s="2">
        <f t="shared" si="119"/>
        <v>0.19982547993019198</v>
      </c>
      <c r="J660" s="4">
        <v>11940</v>
      </c>
      <c r="K660" s="4">
        <v>29326</v>
      </c>
      <c r="L660" s="1">
        <f t="shared" si="114"/>
        <v>41266</v>
      </c>
      <c r="M660" s="2">
        <f t="shared" si="115"/>
        <v>0.28934231570784663</v>
      </c>
      <c r="N660" s="2">
        <f t="shared" si="116"/>
        <v>0.71065768429215337</v>
      </c>
    </row>
    <row r="661" spans="1:14" x14ac:dyDescent="0.35">
      <c r="A661" t="s">
        <v>16</v>
      </c>
      <c r="B661" t="s">
        <v>29</v>
      </c>
      <c r="C661">
        <v>2008</v>
      </c>
      <c r="D661" t="s">
        <v>32</v>
      </c>
      <c r="E661" s="4">
        <v>59293</v>
      </c>
      <c r="F661" s="4">
        <v>14972</v>
      </c>
      <c r="G661" s="1">
        <f t="shared" si="117"/>
        <v>74265</v>
      </c>
      <c r="H661" s="2">
        <f t="shared" si="118"/>
        <v>0.7983976301083956</v>
      </c>
      <c r="I661" s="2">
        <f t="shared" si="119"/>
        <v>0.20160236989160438</v>
      </c>
      <c r="J661" s="4">
        <v>12102</v>
      </c>
      <c r="K661" s="4">
        <v>30423</v>
      </c>
      <c r="L661" s="1">
        <f t="shared" si="114"/>
        <v>42525</v>
      </c>
      <c r="M661" s="2">
        <f t="shared" si="115"/>
        <v>0.28458553791887126</v>
      </c>
      <c r="N661" s="2">
        <f t="shared" si="116"/>
        <v>0.7154144620811288</v>
      </c>
    </row>
    <row r="662" spans="1:14" x14ac:dyDescent="0.35">
      <c r="A662" t="s">
        <v>16</v>
      </c>
      <c r="B662" t="s">
        <v>17</v>
      </c>
      <c r="C662">
        <v>2009</v>
      </c>
      <c r="D662" t="s">
        <v>32</v>
      </c>
      <c r="E662" s="4">
        <v>58839</v>
      </c>
      <c r="F662" s="4">
        <v>15162</v>
      </c>
      <c r="G662" s="1">
        <f t="shared" si="117"/>
        <v>74001</v>
      </c>
      <c r="H662" s="2">
        <f t="shared" si="118"/>
        <v>0.79511087688004212</v>
      </c>
      <c r="I662" s="2">
        <f t="shared" si="119"/>
        <v>0.20488912311995783</v>
      </c>
      <c r="J662" s="4">
        <v>12902</v>
      </c>
      <c r="K662" s="4">
        <v>32232</v>
      </c>
      <c r="L662" s="1">
        <f t="shared" si="114"/>
        <v>45134</v>
      </c>
      <c r="M662" s="2">
        <f t="shared" si="115"/>
        <v>0.28585988390127176</v>
      </c>
      <c r="N662" s="2">
        <f t="shared" si="116"/>
        <v>0.71414011609872818</v>
      </c>
    </row>
    <row r="663" spans="1:14" x14ac:dyDescent="0.35">
      <c r="A663" t="s">
        <v>16</v>
      </c>
      <c r="B663" t="s">
        <v>19</v>
      </c>
      <c r="C663">
        <v>2009</v>
      </c>
      <c r="D663" t="s">
        <v>32</v>
      </c>
      <c r="E663" s="4">
        <v>58588</v>
      </c>
      <c r="F663" s="4">
        <v>15229</v>
      </c>
      <c r="G663" s="1">
        <f t="shared" si="117"/>
        <v>73817</v>
      </c>
      <c r="H663" s="2">
        <f t="shared" si="118"/>
        <v>0.79369250985545337</v>
      </c>
      <c r="I663" s="2">
        <f t="shared" si="119"/>
        <v>0.20630749014454666</v>
      </c>
      <c r="J663" s="4">
        <v>10764</v>
      </c>
      <c r="K663" s="4">
        <v>30467</v>
      </c>
      <c r="L663" s="1">
        <f t="shared" si="114"/>
        <v>41231</v>
      </c>
      <c r="M663" s="2">
        <f t="shared" si="115"/>
        <v>0.26106570299046833</v>
      </c>
      <c r="N663" s="2">
        <f t="shared" si="116"/>
        <v>0.73893429700953162</v>
      </c>
    </row>
    <row r="664" spans="1:14" x14ac:dyDescent="0.35">
      <c r="A664" t="s">
        <v>16</v>
      </c>
      <c r="B664" t="s">
        <v>20</v>
      </c>
      <c r="C664">
        <v>2009</v>
      </c>
      <c r="D664" t="s">
        <v>32</v>
      </c>
      <c r="E664" s="4">
        <v>58155</v>
      </c>
      <c r="F664" s="4">
        <v>15193</v>
      </c>
      <c r="G664" s="1">
        <f t="shared" si="117"/>
        <v>73348</v>
      </c>
      <c r="H664" s="2">
        <f t="shared" si="118"/>
        <v>0.79286415444183889</v>
      </c>
      <c r="I664" s="2">
        <f t="shared" si="119"/>
        <v>0.20713584555816109</v>
      </c>
      <c r="J664" s="4">
        <v>10725</v>
      </c>
      <c r="K664" s="4">
        <v>30696</v>
      </c>
      <c r="L664" s="1">
        <f t="shared" si="114"/>
        <v>41421</v>
      </c>
      <c r="M664" s="2">
        <f t="shared" si="115"/>
        <v>0.25892663141884553</v>
      </c>
      <c r="N664" s="2">
        <f t="shared" si="116"/>
        <v>0.74107336858115447</v>
      </c>
    </row>
    <row r="665" spans="1:14" x14ac:dyDescent="0.35">
      <c r="A665" t="s">
        <v>16</v>
      </c>
      <c r="B665" t="s">
        <v>21</v>
      </c>
      <c r="C665">
        <v>2009</v>
      </c>
      <c r="D665" t="s">
        <v>32</v>
      </c>
      <c r="E665" s="4">
        <v>57855</v>
      </c>
      <c r="F665" s="4">
        <v>15278</v>
      </c>
      <c r="G665" s="1">
        <f t="shared" si="117"/>
        <v>73133</v>
      </c>
      <c r="H665" s="2">
        <f t="shared" si="118"/>
        <v>0.79109294025952714</v>
      </c>
      <c r="I665" s="2">
        <f t="shared" si="119"/>
        <v>0.20890705974047283</v>
      </c>
      <c r="J665" s="4">
        <v>10623</v>
      </c>
      <c r="K665" s="4">
        <v>30868</v>
      </c>
      <c r="L665" s="1">
        <f t="shared" si="114"/>
        <v>41491</v>
      </c>
      <c r="M665" s="2">
        <f t="shared" si="115"/>
        <v>0.25603142850256683</v>
      </c>
      <c r="N665" s="2">
        <f t="shared" si="116"/>
        <v>0.74396857149743323</v>
      </c>
    </row>
    <row r="666" spans="1:14" x14ac:dyDescent="0.35">
      <c r="A666" t="s">
        <v>16</v>
      </c>
      <c r="B666" t="s">
        <v>22</v>
      </c>
      <c r="C666">
        <v>2009</v>
      </c>
      <c r="D666" t="s">
        <v>32</v>
      </c>
      <c r="E666" s="4">
        <v>57546</v>
      </c>
      <c r="F666" s="4">
        <v>15435</v>
      </c>
      <c r="G666" s="1">
        <f t="shared" si="117"/>
        <v>72981</v>
      </c>
      <c r="H666" s="2">
        <f t="shared" si="118"/>
        <v>0.78850659760759645</v>
      </c>
      <c r="I666" s="2">
        <f t="shared" si="119"/>
        <v>0.2114934023924035</v>
      </c>
      <c r="J666" s="4">
        <v>10514</v>
      </c>
      <c r="K666" s="4">
        <v>30279</v>
      </c>
      <c r="L666" s="1">
        <f t="shared" si="114"/>
        <v>40793</v>
      </c>
      <c r="M666" s="2">
        <f t="shared" si="115"/>
        <v>0.25774029858063885</v>
      </c>
      <c r="N666" s="2">
        <f t="shared" si="116"/>
        <v>0.74225970141936115</v>
      </c>
    </row>
    <row r="667" spans="1:14" x14ac:dyDescent="0.35">
      <c r="A667" t="s">
        <v>16</v>
      </c>
      <c r="B667" t="s">
        <v>23</v>
      </c>
      <c r="C667">
        <v>2009</v>
      </c>
      <c r="D667" t="s">
        <v>32</v>
      </c>
      <c r="E667" s="4">
        <v>57268</v>
      </c>
      <c r="F667" s="4">
        <v>15500</v>
      </c>
      <c r="G667" s="1">
        <f t="shared" si="117"/>
        <v>72768</v>
      </c>
      <c r="H667" s="2">
        <f t="shared" si="118"/>
        <v>0.78699428320140719</v>
      </c>
      <c r="I667" s="2">
        <f t="shared" si="119"/>
        <v>0.21300571679859279</v>
      </c>
      <c r="J667" s="4">
        <v>10347</v>
      </c>
      <c r="K667" s="4">
        <v>30354</v>
      </c>
      <c r="L667" s="1">
        <f t="shared" si="114"/>
        <v>40701</v>
      </c>
      <c r="M667" s="2">
        <f t="shared" si="115"/>
        <v>0.25421979803936023</v>
      </c>
      <c r="N667" s="2">
        <f t="shared" si="116"/>
        <v>0.74578020196063977</v>
      </c>
    </row>
    <row r="668" spans="1:14" x14ac:dyDescent="0.35">
      <c r="A668" t="s">
        <v>16</v>
      </c>
      <c r="B668" t="s">
        <v>24</v>
      </c>
      <c r="C668">
        <v>2009</v>
      </c>
      <c r="D668" t="s">
        <v>32</v>
      </c>
      <c r="E668" s="4">
        <v>56878</v>
      </c>
      <c r="F668" s="4">
        <v>15576</v>
      </c>
      <c r="G668" s="1">
        <f t="shared" si="117"/>
        <v>72454</v>
      </c>
      <c r="H668" s="2">
        <f t="shared" si="118"/>
        <v>0.78502222099539021</v>
      </c>
      <c r="I668" s="2">
        <f t="shared" si="119"/>
        <v>0.21497777900460982</v>
      </c>
      <c r="J668" s="4">
        <v>13078</v>
      </c>
      <c r="K668" s="4">
        <v>27373.7</v>
      </c>
      <c r="L668" s="1">
        <f t="shared" si="114"/>
        <v>40451.699999999997</v>
      </c>
      <c r="M668" s="2">
        <f t="shared" si="115"/>
        <v>0.32329914441173058</v>
      </c>
      <c r="N668" s="2">
        <f t="shared" si="116"/>
        <v>0.67670085558826953</v>
      </c>
    </row>
    <row r="669" spans="1:14" x14ac:dyDescent="0.35">
      <c r="A669" t="s">
        <v>16</v>
      </c>
      <c r="B669" t="s">
        <v>25</v>
      </c>
      <c r="C669">
        <v>2009</v>
      </c>
      <c r="D669" t="s">
        <v>32</v>
      </c>
      <c r="E669" s="4">
        <v>56482</v>
      </c>
      <c r="F669" s="4">
        <v>15723</v>
      </c>
      <c r="G669" s="1">
        <f t="shared" si="117"/>
        <v>72205</v>
      </c>
      <c r="H669" s="2">
        <f t="shared" si="118"/>
        <v>0.78224499688387228</v>
      </c>
      <c r="I669" s="2">
        <f t="shared" si="119"/>
        <v>0.21775500311612769</v>
      </c>
      <c r="J669" s="4">
        <v>13535</v>
      </c>
      <c r="K669" s="4">
        <v>27326.799999999999</v>
      </c>
      <c r="L669" s="1">
        <f t="shared" si="114"/>
        <v>40861.800000000003</v>
      </c>
      <c r="M669" s="2">
        <f t="shared" si="115"/>
        <v>0.33123846722366607</v>
      </c>
      <c r="N669" s="2">
        <f t="shared" si="116"/>
        <v>0.66876153277633377</v>
      </c>
    </row>
    <row r="670" spans="1:14" x14ac:dyDescent="0.35">
      <c r="A670" t="s">
        <v>16</v>
      </c>
      <c r="B670" t="s">
        <v>26</v>
      </c>
      <c r="C670">
        <v>2009</v>
      </c>
      <c r="D670" t="s">
        <v>32</v>
      </c>
      <c r="E670" s="4">
        <v>55990</v>
      </c>
      <c r="F670" s="4">
        <v>16004</v>
      </c>
      <c r="G670" s="1">
        <f t="shared" si="117"/>
        <v>71994</v>
      </c>
      <c r="H670" s="2">
        <f t="shared" si="118"/>
        <v>0.77770369753034974</v>
      </c>
      <c r="I670" s="2">
        <f t="shared" si="119"/>
        <v>0.22229630246965024</v>
      </c>
      <c r="J670" s="4">
        <v>12584.6</v>
      </c>
      <c r="K670" s="4">
        <v>27507</v>
      </c>
      <c r="L670" s="1">
        <f t="shared" si="114"/>
        <v>40091.599999999999</v>
      </c>
      <c r="M670" s="2">
        <f t="shared" si="115"/>
        <v>0.31389617775294576</v>
      </c>
      <c r="N670" s="2">
        <f t="shared" si="116"/>
        <v>0.68610382224705424</v>
      </c>
    </row>
    <row r="671" spans="1:14" x14ac:dyDescent="0.35">
      <c r="A671" t="s">
        <v>16</v>
      </c>
      <c r="B671" t="s">
        <v>27</v>
      </c>
      <c r="C671">
        <v>2009</v>
      </c>
      <c r="D671" t="s">
        <v>32</v>
      </c>
      <c r="E671" s="4">
        <v>55268</v>
      </c>
      <c r="F671" s="4">
        <v>16169</v>
      </c>
      <c r="G671" s="1">
        <f t="shared" si="117"/>
        <v>71437</v>
      </c>
      <c r="H671" s="2">
        <f t="shared" si="118"/>
        <v>0.77366070803645171</v>
      </c>
      <c r="I671" s="2">
        <f t="shared" si="119"/>
        <v>0.22633929196354829</v>
      </c>
      <c r="J671" s="4">
        <v>12822.5</v>
      </c>
      <c r="K671" s="4">
        <v>27752.3</v>
      </c>
      <c r="L671" s="1">
        <f t="shared" si="114"/>
        <v>40574.800000000003</v>
      </c>
      <c r="M671" s="2">
        <f t="shared" si="115"/>
        <v>0.3160212742884746</v>
      </c>
      <c r="N671" s="2">
        <f t="shared" si="116"/>
        <v>0.68397872571152529</v>
      </c>
    </row>
    <row r="672" spans="1:14" x14ac:dyDescent="0.35">
      <c r="A672" t="s">
        <v>16</v>
      </c>
      <c r="B672" t="s">
        <v>28</v>
      </c>
      <c r="C672">
        <v>2009</v>
      </c>
      <c r="D672" t="s">
        <v>32</v>
      </c>
      <c r="E672" s="4">
        <v>54788</v>
      </c>
      <c r="F672" s="4">
        <v>16299</v>
      </c>
      <c r="G672" s="1">
        <f t="shared" si="117"/>
        <v>71087</v>
      </c>
      <c r="H672" s="2">
        <f t="shared" si="118"/>
        <v>0.77071757142656183</v>
      </c>
      <c r="I672" s="2">
        <f t="shared" si="119"/>
        <v>0.22928242857343817</v>
      </c>
      <c r="J672" s="4">
        <v>12689.7</v>
      </c>
      <c r="K672" s="4">
        <v>27956.9</v>
      </c>
      <c r="L672" s="1">
        <f t="shared" si="114"/>
        <v>40646.600000000006</v>
      </c>
      <c r="M672" s="2">
        <f t="shared" si="115"/>
        <v>0.3121958540197704</v>
      </c>
      <c r="N672" s="2">
        <f t="shared" si="116"/>
        <v>0.68780414598022954</v>
      </c>
    </row>
    <row r="673" spans="1:14" x14ac:dyDescent="0.35">
      <c r="A673" t="s">
        <v>16</v>
      </c>
      <c r="B673" t="s">
        <v>29</v>
      </c>
      <c r="C673">
        <v>2009</v>
      </c>
      <c r="D673" t="s">
        <v>32</v>
      </c>
      <c r="E673" s="4">
        <v>54436</v>
      </c>
      <c r="F673" s="4">
        <v>16406</v>
      </c>
      <c r="G673" s="1">
        <f t="shared" si="117"/>
        <v>70842</v>
      </c>
      <c r="H673" s="2">
        <f t="shared" si="118"/>
        <v>0.76841421755455808</v>
      </c>
      <c r="I673" s="2">
        <f t="shared" si="119"/>
        <v>0.23158578244544198</v>
      </c>
      <c r="J673" s="4">
        <v>13022</v>
      </c>
      <c r="K673" s="4">
        <v>29200.7</v>
      </c>
      <c r="L673" s="1">
        <f t="shared" si="114"/>
        <v>42222.7</v>
      </c>
      <c r="M673" s="2">
        <f t="shared" si="115"/>
        <v>0.30841229954503147</v>
      </c>
      <c r="N673" s="2">
        <f t="shared" si="116"/>
        <v>0.69158770045496865</v>
      </c>
    </row>
    <row r="674" spans="1:14" x14ac:dyDescent="0.35">
      <c r="A674" t="s">
        <v>16</v>
      </c>
      <c r="B674" t="s">
        <v>17</v>
      </c>
      <c r="C674">
        <v>2010</v>
      </c>
      <c r="D674" t="s">
        <v>32</v>
      </c>
      <c r="E674" s="4">
        <v>54049</v>
      </c>
      <c r="F674" s="4">
        <v>16441</v>
      </c>
      <c r="G674" s="1">
        <f t="shared" si="117"/>
        <v>70490</v>
      </c>
      <c r="H674" s="2">
        <f t="shared" si="118"/>
        <v>0.76676124272946522</v>
      </c>
      <c r="I674" s="2">
        <f t="shared" si="119"/>
        <v>0.23323875727053484</v>
      </c>
      <c r="J674" s="4">
        <v>14056.138999999999</v>
      </c>
      <c r="K674" s="4">
        <f>30490.628</f>
        <v>30490.628000000001</v>
      </c>
      <c r="L674" s="1">
        <f t="shared" si="114"/>
        <v>44546.767</v>
      </c>
      <c r="M674" s="2">
        <f t="shared" si="115"/>
        <v>0.31553668081007985</v>
      </c>
      <c r="N674" s="2">
        <f t="shared" si="116"/>
        <v>0.68446331918992009</v>
      </c>
    </row>
    <row r="675" spans="1:14" x14ac:dyDescent="0.35">
      <c r="A675" t="s">
        <v>16</v>
      </c>
      <c r="B675" t="s">
        <v>19</v>
      </c>
      <c r="C675">
        <v>2010</v>
      </c>
      <c r="D675" t="s">
        <v>32</v>
      </c>
      <c r="E675" s="4">
        <v>53701</v>
      </c>
      <c r="F675" s="4">
        <v>16538</v>
      </c>
      <c r="G675" s="1">
        <f t="shared" si="117"/>
        <v>70239</v>
      </c>
      <c r="H675" s="2">
        <f t="shared" si="118"/>
        <v>0.76454676177052638</v>
      </c>
      <c r="I675" s="2">
        <f t="shared" si="119"/>
        <v>0.23545323822947364</v>
      </c>
      <c r="J675" s="4">
        <v>12571.727999999999</v>
      </c>
      <c r="K675" s="4">
        <v>28034.761999999999</v>
      </c>
      <c r="L675" s="1">
        <f t="shared" si="114"/>
        <v>40606.49</v>
      </c>
      <c r="M675" s="2">
        <f t="shared" si="115"/>
        <v>0.30959898282269654</v>
      </c>
      <c r="N675" s="2">
        <f t="shared" si="116"/>
        <v>0.6904010171773034</v>
      </c>
    </row>
    <row r="676" spans="1:14" x14ac:dyDescent="0.35">
      <c r="A676" t="s">
        <v>16</v>
      </c>
      <c r="B676" t="s">
        <v>20</v>
      </c>
      <c r="C676">
        <v>2010</v>
      </c>
      <c r="D676" t="s">
        <v>32</v>
      </c>
      <c r="E676" s="4">
        <v>53318</v>
      </c>
      <c r="F676" s="4">
        <v>16664</v>
      </c>
      <c r="G676" s="1">
        <f t="shared" si="117"/>
        <v>69982</v>
      </c>
      <c r="H676" s="2">
        <f t="shared" si="118"/>
        <v>0.76188162670400961</v>
      </c>
      <c r="I676" s="2">
        <f t="shared" si="119"/>
        <v>0.23811837329599039</v>
      </c>
      <c r="J676" s="4">
        <v>12480.651</v>
      </c>
      <c r="K676" s="4">
        <v>27849.498</v>
      </c>
      <c r="L676" s="1">
        <f t="shared" si="114"/>
        <v>40330.148999999998</v>
      </c>
      <c r="M676" s="2">
        <f t="shared" si="115"/>
        <v>0.30946206025670769</v>
      </c>
      <c r="N676" s="2">
        <f t="shared" si="116"/>
        <v>0.69053793974329236</v>
      </c>
    </row>
    <row r="677" spans="1:14" x14ac:dyDescent="0.35">
      <c r="A677" t="s">
        <v>16</v>
      </c>
      <c r="B677" t="s">
        <v>21</v>
      </c>
      <c r="C677">
        <v>2010</v>
      </c>
      <c r="D677" t="s">
        <v>32</v>
      </c>
      <c r="E677" s="4">
        <v>52963</v>
      </c>
      <c r="F677" s="4">
        <v>16694</v>
      </c>
      <c r="G677" s="1">
        <f t="shared" si="117"/>
        <v>69657</v>
      </c>
      <c r="H677" s="2">
        <f t="shared" si="118"/>
        <v>0.76033995147652067</v>
      </c>
      <c r="I677" s="2">
        <f t="shared" si="119"/>
        <v>0.23966004852347933</v>
      </c>
      <c r="J677" s="4">
        <v>12429.6</v>
      </c>
      <c r="K677" s="4">
        <v>27806.799999999999</v>
      </c>
      <c r="L677" s="1">
        <f t="shared" si="114"/>
        <v>40236.400000000001</v>
      </c>
      <c r="M677" s="2">
        <f t="shared" si="115"/>
        <v>0.30891431639013428</v>
      </c>
      <c r="N677" s="2">
        <f t="shared" si="116"/>
        <v>0.69108568360986566</v>
      </c>
    </row>
    <row r="678" spans="1:14" x14ac:dyDescent="0.35">
      <c r="A678" t="s">
        <v>16</v>
      </c>
      <c r="B678" t="s">
        <v>22</v>
      </c>
      <c r="C678">
        <v>2010</v>
      </c>
      <c r="D678" t="s">
        <v>32</v>
      </c>
      <c r="E678" s="4">
        <v>52617</v>
      </c>
      <c r="F678" s="4">
        <v>16790</v>
      </c>
      <c r="G678" s="1">
        <f t="shared" si="117"/>
        <v>69407</v>
      </c>
      <c r="H678" s="2">
        <f t="shared" si="118"/>
        <v>0.7580935640497356</v>
      </c>
      <c r="I678" s="2">
        <f t="shared" si="119"/>
        <v>0.24190643595026437</v>
      </c>
      <c r="J678" s="4">
        <v>12498.5</v>
      </c>
      <c r="K678" s="4">
        <v>27467.7</v>
      </c>
      <c r="L678" s="1">
        <f t="shared" si="114"/>
        <v>39966.199999999997</v>
      </c>
      <c r="M678" s="2">
        <f t="shared" si="115"/>
        <v>0.31272675410722062</v>
      </c>
      <c r="N678" s="2">
        <f t="shared" si="116"/>
        <v>0.68727324589277949</v>
      </c>
    </row>
    <row r="679" spans="1:14" x14ac:dyDescent="0.35">
      <c r="A679" t="s">
        <v>16</v>
      </c>
      <c r="B679" t="s">
        <v>23</v>
      </c>
      <c r="C679">
        <v>2010</v>
      </c>
      <c r="D679" t="s">
        <v>32</v>
      </c>
      <c r="E679" s="4">
        <v>52131</v>
      </c>
      <c r="F679" s="4">
        <v>16994</v>
      </c>
      <c r="G679" s="1">
        <f t="shared" si="117"/>
        <v>69125</v>
      </c>
      <c r="H679" s="2">
        <f t="shared" si="118"/>
        <v>0.75415551537070524</v>
      </c>
      <c r="I679" s="2">
        <f t="shared" si="119"/>
        <v>0.24584448462929476</v>
      </c>
      <c r="J679" s="4">
        <v>12580.4</v>
      </c>
      <c r="K679" s="4">
        <v>27482.1</v>
      </c>
      <c r="L679" s="1">
        <f t="shared" si="114"/>
        <v>40062.5</v>
      </c>
      <c r="M679" s="2">
        <f t="shared" si="115"/>
        <v>0.31401934477379095</v>
      </c>
      <c r="N679" s="2">
        <f t="shared" si="116"/>
        <v>0.68598065522620899</v>
      </c>
    </row>
    <row r="680" spans="1:14" x14ac:dyDescent="0.35">
      <c r="A680" t="s">
        <v>16</v>
      </c>
      <c r="B680" t="s">
        <v>24</v>
      </c>
      <c r="C680">
        <v>2010</v>
      </c>
      <c r="D680" t="s">
        <v>32</v>
      </c>
      <c r="E680" s="4">
        <v>51731</v>
      </c>
      <c r="F680" s="4">
        <v>17140</v>
      </c>
      <c r="G680" s="1">
        <f t="shared" si="117"/>
        <v>68871</v>
      </c>
      <c r="H680" s="2">
        <f t="shared" si="118"/>
        <v>0.75112892218785843</v>
      </c>
      <c r="I680" s="2">
        <f t="shared" si="119"/>
        <v>0.24887107781214154</v>
      </c>
      <c r="J680" s="4">
        <v>12380.5</v>
      </c>
      <c r="K680" s="4">
        <v>27515.200000000001</v>
      </c>
      <c r="L680" s="1">
        <f t="shared" si="114"/>
        <v>39895.699999999997</v>
      </c>
      <c r="M680" s="2">
        <f t="shared" si="115"/>
        <v>0.31032166373819736</v>
      </c>
      <c r="N680" s="2">
        <f t="shared" si="116"/>
        <v>0.68967833626180275</v>
      </c>
    </row>
    <row r="681" spans="1:14" x14ac:dyDescent="0.35">
      <c r="A681" t="s">
        <v>16</v>
      </c>
      <c r="B681" t="s">
        <v>25</v>
      </c>
      <c r="C681">
        <v>2010</v>
      </c>
      <c r="D681" t="s">
        <v>32</v>
      </c>
      <c r="E681" s="4">
        <v>51458</v>
      </c>
      <c r="F681" s="4">
        <v>17260</v>
      </c>
      <c r="G681" s="1">
        <f t="shared" si="117"/>
        <v>68718</v>
      </c>
      <c r="H681" s="2">
        <f t="shared" si="118"/>
        <v>0.74882854565033907</v>
      </c>
      <c r="I681" s="2">
        <f t="shared" si="119"/>
        <v>0.25117145434966093</v>
      </c>
      <c r="J681" s="4">
        <v>12179</v>
      </c>
      <c r="K681" s="4">
        <v>27477</v>
      </c>
      <c r="L681" s="1">
        <f t="shared" si="114"/>
        <v>39656</v>
      </c>
      <c r="M681" s="2">
        <f t="shared" si="115"/>
        <v>0.30711619931410128</v>
      </c>
      <c r="N681" s="2">
        <f t="shared" si="116"/>
        <v>0.69288380068589872</v>
      </c>
    </row>
    <row r="682" spans="1:14" x14ac:dyDescent="0.35">
      <c r="A682" t="s">
        <v>16</v>
      </c>
      <c r="B682" t="s">
        <v>26</v>
      </c>
      <c r="C682">
        <v>2010</v>
      </c>
      <c r="D682" t="s">
        <v>32</v>
      </c>
      <c r="E682" s="4">
        <v>51149</v>
      </c>
      <c r="F682" s="4">
        <v>17402</v>
      </c>
      <c r="G682" s="1">
        <f t="shared" si="117"/>
        <v>68551</v>
      </c>
      <c r="H682" s="2">
        <f t="shared" si="118"/>
        <v>0.74614520575921572</v>
      </c>
      <c r="I682" s="2">
        <f t="shared" si="119"/>
        <v>0.25385479424078422</v>
      </c>
      <c r="J682" s="4">
        <v>12262.1</v>
      </c>
      <c r="K682" s="4">
        <v>27753.7</v>
      </c>
      <c r="L682" s="1">
        <f t="shared" si="114"/>
        <v>40015.800000000003</v>
      </c>
      <c r="M682" s="2">
        <f t="shared" si="115"/>
        <v>0.30643145957346846</v>
      </c>
      <c r="N682" s="2">
        <f t="shared" si="116"/>
        <v>0.69356854042653149</v>
      </c>
    </row>
    <row r="683" spans="1:14" x14ac:dyDescent="0.35">
      <c r="A683" t="s">
        <v>16</v>
      </c>
      <c r="B683" t="s">
        <v>27</v>
      </c>
      <c r="C683">
        <v>2010</v>
      </c>
      <c r="D683" t="s">
        <v>32</v>
      </c>
      <c r="E683" s="4">
        <v>50713</v>
      </c>
      <c r="F683" s="4">
        <v>17562</v>
      </c>
      <c r="G683" s="1">
        <f t="shared" si="117"/>
        <v>68275</v>
      </c>
      <c r="H683" s="2">
        <f t="shared" si="118"/>
        <v>0.74277554009520319</v>
      </c>
      <c r="I683" s="2">
        <f t="shared" si="119"/>
        <v>0.25722445990479675</v>
      </c>
      <c r="J683" s="4">
        <v>12016.9</v>
      </c>
      <c r="K683" s="4">
        <v>27874.7</v>
      </c>
      <c r="L683" s="1">
        <f t="shared" si="114"/>
        <v>39891.599999999999</v>
      </c>
      <c r="M683" s="2">
        <f t="shared" si="115"/>
        <v>0.30123885730329192</v>
      </c>
      <c r="N683" s="2">
        <f t="shared" si="116"/>
        <v>0.69876114269670808</v>
      </c>
    </row>
    <row r="684" spans="1:14" x14ac:dyDescent="0.35">
      <c r="A684" t="s">
        <v>16</v>
      </c>
      <c r="B684" t="s">
        <v>28</v>
      </c>
      <c r="C684">
        <v>2010</v>
      </c>
      <c r="D684" t="s">
        <v>32</v>
      </c>
      <c r="E684" s="4">
        <v>50254</v>
      </c>
      <c r="F684" s="4">
        <v>17830</v>
      </c>
      <c r="G684" s="1">
        <f t="shared" si="117"/>
        <v>68084</v>
      </c>
      <c r="H684" s="2">
        <f t="shared" si="118"/>
        <v>0.73811761941131548</v>
      </c>
      <c r="I684" s="2">
        <f t="shared" si="119"/>
        <v>0.26188238058868457</v>
      </c>
      <c r="J684" s="4">
        <v>11640</v>
      </c>
      <c r="K684" s="4">
        <v>28523.599999999999</v>
      </c>
      <c r="L684" s="1">
        <f t="shared" si="114"/>
        <v>40163.599999999999</v>
      </c>
      <c r="M684" s="2">
        <f t="shared" si="115"/>
        <v>0.28981465804858131</v>
      </c>
      <c r="N684" s="2">
        <f t="shared" si="116"/>
        <v>0.71018534195141869</v>
      </c>
    </row>
    <row r="685" spans="1:14" x14ac:dyDescent="0.35">
      <c r="A685" t="s">
        <v>16</v>
      </c>
      <c r="B685" t="s">
        <v>29</v>
      </c>
      <c r="C685">
        <v>2010</v>
      </c>
      <c r="D685" t="s">
        <v>32</v>
      </c>
      <c r="E685" s="4">
        <v>49967</v>
      </c>
      <c r="F685" s="4">
        <v>18025</v>
      </c>
      <c r="G685" s="1">
        <f t="shared" si="117"/>
        <v>67992</v>
      </c>
      <c r="H685" s="2">
        <f t="shared" si="118"/>
        <v>0.73489528179785857</v>
      </c>
      <c r="I685" s="2">
        <f t="shared" si="119"/>
        <v>0.26510471820214143</v>
      </c>
      <c r="J685" s="4">
        <v>11607.4</v>
      </c>
      <c r="K685" s="4">
        <v>28627.4</v>
      </c>
      <c r="L685" s="1">
        <f t="shared" si="114"/>
        <v>40234.800000000003</v>
      </c>
      <c r="M685" s="2">
        <f t="shared" si="115"/>
        <v>0.28849155457464681</v>
      </c>
      <c r="N685" s="2">
        <f t="shared" si="116"/>
        <v>0.71150844542535319</v>
      </c>
    </row>
    <row r="686" spans="1:14" x14ac:dyDescent="0.35">
      <c r="A686" t="s">
        <v>16</v>
      </c>
      <c r="B686" t="s">
        <v>17</v>
      </c>
      <c r="C686">
        <v>2011</v>
      </c>
      <c r="D686" t="s">
        <v>32</v>
      </c>
      <c r="E686" s="4">
        <v>49655</v>
      </c>
      <c r="F686" s="4">
        <v>18134</v>
      </c>
      <c r="G686" s="1">
        <f t="shared" si="117"/>
        <v>67789</v>
      </c>
      <c r="H686" s="2">
        <f t="shared" si="118"/>
        <v>0.73249347239227602</v>
      </c>
      <c r="I686" s="2">
        <f t="shared" si="119"/>
        <v>0.26750652760772398</v>
      </c>
      <c r="J686" s="6">
        <v>11551.3</v>
      </c>
      <c r="K686" s="6">
        <v>28946.9</v>
      </c>
      <c r="L686" s="1">
        <f t="shared" si="114"/>
        <v>40498.199999999997</v>
      </c>
      <c r="M686" s="2">
        <f t="shared" si="115"/>
        <v>0.28522996083776564</v>
      </c>
      <c r="N686" s="2">
        <f t="shared" si="116"/>
        <v>0.71477003916223447</v>
      </c>
    </row>
    <row r="687" spans="1:14" x14ac:dyDescent="0.35">
      <c r="A687" t="s">
        <v>16</v>
      </c>
      <c r="B687" t="s">
        <v>19</v>
      </c>
      <c r="C687">
        <v>2011</v>
      </c>
      <c r="D687" t="s">
        <v>32</v>
      </c>
      <c r="E687" s="4">
        <v>49290</v>
      </c>
      <c r="F687" s="4">
        <v>18316</v>
      </c>
      <c r="G687" s="1">
        <f t="shared" si="117"/>
        <v>67606</v>
      </c>
      <c r="H687" s="2">
        <f t="shared" si="118"/>
        <v>0.72907730083128719</v>
      </c>
      <c r="I687" s="2">
        <f t="shared" si="119"/>
        <v>0.27092269916871281</v>
      </c>
      <c r="J687" s="6">
        <v>16853.900000000001</v>
      </c>
      <c r="K687" s="6">
        <v>13628.8</v>
      </c>
      <c r="L687" s="1">
        <f t="shared" si="114"/>
        <v>30482.7</v>
      </c>
      <c r="M687" s="2">
        <f t="shared" si="115"/>
        <v>0.55290049765932814</v>
      </c>
      <c r="N687" s="2">
        <f t="shared" si="116"/>
        <v>0.44709950234067186</v>
      </c>
    </row>
    <row r="688" spans="1:14" x14ac:dyDescent="0.35">
      <c r="A688" t="s">
        <v>16</v>
      </c>
      <c r="B688" t="s">
        <v>20</v>
      </c>
      <c r="C688">
        <v>2011</v>
      </c>
      <c r="D688" t="s">
        <v>32</v>
      </c>
      <c r="E688" s="4">
        <v>48940</v>
      </c>
      <c r="F688" s="4">
        <v>18487</v>
      </c>
      <c r="G688" s="1">
        <f t="shared" si="117"/>
        <v>67427</v>
      </c>
      <c r="H688" s="2">
        <f t="shared" si="118"/>
        <v>0.72582200008898512</v>
      </c>
      <c r="I688" s="2">
        <f t="shared" si="119"/>
        <v>0.27417799991101488</v>
      </c>
      <c r="J688" s="6">
        <v>18128.900000000001</v>
      </c>
      <c r="K688" s="6">
        <v>20241.3</v>
      </c>
      <c r="L688" s="1">
        <f t="shared" si="114"/>
        <v>38370.199999999997</v>
      </c>
      <c r="M688" s="2">
        <f t="shared" si="115"/>
        <v>0.47247342990132973</v>
      </c>
      <c r="N688" s="2">
        <f t="shared" si="116"/>
        <v>0.52752657009867032</v>
      </c>
    </row>
    <row r="689" spans="1:14" x14ac:dyDescent="0.35">
      <c r="A689" t="s">
        <v>16</v>
      </c>
      <c r="B689" t="s">
        <v>21</v>
      </c>
      <c r="C689">
        <v>2011</v>
      </c>
      <c r="D689" t="s">
        <v>32</v>
      </c>
      <c r="E689" s="4">
        <v>48626</v>
      </c>
      <c r="F689" s="4">
        <v>18655</v>
      </c>
      <c r="G689" s="1">
        <f t="shared" si="117"/>
        <v>67281</v>
      </c>
      <c r="H689" s="2">
        <f t="shared" si="118"/>
        <v>0.72273004265691654</v>
      </c>
      <c r="I689" s="2">
        <f t="shared" si="119"/>
        <v>0.27726995734308346</v>
      </c>
      <c r="J689" s="6">
        <v>18209.599999999999</v>
      </c>
      <c r="K689" s="6">
        <v>20515.900000000001</v>
      </c>
      <c r="L689" s="1">
        <f t="shared" si="114"/>
        <v>38725.5</v>
      </c>
      <c r="M689" s="2">
        <f t="shared" si="115"/>
        <v>0.47022246323481942</v>
      </c>
      <c r="N689" s="2">
        <f t="shared" si="116"/>
        <v>0.52977753676518058</v>
      </c>
    </row>
    <row r="690" spans="1:14" x14ac:dyDescent="0.35">
      <c r="A690" t="s">
        <v>16</v>
      </c>
      <c r="B690" t="s">
        <v>22</v>
      </c>
      <c r="C690">
        <v>2011</v>
      </c>
      <c r="D690" t="s">
        <v>32</v>
      </c>
      <c r="E690" s="4">
        <v>48341</v>
      </c>
      <c r="F690" s="4">
        <v>18815</v>
      </c>
      <c r="G690" s="1">
        <f t="shared" si="117"/>
        <v>67156</v>
      </c>
      <c r="H690" s="2">
        <f t="shared" si="118"/>
        <v>0.71983143725058074</v>
      </c>
      <c r="I690" s="2">
        <f t="shared" si="119"/>
        <v>0.28016856274941926</v>
      </c>
      <c r="J690" s="6">
        <v>18137</v>
      </c>
      <c r="K690" s="6">
        <v>21303.1</v>
      </c>
      <c r="L690" s="1">
        <f t="shared" si="114"/>
        <v>39440.1</v>
      </c>
      <c r="M690" s="2">
        <f t="shared" si="115"/>
        <v>0.45986191718580838</v>
      </c>
      <c r="N690" s="2">
        <f t="shared" si="116"/>
        <v>0.54013808281419162</v>
      </c>
    </row>
    <row r="691" spans="1:14" x14ac:dyDescent="0.35">
      <c r="A691" t="s">
        <v>16</v>
      </c>
      <c r="B691" t="s">
        <v>23</v>
      </c>
      <c r="C691">
        <v>2011</v>
      </c>
      <c r="D691" t="s">
        <v>32</v>
      </c>
      <c r="E691" s="4">
        <v>47897</v>
      </c>
      <c r="F691" s="4">
        <v>19105</v>
      </c>
      <c r="G691" s="1">
        <f t="shared" si="117"/>
        <v>67002</v>
      </c>
      <c r="H691" s="2">
        <f t="shared" si="118"/>
        <v>0.71485925793259908</v>
      </c>
      <c r="I691" s="2">
        <f t="shared" si="119"/>
        <v>0.28514074206740098</v>
      </c>
      <c r="J691" s="6">
        <v>17979.7</v>
      </c>
      <c r="K691" s="6">
        <v>21312</v>
      </c>
      <c r="L691" s="1">
        <f t="shared" si="114"/>
        <v>39291.699999999997</v>
      </c>
      <c r="M691" s="2">
        <f t="shared" si="115"/>
        <v>0.45759537001453238</v>
      </c>
      <c r="N691" s="2">
        <f t="shared" si="116"/>
        <v>0.54240462998546768</v>
      </c>
    </row>
    <row r="692" spans="1:14" x14ac:dyDescent="0.35">
      <c r="A692" t="s">
        <v>16</v>
      </c>
      <c r="B692" t="s">
        <v>24</v>
      </c>
      <c r="C692">
        <v>2011</v>
      </c>
      <c r="D692" t="s">
        <v>32</v>
      </c>
      <c r="E692" s="4">
        <v>47544</v>
      </c>
      <c r="F692" s="4">
        <v>19308</v>
      </c>
      <c r="G692" s="1">
        <f t="shared" si="117"/>
        <v>66852</v>
      </c>
      <c r="H692" s="2">
        <f t="shared" si="118"/>
        <v>0.71118291150601332</v>
      </c>
      <c r="I692" s="2">
        <f t="shared" si="119"/>
        <v>0.28881708849398674</v>
      </c>
      <c r="J692" s="6">
        <v>14959.9</v>
      </c>
      <c r="K692" s="6">
        <v>24221.200000000001</v>
      </c>
      <c r="L692" s="1">
        <f t="shared" si="114"/>
        <v>39181.1</v>
      </c>
      <c r="M692" s="2">
        <f t="shared" si="115"/>
        <v>0.38181419102577518</v>
      </c>
      <c r="N692" s="2">
        <f t="shared" si="116"/>
        <v>0.61818580897422482</v>
      </c>
    </row>
    <row r="693" spans="1:14" x14ac:dyDescent="0.35">
      <c r="A693" t="s">
        <v>16</v>
      </c>
      <c r="B693" t="s">
        <v>25</v>
      </c>
      <c r="C693">
        <v>2011</v>
      </c>
      <c r="D693" t="s">
        <v>32</v>
      </c>
      <c r="E693" s="4">
        <v>47253</v>
      </c>
      <c r="F693" s="4">
        <v>19455</v>
      </c>
      <c r="G693" s="1">
        <f t="shared" si="117"/>
        <v>66708</v>
      </c>
      <c r="H693" s="2">
        <f t="shared" si="118"/>
        <v>0.708355819391977</v>
      </c>
      <c r="I693" s="2">
        <f t="shared" si="119"/>
        <v>0.29164418060802305</v>
      </c>
      <c r="J693" s="6">
        <v>14892.9</v>
      </c>
      <c r="K693" s="6">
        <v>24281.200000000001</v>
      </c>
      <c r="L693" s="1">
        <f t="shared" si="114"/>
        <v>39174.1</v>
      </c>
      <c r="M693" s="2">
        <f t="shared" si="115"/>
        <v>0.38017210350716418</v>
      </c>
      <c r="N693" s="2">
        <f t="shared" si="116"/>
        <v>0.61982789649283587</v>
      </c>
    </row>
    <row r="694" spans="1:14" x14ac:dyDescent="0.35">
      <c r="A694" t="s">
        <v>16</v>
      </c>
      <c r="B694" t="s">
        <v>26</v>
      </c>
      <c r="C694">
        <v>2011</v>
      </c>
      <c r="D694" t="s">
        <v>32</v>
      </c>
      <c r="E694" s="4">
        <v>46803</v>
      </c>
      <c r="F694" s="4">
        <v>19670</v>
      </c>
      <c r="G694" s="1">
        <f t="shared" si="117"/>
        <v>66473</v>
      </c>
      <c r="H694" s="2">
        <f t="shared" si="118"/>
        <v>0.70409038256134071</v>
      </c>
      <c r="I694" s="2">
        <f t="shared" si="119"/>
        <v>0.29590961743865929</v>
      </c>
      <c r="J694" s="6">
        <v>14736.5</v>
      </c>
      <c r="K694" s="6">
        <v>24404.2</v>
      </c>
      <c r="L694" s="1">
        <f t="shared" si="114"/>
        <v>39140.699999999997</v>
      </c>
      <c r="M694" s="2">
        <f t="shared" si="115"/>
        <v>0.37650067576716822</v>
      </c>
      <c r="N694" s="2">
        <f t="shared" si="116"/>
        <v>0.62349932423283183</v>
      </c>
    </row>
    <row r="695" spans="1:14" x14ac:dyDescent="0.35">
      <c r="A695" t="s">
        <v>16</v>
      </c>
      <c r="B695" t="s">
        <v>27</v>
      </c>
      <c r="C695">
        <v>2011</v>
      </c>
      <c r="D695" t="s">
        <v>32</v>
      </c>
      <c r="E695" s="4">
        <v>46345</v>
      </c>
      <c r="F695" s="4">
        <v>19817</v>
      </c>
      <c r="G695" s="1">
        <f t="shared" si="117"/>
        <v>66162</v>
      </c>
      <c r="H695" s="2">
        <f t="shared" si="118"/>
        <v>0.70047761554971133</v>
      </c>
      <c r="I695" s="2">
        <f t="shared" si="119"/>
        <v>0.29952238445028867</v>
      </c>
      <c r="J695" s="6">
        <v>14678</v>
      </c>
      <c r="K695" s="6">
        <v>24519.9</v>
      </c>
      <c r="L695" s="1">
        <f t="shared" si="114"/>
        <v>39197.9</v>
      </c>
      <c r="M695" s="2">
        <f t="shared" si="115"/>
        <v>0.37445883580497935</v>
      </c>
      <c r="N695" s="2">
        <f t="shared" si="116"/>
        <v>0.6255411641950207</v>
      </c>
    </row>
    <row r="696" spans="1:14" x14ac:dyDescent="0.35">
      <c r="A696" t="s">
        <v>16</v>
      </c>
      <c r="B696" t="s">
        <v>28</v>
      </c>
      <c r="C696">
        <v>2011</v>
      </c>
      <c r="D696" t="s">
        <v>32</v>
      </c>
      <c r="E696" s="4">
        <v>46011</v>
      </c>
      <c r="F696" s="4">
        <v>19960</v>
      </c>
      <c r="G696" s="1">
        <f t="shared" si="117"/>
        <v>65971</v>
      </c>
      <c r="H696" s="2">
        <f t="shared" si="118"/>
        <v>0.6974428157826924</v>
      </c>
      <c r="I696" s="2">
        <f t="shared" si="119"/>
        <v>0.3025571842173076</v>
      </c>
      <c r="J696" s="6">
        <v>14614.2</v>
      </c>
      <c r="K696" s="6">
        <v>24808.7</v>
      </c>
      <c r="L696" s="1">
        <f t="shared" si="114"/>
        <v>39422.9</v>
      </c>
      <c r="M696" s="2">
        <f t="shared" si="115"/>
        <v>0.37070332218076296</v>
      </c>
      <c r="N696" s="2">
        <f t="shared" si="116"/>
        <v>0.62929667781923704</v>
      </c>
    </row>
    <row r="697" spans="1:14" x14ac:dyDescent="0.35">
      <c r="A697" t="s">
        <v>16</v>
      </c>
      <c r="B697" t="s">
        <v>29</v>
      </c>
      <c r="C697">
        <v>2011</v>
      </c>
      <c r="D697" t="s">
        <v>32</v>
      </c>
      <c r="E697" s="4">
        <v>45739</v>
      </c>
      <c r="F697" s="4">
        <v>20107</v>
      </c>
      <c r="G697" s="1">
        <f t="shared" si="117"/>
        <v>65846</v>
      </c>
      <c r="H697" s="2">
        <f t="shared" si="118"/>
        <v>0.69463596877562794</v>
      </c>
      <c r="I697" s="2">
        <f t="shared" si="119"/>
        <v>0.305364031224372</v>
      </c>
      <c r="J697" s="6">
        <v>14610.9</v>
      </c>
      <c r="K697" s="6">
        <v>25229.599999999999</v>
      </c>
      <c r="L697" s="1">
        <f t="shared" si="114"/>
        <v>39840.5</v>
      </c>
      <c r="M697" s="2">
        <f t="shared" si="115"/>
        <v>0.36673485523525057</v>
      </c>
      <c r="N697" s="2">
        <f t="shared" si="116"/>
        <v>0.63326514476474938</v>
      </c>
    </row>
    <row r="698" spans="1:14" x14ac:dyDescent="0.35">
      <c r="A698" t="s">
        <v>16</v>
      </c>
      <c r="B698" t="s">
        <v>17</v>
      </c>
      <c r="C698">
        <v>2012</v>
      </c>
      <c r="D698" t="s">
        <v>32</v>
      </c>
      <c r="E698" s="4">
        <v>45321</v>
      </c>
      <c r="F698" s="4">
        <v>20352</v>
      </c>
      <c r="G698" s="1">
        <f t="shared" si="117"/>
        <v>65673</v>
      </c>
      <c r="H698" s="2">
        <f t="shared" si="118"/>
        <v>0.69010095473025446</v>
      </c>
      <c r="I698" s="2">
        <f t="shared" si="119"/>
        <v>0.30989904526974554</v>
      </c>
      <c r="J698" s="6">
        <v>14560.8</v>
      </c>
      <c r="K698" s="6">
        <v>25322.9</v>
      </c>
      <c r="L698" s="1">
        <f t="shared" si="114"/>
        <v>39883.699999999997</v>
      </c>
      <c r="M698" s="2">
        <f t="shared" si="115"/>
        <v>0.36508147438677957</v>
      </c>
      <c r="N698" s="2">
        <f t="shared" si="116"/>
        <v>0.63491852561322049</v>
      </c>
    </row>
    <row r="699" spans="1:14" x14ac:dyDescent="0.35">
      <c r="A699" t="s">
        <v>16</v>
      </c>
      <c r="B699" t="s">
        <v>19</v>
      </c>
      <c r="C699">
        <v>2012</v>
      </c>
      <c r="D699" t="s">
        <v>32</v>
      </c>
      <c r="E699" s="4">
        <v>45053</v>
      </c>
      <c r="F699" s="4">
        <v>20496</v>
      </c>
      <c r="G699" s="1">
        <f t="shared" si="117"/>
        <v>65549</v>
      </c>
      <c r="H699" s="2">
        <f t="shared" si="118"/>
        <v>0.68731788433080598</v>
      </c>
      <c r="I699" s="2">
        <f t="shared" si="119"/>
        <v>0.31268211566919402</v>
      </c>
      <c r="J699" s="6">
        <v>14392</v>
      </c>
      <c r="K699" s="6">
        <v>25019.5</v>
      </c>
      <c r="L699" s="1">
        <f t="shared" si="114"/>
        <v>39411.5</v>
      </c>
      <c r="M699" s="2">
        <f t="shared" si="115"/>
        <v>0.36517260190553519</v>
      </c>
      <c r="N699" s="2">
        <f t="shared" si="116"/>
        <v>0.63482739809446487</v>
      </c>
    </row>
    <row r="700" spans="1:14" x14ac:dyDescent="0.35">
      <c r="A700" t="s">
        <v>16</v>
      </c>
      <c r="B700" t="s">
        <v>20</v>
      </c>
      <c r="C700">
        <v>2012</v>
      </c>
      <c r="D700" t="s">
        <v>32</v>
      </c>
      <c r="E700" s="4">
        <v>44797</v>
      </c>
      <c r="F700" s="4">
        <v>20603</v>
      </c>
      <c r="G700" s="1">
        <f t="shared" si="117"/>
        <v>65400</v>
      </c>
      <c r="H700" s="2">
        <f t="shared" si="118"/>
        <v>0.68496941896024466</v>
      </c>
      <c r="I700" s="2">
        <f t="shared" si="119"/>
        <v>0.31503058103975534</v>
      </c>
      <c r="J700" s="6">
        <v>14310.8</v>
      </c>
      <c r="K700" s="6">
        <v>24973.9</v>
      </c>
      <c r="L700" s="1">
        <f t="shared" si="114"/>
        <v>39284.699999999997</v>
      </c>
      <c r="M700" s="2">
        <f t="shared" si="115"/>
        <v>0.36428431424956792</v>
      </c>
      <c r="N700" s="2">
        <f t="shared" si="116"/>
        <v>0.63571568575043214</v>
      </c>
    </row>
    <row r="701" spans="1:14" x14ac:dyDescent="0.35">
      <c r="A701" t="s">
        <v>16</v>
      </c>
      <c r="B701" t="s">
        <v>21</v>
      </c>
      <c r="C701">
        <v>2012</v>
      </c>
      <c r="D701" t="s">
        <v>32</v>
      </c>
      <c r="E701" s="4">
        <v>44520</v>
      </c>
      <c r="F701" s="4">
        <v>20763</v>
      </c>
      <c r="G701" s="1">
        <f t="shared" si="117"/>
        <v>65283</v>
      </c>
      <c r="H701" s="2">
        <f t="shared" si="118"/>
        <v>0.68195395432195216</v>
      </c>
      <c r="I701" s="2">
        <f t="shared" si="119"/>
        <v>0.3180460456780479</v>
      </c>
      <c r="J701" s="6">
        <v>14211.6</v>
      </c>
      <c r="K701" s="6">
        <v>24856.400000000001</v>
      </c>
      <c r="L701" s="1">
        <f t="shared" si="114"/>
        <v>39068</v>
      </c>
      <c r="M701" s="2">
        <f t="shared" si="115"/>
        <v>0.36376574178355686</v>
      </c>
      <c r="N701" s="2">
        <f t="shared" si="116"/>
        <v>0.63623425821644319</v>
      </c>
    </row>
    <row r="702" spans="1:14" x14ac:dyDescent="0.35">
      <c r="A702" t="s">
        <v>16</v>
      </c>
      <c r="B702" t="s">
        <v>22</v>
      </c>
      <c r="C702">
        <v>2012</v>
      </c>
      <c r="D702" t="s">
        <v>32</v>
      </c>
      <c r="E702" s="4">
        <v>44247</v>
      </c>
      <c r="F702" s="4">
        <v>20890</v>
      </c>
      <c r="G702" s="1">
        <f t="shared" si="117"/>
        <v>65137</v>
      </c>
      <c r="H702" s="2">
        <f t="shared" si="118"/>
        <v>0.67929133979151635</v>
      </c>
      <c r="I702" s="2">
        <f t="shared" si="119"/>
        <v>0.32070866020848365</v>
      </c>
      <c r="J702" s="6">
        <v>13976.3</v>
      </c>
      <c r="K702" s="6">
        <v>24901.599999999999</v>
      </c>
      <c r="L702" s="1">
        <f t="shared" si="114"/>
        <v>38877.899999999994</v>
      </c>
      <c r="M702" s="2">
        <f t="shared" si="115"/>
        <v>0.35949215363998571</v>
      </c>
      <c r="N702" s="2">
        <f t="shared" si="116"/>
        <v>0.64050784636001434</v>
      </c>
    </row>
    <row r="703" spans="1:14" x14ac:dyDescent="0.35">
      <c r="A703" t="s">
        <v>16</v>
      </c>
      <c r="B703" t="s">
        <v>23</v>
      </c>
      <c r="C703">
        <v>2012</v>
      </c>
      <c r="D703" t="s">
        <v>32</v>
      </c>
      <c r="E703" s="4">
        <v>43993</v>
      </c>
      <c r="F703" s="4">
        <v>21010</v>
      </c>
      <c r="G703" s="1">
        <f t="shared" si="117"/>
        <v>65003</v>
      </c>
      <c r="H703" s="2">
        <f t="shared" si="118"/>
        <v>0.67678414842391887</v>
      </c>
      <c r="I703" s="2">
        <f t="shared" si="119"/>
        <v>0.32321585157608113</v>
      </c>
      <c r="J703" s="6">
        <v>13448</v>
      </c>
      <c r="K703" s="6">
        <v>24821.7</v>
      </c>
      <c r="L703" s="1">
        <f t="shared" si="114"/>
        <v>38269.699999999997</v>
      </c>
      <c r="M703" s="2">
        <f t="shared" si="115"/>
        <v>0.35140071649372745</v>
      </c>
      <c r="N703" s="2">
        <f t="shared" si="116"/>
        <v>0.64859928350627261</v>
      </c>
    </row>
    <row r="704" spans="1:14" x14ac:dyDescent="0.35">
      <c r="A704" t="s">
        <v>16</v>
      </c>
      <c r="B704" t="s">
        <v>24</v>
      </c>
      <c r="C704">
        <v>2012</v>
      </c>
      <c r="D704" t="s">
        <v>32</v>
      </c>
      <c r="E704" s="4">
        <v>43720</v>
      </c>
      <c r="F704" s="4">
        <v>21084</v>
      </c>
      <c r="G704" s="1">
        <f t="shared" si="117"/>
        <v>64804</v>
      </c>
      <c r="H704" s="2">
        <f t="shared" si="118"/>
        <v>0.67464971298068022</v>
      </c>
      <c r="I704" s="2">
        <f t="shared" si="119"/>
        <v>0.32535028701931978</v>
      </c>
      <c r="J704" s="6">
        <v>13761.5</v>
      </c>
      <c r="K704" s="6">
        <v>24838</v>
      </c>
      <c r="L704" s="1">
        <f t="shared" si="114"/>
        <v>38599.5</v>
      </c>
      <c r="M704" s="2">
        <f t="shared" si="115"/>
        <v>0.35652016217826654</v>
      </c>
      <c r="N704" s="2">
        <f t="shared" si="116"/>
        <v>0.64347983782173346</v>
      </c>
    </row>
    <row r="705" spans="1:14" x14ac:dyDescent="0.35">
      <c r="A705" t="s">
        <v>16</v>
      </c>
      <c r="B705" t="s">
        <v>25</v>
      </c>
      <c r="C705">
        <v>2012</v>
      </c>
      <c r="D705" t="s">
        <v>32</v>
      </c>
      <c r="E705" s="4">
        <v>43506</v>
      </c>
      <c r="F705" s="4">
        <v>21181</v>
      </c>
      <c r="G705" s="1">
        <f t="shared" si="117"/>
        <v>64687</v>
      </c>
      <c r="H705" s="2">
        <f t="shared" si="118"/>
        <v>0.67256172028382832</v>
      </c>
      <c r="I705" s="2">
        <f t="shared" si="119"/>
        <v>0.32743827971617173</v>
      </c>
      <c r="J705" s="6">
        <v>13598.5</v>
      </c>
      <c r="K705" s="6">
        <v>24971.599999999999</v>
      </c>
      <c r="L705" s="1">
        <f t="shared" si="114"/>
        <v>38570.1</v>
      </c>
      <c r="M705" s="2">
        <f t="shared" si="115"/>
        <v>0.35256584763845572</v>
      </c>
      <c r="N705" s="2">
        <f t="shared" si="116"/>
        <v>0.64743415236154434</v>
      </c>
    </row>
    <row r="706" spans="1:14" x14ac:dyDescent="0.35">
      <c r="A706" t="s">
        <v>16</v>
      </c>
      <c r="B706" t="s">
        <v>26</v>
      </c>
      <c r="C706">
        <v>2012</v>
      </c>
      <c r="D706" t="s">
        <v>32</v>
      </c>
      <c r="E706" s="4">
        <v>43217</v>
      </c>
      <c r="F706" s="4">
        <v>21270</v>
      </c>
      <c r="G706" s="1">
        <f t="shared" si="117"/>
        <v>64487</v>
      </c>
      <c r="H706" s="2">
        <f t="shared" si="118"/>
        <v>0.67016607998511324</v>
      </c>
      <c r="I706" s="2">
        <f t="shared" si="119"/>
        <v>0.32983392001488671</v>
      </c>
      <c r="J706" s="6">
        <v>13681</v>
      </c>
      <c r="K706" s="6">
        <v>25124</v>
      </c>
      <c r="L706" s="1">
        <f t="shared" ref="L706:L770" si="120">SUM(J706:K706)</f>
        <v>38805</v>
      </c>
      <c r="M706" s="2">
        <f t="shared" ref="M706:M769" si="121">SUM(J706)/L706</f>
        <v>0.35255766009534856</v>
      </c>
      <c r="N706" s="2">
        <f t="shared" ref="N706:N769" si="122">SUM(K706/L706)</f>
        <v>0.6474423399046515</v>
      </c>
    </row>
    <row r="707" spans="1:14" x14ac:dyDescent="0.35">
      <c r="A707" t="s">
        <v>16</v>
      </c>
      <c r="B707" t="s">
        <v>27</v>
      </c>
      <c r="C707">
        <v>2012</v>
      </c>
      <c r="D707" t="s">
        <v>32</v>
      </c>
      <c r="E707" s="4">
        <v>42996</v>
      </c>
      <c r="F707" s="4">
        <v>20554</v>
      </c>
      <c r="G707" s="1">
        <f t="shared" si="117"/>
        <v>63550</v>
      </c>
      <c r="H707" s="2">
        <f t="shared" si="118"/>
        <v>0.67656963021243111</v>
      </c>
      <c r="I707" s="2">
        <f t="shared" si="119"/>
        <v>0.32343036978756884</v>
      </c>
      <c r="J707" s="6">
        <v>13525.7</v>
      </c>
      <c r="K707" s="6">
        <v>25209.599999999999</v>
      </c>
      <c r="L707" s="1">
        <f t="shared" si="120"/>
        <v>38735.300000000003</v>
      </c>
      <c r="M707" s="2">
        <f t="shared" si="121"/>
        <v>0.34918278676039682</v>
      </c>
      <c r="N707" s="2">
        <f t="shared" si="122"/>
        <v>0.65081721323960307</v>
      </c>
    </row>
    <row r="708" spans="1:14" x14ac:dyDescent="0.35">
      <c r="A708" t="s">
        <v>16</v>
      </c>
      <c r="B708" t="s">
        <v>28</v>
      </c>
      <c r="C708">
        <v>2012</v>
      </c>
      <c r="D708" t="s">
        <v>32</v>
      </c>
      <c r="E708" s="4">
        <v>43017</v>
      </c>
      <c r="F708" s="4">
        <v>20687</v>
      </c>
      <c r="G708" s="1">
        <f t="shared" ref="G708:G769" si="123">SUM(E708:F708)</f>
        <v>63704</v>
      </c>
      <c r="H708" s="2">
        <f t="shared" ref="H708:H769" si="124">SUM(E708)/G708</f>
        <v>0.67526371970362931</v>
      </c>
      <c r="I708" s="2">
        <f t="shared" ref="I708:I769" si="125">SUM(F708/G708)</f>
        <v>0.32473628029637069</v>
      </c>
      <c r="J708" s="6">
        <v>13500.6</v>
      </c>
      <c r="K708" s="6">
        <v>25316.400000000001</v>
      </c>
      <c r="L708" s="1">
        <f t="shared" si="120"/>
        <v>38817</v>
      </c>
      <c r="M708" s="2">
        <f t="shared" si="121"/>
        <v>0.34780122111446016</v>
      </c>
      <c r="N708" s="2">
        <f t="shared" si="122"/>
        <v>0.6521987788855399</v>
      </c>
    </row>
    <row r="709" spans="1:14" x14ac:dyDescent="0.35">
      <c r="A709" t="s">
        <v>16</v>
      </c>
      <c r="B709" t="s">
        <v>29</v>
      </c>
      <c r="C709">
        <v>2012</v>
      </c>
      <c r="D709" t="s">
        <v>32</v>
      </c>
      <c r="E709" s="4">
        <v>42888</v>
      </c>
      <c r="F709" s="4">
        <v>20743</v>
      </c>
      <c r="G709" s="1">
        <f t="shared" si="123"/>
        <v>63631</v>
      </c>
      <c r="H709" s="2">
        <f t="shared" si="124"/>
        <v>0.67401109522088287</v>
      </c>
      <c r="I709" s="2">
        <f t="shared" si="125"/>
        <v>0.32598890477911707</v>
      </c>
      <c r="J709" s="6">
        <v>13475.6</v>
      </c>
      <c r="K709" s="6">
        <v>25627.599999999999</v>
      </c>
      <c r="L709" s="1">
        <f t="shared" si="120"/>
        <v>39103.199999999997</v>
      </c>
      <c r="M709" s="2">
        <f t="shared" si="121"/>
        <v>0.34461629738742611</v>
      </c>
      <c r="N709" s="2">
        <f t="shared" si="122"/>
        <v>0.65538370261257395</v>
      </c>
    </row>
    <row r="710" spans="1:14" x14ac:dyDescent="0.35">
      <c r="A710" t="s">
        <v>16</v>
      </c>
      <c r="B710" t="s">
        <v>17</v>
      </c>
      <c r="C710">
        <v>2013</v>
      </c>
      <c r="D710" t="s">
        <v>32</v>
      </c>
      <c r="E710" s="4">
        <v>42727</v>
      </c>
      <c r="F710" s="4">
        <v>21578</v>
      </c>
      <c r="G710" s="1">
        <f t="shared" si="123"/>
        <v>64305</v>
      </c>
      <c r="H710" s="2">
        <f t="shared" si="124"/>
        <v>0.66444288935541562</v>
      </c>
      <c r="I710" s="2">
        <f t="shared" si="125"/>
        <v>0.33555711064458438</v>
      </c>
      <c r="J710" s="6">
        <v>13467.5</v>
      </c>
      <c r="K710" s="6">
        <v>25722.799999999999</v>
      </c>
      <c r="L710" s="1">
        <f t="shared" si="120"/>
        <v>39190.300000000003</v>
      </c>
      <c r="M710" s="2">
        <f t="shared" si="121"/>
        <v>0.34364370775421466</v>
      </c>
      <c r="N710" s="2">
        <f t="shared" si="122"/>
        <v>0.65635629224578529</v>
      </c>
    </row>
    <row r="711" spans="1:14" x14ac:dyDescent="0.35">
      <c r="A711" t="s">
        <v>16</v>
      </c>
      <c r="B711" t="s">
        <v>19</v>
      </c>
      <c r="C711">
        <v>2013</v>
      </c>
      <c r="D711" t="s">
        <v>32</v>
      </c>
      <c r="E711" s="4">
        <v>42500</v>
      </c>
      <c r="F711" s="4">
        <v>21680</v>
      </c>
      <c r="G711" s="1">
        <f t="shared" si="123"/>
        <v>64180</v>
      </c>
      <c r="H711" s="2">
        <f t="shared" si="124"/>
        <v>0.66220006232471174</v>
      </c>
      <c r="I711" s="2">
        <f t="shared" si="125"/>
        <v>0.33779993767528826</v>
      </c>
      <c r="J711" s="6">
        <v>14111.5</v>
      </c>
      <c r="K711" s="6">
        <v>24573.8</v>
      </c>
      <c r="L711" s="1">
        <f t="shared" si="120"/>
        <v>38685.300000000003</v>
      </c>
      <c r="M711" s="2">
        <f t="shared" si="121"/>
        <v>0.36477680152409309</v>
      </c>
      <c r="N711" s="2">
        <f t="shared" si="122"/>
        <v>0.6352231984759068</v>
      </c>
    </row>
    <row r="712" spans="1:14" x14ac:dyDescent="0.35">
      <c r="A712" t="s">
        <v>16</v>
      </c>
      <c r="B712" t="s">
        <v>20</v>
      </c>
      <c r="C712">
        <v>2013</v>
      </c>
      <c r="D712" t="s">
        <v>32</v>
      </c>
      <c r="E712" s="4">
        <v>42342</v>
      </c>
      <c r="F712" s="4">
        <v>21772</v>
      </c>
      <c r="G712" s="1">
        <f t="shared" si="123"/>
        <v>64114</v>
      </c>
      <c r="H712" s="2">
        <f t="shared" si="124"/>
        <v>0.66041738153913343</v>
      </c>
      <c r="I712" s="2">
        <f t="shared" si="125"/>
        <v>0.33958261846086657</v>
      </c>
      <c r="J712" s="6">
        <v>14151.1</v>
      </c>
      <c r="K712" s="6">
        <v>24437.8</v>
      </c>
      <c r="L712" s="1">
        <f t="shared" si="120"/>
        <v>38588.9</v>
      </c>
      <c r="M712" s="2">
        <f t="shared" si="121"/>
        <v>0.36671426239151672</v>
      </c>
      <c r="N712" s="2">
        <f t="shared" si="122"/>
        <v>0.63328573760848328</v>
      </c>
    </row>
    <row r="713" spans="1:14" x14ac:dyDescent="0.35">
      <c r="A713" t="s">
        <v>16</v>
      </c>
      <c r="B713" t="s">
        <v>21</v>
      </c>
      <c r="C713">
        <v>2013</v>
      </c>
      <c r="D713" t="s">
        <v>32</v>
      </c>
      <c r="E713" s="4">
        <v>42057</v>
      </c>
      <c r="F713" s="4">
        <v>21956</v>
      </c>
      <c r="G713" s="1">
        <f t="shared" si="123"/>
        <v>64013</v>
      </c>
      <c r="H713" s="2">
        <f t="shared" si="124"/>
        <v>0.65700717041850876</v>
      </c>
      <c r="I713" s="2">
        <f t="shared" si="125"/>
        <v>0.34299282958149124</v>
      </c>
      <c r="J713" s="6">
        <v>14123.2</v>
      </c>
      <c r="K713" s="6">
        <v>24445.1</v>
      </c>
      <c r="L713" s="1">
        <f t="shared" si="120"/>
        <v>38568.300000000003</v>
      </c>
      <c r="M713" s="2">
        <f t="shared" si="121"/>
        <v>0.36618673885029934</v>
      </c>
      <c r="N713" s="2">
        <f t="shared" si="122"/>
        <v>0.6338132611497006</v>
      </c>
    </row>
    <row r="714" spans="1:14" x14ac:dyDescent="0.35">
      <c r="A714" t="s">
        <v>16</v>
      </c>
      <c r="B714" t="s">
        <v>22</v>
      </c>
      <c r="C714">
        <v>2013</v>
      </c>
      <c r="D714" t="s">
        <v>32</v>
      </c>
      <c r="E714" s="4">
        <v>41828</v>
      </c>
      <c r="F714" s="4">
        <v>22081</v>
      </c>
      <c r="G714" s="1">
        <f t="shared" si="123"/>
        <v>63909</v>
      </c>
      <c r="H714" s="2">
        <f t="shared" si="124"/>
        <v>0.65449310738706601</v>
      </c>
      <c r="I714" s="2">
        <f t="shared" si="125"/>
        <v>0.34550689261293399</v>
      </c>
      <c r="J714" s="6">
        <v>13938.2</v>
      </c>
      <c r="K714" s="6">
        <v>24415.7</v>
      </c>
      <c r="L714" s="1">
        <f t="shared" si="120"/>
        <v>38353.9</v>
      </c>
      <c r="M714" s="2">
        <f t="shared" si="121"/>
        <v>0.36341023989737681</v>
      </c>
      <c r="N714" s="2">
        <f t="shared" si="122"/>
        <v>0.63658976010262325</v>
      </c>
    </row>
    <row r="715" spans="1:14" x14ac:dyDescent="0.35">
      <c r="A715" t="s">
        <v>16</v>
      </c>
      <c r="B715" t="s">
        <v>23</v>
      </c>
      <c r="C715">
        <v>2013</v>
      </c>
      <c r="D715" t="s">
        <v>32</v>
      </c>
      <c r="E715" s="4">
        <v>41588</v>
      </c>
      <c r="F715" s="4">
        <v>22157</v>
      </c>
      <c r="G715" s="1">
        <f t="shared" si="123"/>
        <v>63745</v>
      </c>
      <c r="H715" s="2">
        <f t="shared" si="124"/>
        <v>0.65241195387873563</v>
      </c>
      <c r="I715" s="2">
        <f t="shared" si="125"/>
        <v>0.34758804612126443</v>
      </c>
      <c r="J715" s="6">
        <v>13919.8</v>
      </c>
      <c r="K715" s="6">
        <v>24296.1</v>
      </c>
      <c r="L715" s="1">
        <f t="shared" si="120"/>
        <v>38215.899999999994</v>
      </c>
      <c r="M715" s="2">
        <f t="shared" si="121"/>
        <v>0.36424106196635436</v>
      </c>
      <c r="N715" s="2">
        <f t="shared" si="122"/>
        <v>0.63575893803364569</v>
      </c>
    </row>
    <row r="716" spans="1:14" x14ac:dyDescent="0.35">
      <c r="A716" t="s">
        <v>16</v>
      </c>
      <c r="B716" t="s">
        <v>24</v>
      </c>
      <c r="C716">
        <v>2013</v>
      </c>
      <c r="D716" t="s">
        <v>32</v>
      </c>
      <c r="E716" s="4">
        <v>41411</v>
      </c>
      <c r="F716" s="4">
        <v>22198</v>
      </c>
      <c r="G716" s="1">
        <f t="shared" si="123"/>
        <v>63609</v>
      </c>
      <c r="H716" s="2">
        <f t="shared" si="124"/>
        <v>0.65102422613152222</v>
      </c>
      <c r="I716" s="2">
        <f t="shared" si="125"/>
        <v>0.34897577386847772</v>
      </c>
      <c r="J716" s="6">
        <v>14383</v>
      </c>
      <c r="K716" s="6">
        <v>24371.200000000001</v>
      </c>
      <c r="L716" s="1">
        <f t="shared" si="120"/>
        <v>38754.199999999997</v>
      </c>
      <c r="M716" s="2">
        <f t="shared" si="121"/>
        <v>0.37113396741514471</v>
      </c>
      <c r="N716" s="2">
        <f t="shared" si="122"/>
        <v>0.62886603258485541</v>
      </c>
    </row>
    <row r="717" spans="1:14" x14ac:dyDescent="0.35">
      <c r="A717" t="s">
        <v>16</v>
      </c>
      <c r="B717" t="s">
        <v>25</v>
      </c>
      <c r="C717">
        <v>2013</v>
      </c>
      <c r="D717" t="s">
        <v>32</v>
      </c>
      <c r="E717" s="4">
        <v>41256</v>
      </c>
      <c r="F717" s="4">
        <v>22246</v>
      </c>
      <c r="G717" s="1">
        <f t="shared" si="123"/>
        <v>63502</v>
      </c>
      <c r="H717" s="2">
        <f t="shared" si="124"/>
        <v>0.64968032502913298</v>
      </c>
      <c r="I717" s="2">
        <f t="shared" si="125"/>
        <v>0.35031967497086708</v>
      </c>
      <c r="J717" s="6">
        <v>13010.9</v>
      </c>
      <c r="K717" s="6">
        <v>24300.3</v>
      </c>
      <c r="L717" s="1">
        <f t="shared" si="120"/>
        <v>37311.199999999997</v>
      </c>
      <c r="M717" s="2">
        <f t="shared" si="121"/>
        <v>0.34871298698514119</v>
      </c>
      <c r="N717" s="2">
        <f t="shared" si="122"/>
        <v>0.65128701301485881</v>
      </c>
    </row>
    <row r="718" spans="1:14" x14ac:dyDescent="0.35">
      <c r="A718" t="s">
        <v>16</v>
      </c>
      <c r="B718" t="s">
        <v>26</v>
      </c>
      <c r="C718">
        <v>2013</v>
      </c>
      <c r="D718" t="s">
        <v>32</v>
      </c>
      <c r="E718" s="4">
        <v>41064</v>
      </c>
      <c r="F718" s="4">
        <v>22284</v>
      </c>
      <c r="G718" s="1">
        <f t="shared" si="123"/>
        <v>63348</v>
      </c>
      <c r="H718" s="2">
        <f t="shared" si="124"/>
        <v>0.64822883121803376</v>
      </c>
      <c r="I718" s="2">
        <f t="shared" si="125"/>
        <v>0.35177116878196629</v>
      </c>
      <c r="J718" s="6">
        <v>12503.8</v>
      </c>
      <c r="K718" s="6">
        <v>24553.5</v>
      </c>
      <c r="L718" s="1">
        <f t="shared" si="120"/>
        <v>37057.300000000003</v>
      </c>
      <c r="M718" s="2">
        <f t="shared" si="121"/>
        <v>0.33741799861295879</v>
      </c>
      <c r="N718" s="2">
        <f t="shared" si="122"/>
        <v>0.66258200138704115</v>
      </c>
    </row>
    <row r="719" spans="1:14" x14ac:dyDescent="0.35">
      <c r="A719" t="s">
        <v>16</v>
      </c>
      <c r="B719" t="s">
        <v>27</v>
      </c>
      <c r="C719">
        <v>2013</v>
      </c>
      <c r="D719" t="s">
        <v>32</v>
      </c>
      <c r="E719" s="4">
        <v>40903</v>
      </c>
      <c r="F719" s="4">
        <v>22373</v>
      </c>
      <c r="G719" s="1">
        <f t="shared" si="123"/>
        <v>63276</v>
      </c>
      <c r="H719" s="2">
        <f t="shared" si="124"/>
        <v>0.64642202414817629</v>
      </c>
      <c r="I719" s="2">
        <f t="shared" si="125"/>
        <v>0.35357797585182377</v>
      </c>
      <c r="J719" s="4">
        <v>13065.2</v>
      </c>
      <c r="K719" s="4">
        <v>24684.9</v>
      </c>
      <c r="L719" s="1">
        <f t="shared" si="120"/>
        <v>37750.100000000006</v>
      </c>
      <c r="M719" s="2">
        <f t="shared" si="121"/>
        <v>0.34609709643153258</v>
      </c>
      <c r="N719" s="2">
        <f t="shared" si="122"/>
        <v>0.65390290356846725</v>
      </c>
    </row>
    <row r="720" spans="1:14" x14ac:dyDescent="0.35">
      <c r="A720" t="s">
        <v>16</v>
      </c>
      <c r="B720" t="s">
        <v>28</v>
      </c>
      <c r="C720">
        <v>2013</v>
      </c>
      <c r="D720" t="s">
        <v>32</v>
      </c>
      <c r="E720" s="4">
        <v>40739</v>
      </c>
      <c r="F720" s="4">
        <v>22470</v>
      </c>
      <c r="G720" s="1">
        <f t="shared" si="123"/>
        <v>63209</v>
      </c>
      <c r="H720" s="2">
        <f t="shared" si="124"/>
        <v>0.64451264851524304</v>
      </c>
      <c r="I720" s="2">
        <f t="shared" si="125"/>
        <v>0.35548735148475691</v>
      </c>
      <c r="J720" s="4">
        <v>13349.9</v>
      </c>
      <c r="K720" s="4">
        <v>24699.5</v>
      </c>
      <c r="L720" s="1">
        <f t="shared" si="120"/>
        <v>38049.4</v>
      </c>
      <c r="M720" s="2">
        <f t="shared" si="121"/>
        <v>0.35085704373787757</v>
      </c>
      <c r="N720" s="2">
        <f t="shared" si="122"/>
        <v>0.64914295626212237</v>
      </c>
    </row>
    <row r="721" spans="1:14" x14ac:dyDescent="0.35">
      <c r="A721" t="s">
        <v>16</v>
      </c>
      <c r="B721" t="s">
        <v>29</v>
      </c>
      <c r="C721">
        <v>2013</v>
      </c>
      <c r="D721" t="s">
        <v>32</v>
      </c>
      <c r="E721" s="4">
        <v>40589</v>
      </c>
      <c r="F721" s="4">
        <v>22529</v>
      </c>
      <c r="G721" s="1">
        <f t="shared" si="123"/>
        <v>63118</v>
      </c>
      <c r="H721" s="2">
        <f t="shared" si="124"/>
        <v>0.6430653696251466</v>
      </c>
      <c r="I721" s="2">
        <f t="shared" si="125"/>
        <v>0.35693463037485346</v>
      </c>
      <c r="J721" s="4">
        <v>13332.8</v>
      </c>
      <c r="K721" s="4">
        <v>25054.400000000001</v>
      </c>
      <c r="L721" s="1">
        <f t="shared" si="120"/>
        <v>38387.199999999997</v>
      </c>
      <c r="M721" s="2">
        <f t="shared" si="121"/>
        <v>0.34732410803601199</v>
      </c>
      <c r="N721" s="2">
        <f t="shared" si="122"/>
        <v>0.65267589196398812</v>
      </c>
    </row>
    <row r="722" spans="1:14" x14ac:dyDescent="0.35">
      <c r="A722" t="s">
        <v>16</v>
      </c>
      <c r="B722" t="s">
        <v>17</v>
      </c>
      <c r="C722">
        <v>2014</v>
      </c>
      <c r="D722" t="s">
        <v>32</v>
      </c>
      <c r="E722" s="4">
        <v>40408</v>
      </c>
      <c r="F722" s="4">
        <v>22534</v>
      </c>
      <c r="G722" s="1">
        <f t="shared" si="123"/>
        <v>62942</v>
      </c>
      <c r="H722" s="2">
        <f t="shared" si="124"/>
        <v>0.64198786184106005</v>
      </c>
      <c r="I722" s="2">
        <f t="shared" si="125"/>
        <v>0.35801213815893995</v>
      </c>
      <c r="J722" s="4">
        <v>13311.7</v>
      </c>
      <c r="K722" s="4">
        <v>25499.7</v>
      </c>
      <c r="L722" s="1">
        <f t="shared" si="120"/>
        <v>38811.4</v>
      </c>
      <c r="M722" s="2">
        <f t="shared" si="121"/>
        <v>0.34298427781528107</v>
      </c>
      <c r="N722" s="2">
        <f t="shared" si="122"/>
        <v>0.65701572218471893</v>
      </c>
    </row>
    <row r="723" spans="1:14" x14ac:dyDescent="0.35">
      <c r="A723" t="s">
        <v>16</v>
      </c>
      <c r="B723" t="s">
        <v>19</v>
      </c>
      <c r="C723">
        <v>2014</v>
      </c>
      <c r="D723" t="s">
        <v>32</v>
      </c>
      <c r="E723" s="4">
        <v>40267</v>
      </c>
      <c r="F723" s="4">
        <v>22608</v>
      </c>
      <c r="G723" s="1">
        <f t="shared" si="123"/>
        <v>62875</v>
      </c>
      <c r="H723" s="2">
        <f t="shared" si="124"/>
        <v>0.64042942345924458</v>
      </c>
      <c r="I723" s="2">
        <f t="shared" si="125"/>
        <v>0.35957057654075547</v>
      </c>
      <c r="J723" s="4">
        <v>13195.1</v>
      </c>
      <c r="K723" s="4">
        <v>24717.5</v>
      </c>
      <c r="L723" s="1">
        <f t="shared" si="120"/>
        <v>37912.6</v>
      </c>
      <c r="M723" s="2">
        <f t="shared" si="121"/>
        <v>0.34803996560510231</v>
      </c>
      <c r="N723" s="2">
        <f t="shared" si="122"/>
        <v>0.6519600343948978</v>
      </c>
    </row>
    <row r="724" spans="1:14" x14ac:dyDescent="0.35">
      <c r="A724" t="s">
        <v>16</v>
      </c>
      <c r="B724" t="s">
        <v>20</v>
      </c>
      <c r="C724">
        <v>2014</v>
      </c>
      <c r="D724" t="s">
        <v>32</v>
      </c>
      <c r="E724" s="4">
        <v>40142</v>
      </c>
      <c r="F724" s="4">
        <v>22634</v>
      </c>
      <c r="G724" s="1">
        <f t="shared" si="123"/>
        <v>62776</v>
      </c>
      <c r="H724" s="2">
        <f t="shared" si="124"/>
        <v>0.63944819676309417</v>
      </c>
      <c r="I724" s="2">
        <f t="shared" si="125"/>
        <v>0.36055180323690583</v>
      </c>
      <c r="J724" s="4">
        <v>13180.4</v>
      </c>
      <c r="K724" s="4">
        <v>24700.9</v>
      </c>
      <c r="L724" s="1">
        <f t="shared" si="120"/>
        <v>37881.300000000003</v>
      </c>
      <c r="M724" s="2">
        <f t="shared" si="121"/>
        <v>0.34793948465337776</v>
      </c>
      <c r="N724" s="2">
        <f t="shared" si="122"/>
        <v>0.65206051534662224</v>
      </c>
    </row>
    <row r="725" spans="1:14" x14ac:dyDescent="0.35">
      <c r="A725" t="s">
        <v>16</v>
      </c>
      <c r="B725" t="s">
        <v>21</v>
      </c>
      <c r="C725">
        <v>2014</v>
      </c>
      <c r="D725" t="s">
        <v>32</v>
      </c>
      <c r="E725" s="4">
        <v>39981</v>
      </c>
      <c r="F725" s="4">
        <v>22682</v>
      </c>
      <c r="G725" s="1">
        <f t="shared" si="123"/>
        <v>62663</v>
      </c>
      <c r="H725" s="2">
        <f t="shared" si="124"/>
        <v>0.63803201251137032</v>
      </c>
      <c r="I725" s="2">
        <f t="shared" si="125"/>
        <v>0.36196798748862963</v>
      </c>
      <c r="J725" s="3">
        <v>13163.9</v>
      </c>
      <c r="K725" s="4">
        <v>24702.1</v>
      </c>
      <c r="L725" s="1">
        <f t="shared" si="120"/>
        <v>37866</v>
      </c>
      <c r="M725" s="2">
        <f t="shared" si="121"/>
        <v>0.34764432472402684</v>
      </c>
      <c r="N725" s="2">
        <f t="shared" si="122"/>
        <v>0.65235567527597316</v>
      </c>
    </row>
    <row r="726" spans="1:14" x14ac:dyDescent="0.35">
      <c r="A726" t="s">
        <v>16</v>
      </c>
      <c r="B726" t="s">
        <v>22</v>
      </c>
      <c r="C726">
        <v>2014</v>
      </c>
      <c r="D726" t="s">
        <v>32</v>
      </c>
      <c r="E726" s="4">
        <v>39901</v>
      </c>
      <c r="F726" s="4">
        <v>22729</v>
      </c>
      <c r="G726" s="1">
        <f t="shared" si="123"/>
        <v>62630</v>
      </c>
      <c r="H726" s="2">
        <f t="shared" si="124"/>
        <v>0.63709085102985785</v>
      </c>
      <c r="I726" s="2">
        <f t="shared" si="125"/>
        <v>0.36290914897014209</v>
      </c>
      <c r="J726" s="4">
        <v>13124.3</v>
      </c>
      <c r="K726" s="4">
        <v>24521.3</v>
      </c>
      <c r="L726" s="1">
        <f t="shared" si="120"/>
        <v>37645.599999999999</v>
      </c>
      <c r="M726" s="2">
        <f t="shared" si="121"/>
        <v>0.34862772807446291</v>
      </c>
      <c r="N726" s="2">
        <f t="shared" si="122"/>
        <v>0.65137227192553715</v>
      </c>
    </row>
    <row r="727" spans="1:14" x14ac:dyDescent="0.35">
      <c r="A727" t="s">
        <v>16</v>
      </c>
      <c r="B727" t="s">
        <v>23</v>
      </c>
      <c r="C727">
        <v>2014</v>
      </c>
      <c r="D727" t="s">
        <v>32</v>
      </c>
      <c r="E727" s="4">
        <v>39744</v>
      </c>
      <c r="F727" s="4">
        <v>22803</v>
      </c>
      <c r="G727" s="1">
        <f t="shared" si="123"/>
        <v>62547</v>
      </c>
      <c r="H727" s="2">
        <f t="shared" si="124"/>
        <v>0.63542615952803494</v>
      </c>
      <c r="I727" s="2">
        <f t="shared" si="125"/>
        <v>0.36457384047196506</v>
      </c>
      <c r="J727" s="4">
        <v>13150.7</v>
      </c>
      <c r="K727" s="4">
        <v>24369.9</v>
      </c>
      <c r="L727" s="1">
        <f t="shared" si="120"/>
        <v>37520.600000000006</v>
      </c>
      <c r="M727" s="2">
        <f t="shared" si="121"/>
        <v>0.35049279595742067</v>
      </c>
      <c r="N727" s="2">
        <f t="shared" si="122"/>
        <v>0.64950720404257922</v>
      </c>
    </row>
    <row r="728" spans="1:14" x14ac:dyDescent="0.35">
      <c r="A728" t="s">
        <v>16</v>
      </c>
      <c r="B728" t="s">
        <v>24</v>
      </c>
      <c r="C728">
        <v>2014</v>
      </c>
      <c r="D728" t="s">
        <v>32</v>
      </c>
      <c r="E728" s="4">
        <v>39528</v>
      </c>
      <c r="F728" s="4">
        <v>22901</v>
      </c>
      <c r="G728" s="1">
        <f t="shared" si="123"/>
        <v>62429</v>
      </c>
      <c r="H728" s="2">
        <f t="shared" si="124"/>
        <v>0.63316727802783968</v>
      </c>
      <c r="I728" s="2">
        <f t="shared" si="125"/>
        <v>0.36683272197216038</v>
      </c>
      <c r="J728" s="4">
        <v>13094.8</v>
      </c>
      <c r="K728" s="4">
        <v>24268.7</v>
      </c>
      <c r="L728" s="1">
        <f t="shared" si="120"/>
        <v>37363.5</v>
      </c>
      <c r="M728" s="2">
        <f t="shared" si="121"/>
        <v>0.35047037884566484</v>
      </c>
      <c r="N728" s="2">
        <f t="shared" si="122"/>
        <v>0.6495296211543351</v>
      </c>
    </row>
    <row r="729" spans="1:14" x14ac:dyDescent="0.35">
      <c r="A729" t="s">
        <v>16</v>
      </c>
      <c r="B729" t="s">
        <v>25</v>
      </c>
      <c r="C729">
        <v>2014</v>
      </c>
      <c r="D729" t="s">
        <v>32</v>
      </c>
      <c r="E729" s="4">
        <v>39365</v>
      </c>
      <c r="F729" s="4">
        <v>22943</v>
      </c>
      <c r="G729" s="1">
        <f t="shared" si="123"/>
        <v>62308</v>
      </c>
      <c r="H729" s="2">
        <f t="shared" si="124"/>
        <v>0.63178083071194713</v>
      </c>
      <c r="I729" s="2">
        <f t="shared" si="125"/>
        <v>0.36821916928805287</v>
      </c>
      <c r="J729" s="4">
        <v>13047.1</v>
      </c>
      <c r="K729" s="4">
        <v>24295.3</v>
      </c>
      <c r="L729" s="1">
        <f t="shared" si="120"/>
        <v>37342.400000000001</v>
      </c>
      <c r="M729" s="2">
        <f t="shared" si="121"/>
        <v>0.34939104074724708</v>
      </c>
      <c r="N729" s="2">
        <f t="shared" si="122"/>
        <v>0.65060895925275286</v>
      </c>
    </row>
    <row r="730" spans="1:14" x14ac:dyDescent="0.35">
      <c r="A730" t="s">
        <v>16</v>
      </c>
      <c r="B730" t="s">
        <v>26</v>
      </c>
      <c r="C730">
        <v>2014</v>
      </c>
      <c r="D730" t="s">
        <v>32</v>
      </c>
      <c r="E730" s="4">
        <v>39153</v>
      </c>
      <c r="F730" s="4">
        <v>23060</v>
      </c>
      <c r="G730" s="1">
        <f t="shared" si="123"/>
        <v>62213</v>
      </c>
      <c r="H730" s="2">
        <f t="shared" si="124"/>
        <v>0.62933791972738817</v>
      </c>
      <c r="I730" s="2">
        <f t="shared" si="125"/>
        <v>0.37066208027261183</v>
      </c>
      <c r="J730" s="4">
        <v>13006.1</v>
      </c>
      <c r="K730" s="4">
        <v>24411.7</v>
      </c>
      <c r="L730" s="1">
        <f t="shared" si="120"/>
        <v>37417.800000000003</v>
      </c>
      <c r="M730" s="2">
        <f t="shared" si="121"/>
        <v>0.34759125336069996</v>
      </c>
      <c r="N730" s="2">
        <f t="shared" si="122"/>
        <v>0.65240874663929993</v>
      </c>
    </row>
    <row r="731" spans="1:14" x14ac:dyDescent="0.35">
      <c r="A731" t="s">
        <v>16</v>
      </c>
      <c r="B731" t="s">
        <v>27</v>
      </c>
      <c r="C731">
        <v>2014</v>
      </c>
      <c r="D731" t="s">
        <v>32</v>
      </c>
      <c r="E731" s="4">
        <v>39008</v>
      </c>
      <c r="F731" s="4">
        <v>23095</v>
      </c>
      <c r="G731" s="1">
        <f t="shared" si="123"/>
        <v>62103</v>
      </c>
      <c r="H731" s="2">
        <f t="shared" si="124"/>
        <v>0.62811780429286834</v>
      </c>
      <c r="I731" s="2">
        <f t="shared" si="125"/>
        <v>0.37188219570713171</v>
      </c>
      <c r="J731" s="4">
        <v>12926.2</v>
      </c>
      <c r="K731" s="4">
        <v>25012.7</v>
      </c>
      <c r="L731" s="1">
        <f t="shared" si="120"/>
        <v>37938.9</v>
      </c>
      <c r="M731" s="2">
        <f t="shared" si="121"/>
        <v>0.34071098529477661</v>
      </c>
      <c r="N731" s="2">
        <f t="shared" si="122"/>
        <v>0.65928901470522339</v>
      </c>
    </row>
    <row r="732" spans="1:14" x14ac:dyDescent="0.35">
      <c r="A732" t="s">
        <v>16</v>
      </c>
      <c r="B732" t="s">
        <v>28</v>
      </c>
      <c r="C732">
        <v>2014</v>
      </c>
      <c r="D732" t="s">
        <v>32</v>
      </c>
      <c r="E732" s="4">
        <v>38904</v>
      </c>
      <c r="F732" s="4">
        <v>23148</v>
      </c>
      <c r="G732" s="1">
        <f t="shared" si="123"/>
        <v>62052</v>
      </c>
      <c r="H732" s="2">
        <f t="shared" si="124"/>
        <v>0.62695803519628701</v>
      </c>
      <c r="I732" s="2">
        <f t="shared" si="125"/>
        <v>0.37304196480371299</v>
      </c>
      <c r="J732" s="4">
        <v>12900.2</v>
      </c>
      <c r="K732" s="4">
        <v>24257.7</v>
      </c>
      <c r="L732" s="1">
        <f t="shared" si="120"/>
        <v>37157.9</v>
      </c>
      <c r="M732" s="2">
        <f t="shared" si="121"/>
        <v>0.34717247207188784</v>
      </c>
      <c r="N732" s="2">
        <f t="shared" si="122"/>
        <v>0.65282752792811216</v>
      </c>
    </row>
    <row r="733" spans="1:14" x14ac:dyDescent="0.35">
      <c r="A733" t="s">
        <v>16</v>
      </c>
      <c r="B733" t="s">
        <v>29</v>
      </c>
      <c r="C733">
        <v>2014</v>
      </c>
      <c r="D733" t="s">
        <v>32</v>
      </c>
      <c r="E733" s="4">
        <v>38751</v>
      </c>
      <c r="F733" s="4">
        <v>23212</v>
      </c>
      <c r="G733" s="1">
        <f t="shared" si="123"/>
        <v>61963</v>
      </c>
      <c r="H733" s="2">
        <f t="shared" si="124"/>
        <v>0.62538934525442602</v>
      </c>
      <c r="I733" s="2">
        <f t="shared" si="125"/>
        <v>0.37461065474557398</v>
      </c>
      <c r="J733" s="4">
        <v>13056.1</v>
      </c>
      <c r="K733" s="4">
        <v>24725</v>
      </c>
      <c r="L733" s="1">
        <f t="shared" si="120"/>
        <v>37781.1</v>
      </c>
      <c r="M733" s="2">
        <f t="shared" si="121"/>
        <v>0.34557225702798494</v>
      </c>
      <c r="N733" s="2">
        <f t="shared" si="122"/>
        <v>0.65442774297201511</v>
      </c>
    </row>
    <row r="734" spans="1:14" x14ac:dyDescent="0.35">
      <c r="A734" t="s">
        <v>16</v>
      </c>
      <c r="B734" t="s">
        <v>17</v>
      </c>
      <c r="C734">
        <v>2015</v>
      </c>
      <c r="D734" t="s">
        <v>32</v>
      </c>
      <c r="E734" s="4">
        <v>38643</v>
      </c>
      <c r="F734" s="4">
        <v>23199</v>
      </c>
      <c r="G734" s="1">
        <f t="shared" si="123"/>
        <v>61842</v>
      </c>
      <c r="H734" s="2">
        <f t="shared" si="124"/>
        <v>0.62486659551760937</v>
      </c>
      <c r="I734" s="2">
        <f t="shared" si="125"/>
        <v>0.37513340448239063</v>
      </c>
      <c r="J734" s="4">
        <v>13049.2</v>
      </c>
      <c r="K734" s="4">
        <v>25001.3</v>
      </c>
      <c r="L734" s="1">
        <f t="shared" si="120"/>
        <v>38050.5</v>
      </c>
      <c r="M734" s="2">
        <f t="shared" si="121"/>
        <v>0.34294424514789557</v>
      </c>
      <c r="N734" s="2">
        <f t="shared" si="122"/>
        <v>0.65705575485210443</v>
      </c>
    </row>
    <row r="735" spans="1:14" x14ac:dyDescent="0.35">
      <c r="A735" t="s">
        <v>16</v>
      </c>
      <c r="B735" t="s">
        <v>19</v>
      </c>
      <c r="C735">
        <v>2015</v>
      </c>
      <c r="D735" t="s">
        <v>32</v>
      </c>
      <c r="E735" s="4">
        <v>38481</v>
      </c>
      <c r="F735" s="4">
        <v>23284</v>
      </c>
      <c r="G735" s="1">
        <f t="shared" si="123"/>
        <v>61765</v>
      </c>
      <c r="H735" s="2">
        <f t="shared" si="124"/>
        <v>0.62302274751072617</v>
      </c>
      <c r="I735" s="2">
        <f t="shared" si="125"/>
        <v>0.37697725248927388</v>
      </c>
      <c r="J735" s="4">
        <v>12977.2</v>
      </c>
      <c r="K735" s="4">
        <v>24617.1</v>
      </c>
      <c r="L735" s="1">
        <f t="shared" si="120"/>
        <v>37594.300000000003</v>
      </c>
      <c r="M735" s="2">
        <f t="shared" si="121"/>
        <v>0.34519062730254318</v>
      </c>
      <c r="N735" s="2">
        <f t="shared" si="122"/>
        <v>0.65480937269745676</v>
      </c>
    </row>
    <row r="736" spans="1:14" x14ac:dyDescent="0.35">
      <c r="A736" t="s">
        <v>16</v>
      </c>
      <c r="B736" t="s">
        <v>20</v>
      </c>
      <c r="C736">
        <v>2015</v>
      </c>
      <c r="D736" t="s">
        <v>32</v>
      </c>
      <c r="E736" s="4">
        <v>38331</v>
      </c>
      <c r="F736" s="4">
        <v>23353</v>
      </c>
      <c r="G736" s="1">
        <f t="shared" si="123"/>
        <v>61684</v>
      </c>
      <c r="H736" s="2">
        <f t="shared" si="124"/>
        <v>0.6214091174372609</v>
      </c>
      <c r="I736" s="2">
        <f t="shared" si="125"/>
        <v>0.3785908825627391</v>
      </c>
      <c r="J736" s="4">
        <v>12967.4</v>
      </c>
      <c r="K736" s="4">
        <v>24551.4</v>
      </c>
      <c r="L736" s="1">
        <f t="shared" si="120"/>
        <v>37518.800000000003</v>
      </c>
      <c r="M736" s="2">
        <f t="shared" si="121"/>
        <v>0.34562406047101718</v>
      </c>
      <c r="N736" s="2">
        <f t="shared" si="122"/>
        <v>0.65437593952898276</v>
      </c>
    </row>
    <row r="737" spans="1:14" x14ac:dyDescent="0.35">
      <c r="A737" t="s">
        <v>16</v>
      </c>
      <c r="B737" t="s">
        <v>21</v>
      </c>
      <c r="C737">
        <v>2015</v>
      </c>
      <c r="D737" t="s">
        <v>32</v>
      </c>
      <c r="E737" s="4">
        <v>38122</v>
      </c>
      <c r="F737" s="4">
        <v>23447</v>
      </c>
      <c r="G737" s="1">
        <f t="shared" si="123"/>
        <v>61569</v>
      </c>
      <c r="H737" s="2">
        <f t="shared" si="124"/>
        <v>0.61917523428998356</v>
      </c>
      <c r="I737" s="2">
        <f t="shared" si="125"/>
        <v>0.38082476571001639</v>
      </c>
      <c r="J737" s="4">
        <v>12940.5</v>
      </c>
      <c r="K737" s="4">
        <v>24516.5</v>
      </c>
      <c r="L737" s="1">
        <f t="shared" si="120"/>
        <v>37457</v>
      </c>
      <c r="M737" s="2">
        <f t="shared" si="121"/>
        <v>0.34547614598072457</v>
      </c>
      <c r="N737" s="2">
        <f t="shared" si="122"/>
        <v>0.65452385401927549</v>
      </c>
    </row>
    <row r="738" spans="1:14" x14ac:dyDescent="0.35">
      <c r="A738" t="s">
        <v>16</v>
      </c>
      <c r="B738" t="s">
        <v>22</v>
      </c>
      <c r="C738">
        <v>2015</v>
      </c>
      <c r="D738" t="s">
        <v>32</v>
      </c>
      <c r="E738" s="4">
        <v>37661</v>
      </c>
      <c r="F738" s="4">
        <v>23525</v>
      </c>
      <c r="G738" s="1">
        <f t="shared" si="123"/>
        <v>61186</v>
      </c>
      <c r="H738" s="2">
        <f t="shared" si="124"/>
        <v>0.61551662144935115</v>
      </c>
      <c r="I738" s="2">
        <f t="shared" si="125"/>
        <v>0.38448337855064885</v>
      </c>
      <c r="J738" s="4">
        <v>12895.5</v>
      </c>
      <c r="K738" s="4">
        <v>24391.1</v>
      </c>
      <c r="L738" s="1">
        <f t="shared" si="120"/>
        <v>37286.6</v>
      </c>
      <c r="M738" s="2">
        <f t="shared" si="121"/>
        <v>0.34584810629019541</v>
      </c>
      <c r="N738" s="2">
        <f t="shared" si="122"/>
        <v>0.65415189370980453</v>
      </c>
    </row>
    <row r="739" spans="1:14" x14ac:dyDescent="0.35">
      <c r="A739" t="s">
        <v>16</v>
      </c>
      <c r="B739" t="s">
        <v>23</v>
      </c>
      <c r="C739">
        <v>2015</v>
      </c>
      <c r="D739" t="s">
        <v>32</v>
      </c>
      <c r="E739" s="4">
        <v>36152</v>
      </c>
      <c r="F739" s="4">
        <v>23780</v>
      </c>
      <c r="G739" s="1">
        <f t="shared" si="123"/>
        <v>59932</v>
      </c>
      <c r="H739" s="2">
        <f t="shared" si="124"/>
        <v>0.60321697924314222</v>
      </c>
      <c r="I739" s="2">
        <f t="shared" si="125"/>
        <v>0.39678302075685778</v>
      </c>
      <c r="J739" s="4">
        <v>12825.9</v>
      </c>
      <c r="K739" s="4">
        <v>24369.3</v>
      </c>
      <c r="L739" s="1">
        <f t="shared" si="120"/>
        <v>37195.199999999997</v>
      </c>
      <c r="M739" s="2">
        <f t="shared" si="121"/>
        <v>0.34482675183894695</v>
      </c>
      <c r="N739" s="2">
        <f t="shared" si="122"/>
        <v>0.65517324816105305</v>
      </c>
    </row>
    <row r="740" spans="1:14" x14ac:dyDescent="0.35">
      <c r="A740" t="s">
        <v>16</v>
      </c>
      <c r="B740" t="s">
        <v>24</v>
      </c>
      <c r="C740">
        <v>2015</v>
      </c>
      <c r="D740" t="s">
        <v>32</v>
      </c>
      <c r="E740" s="4">
        <v>35780</v>
      </c>
      <c r="F740" s="4">
        <v>23909</v>
      </c>
      <c r="G740" s="1">
        <f t="shared" si="123"/>
        <v>59689</v>
      </c>
      <c r="H740" s="2">
        <f t="shared" si="124"/>
        <v>0.59944043291058657</v>
      </c>
      <c r="I740" s="2">
        <f t="shared" si="125"/>
        <v>0.40055956708941348</v>
      </c>
      <c r="J740" s="4">
        <v>11916.5</v>
      </c>
      <c r="K740" s="4">
        <v>24928.5</v>
      </c>
      <c r="L740" s="1">
        <f t="shared" si="120"/>
        <v>36845</v>
      </c>
      <c r="M740" s="2">
        <f t="shared" si="121"/>
        <v>0.3234224453792916</v>
      </c>
      <c r="N740" s="2">
        <f t="shared" si="122"/>
        <v>0.67657755462070834</v>
      </c>
    </row>
    <row r="741" spans="1:14" x14ac:dyDescent="0.35">
      <c r="A741" t="s">
        <v>16</v>
      </c>
      <c r="B741" t="s">
        <v>25</v>
      </c>
      <c r="C741">
        <v>2015</v>
      </c>
      <c r="D741" t="s">
        <v>32</v>
      </c>
      <c r="E741" s="4">
        <v>35675</v>
      </c>
      <c r="F741" s="4">
        <v>23964</v>
      </c>
      <c r="G741" s="1">
        <f t="shared" si="123"/>
        <v>59639</v>
      </c>
      <c r="H741" s="2">
        <f t="shared" si="124"/>
        <v>0.59818239742450408</v>
      </c>
      <c r="I741" s="2">
        <f t="shared" si="125"/>
        <v>0.40181760257549592</v>
      </c>
      <c r="J741" s="4">
        <v>11926.7</v>
      </c>
      <c r="K741" s="4">
        <v>24839</v>
      </c>
      <c r="L741" s="1">
        <f t="shared" si="120"/>
        <v>36765.699999999997</v>
      </c>
      <c r="M741" s="2">
        <f t="shared" si="121"/>
        <v>0.32439746829245741</v>
      </c>
      <c r="N741" s="2">
        <f t="shared" si="122"/>
        <v>0.6756025317075427</v>
      </c>
    </row>
    <row r="742" spans="1:14" x14ac:dyDescent="0.35">
      <c r="A742" t="s">
        <v>16</v>
      </c>
      <c r="B742" t="s">
        <v>26</v>
      </c>
      <c r="C742">
        <v>2015</v>
      </c>
      <c r="D742" t="s">
        <v>32</v>
      </c>
      <c r="E742" s="4">
        <v>35465</v>
      </c>
      <c r="F742" s="4">
        <v>24047</v>
      </c>
      <c r="G742" s="1">
        <f t="shared" si="123"/>
        <v>59512</v>
      </c>
      <c r="H742" s="2">
        <f t="shared" si="124"/>
        <v>0.59593023255813948</v>
      </c>
      <c r="I742" s="2">
        <f t="shared" si="125"/>
        <v>0.40406976744186046</v>
      </c>
      <c r="J742" s="4">
        <v>11900.5</v>
      </c>
      <c r="K742" s="4">
        <v>24947.8</v>
      </c>
      <c r="L742" s="1">
        <f t="shared" si="120"/>
        <v>36848.300000000003</v>
      </c>
      <c r="M742" s="2">
        <f t="shared" si="121"/>
        <v>0.3229592681344865</v>
      </c>
      <c r="N742" s="2">
        <f t="shared" si="122"/>
        <v>0.67704073186551339</v>
      </c>
    </row>
    <row r="743" spans="1:14" x14ac:dyDescent="0.35">
      <c r="A743" t="s">
        <v>16</v>
      </c>
      <c r="B743" t="s">
        <v>27</v>
      </c>
      <c r="C743">
        <v>2015</v>
      </c>
      <c r="D743" t="s">
        <v>32</v>
      </c>
      <c r="E743" s="4">
        <v>35375</v>
      </c>
      <c r="F743" s="4">
        <v>24102</v>
      </c>
      <c r="G743" s="1">
        <f t="shared" si="123"/>
        <v>59477</v>
      </c>
      <c r="H743" s="2">
        <f t="shared" si="124"/>
        <v>0.59476772533920674</v>
      </c>
      <c r="I743" s="2">
        <f t="shared" si="125"/>
        <v>0.40523227466079326</v>
      </c>
      <c r="J743" s="4">
        <v>11898.4</v>
      </c>
      <c r="K743" s="4">
        <v>24975.3</v>
      </c>
      <c r="L743" s="1">
        <f t="shared" si="120"/>
        <v>36873.699999999997</v>
      </c>
      <c r="M743" s="2">
        <f t="shared" si="121"/>
        <v>0.32267985040828562</v>
      </c>
      <c r="N743" s="2">
        <f t="shared" si="122"/>
        <v>0.67732014959171449</v>
      </c>
    </row>
    <row r="744" spans="1:14" x14ac:dyDescent="0.35">
      <c r="A744" t="s">
        <v>16</v>
      </c>
      <c r="B744" t="s">
        <v>28</v>
      </c>
      <c r="C744">
        <v>2015</v>
      </c>
      <c r="D744" t="s">
        <v>32</v>
      </c>
      <c r="E744" s="4">
        <v>35227</v>
      </c>
      <c r="F744" s="4">
        <v>24212</v>
      </c>
      <c r="G744" s="1">
        <f t="shared" si="123"/>
        <v>59439</v>
      </c>
      <c r="H744" s="2">
        <f t="shared" si="124"/>
        <v>0.59265801914567873</v>
      </c>
      <c r="I744" s="2">
        <f t="shared" si="125"/>
        <v>0.40734198085432122</v>
      </c>
      <c r="J744" s="4">
        <v>11882</v>
      </c>
      <c r="K744" s="4">
        <v>25063.8</v>
      </c>
      <c r="L744" s="1">
        <f t="shared" si="120"/>
        <v>36945.800000000003</v>
      </c>
      <c r="M744" s="2">
        <f t="shared" si="121"/>
        <v>0.3216062448234982</v>
      </c>
      <c r="N744" s="2">
        <f t="shared" si="122"/>
        <v>0.67839375517650169</v>
      </c>
    </row>
    <row r="745" spans="1:14" x14ac:dyDescent="0.35">
      <c r="A745" t="s">
        <v>16</v>
      </c>
      <c r="B745" t="s">
        <v>29</v>
      </c>
      <c r="C745">
        <v>2015</v>
      </c>
      <c r="D745" t="s">
        <v>32</v>
      </c>
      <c r="E745" s="4">
        <v>35101</v>
      </c>
      <c r="F745" s="4">
        <v>24330</v>
      </c>
      <c r="G745" s="1">
        <f t="shared" si="123"/>
        <v>59431</v>
      </c>
      <c r="H745" s="2">
        <f t="shared" si="124"/>
        <v>0.59061769110396933</v>
      </c>
      <c r="I745" s="2">
        <f t="shared" si="125"/>
        <v>0.40938230889603067</v>
      </c>
      <c r="J745" s="4">
        <v>11840</v>
      </c>
      <c r="K745" s="4">
        <v>25231.9</v>
      </c>
      <c r="L745" s="1">
        <f t="shared" si="120"/>
        <v>37071.9</v>
      </c>
      <c r="M745" s="2">
        <f t="shared" si="121"/>
        <v>0.31937936820071267</v>
      </c>
      <c r="N745" s="2">
        <f t="shared" si="122"/>
        <v>0.68062063179928733</v>
      </c>
    </row>
    <row r="746" spans="1:14" x14ac:dyDescent="0.35">
      <c r="A746" t="s">
        <v>16</v>
      </c>
      <c r="B746" t="s">
        <v>17</v>
      </c>
      <c r="C746">
        <v>2016</v>
      </c>
      <c r="D746" t="s">
        <v>32</v>
      </c>
      <c r="E746" s="4">
        <v>34966</v>
      </c>
      <c r="F746" s="4">
        <v>24368</v>
      </c>
      <c r="G746" s="1">
        <f t="shared" si="123"/>
        <v>59334</v>
      </c>
      <c r="H746" s="2">
        <f t="shared" si="124"/>
        <v>0.5893079853035359</v>
      </c>
      <c r="I746" s="2">
        <f t="shared" si="125"/>
        <v>0.4106920146964641</v>
      </c>
      <c r="J746" s="4">
        <v>11838.1</v>
      </c>
      <c r="K746" s="4">
        <v>25295.9</v>
      </c>
      <c r="L746" s="1">
        <f t="shared" si="120"/>
        <v>37134</v>
      </c>
      <c r="M746" s="2">
        <f t="shared" si="121"/>
        <v>0.31879409705391287</v>
      </c>
      <c r="N746" s="2">
        <f t="shared" si="122"/>
        <v>0.68120590294608718</v>
      </c>
    </row>
    <row r="747" spans="1:14" x14ac:dyDescent="0.35">
      <c r="A747" t="s">
        <v>16</v>
      </c>
      <c r="B747" t="s">
        <v>19</v>
      </c>
      <c r="C747">
        <v>2016</v>
      </c>
      <c r="D747" t="s">
        <v>32</v>
      </c>
      <c r="E747" s="4">
        <v>34834</v>
      </c>
      <c r="F747" s="4">
        <v>24453</v>
      </c>
      <c r="G747" s="1">
        <f t="shared" si="123"/>
        <v>59287</v>
      </c>
      <c r="H747" s="2">
        <f t="shared" si="124"/>
        <v>0.58754870376305091</v>
      </c>
      <c r="I747" s="2">
        <f t="shared" si="125"/>
        <v>0.41245129623694909</v>
      </c>
      <c r="J747" s="4">
        <v>11803.4</v>
      </c>
      <c r="K747" s="4">
        <v>24868</v>
      </c>
      <c r="L747" s="1">
        <f t="shared" si="120"/>
        <v>36671.4</v>
      </c>
      <c r="M747" s="2">
        <f t="shared" si="121"/>
        <v>0.32186935868278821</v>
      </c>
      <c r="N747" s="2">
        <f t="shared" si="122"/>
        <v>0.67813064131721179</v>
      </c>
    </row>
    <row r="748" spans="1:14" x14ac:dyDescent="0.35">
      <c r="A748" t="s">
        <v>16</v>
      </c>
      <c r="B748" t="s">
        <v>20</v>
      </c>
      <c r="C748">
        <v>2016</v>
      </c>
      <c r="D748" t="s">
        <v>32</v>
      </c>
      <c r="E748" s="4">
        <v>34702</v>
      </c>
      <c r="F748" s="4">
        <v>24521</v>
      </c>
      <c r="G748" s="1">
        <f t="shared" si="123"/>
        <v>59223</v>
      </c>
      <c r="H748" s="2">
        <f t="shared" si="124"/>
        <v>0.58595478108167431</v>
      </c>
      <c r="I748" s="2">
        <f t="shared" si="125"/>
        <v>0.41404521891832563</v>
      </c>
      <c r="J748" s="4">
        <v>11779.2</v>
      </c>
      <c r="K748" s="4">
        <v>24788.3</v>
      </c>
      <c r="L748" s="1">
        <f t="shared" si="120"/>
        <v>36567.5</v>
      </c>
      <c r="M748" s="2">
        <f t="shared" si="121"/>
        <v>0.32212210296027893</v>
      </c>
      <c r="N748" s="2">
        <f t="shared" si="122"/>
        <v>0.67787789703972101</v>
      </c>
    </row>
    <row r="749" spans="1:14" x14ac:dyDescent="0.35">
      <c r="A749" t="s">
        <v>16</v>
      </c>
      <c r="B749" t="s">
        <v>21</v>
      </c>
      <c r="C749">
        <v>2016</v>
      </c>
      <c r="D749" t="s">
        <v>32</v>
      </c>
      <c r="E749" s="4">
        <v>34549</v>
      </c>
      <c r="F749" s="4">
        <v>24594</v>
      </c>
      <c r="G749" s="1">
        <f t="shared" si="123"/>
        <v>59143</v>
      </c>
      <c r="H749" s="2">
        <f t="shared" si="124"/>
        <v>0.58416042473327356</v>
      </c>
      <c r="I749" s="2">
        <f t="shared" si="125"/>
        <v>0.41583957526672644</v>
      </c>
      <c r="J749" s="4">
        <v>11753.7</v>
      </c>
      <c r="K749" s="4">
        <v>24766.799999999999</v>
      </c>
      <c r="L749" s="1">
        <f t="shared" si="120"/>
        <v>36520.5</v>
      </c>
      <c r="M749" s="2">
        <f t="shared" si="121"/>
        <v>0.32183841951780506</v>
      </c>
      <c r="N749" s="2">
        <f t="shared" si="122"/>
        <v>0.67816158048219488</v>
      </c>
    </row>
    <row r="750" spans="1:14" x14ac:dyDescent="0.35">
      <c r="A750" t="s">
        <v>16</v>
      </c>
      <c r="B750" t="s">
        <v>22</v>
      </c>
      <c r="C750">
        <v>2016</v>
      </c>
      <c r="D750" t="s">
        <v>32</v>
      </c>
      <c r="E750" s="4">
        <v>34377</v>
      </c>
      <c r="F750" s="4">
        <v>24639</v>
      </c>
      <c r="G750" s="1">
        <f t="shared" si="123"/>
        <v>59016</v>
      </c>
      <c r="H750" s="2">
        <f t="shared" si="124"/>
        <v>0.58250305002033342</v>
      </c>
      <c r="I750" s="2">
        <f t="shared" si="125"/>
        <v>0.41749694997966652</v>
      </c>
      <c r="J750" s="4">
        <v>11718.6</v>
      </c>
      <c r="K750" s="4">
        <v>24615.5</v>
      </c>
      <c r="L750" s="1">
        <f t="shared" si="120"/>
        <v>36334.1</v>
      </c>
      <c r="M750" s="2">
        <f t="shared" si="121"/>
        <v>0.32252346968825429</v>
      </c>
      <c r="N750" s="2">
        <f t="shared" si="122"/>
        <v>0.67747653031174571</v>
      </c>
    </row>
    <row r="751" spans="1:14" x14ac:dyDescent="0.35">
      <c r="A751" t="s">
        <v>16</v>
      </c>
      <c r="B751" t="s">
        <v>23</v>
      </c>
      <c r="C751">
        <v>2016</v>
      </c>
      <c r="D751" t="s">
        <v>32</v>
      </c>
      <c r="E751" s="4">
        <v>34208</v>
      </c>
      <c r="F751" s="4">
        <v>24732</v>
      </c>
      <c r="G751" s="1">
        <f t="shared" si="123"/>
        <v>58940</v>
      </c>
      <c r="H751" s="2">
        <f t="shared" si="124"/>
        <v>0.5803868340685443</v>
      </c>
      <c r="I751" s="2">
        <f t="shared" si="125"/>
        <v>0.4196131659314557</v>
      </c>
      <c r="J751" s="4">
        <v>11781.2</v>
      </c>
      <c r="K751" s="4">
        <v>24580</v>
      </c>
      <c r="L751" s="1">
        <f t="shared" si="120"/>
        <v>36361.199999999997</v>
      </c>
      <c r="M751" s="2">
        <f t="shared" si="121"/>
        <v>0.32400470831545719</v>
      </c>
      <c r="N751" s="2">
        <f t="shared" si="122"/>
        <v>0.67599529168454286</v>
      </c>
    </row>
    <row r="752" spans="1:14" x14ac:dyDescent="0.35">
      <c r="A752" t="s">
        <v>16</v>
      </c>
      <c r="B752" t="s">
        <v>24</v>
      </c>
      <c r="C752">
        <v>2016</v>
      </c>
      <c r="D752" t="s">
        <v>32</v>
      </c>
      <c r="E752" s="4">
        <v>34049</v>
      </c>
      <c r="F752" s="4">
        <v>24792</v>
      </c>
      <c r="G752" s="1">
        <f t="shared" si="123"/>
        <v>58841</v>
      </c>
      <c r="H752" s="2">
        <f t="shared" si="124"/>
        <v>0.57866113764212024</v>
      </c>
      <c r="I752" s="2">
        <f t="shared" si="125"/>
        <v>0.42133886235787971</v>
      </c>
      <c r="J752" s="4">
        <v>11494.1</v>
      </c>
      <c r="K752" s="4">
        <v>24578.1</v>
      </c>
      <c r="L752" s="1">
        <f t="shared" si="120"/>
        <v>36072.199999999997</v>
      </c>
      <c r="M752" s="2">
        <f t="shared" si="121"/>
        <v>0.31864150232034644</v>
      </c>
      <c r="N752" s="2">
        <f t="shared" si="122"/>
        <v>0.68135849767965362</v>
      </c>
    </row>
    <row r="753" spans="1:14" x14ac:dyDescent="0.35">
      <c r="A753" t="s">
        <v>16</v>
      </c>
      <c r="B753" t="s">
        <v>25</v>
      </c>
      <c r="C753">
        <v>2016</v>
      </c>
      <c r="D753" t="s">
        <v>32</v>
      </c>
      <c r="E753" s="4">
        <v>33879</v>
      </c>
      <c r="F753" s="4">
        <v>24825</v>
      </c>
      <c r="G753" s="1">
        <f t="shared" si="123"/>
        <v>58704</v>
      </c>
      <c r="H753" s="2">
        <f t="shared" si="124"/>
        <v>0.57711569910057237</v>
      </c>
      <c r="I753" s="2">
        <f t="shared" si="125"/>
        <v>0.42288430089942763</v>
      </c>
      <c r="J753" s="4">
        <v>11447</v>
      </c>
      <c r="K753" s="4">
        <v>24699.1</v>
      </c>
      <c r="L753" s="1">
        <f t="shared" si="120"/>
        <v>36146.1</v>
      </c>
      <c r="M753" s="2">
        <f t="shared" si="121"/>
        <v>0.3166870008105992</v>
      </c>
      <c r="N753" s="2">
        <f t="shared" si="122"/>
        <v>0.6833129991894008</v>
      </c>
    </row>
    <row r="754" spans="1:14" x14ac:dyDescent="0.35">
      <c r="A754" t="s">
        <v>16</v>
      </c>
      <c r="B754" t="s">
        <v>26</v>
      </c>
      <c r="C754">
        <v>2016</v>
      </c>
      <c r="D754" t="s">
        <v>32</v>
      </c>
      <c r="E754" s="4">
        <v>33692</v>
      </c>
      <c r="F754" s="4">
        <v>24897</v>
      </c>
      <c r="G754" s="1">
        <f t="shared" si="123"/>
        <v>58589</v>
      </c>
      <c r="H754" s="2">
        <f t="shared" si="124"/>
        <v>0.57505675126730271</v>
      </c>
      <c r="I754" s="2">
        <f t="shared" si="125"/>
        <v>0.42494324873269729</v>
      </c>
      <c r="J754" s="4">
        <v>11440.8</v>
      </c>
      <c r="K754" s="4">
        <v>24804.2</v>
      </c>
      <c r="L754" s="1">
        <f t="shared" si="120"/>
        <v>36245</v>
      </c>
      <c r="M754" s="2">
        <f t="shared" si="121"/>
        <v>0.31565181404331633</v>
      </c>
      <c r="N754" s="2">
        <f t="shared" si="122"/>
        <v>0.68434818595668367</v>
      </c>
    </row>
    <row r="755" spans="1:14" x14ac:dyDescent="0.35">
      <c r="A755" t="s">
        <v>16</v>
      </c>
      <c r="B755" t="s">
        <v>27</v>
      </c>
      <c r="C755">
        <v>2016</v>
      </c>
      <c r="D755" t="s">
        <v>32</v>
      </c>
      <c r="E755" s="4">
        <f>33539+4+12</f>
        <v>33555</v>
      </c>
      <c r="F755" s="4">
        <v>24966</v>
      </c>
      <c r="G755" s="1">
        <f t="shared" si="123"/>
        <v>58521</v>
      </c>
      <c r="H755" s="2">
        <f t="shared" si="124"/>
        <v>0.5733839134669606</v>
      </c>
      <c r="I755" s="2">
        <f t="shared" si="125"/>
        <v>0.4266160865330394</v>
      </c>
      <c r="J755" s="4">
        <v>11372</v>
      </c>
      <c r="K755" s="4">
        <v>24879.9</v>
      </c>
      <c r="L755" s="1">
        <f t="shared" si="120"/>
        <v>36251.9</v>
      </c>
      <c r="M755" s="2">
        <f t="shared" si="121"/>
        <v>0.31369390294025967</v>
      </c>
      <c r="N755" s="2">
        <f t="shared" si="122"/>
        <v>0.68630609705974033</v>
      </c>
    </row>
    <row r="756" spans="1:14" x14ac:dyDescent="0.35">
      <c r="A756" t="s">
        <v>16</v>
      </c>
      <c r="B756" t="s">
        <v>28</v>
      </c>
      <c r="C756">
        <v>2016</v>
      </c>
      <c r="D756" t="s">
        <v>32</v>
      </c>
      <c r="E756" s="4">
        <f>33455+5+12</f>
        <v>33472</v>
      </c>
      <c r="F756" s="4">
        <v>25042</v>
      </c>
      <c r="G756" s="1">
        <f t="shared" si="123"/>
        <v>58514</v>
      </c>
      <c r="H756" s="2">
        <f t="shared" si="124"/>
        <v>0.5720340431349763</v>
      </c>
      <c r="I756" s="2">
        <f t="shared" si="125"/>
        <v>0.42796595686502376</v>
      </c>
      <c r="J756" s="4">
        <v>11328</v>
      </c>
      <c r="K756" s="4">
        <v>24854.799999999999</v>
      </c>
      <c r="L756" s="1">
        <f t="shared" si="120"/>
        <v>36182.800000000003</v>
      </c>
      <c r="M756" s="2">
        <f t="shared" si="121"/>
        <v>0.31307693158075106</v>
      </c>
      <c r="N756" s="2">
        <f t="shared" si="122"/>
        <v>0.68692306841924888</v>
      </c>
    </row>
    <row r="757" spans="1:14" x14ac:dyDescent="0.35">
      <c r="A757" t="s">
        <v>16</v>
      </c>
      <c r="B757" t="s">
        <v>29</v>
      </c>
      <c r="C757">
        <v>2016</v>
      </c>
      <c r="D757" t="s">
        <v>32</v>
      </c>
      <c r="E757" s="4">
        <f>33339+4+12</f>
        <v>33355</v>
      </c>
      <c r="F757" s="4">
        <v>25097</v>
      </c>
      <c r="G757" s="1">
        <f t="shared" si="123"/>
        <v>58452</v>
      </c>
      <c r="H757" s="2">
        <f t="shared" si="124"/>
        <v>0.57063915691507561</v>
      </c>
      <c r="I757" s="2">
        <f t="shared" si="125"/>
        <v>0.42936084308492439</v>
      </c>
      <c r="J757" s="4">
        <v>11293</v>
      </c>
      <c r="K757" s="4">
        <v>25021.8</v>
      </c>
      <c r="L757" s="1">
        <f t="shared" si="120"/>
        <v>36314.800000000003</v>
      </c>
      <c r="M757" s="2">
        <f t="shared" si="121"/>
        <v>0.31097513961249956</v>
      </c>
      <c r="N757" s="2">
        <f t="shared" si="122"/>
        <v>0.68902486038750033</v>
      </c>
    </row>
    <row r="758" spans="1:14" x14ac:dyDescent="0.35">
      <c r="A758" t="s">
        <v>16</v>
      </c>
      <c r="B758" t="s">
        <v>17</v>
      </c>
      <c r="C758">
        <v>2017</v>
      </c>
      <c r="D758" t="s">
        <v>32</v>
      </c>
      <c r="E758" s="4">
        <f>33341+4+12</f>
        <v>33357</v>
      </c>
      <c r="F758" s="4">
        <v>25011</v>
      </c>
      <c r="G758" s="1">
        <f t="shared" si="123"/>
        <v>58368</v>
      </c>
      <c r="H758" s="2">
        <f t="shared" si="124"/>
        <v>0.57149465460526316</v>
      </c>
      <c r="I758" s="2">
        <f t="shared" si="125"/>
        <v>0.42850534539473684</v>
      </c>
      <c r="J758" s="4">
        <f>0.3+1.9+11216.5</f>
        <v>11218.7</v>
      </c>
      <c r="K758" s="4">
        <v>25021</v>
      </c>
      <c r="L758" s="1">
        <f t="shared" si="120"/>
        <v>36239.699999999997</v>
      </c>
      <c r="M758" s="2">
        <f t="shared" si="121"/>
        <v>0.30956933970203954</v>
      </c>
      <c r="N758" s="2">
        <f t="shared" si="122"/>
        <v>0.69043066029796063</v>
      </c>
    </row>
    <row r="759" spans="1:14" x14ac:dyDescent="0.35">
      <c r="A759" t="s">
        <v>16</v>
      </c>
      <c r="B759" t="s">
        <v>19</v>
      </c>
      <c r="C759">
        <v>2017</v>
      </c>
      <c r="D759" t="s">
        <v>32</v>
      </c>
      <c r="E759" s="4">
        <f>33208+4+12</f>
        <v>33224</v>
      </c>
      <c r="F759" s="4">
        <v>25035</v>
      </c>
      <c r="G759" s="1">
        <f t="shared" si="123"/>
        <v>58259</v>
      </c>
      <c r="H759" s="2">
        <f t="shared" si="124"/>
        <v>0.57028098662867543</v>
      </c>
      <c r="I759" s="2">
        <f t="shared" si="125"/>
        <v>0.42971901337132462</v>
      </c>
      <c r="J759" s="4">
        <f>0.3+1.9+11582.3</f>
        <v>11584.5</v>
      </c>
      <c r="K759" s="4">
        <v>24446</v>
      </c>
      <c r="L759" s="1">
        <f t="shared" si="120"/>
        <v>36030.5</v>
      </c>
      <c r="M759" s="2">
        <f t="shared" si="121"/>
        <v>0.32151926839760758</v>
      </c>
      <c r="N759" s="2">
        <f t="shared" si="122"/>
        <v>0.67848073160239242</v>
      </c>
    </row>
    <row r="760" spans="1:14" x14ac:dyDescent="0.35">
      <c r="A760" t="s">
        <v>16</v>
      </c>
      <c r="B760" t="s">
        <v>20</v>
      </c>
      <c r="C760">
        <v>2017</v>
      </c>
      <c r="D760" t="s">
        <v>32</v>
      </c>
      <c r="E760" s="4">
        <f>33097+4+12</f>
        <v>33113</v>
      </c>
      <c r="F760" s="4">
        <v>25097</v>
      </c>
      <c r="G760" s="1">
        <f t="shared" si="123"/>
        <v>58210</v>
      </c>
      <c r="H760" s="2">
        <f t="shared" si="124"/>
        <v>0.56885414877168872</v>
      </c>
      <c r="I760" s="2">
        <f t="shared" si="125"/>
        <v>0.43114585122831128</v>
      </c>
      <c r="J760" s="4">
        <f>0.3+1.9+11545.9</f>
        <v>11548.1</v>
      </c>
      <c r="K760" s="4">
        <v>24355</v>
      </c>
      <c r="L760" s="1">
        <f t="shared" si="120"/>
        <v>35903.1</v>
      </c>
      <c r="M760" s="2">
        <f t="shared" si="121"/>
        <v>0.32164632023418593</v>
      </c>
      <c r="N760" s="2">
        <f t="shared" si="122"/>
        <v>0.67835367976581407</v>
      </c>
    </row>
    <row r="761" spans="1:14" x14ac:dyDescent="0.35">
      <c r="A761" t="s">
        <v>16</v>
      </c>
      <c r="B761" t="s">
        <v>21</v>
      </c>
      <c r="C761">
        <v>2017</v>
      </c>
      <c r="D761" t="s">
        <v>32</v>
      </c>
      <c r="E761" s="4">
        <f>32936+4+12</f>
        <v>32952</v>
      </c>
      <c r="F761" s="4">
        <f>58144-32952</f>
        <v>25192</v>
      </c>
      <c r="G761" s="1">
        <f t="shared" si="123"/>
        <v>58144</v>
      </c>
      <c r="H761" s="2">
        <f t="shared" si="124"/>
        <v>0.56673087506879471</v>
      </c>
      <c r="I761" s="2">
        <f t="shared" si="125"/>
        <v>0.43326912493120529</v>
      </c>
      <c r="J761" s="4">
        <f>0.3+1.9+11516.9</f>
        <v>11519.1</v>
      </c>
      <c r="K761" s="4">
        <f>35832.3-11519</f>
        <v>24313.300000000003</v>
      </c>
      <c r="L761" s="1">
        <f t="shared" si="120"/>
        <v>35832.400000000001</v>
      </c>
      <c r="M761" s="2">
        <f t="shared" si="121"/>
        <v>0.32147162902847704</v>
      </c>
      <c r="N761" s="2">
        <f t="shared" si="122"/>
        <v>0.67852837097152308</v>
      </c>
    </row>
    <row r="762" spans="1:14" x14ac:dyDescent="0.35">
      <c r="A762" t="s">
        <v>16</v>
      </c>
      <c r="B762" t="s">
        <v>22</v>
      </c>
      <c r="C762">
        <v>2017</v>
      </c>
      <c r="D762" t="s">
        <v>32</v>
      </c>
      <c r="E762" s="4">
        <f>32847+4+12</f>
        <v>32863</v>
      </c>
      <c r="F762" s="4">
        <f>58057-32863</f>
        <v>25194</v>
      </c>
      <c r="G762" s="1">
        <f t="shared" si="123"/>
        <v>58057</v>
      </c>
      <c r="H762" s="2">
        <f t="shared" si="124"/>
        <v>0.56604716054911552</v>
      </c>
      <c r="I762" s="2">
        <f t="shared" si="125"/>
        <v>0.43395283945088448</v>
      </c>
      <c r="J762" s="4">
        <f>0.3+1.9+11470.4</f>
        <v>11472.6</v>
      </c>
      <c r="K762" s="4">
        <f>35687.5-11473</f>
        <v>24214.5</v>
      </c>
      <c r="L762" s="1">
        <f t="shared" si="120"/>
        <v>35687.1</v>
      </c>
      <c r="M762" s="2">
        <f t="shared" si="121"/>
        <v>0.32147750867960695</v>
      </c>
      <c r="N762" s="2">
        <f t="shared" si="122"/>
        <v>0.67852249132039311</v>
      </c>
    </row>
    <row r="763" spans="1:14" x14ac:dyDescent="0.35">
      <c r="A763" t="s">
        <v>16</v>
      </c>
      <c r="B763" t="s">
        <v>23</v>
      </c>
      <c r="C763">
        <v>2017</v>
      </c>
      <c r="D763" t="s">
        <v>32</v>
      </c>
      <c r="E763" s="4">
        <f>32667+4+12</f>
        <v>32683</v>
      </c>
      <c r="F763" s="4">
        <f>57942-32683</f>
        <v>25259</v>
      </c>
      <c r="G763" s="1">
        <f t="shared" si="123"/>
        <v>57942</v>
      </c>
      <c r="H763" s="2">
        <f t="shared" si="124"/>
        <v>0.56406406406406406</v>
      </c>
      <c r="I763" s="2">
        <f t="shared" si="125"/>
        <v>0.43593593593593594</v>
      </c>
      <c r="J763" s="4">
        <f>0.3+1.9+11446.8</f>
        <v>11449</v>
      </c>
      <c r="K763" s="4">
        <f>35584.8-11449</f>
        <v>24135.800000000003</v>
      </c>
      <c r="L763" s="1">
        <f t="shared" si="120"/>
        <v>35584.800000000003</v>
      </c>
      <c r="M763" s="2">
        <f t="shared" si="121"/>
        <v>0.32173849508779029</v>
      </c>
      <c r="N763" s="2">
        <f t="shared" si="122"/>
        <v>0.67826150491220971</v>
      </c>
    </row>
    <row r="764" spans="1:14" x14ac:dyDescent="0.35">
      <c r="A764" t="s">
        <v>16</v>
      </c>
      <c r="B764" t="s">
        <v>24</v>
      </c>
      <c r="C764">
        <v>2017</v>
      </c>
      <c r="D764" t="s">
        <v>32</v>
      </c>
      <c r="E764" s="4">
        <f>32558+4+12</f>
        <v>32574</v>
      </c>
      <c r="F764" s="4">
        <f>57821-E764</f>
        <v>25247</v>
      </c>
      <c r="G764" s="1">
        <f t="shared" si="123"/>
        <v>57821</v>
      </c>
      <c r="H764" s="2">
        <f t="shared" si="124"/>
        <v>0.56335933311426645</v>
      </c>
      <c r="I764" s="2">
        <f t="shared" si="125"/>
        <v>0.43664066688573355</v>
      </c>
      <c r="J764" s="4">
        <f>0.3+1.9+11829.5</f>
        <v>11831.7</v>
      </c>
      <c r="K764" s="6">
        <v>23694</v>
      </c>
      <c r="L764" s="1">
        <f t="shared" si="120"/>
        <v>35525.699999999997</v>
      </c>
      <c r="M764" s="2">
        <f t="shared" si="121"/>
        <v>0.3330462172455434</v>
      </c>
      <c r="N764" s="2">
        <f t="shared" si="122"/>
        <v>0.66695378275445671</v>
      </c>
    </row>
    <row r="765" spans="1:14" x14ac:dyDescent="0.35">
      <c r="A765" t="s">
        <v>16</v>
      </c>
      <c r="B765" t="s">
        <v>25</v>
      </c>
      <c r="C765">
        <v>2017</v>
      </c>
      <c r="D765" t="s">
        <v>32</v>
      </c>
      <c r="E765" s="4">
        <f>32425+4+12</f>
        <v>32441</v>
      </c>
      <c r="F765" s="4">
        <f>57722-E765</f>
        <v>25281</v>
      </c>
      <c r="G765" s="1">
        <f t="shared" si="123"/>
        <v>57722</v>
      </c>
      <c r="H765" s="2">
        <f t="shared" si="124"/>
        <v>0.56202141297945329</v>
      </c>
      <c r="I765" s="2">
        <f t="shared" si="125"/>
        <v>0.43797858702054676</v>
      </c>
      <c r="J765" s="4">
        <f>0.3+1.9+11813.3</f>
        <v>11815.5</v>
      </c>
      <c r="K765" s="4">
        <v>23686</v>
      </c>
      <c r="L765" s="1">
        <f t="shared" si="120"/>
        <v>35501.5</v>
      </c>
      <c r="M765" s="2">
        <f t="shared" si="121"/>
        <v>0.33281692322859596</v>
      </c>
      <c r="N765" s="2">
        <f t="shared" si="122"/>
        <v>0.66718307677140398</v>
      </c>
    </row>
    <row r="766" spans="1:14" x14ac:dyDescent="0.35">
      <c r="A766" t="s">
        <v>16</v>
      </c>
      <c r="B766" t="s">
        <v>26</v>
      </c>
      <c r="C766">
        <v>2017</v>
      </c>
      <c r="D766" t="s">
        <v>32</v>
      </c>
      <c r="E766" s="4">
        <f>32266+4+12</f>
        <v>32282</v>
      </c>
      <c r="F766" s="4">
        <f>57571-E766</f>
        <v>25289</v>
      </c>
      <c r="G766" s="1">
        <f t="shared" si="123"/>
        <v>57571</v>
      </c>
      <c r="H766" s="2">
        <f t="shared" si="124"/>
        <v>0.56073370273227841</v>
      </c>
      <c r="I766" s="2">
        <f t="shared" si="125"/>
        <v>0.43926629726772159</v>
      </c>
      <c r="J766" s="4">
        <f>0.3+1.9+11858.8</f>
        <v>11861</v>
      </c>
      <c r="K766" s="4">
        <v>23739</v>
      </c>
      <c r="L766" s="1">
        <f t="shared" si="120"/>
        <v>35600</v>
      </c>
      <c r="M766" s="2">
        <f t="shared" si="121"/>
        <v>0.3331741573033708</v>
      </c>
      <c r="N766" s="2">
        <f t="shared" si="122"/>
        <v>0.66682584269662926</v>
      </c>
    </row>
    <row r="767" spans="1:14" x14ac:dyDescent="0.35">
      <c r="A767" t="s">
        <v>16</v>
      </c>
      <c r="B767" t="s">
        <v>27</v>
      </c>
      <c r="C767">
        <v>2017</v>
      </c>
      <c r="D767" t="s">
        <v>32</v>
      </c>
      <c r="E767" s="4">
        <f>32209+4+12</f>
        <v>32225</v>
      </c>
      <c r="F767" s="4">
        <f>57504-E767</f>
        <v>25279</v>
      </c>
      <c r="G767" s="1">
        <f t="shared" si="123"/>
        <v>57504</v>
      </c>
      <c r="H767" s="2">
        <f t="shared" si="124"/>
        <v>0.56039579855314414</v>
      </c>
      <c r="I767" s="2">
        <f t="shared" si="125"/>
        <v>0.43960420144685586</v>
      </c>
      <c r="J767" s="4">
        <f>11840.8+0.3+1.9</f>
        <v>11842.999999999998</v>
      </c>
      <c r="K767" s="4">
        <f>35629.7-J767</f>
        <v>23786.699999999997</v>
      </c>
      <c r="L767" s="1">
        <f t="shared" si="120"/>
        <v>35629.699999999997</v>
      </c>
      <c r="M767" s="2">
        <f t="shared" si="121"/>
        <v>0.33239123540192589</v>
      </c>
      <c r="N767" s="2">
        <f t="shared" si="122"/>
        <v>0.66760876459807406</v>
      </c>
    </row>
    <row r="768" spans="1:14" x14ac:dyDescent="0.35">
      <c r="A768" t="s">
        <v>16</v>
      </c>
      <c r="B768" t="s">
        <v>28</v>
      </c>
      <c r="C768">
        <v>2017</v>
      </c>
      <c r="D768" t="s">
        <v>32</v>
      </c>
      <c r="E768" s="4">
        <f>32124+4+12</f>
        <v>32140</v>
      </c>
      <c r="F768" s="4">
        <f>57416-E768</f>
        <v>25276</v>
      </c>
      <c r="G768" s="1">
        <f t="shared" si="123"/>
        <v>57416</v>
      </c>
      <c r="H768" s="2">
        <f t="shared" si="124"/>
        <v>0.55977427894663512</v>
      </c>
      <c r="I768" s="2">
        <f t="shared" si="125"/>
        <v>0.44022572105336494</v>
      </c>
      <c r="J768" s="4">
        <f>1.9+11826.1+0.3</f>
        <v>11828.3</v>
      </c>
      <c r="K768" s="4">
        <f>35545.4-J768</f>
        <v>23717.100000000002</v>
      </c>
      <c r="L768" s="1">
        <f t="shared" si="120"/>
        <v>35545.4</v>
      </c>
      <c r="M768" s="2">
        <f t="shared" si="121"/>
        <v>0.33276598378411831</v>
      </c>
      <c r="N768" s="2">
        <f t="shared" si="122"/>
        <v>0.66723401621588174</v>
      </c>
    </row>
    <row r="769" spans="1:14" x14ac:dyDescent="0.35">
      <c r="A769" t="s">
        <v>16</v>
      </c>
      <c r="B769" t="s">
        <v>29</v>
      </c>
      <c r="C769">
        <v>2017</v>
      </c>
      <c r="D769" t="s">
        <v>32</v>
      </c>
      <c r="E769" s="4">
        <f>32444+4+12</f>
        <v>32460</v>
      </c>
      <c r="F769" s="4">
        <f>58329-E769</f>
        <v>25869</v>
      </c>
      <c r="G769" s="1">
        <f t="shared" si="123"/>
        <v>58329</v>
      </c>
      <c r="H769" s="2">
        <f t="shared" si="124"/>
        <v>0.55649848274443248</v>
      </c>
      <c r="I769" s="2">
        <f t="shared" si="125"/>
        <v>0.44350151725556758</v>
      </c>
      <c r="J769" s="4">
        <f>1.9+11833.1+0.3</f>
        <v>11835.3</v>
      </c>
      <c r="K769" s="4">
        <f>35758.2-J769</f>
        <v>23922.899999999998</v>
      </c>
      <c r="L769" s="1">
        <f t="shared" si="120"/>
        <v>35758.199999999997</v>
      </c>
      <c r="M769" s="2">
        <f t="shared" si="121"/>
        <v>0.33098142523952551</v>
      </c>
      <c r="N769" s="2">
        <f t="shared" si="122"/>
        <v>0.66901857476047455</v>
      </c>
    </row>
    <row r="770" spans="1:14" x14ac:dyDescent="0.35">
      <c r="A770" t="s">
        <v>16</v>
      </c>
      <c r="B770" t="s">
        <v>17</v>
      </c>
      <c r="C770">
        <v>2002</v>
      </c>
      <c r="D770" t="s">
        <v>33</v>
      </c>
      <c r="E770" s="1">
        <f>SUM(E2+E194+E386+E578)</f>
        <v>2312746</v>
      </c>
      <c r="F770" s="1">
        <f>SUM(F2+F194+F386+F578)</f>
        <v>39332</v>
      </c>
      <c r="G770" s="1">
        <f t="shared" ref="G770:G833" si="126">SUM(E770:F770)</f>
        <v>2352078</v>
      </c>
      <c r="H770" s="2">
        <f t="shared" ref="H770:H833" si="127">SUM(E770)/G770</f>
        <v>0.98327776544825474</v>
      </c>
      <c r="I770" s="2">
        <f t="shared" ref="I770:I833" si="128">SUM(F770/G770)</f>
        <v>1.6722234551745308E-2</v>
      </c>
      <c r="J770" s="1">
        <f>SUM(J2+J194+J386+J578)</f>
        <v>4552273.9940000009</v>
      </c>
      <c r="K770" s="1">
        <f>SUM(K2+K194+K386+K578)</f>
        <v>1117.9459999999999</v>
      </c>
      <c r="L770" s="1">
        <f t="shared" si="120"/>
        <v>4553391.9400000013</v>
      </c>
      <c r="M770" s="2">
        <f t="shared" ref="M770" si="129">SUM(J770)/L770</f>
        <v>0.99975448061253425</v>
      </c>
      <c r="N770" s="2">
        <f t="shared" ref="N770" si="130">SUM(K770/L770)</f>
        <v>2.4551938746568771E-4</v>
      </c>
    </row>
    <row r="771" spans="1:14" x14ac:dyDescent="0.35">
      <c r="A771" t="s">
        <v>16</v>
      </c>
      <c r="B771" t="s">
        <v>19</v>
      </c>
      <c r="C771">
        <v>2002</v>
      </c>
      <c r="D771" t="s">
        <v>33</v>
      </c>
      <c r="E771" s="1">
        <f>SUM(E3+E195+E387+E579)</f>
        <v>2312746</v>
      </c>
      <c r="F771" s="1">
        <f t="shared" ref="F771:F834" si="131">SUM(F3+F195+F387+F579)</f>
        <v>55518</v>
      </c>
      <c r="G771" s="1">
        <f t="shared" si="126"/>
        <v>2368264</v>
      </c>
      <c r="H771" s="2">
        <f t="shared" si="127"/>
        <v>0.97655751216925135</v>
      </c>
      <c r="I771" s="2">
        <f t="shared" si="128"/>
        <v>2.34424878307486E-2</v>
      </c>
      <c r="J771" s="1">
        <f t="shared" ref="J771:K771" si="132">SUM(J3+J195+J387+J579)</f>
        <v>4552273.9940000009</v>
      </c>
      <c r="K771" s="1">
        <f t="shared" si="132"/>
        <v>248606.09</v>
      </c>
      <c r="L771" s="1">
        <f t="shared" ref="L771:L834" si="133">SUM(J771:K771)</f>
        <v>4800880.0840000007</v>
      </c>
      <c r="M771" s="2">
        <f t="shared" ref="M771:M834" si="134">SUM(J771)/L771</f>
        <v>0.9482165591203715</v>
      </c>
      <c r="N771" s="2">
        <f t="shared" ref="N771:N834" si="135">SUM(K771/L771)</f>
        <v>5.1783440879628509E-2</v>
      </c>
    </row>
    <row r="772" spans="1:14" x14ac:dyDescent="0.35">
      <c r="A772" t="s">
        <v>16</v>
      </c>
      <c r="B772" t="s">
        <v>20</v>
      </c>
      <c r="C772">
        <v>2002</v>
      </c>
      <c r="D772" t="s">
        <v>33</v>
      </c>
      <c r="E772" s="1">
        <f t="shared" ref="E772:F835" si="136">SUM(E4+E196+E388+E580)</f>
        <v>2727076</v>
      </c>
      <c r="F772" s="1">
        <f t="shared" si="131"/>
        <v>67104</v>
      </c>
      <c r="G772" s="1">
        <f t="shared" si="126"/>
        <v>2794180</v>
      </c>
      <c r="H772" s="2">
        <f t="shared" si="127"/>
        <v>0.97598436750674622</v>
      </c>
      <c r="I772" s="2">
        <f t="shared" si="128"/>
        <v>2.4015632493253836E-2</v>
      </c>
      <c r="J772" s="1">
        <f t="shared" ref="J772:K772" si="137">SUM(J4+J196+J388+J580)</f>
        <v>5911288.3679999998</v>
      </c>
      <c r="K772" s="1">
        <f t="shared" si="137"/>
        <v>737250.38799999992</v>
      </c>
      <c r="L772" s="1">
        <f t="shared" si="133"/>
        <v>6648538.7560000001</v>
      </c>
      <c r="M772" s="2">
        <f t="shared" si="134"/>
        <v>0.88911091368239892</v>
      </c>
      <c r="N772" s="2">
        <f t="shared" si="135"/>
        <v>0.11088908631760105</v>
      </c>
    </row>
    <row r="773" spans="1:14" x14ac:dyDescent="0.35">
      <c r="A773" t="s">
        <v>16</v>
      </c>
      <c r="B773" t="s">
        <v>21</v>
      </c>
      <c r="C773">
        <v>2002</v>
      </c>
      <c r="D773" t="s">
        <v>33</v>
      </c>
      <c r="E773" s="1">
        <f t="shared" si="136"/>
        <v>2732970</v>
      </c>
      <c r="F773" s="1">
        <f t="shared" si="131"/>
        <v>71893</v>
      </c>
      <c r="G773" s="1">
        <f t="shared" si="126"/>
        <v>2804863</v>
      </c>
      <c r="H773" s="2">
        <f t="shared" si="127"/>
        <v>0.97436844508983145</v>
      </c>
      <c r="I773" s="2">
        <f t="shared" si="128"/>
        <v>2.5631554910168518E-2</v>
      </c>
      <c r="J773" s="1">
        <f t="shared" ref="J773:K773" si="138">SUM(J5+J197+J389+J581)</f>
        <v>5459013.8050000006</v>
      </c>
      <c r="K773" s="1">
        <f t="shared" si="138"/>
        <v>932896.36499999999</v>
      </c>
      <c r="L773" s="1">
        <f t="shared" si="133"/>
        <v>6391910.1700000009</v>
      </c>
      <c r="M773" s="2">
        <f t="shared" si="134"/>
        <v>0.85405045750197084</v>
      </c>
      <c r="N773" s="2">
        <f t="shared" si="135"/>
        <v>0.14594954249802916</v>
      </c>
    </row>
    <row r="774" spans="1:14" x14ac:dyDescent="0.35">
      <c r="A774" t="s">
        <v>16</v>
      </c>
      <c r="B774" t="s">
        <v>22</v>
      </c>
      <c r="C774">
        <v>2002</v>
      </c>
      <c r="D774" t="s">
        <v>33</v>
      </c>
      <c r="E774" s="1">
        <f t="shared" si="136"/>
        <v>2708151</v>
      </c>
      <c r="F774" s="1">
        <f t="shared" si="131"/>
        <v>85852</v>
      </c>
      <c r="G774" s="1">
        <f t="shared" si="126"/>
        <v>2794003</v>
      </c>
      <c r="H774" s="2">
        <f t="shared" si="127"/>
        <v>0.9692727602654686</v>
      </c>
      <c r="I774" s="2">
        <f t="shared" si="128"/>
        <v>3.0727239734531422E-2</v>
      </c>
      <c r="J774" s="1">
        <f t="shared" ref="J774:K774" si="139">SUM(J6+J198+J390+J582)</f>
        <v>5929034.0750000002</v>
      </c>
      <c r="K774" s="1">
        <f t="shared" si="139"/>
        <v>800284.69599999988</v>
      </c>
      <c r="L774" s="1">
        <f t="shared" si="133"/>
        <v>6729318.7709999997</v>
      </c>
      <c r="M774" s="2">
        <f t="shared" si="134"/>
        <v>0.88107493147020666</v>
      </c>
      <c r="N774" s="2">
        <f t="shared" si="135"/>
        <v>0.11892506852979337</v>
      </c>
    </row>
    <row r="775" spans="1:14" x14ac:dyDescent="0.35">
      <c r="A775" t="s">
        <v>16</v>
      </c>
      <c r="B775" t="s">
        <v>23</v>
      </c>
      <c r="C775">
        <v>2002</v>
      </c>
      <c r="D775" t="s">
        <v>33</v>
      </c>
      <c r="E775" s="1">
        <f t="shared" si="136"/>
        <v>2765076</v>
      </c>
      <c r="F775" s="1">
        <f t="shared" si="131"/>
        <v>107520</v>
      </c>
      <c r="G775" s="1">
        <f t="shared" si="126"/>
        <v>2872596</v>
      </c>
      <c r="H775" s="2">
        <f t="shared" si="127"/>
        <v>0.96257044151004878</v>
      </c>
      <c r="I775" s="2">
        <f t="shared" si="128"/>
        <v>3.7429558489951248E-2</v>
      </c>
      <c r="J775" s="1">
        <f t="shared" ref="J775:K775" si="140">SUM(J7+J199+J391+J583)</f>
        <v>7266784.7889999999</v>
      </c>
      <c r="K775" s="1">
        <f t="shared" si="140"/>
        <v>2102304.2570000002</v>
      </c>
      <c r="L775" s="1">
        <f t="shared" si="133"/>
        <v>9369089.0460000001</v>
      </c>
      <c r="M775" s="2">
        <f t="shared" si="134"/>
        <v>0.7756127360218068</v>
      </c>
      <c r="N775" s="2">
        <f t="shared" si="135"/>
        <v>0.2243872639781932</v>
      </c>
    </row>
    <row r="776" spans="1:14" x14ac:dyDescent="0.35">
      <c r="A776" t="s">
        <v>16</v>
      </c>
      <c r="B776" t="s">
        <v>24</v>
      </c>
      <c r="C776">
        <v>2002</v>
      </c>
      <c r="D776" t="s">
        <v>33</v>
      </c>
      <c r="E776" s="1">
        <f t="shared" si="136"/>
        <v>2743376</v>
      </c>
      <c r="F776" s="1">
        <f t="shared" si="131"/>
        <v>91531</v>
      </c>
      <c r="G776" s="1">
        <f t="shared" si="126"/>
        <v>2834907</v>
      </c>
      <c r="H776" s="2">
        <f t="shared" si="127"/>
        <v>0.96771287382619608</v>
      </c>
      <c r="I776" s="2">
        <f t="shared" si="128"/>
        <v>3.2287126173803936E-2</v>
      </c>
      <c r="J776" s="1">
        <f t="shared" ref="J776:K776" si="141">SUM(J8+J200+J392+J584)</f>
        <v>9089006.4230000004</v>
      </c>
      <c r="K776" s="1">
        <f t="shared" si="141"/>
        <v>2566093.4969999995</v>
      </c>
      <c r="L776" s="1">
        <f t="shared" si="133"/>
        <v>11655099.92</v>
      </c>
      <c r="M776" s="2">
        <f t="shared" si="134"/>
        <v>0.77983084532835134</v>
      </c>
      <c r="N776" s="2">
        <f t="shared" si="135"/>
        <v>0.22016915467164863</v>
      </c>
    </row>
    <row r="777" spans="1:14" x14ac:dyDescent="0.35">
      <c r="A777" t="s">
        <v>16</v>
      </c>
      <c r="B777" t="s">
        <v>25</v>
      </c>
      <c r="C777">
        <v>2002</v>
      </c>
      <c r="D777" t="s">
        <v>33</v>
      </c>
      <c r="E777" s="1">
        <f t="shared" si="136"/>
        <v>2715768</v>
      </c>
      <c r="F777" s="1">
        <f t="shared" si="131"/>
        <v>173765</v>
      </c>
      <c r="G777" s="1">
        <f t="shared" si="126"/>
        <v>2889533</v>
      </c>
      <c r="H777" s="2">
        <f t="shared" si="127"/>
        <v>0.93986398494151135</v>
      </c>
      <c r="I777" s="2">
        <f t="shared" si="128"/>
        <v>6.0136015058488687E-2</v>
      </c>
      <c r="J777" s="1">
        <f t="shared" ref="J777:K777" si="142">SUM(J9+J201+J393+J585)</f>
        <v>7519115.6330000004</v>
      </c>
      <c r="K777" s="1">
        <f t="shared" si="142"/>
        <v>1839535.2830000001</v>
      </c>
      <c r="L777" s="1">
        <f t="shared" si="133"/>
        <v>9358650.9160000011</v>
      </c>
      <c r="M777" s="2">
        <f t="shared" si="134"/>
        <v>0.80344012192451342</v>
      </c>
      <c r="N777" s="2">
        <f t="shared" si="135"/>
        <v>0.19655987807548647</v>
      </c>
    </row>
    <row r="778" spans="1:14" x14ac:dyDescent="0.35">
      <c r="A778" t="s">
        <v>16</v>
      </c>
      <c r="B778" t="s">
        <v>26</v>
      </c>
      <c r="C778">
        <v>2002</v>
      </c>
      <c r="D778" t="s">
        <v>33</v>
      </c>
      <c r="E778" s="1">
        <f t="shared" si="136"/>
        <v>2708030</v>
      </c>
      <c r="F778" s="1">
        <f t="shared" si="131"/>
        <v>182530</v>
      </c>
      <c r="G778" s="1">
        <f t="shared" si="126"/>
        <v>2890560</v>
      </c>
      <c r="H778" s="2">
        <f t="shared" si="127"/>
        <v>0.93685306653382039</v>
      </c>
      <c r="I778" s="2">
        <f t="shared" si="128"/>
        <v>6.3146933466179569E-2</v>
      </c>
      <c r="J778" s="1">
        <f t="shared" ref="J778:K778" si="143">SUM(J10+J202+J394+J586)</f>
        <v>10411962.310999999</v>
      </c>
      <c r="K778" s="1">
        <f t="shared" si="143"/>
        <v>2923833.7399999993</v>
      </c>
      <c r="L778" s="1">
        <f t="shared" si="133"/>
        <v>13335796.050999999</v>
      </c>
      <c r="M778" s="2">
        <f t="shared" si="134"/>
        <v>0.78075296526593529</v>
      </c>
      <c r="N778" s="2">
        <f t="shared" si="135"/>
        <v>0.21924703473406468</v>
      </c>
    </row>
    <row r="779" spans="1:14" x14ac:dyDescent="0.35">
      <c r="A779" t="s">
        <v>16</v>
      </c>
      <c r="B779" t="s">
        <v>27</v>
      </c>
      <c r="C779">
        <v>2002</v>
      </c>
      <c r="D779" t="s">
        <v>33</v>
      </c>
      <c r="E779" s="1">
        <f t="shared" si="136"/>
        <v>2712302</v>
      </c>
      <c r="F779" s="1">
        <f t="shared" si="131"/>
        <v>190847</v>
      </c>
      <c r="G779" s="1">
        <f t="shared" si="126"/>
        <v>2903149</v>
      </c>
      <c r="H779" s="2">
        <f t="shared" si="127"/>
        <v>0.93426207197770417</v>
      </c>
      <c r="I779" s="2">
        <f t="shared" si="128"/>
        <v>6.5737928022295791E-2</v>
      </c>
      <c r="J779" s="1">
        <f t="shared" ref="J779:K779" si="144">SUM(J11+J203+J395+J587)</f>
        <v>6792843.3110000007</v>
      </c>
      <c r="K779" s="1">
        <f t="shared" si="144"/>
        <v>2505739.1700000009</v>
      </c>
      <c r="L779" s="1">
        <f t="shared" si="133"/>
        <v>9298582.4810000025</v>
      </c>
      <c r="M779" s="2">
        <f t="shared" si="134"/>
        <v>0.73052460682904807</v>
      </c>
      <c r="N779" s="2">
        <f t="shared" si="135"/>
        <v>0.26947539317095187</v>
      </c>
    </row>
    <row r="780" spans="1:14" x14ac:dyDescent="0.35">
      <c r="A780" t="s">
        <v>16</v>
      </c>
      <c r="B780" t="s">
        <v>28</v>
      </c>
      <c r="C780">
        <v>2002</v>
      </c>
      <c r="D780" t="s">
        <v>33</v>
      </c>
      <c r="E780" s="1">
        <f t="shared" si="136"/>
        <v>2703656</v>
      </c>
      <c r="F780" s="1">
        <f t="shared" si="131"/>
        <v>201000</v>
      </c>
      <c r="G780" s="1">
        <f t="shared" si="126"/>
        <v>2904656</v>
      </c>
      <c r="H780" s="2">
        <f t="shared" si="127"/>
        <v>0.93080075575214416</v>
      </c>
      <c r="I780" s="2">
        <f t="shared" si="128"/>
        <v>6.9199244247855854E-2</v>
      </c>
      <c r="J780" s="1">
        <f t="shared" ref="J780:K780" si="145">SUM(J12+J204+J396+J588)</f>
        <v>5375677.7379999999</v>
      </c>
      <c r="K780" s="1">
        <f t="shared" si="145"/>
        <v>1533371.2179999999</v>
      </c>
      <c r="L780" s="1">
        <f t="shared" si="133"/>
        <v>6909048.9560000002</v>
      </c>
      <c r="M780" s="2">
        <f t="shared" si="134"/>
        <v>0.77806334449716408</v>
      </c>
      <c r="N780" s="2">
        <f t="shared" si="135"/>
        <v>0.22193665550283587</v>
      </c>
    </row>
    <row r="781" spans="1:14" x14ac:dyDescent="0.35">
      <c r="A781" t="s">
        <v>16</v>
      </c>
      <c r="B781" t="s">
        <v>29</v>
      </c>
      <c r="C781">
        <v>2002</v>
      </c>
      <c r="D781" t="s">
        <v>33</v>
      </c>
      <c r="E781" s="1">
        <f t="shared" si="136"/>
        <v>2695728</v>
      </c>
      <c r="F781" s="1">
        <f t="shared" si="131"/>
        <v>213523</v>
      </c>
      <c r="G781" s="1">
        <f t="shared" si="126"/>
        <v>2909251</v>
      </c>
      <c r="H781" s="2">
        <f t="shared" si="127"/>
        <v>0.9266055077406522</v>
      </c>
      <c r="I781" s="2">
        <f t="shared" si="128"/>
        <v>7.3394492259347854E-2</v>
      </c>
      <c r="J781" s="1">
        <f t="shared" ref="J781:K781" si="146">SUM(J13+J205+J397+J589)</f>
        <v>5947687.5920000002</v>
      </c>
      <c r="K781" s="1">
        <f t="shared" si="146"/>
        <v>1987876.608</v>
      </c>
      <c r="L781" s="1">
        <f t="shared" si="133"/>
        <v>7935564.2000000002</v>
      </c>
      <c r="M781" s="2">
        <f t="shared" si="134"/>
        <v>0.74949775997023627</v>
      </c>
      <c r="N781" s="2">
        <f t="shared" si="135"/>
        <v>0.25050224002976373</v>
      </c>
    </row>
    <row r="782" spans="1:14" x14ac:dyDescent="0.35">
      <c r="A782" t="s">
        <v>16</v>
      </c>
      <c r="B782" t="s">
        <v>17</v>
      </c>
      <c r="C782">
        <v>2003</v>
      </c>
      <c r="D782" t="s">
        <v>33</v>
      </c>
      <c r="E782" s="1">
        <f t="shared" si="136"/>
        <v>2695128</v>
      </c>
      <c r="F782" s="1">
        <f t="shared" si="131"/>
        <v>216993</v>
      </c>
      <c r="G782" s="1">
        <f t="shared" si="126"/>
        <v>2912121</v>
      </c>
      <c r="H782" s="2">
        <f t="shared" si="127"/>
        <v>0.9254862692862007</v>
      </c>
      <c r="I782" s="2">
        <f t="shared" si="128"/>
        <v>7.4513730713799325E-2</v>
      </c>
      <c r="J782" s="1">
        <f t="shared" ref="J782:K782" si="147">SUM(J14+J206+J398+J590)</f>
        <v>6483679</v>
      </c>
      <c r="K782" s="1">
        <f t="shared" si="147"/>
        <v>1939000</v>
      </c>
      <c r="L782" s="1">
        <f t="shared" si="133"/>
        <v>8422679</v>
      </c>
      <c r="M782" s="2">
        <f t="shared" si="134"/>
        <v>0.76978821109055684</v>
      </c>
      <c r="N782" s="2">
        <f t="shared" si="135"/>
        <v>0.23021178890944319</v>
      </c>
    </row>
    <row r="783" spans="1:14" x14ac:dyDescent="0.35">
      <c r="A783" t="s">
        <v>16</v>
      </c>
      <c r="B783" t="s">
        <v>19</v>
      </c>
      <c r="C783">
        <v>2003</v>
      </c>
      <c r="D783" t="s">
        <v>33</v>
      </c>
      <c r="E783" s="1">
        <f t="shared" si="136"/>
        <v>2684551</v>
      </c>
      <c r="F783" s="1">
        <f t="shared" si="131"/>
        <v>229728</v>
      </c>
      <c r="G783" s="1">
        <f t="shared" si="126"/>
        <v>2914279</v>
      </c>
      <c r="H783" s="2">
        <f t="shared" si="127"/>
        <v>0.92117158309139247</v>
      </c>
      <c r="I783" s="2">
        <f t="shared" si="128"/>
        <v>7.882841690860759E-2</v>
      </c>
      <c r="J783" s="1">
        <f t="shared" ref="J783:K783" si="148">SUM(J15+J207+J399+J591)</f>
        <v>6297742</v>
      </c>
      <c r="K783" s="1">
        <f t="shared" si="148"/>
        <v>2001684</v>
      </c>
      <c r="L783" s="1">
        <f t="shared" si="133"/>
        <v>8299426</v>
      </c>
      <c r="M783" s="2">
        <f t="shared" si="134"/>
        <v>0.75881657357990784</v>
      </c>
      <c r="N783" s="2">
        <f t="shared" si="135"/>
        <v>0.24118342642009219</v>
      </c>
    </row>
    <row r="784" spans="1:14" x14ac:dyDescent="0.35">
      <c r="A784" t="s">
        <v>16</v>
      </c>
      <c r="B784" t="s">
        <v>20</v>
      </c>
      <c r="C784">
        <v>2003</v>
      </c>
      <c r="D784" t="s">
        <v>33</v>
      </c>
      <c r="E784" s="1">
        <f t="shared" si="136"/>
        <v>2667950</v>
      </c>
      <c r="F784" s="1">
        <f t="shared" si="131"/>
        <v>245672</v>
      </c>
      <c r="G784" s="1">
        <f t="shared" si="126"/>
        <v>2913622</v>
      </c>
      <c r="H784" s="2">
        <f t="shared" si="127"/>
        <v>0.91568158120717102</v>
      </c>
      <c r="I784" s="2">
        <f t="shared" si="128"/>
        <v>8.4318418792828989E-2</v>
      </c>
      <c r="J784" s="1">
        <f t="shared" ref="J784:K784" si="149">SUM(J16+J208+J400+J592)</f>
        <v>5380618</v>
      </c>
      <c r="K784" s="1">
        <f t="shared" si="149"/>
        <v>2038008</v>
      </c>
      <c r="L784" s="1">
        <f t="shared" si="133"/>
        <v>7418626</v>
      </c>
      <c r="M784" s="2">
        <f t="shared" si="134"/>
        <v>0.72528497864698938</v>
      </c>
      <c r="N784" s="2">
        <f t="shared" si="135"/>
        <v>0.27471502135301062</v>
      </c>
    </row>
    <row r="785" spans="1:14" x14ac:dyDescent="0.35">
      <c r="A785" t="s">
        <v>16</v>
      </c>
      <c r="B785" t="s">
        <v>21</v>
      </c>
      <c r="C785">
        <v>2003</v>
      </c>
      <c r="D785" t="s">
        <v>33</v>
      </c>
      <c r="E785" s="1">
        <f t="shared" si="136"/>
        <v>2646769</v>
      </c>
      <c r="F785" s="1">
        <f t="shared" si="131"/>
        <v>262566</v>
      </c>
      <c r="G785" s="1">
        <f t="shared" si="126"/>
        <v>2909335</v>
      </c>
      <c r="H785" s="2">
        <f t="shared" si="127"/>
        <v>0.90975050999627061</v>
      </c>
      <c r="I785" s="2">
        <f t="shared" si="128"/>
        <v>9.024949000372938E-2</v>
      </c>
      <c r="J785" s="1">
        <f t="shared" ref="J785:K785" si="150">SUM(J17+J209+J401+J593)</f>
        <v>4875951.3420000002</v>
      </c>
      <c r="K785" s="1">
        <f t="shared" si="150"/>
        <v>2004100.3110000005</v>
      </c>
      <c r="L785" s="1">
        <f t="shared" si="133"/>
        <v>6880051.6530000009</v>
      </c>
      <c r="M785" s="2">
        <f t="shared" si="134"/>
        <v>0.70870853707528114</v>
      </c>
      <c r="N785" s="2">
        <f t="shared" si="135"/>
        <v>0.29129146292471886</v>
      </c>
    </row>
    <row r="786" spans="1:14" x14ac:dyDescent="0.35">
      <c r="A786" t="s">
        <v>16</v>
      </c>
      <c r="B786" t="s">
        <v>22</v>
      </c>
      <c r="C786">
        <v>2003</v>
      </c>
      <c r="D786" t="s">
        <v>33</v>
      </c>
      <c r="E786" s="1">
        <f t="shared" si="136"/>
        <v>2635575</v>
      </c>
      <c r="F786" s="1">
        <f t="shared" si="131"/>
        <v>277196</v>
      </c>
      <c r="G786" s="1">
        <f t="shared" si="126"/>
        <v>2912771</v>
      </c>
      <c r="H786" s="2">
        <f t="shared" si="127"/>
        <v>0.90483426263170019</v>
      </c>
      <c r="I786" s="2">
        <f t="shared" si="128"/>
        <v>9.5165737368299808E-2</v>
      </c>
      <c r="J786" s="1">
        <f t="shared" ref="J786:K786" si="151">SUM(J18+J210+J402+J594)</f>
        <v>5540070.8050000006</v>
      </c>
      <c r="K786" s="1">
        <f t="shared" si="151"/>
        <v>2253628.014</v>
      </c>
      <c r="L786" s="1">
        <f t="shared" si="133"/>
        <v>7793698.8190000001</v>
      </c>
      <c r="M786" s="2">
        <f t="shared" si="134"/>
        <v>0.71083973523509092</v>
      </c>
      <c r="N786" s="2">
        <f t="shared" si="135"/>
        <v>0.28916026476490919</v>
      </c>
    </row>
    <row r="787" spans="1:14" x14ac:dyDescent="0.35">
      <c r="A787" t="s">
        <v>16</v>
      </c>
      <c r="B787" t="s">
        <v>23</v>
      </c>
      <c r="C787">
        <v>2003</v>
      </c>
      <c r="D787" t="s">
        <v>33</v>
      </c>
      <c r="E787" s="1">
        <f t="shared" si="136"/>
        <v>2611859</v>
      </c>
      <c r="F787" s="1">
        <f t="shared" si="131"/>
        <v>297231</v>
      </c>
      <c r="G787" s="1">
        <f t="shared" si="126"/>
        <v>2909090</v>
      </c>
      <c r="H787" s="2">
        <f t="shared" si="127"/>
        <v>0.89782681182087865</v>
      </c>
      <c r="I787" s="2">
        <f t="shared" si="128"/>
        <v>0.1021731881791213</v>
      </c>
      <c r="J787" s="1">
        <f t="shared" ref="J787:K787" si="152">SUM(J19+J211+J403+J595)</f>
        <v>6461644.3609999996</v>
      </c>
      <c r="K787" s="1">
        <f t="shared" si="152"/>
        <v>2515430.0260000005</v>
      </c>
      <c r="L787" s="1">
        <f t="shared" si="133"/>
        <v>8977074.3870000001</v>
      </c>
      <c r="M787" s="2">
        <f t="shared" si="134"/>
        <v>0.71979400887635747</v>
      </c>
      <c r="N787" s="2">
        <f t="shared" si="135"/>
        <v>0.28020599112364253</v>
      </c>
    </row>
    <row r="788" spans="1:14" x14ac:dyDescent="0.35">
      <c r="A788" t="s">
        <v>16</v>
      </c>
      <c r="B788" t="s">
        <v>24</v>
      </c>
      <c r="C788">
        <v>2003</v>
      </c>
      <c r="D788" t="s">
        <v>33</v>
      </c>
      <c r="E788" s="1">
        <f t="shared" si="136"/>
        <v>2598752</v>
      </c>
      <c r="F788" s="1">
        <f t="shared" si="131"/>
        <v>312229</v>
      </c>
      <c r="G788" s="1">
        <f t="shared" si="126"/>
        <v>2910981</v>
      </c>
      <c r="H788" s="2">
        <f t="shared" si="127"/>
        <v>0.8927409694532531</v>
      </c>
      <c r="I788" s="2">
        <f t="shared" si="128"/>
        <v>0.10725903054674696</v>
      </c>
      <c r="J788" s="1">
        <f t="shared" ref="J788:K788" si="153">SUM(J20+J212+J404+J596)</f>
        <v>7179091.5149999997</v>
      </c>
      <c r="K788" s="1">
        <f t="shared" si="153"/>
        <v>2839759.7550000004</v>
      </c>
      <c r="L788" s="1">
        <f t="shared" si="133"/>
        <v>10018851.27</v>
      </c>
      <c r="M788" s="2">
        <f t="shared" si="134"/>
        <v>0.71655834801108886</v>
      </c>
      <c r="N788" s="2">
        <f t="shared" si="135"/>
        <v>0.28344165198891114</v>
      </c>
    </row>
    <row r="789" spans="1:14" x14ac:dyDescent="0.35">
      <c r="A789" t="s">
        <v>16</v>
      </c>
      <c r="B789" t="s">
        <v>25</v>
      </c>
      <c r="C789">
        <v>2003</v>
      </c>
      <c r="D789" t="s">
        <v>33</v>
      </c>
      <c r="E789" s="1">
        <f t="shared" si="136"/>
        <v>2587250</v>
      </c>
      <c r="F789" s="1">
        <f t="shared" si="131"/>
        <v>329997</v>
      </c>
      <c r="G789" s="1">
        <f t="shared" si="126"/>
        <v>2917247</v>
      </c>
      <c r="H789" s="2">
        <f t="shared" si="127"/>
        <v>0.88688067894148148</v>
      </c>
      <c r="I789" s="2">
        <f t="shared" si="128"/>
        <v>0.11311932105851853</v>
      </c>
      <c r="J789" s="1">
        <f t="shared" ref="J789:K789" si="154">SUM(J21+J213+J405+J597)</f>
        <v>7977966.6639999999</v>
      </c>
      <c r="K789" s="1">
        <f t="shared" si="154"/>
        <v>3282675.4969999995</v>
      </c>
      <c r="L789" s="1">
        <f t="shared" si="133"/>
        <v>11260642.160999998</v>
      </c>
      <c r="M789" s="2">
        <f t="shared" si="134"/>
        <v>0.7084823893641532</v>
      </c>
      <c r="N789" s="2">
        <f t="shared" si="135"/>
        <v>0.29151761063584691</v>
      </c>
    </row>
    <row r="790" spans="1:14" x14ac:dyDescent="0.35">
      <c r="A790" t="s">
        <v>16</v>
      </c>
      <c r="B790" t="s">
        <v>26</v>
      </c>
      <c r="C790">
        <v>2003</v>
      </c>
      <c r="D790" t="s">
        <v>33</v>
      </c>
      <c r="E790" s="1">
        <f t="shared" si="136"/>
        <v>2565536</v>
      </c>
      <c r="F790" s="1">
        <f t="shared" si="131"/>
        <v>355206</v>
      </c>
      <c r="G790" s="1">
        <f t="shared" si="126"/>
        <v>2920742</v>
      </c>
      <c r="H790" s="2">
        <f t="shared" si="127"/>
        <v>0.87838501312337758</v>
      </c>
      <c r="I790" s="2">
        <f t="shared" si="128"/>
        <v>0.12161498687662245</v>
      </c>
      <c r="J790" s="1">
        <f t="shared" ref="J790:K790" si="155">SUM(J22+J214+J406+J598)</f>
        <v>7013547.1210000003</v>
      </c>
      <c r="K790" s="1">
        <f t="shared" si="155"/>
        <v>3059772.9590000012</v>
      </c>
      <c r="L790" s="1">
        <f t="shared" si="133"/>
        <v>10073320.080000002</v>
      </c>
      <c r="M790" s="2">
        <f t="shared" si="134"/>
        <v>0.69624980297459171</v>
      </c>
      <c r="N790" s="2">
        <f t="shared" si="135"/>
        <v>0.30375019702540818</v>
      </c>
    </row>
    <row r="791" spans="1:14" x14ac:dyDescent="0.35">
      <c r="A791" t="s">
        <v>16</v>
      </c>
      <c r="B791" t="s">
        <v>27</v>
      </c>
      <c r="C791">
        <v>2003</v>
      </c>
      <c r="D791" t="s">
        <v>33</v>
      </c>
      <c r="E791" s="1">
        <f t="shared" si="136"/>
        <v>2545686</v>
      </c>
      <c r="F791" s="1">
        <f t="shared" si="131"/>
        <v>376613</v>
      </c>
      <c r="G791" s="1">
        <f t="shared" si="126"/>
        <v>2922299</v>
      </c>
      <c r="H791" s="2">
        <f t="shared" si="127"/>
        <v>0.87112441266276996</v>
      </c>
      <c r="I791" s="2">
        <f t="shared" si="128"/>
        <v>0.12887558733723004</v>
      </c>
      <c r="J791" s="1">
        <f t="shared" ref="J791:K791" si="156">SUM(J23+J215+J407+J599)</f>
        <v>5541940</v>
      </c>
      <c r="K791" s="1">
        <f t="shared" si="156"/>
        <v>2797903</v>
      </c>
      <c r="L791" s="1">
        <f t="shared" si="133"/>
        <v>8339843</v>
      </c>
      <c r="M791" s="2">
        <f t="shared" si="134"/>
        <v>0.66451370847149038</v>
      </c>
      <c r="N791" s="2">
        <f t="shared" si="135"/>
        <v>0.33548629152850962</v>
      </c>
    </row>
    <row r="792" spans="1:14" x14ac:dyDescent="0.35">
      <c r="A792" t="s">
        <v>16</v>
      </c>
      <c r="B792" t="s">
        <v>28</v>
      </c>
      <c r="C792">
        <v>2003</v>
      </c>
      <c r="D792" t="s">
        <v>33</v>
      </c>
      <c r="E792" s="1">
        <f t="shared" si="136"/>
        <v>2534564</v>
      </c>
      <c r="F792" s="1">
        <f t="shared" si="131"/>
        <v>391454</v>
      </c>
      <c r="G792" s="1">
        <f t="shared" si="126"/>
        <v>2926018</v>
      </c>
      <c r="H792" s="2">
        <f t="shared" si="127"/>
        <v>0.86621613400874498</v>
      </c>
      <c r="I792" s="2">
        <f t="shared" si="128"/>
        <v>0.133783865991255</v>
      </c>
      <c r="J792" s="1">
        <f t="shared" ref="J792:K792" si="157">SUM(J24+J216+J408+J600)</f>
        <v>4777435</v>
      </c>
      <c r="K792" s="1">
        <f t="shared" si="157"/>
        <v>2602768</v>
      </c>
      <c r="L792" s="1">
        <f t="shared" si="133"/>
        <v>7380203</v>
      </c>
      <c r="M792" s="2">
        <f t="shared" si="134"/>
        <v>0.64733110999792287</v>
      </c>
      <c r="N792" s="2">
        <f t="shared" si="135"/>
        <v>0.35266889000207718</v>
      </c>
    </row>
    <row r="793" spans="1:14" x14ac:dyDescent="0.35">
      <c r="A793" t="s">
        <v>16</v>
      </c>
      <c r="B793" t="s">
        <v>29</v>
      </c>
      <c r="C793">
        <v>2003</v>
      </c>
      <c r="D793" t="s">
        <v>33</v>
      </c>
      <c r="E793" s="1">
        <f t="shared" si="136"/>
        <v>2525774</v>
      </c>
      <c r="F793" s="1">
        <f t="shared" si="131"/>
        <v>406050</v>
      </c>
      <c r="G793" s="1">
        <f t="shared" si="126"/>
        <v>2931824</v>
      </c>
      <c r="H793" s="2">
        <f t="shared" si="127"/>
        <v>0.861502600428948</v>
      </c>
      <c r="I793" s="2">
        <f t="shared" si="128"/>
        <v>0.138497399571052</v>
      </c>
      <c r="J793" s="1">
        <f t="shared" ref="J793:K793" si="158">SUM(J25+J217+J409+J601)</f>
        <v>4907417</v>
      </c>
      <c r="K793" s="1">
        <f t="shared" si="158"/>
        <v>2666367</v>
      </c>
      <c r="L793" s="1">
        <f t="shared" si="133"/>
        <v>7573784</v>
      </c>
      <c r="M793" s="2">
        <f t="shared" si="134"/>
        <v>0.64794784218826418</v>
      </c>
      <c r="N793" s="2">
        <f t="shared" si="135"/>
        <v>0.35205215781173588</v>
      </c>
    </row>
    <row r="794" spans="1:14" x14ac:dyDescent="0.35">
      <c r="A794" t="s">
        <v>16</v>
      </c>
      <c r="B794" t="s">
        <v>17</v>
      </c>
      <c r="C794">
        <v>2004</v>
      </c>
      <c r="D794" t="s">
        <v>33</v>
      </c>
      <c r="E794" s="1">
        <f t="shared" si="136"/>
        <v>2532369</v>
      </c>
      <c r="F794" s="1">
        <f t="shared" si="131"/>
        <v>403776</v>
      </c>
      <c r="G794" s="1">
        <f t="shared" si="126"/>
        <v>2936145</v>
      </c>
      <c r="H794" s="2">
        <f t="shared" si="127"/>
        <v>0.86248090608604144</v>
      </c>
      <c r="I794" s="2">
        <f t="shared" si="128"/>
        <v>0.13751909391395861</v>
      </c>
      <c r="J794" s="1">
        <f t="shared" ref="J794:K794" si="159">SUM(J26+J218+J410+J602)</f>
        <v>5289783.8</v>
      </c>
      <c r="K794" s="1">
        <f t="shared" si="159"/>
        <v>2697698.1</v>
      </c>
      <c r="L794" s="1">
        <f t="shared" si="133"/>
        <v>7987481.9000000004</v>
      </c>
      <c r="M794" s="2">
        <f t="shared" si="134"/>
        <v>0.66225925344506875</v>
      </c>
      <c r="N794" s="2">
        <f t="shared" si="135"/>
        <v>0.33774074655493114</v>
      </c>
    </row>
    <row r="795" spans="1:14" x14ac:dyDescent="0.35">
      <c r="A795" t="s">
        <v>16</v>
      </c>
      <c r="B795" t="s">
        <v>19</v>
      </c>
      <c r="C795">
        <v>2004</v>
      </c>
      <c r="D795" t="s">
        <v>33</v>
      </c>
      <c r="E795" s="1">
        <f t="shared" si="136"/>
        <v>2529718</v>
      </c>
      <c r="F795" s="1">
        <f t="shared" si="131"/>
        <v>409188</v>
      </c>
      <c r="G795" s="1">
        <f t="shared" si="126"/>
        <v>2938906</v>
      </c>
      <c r="H795" s="2">
        <f t="shared" si="127"/>
        <v>0.86076859892762814</v>
      </c>
      <c r="I795" s="2">
        <f t="shared" si="128"/>
        <v>0.13923140107237184</v>
      </c>
      <c r="J795" s="1">
        <f t="shared" ref="J795:K795" si="160">SUM(J27+J219+J411+J603)</f>
        <v>5410328.0999999996</v>
      </c>
      <c r="K795" s="1">
        <f t="shared" si="160"/>
        <v>2721687.4</v>
      </c>
      <c r="L795" s="1">
        <f t="shared" si="133"/>
        <v>8132015.5</v>
      </c>
      <c r="M795" s="2">
        <f t="shared" si="134"/>
        <v>0.66531207423301142</v>
      </c>
      <c r="N795" s="2">
        <f t="shared" si="135"/>
        <v>0.33468792576698853</v>
      </c>
    </row>
    <row r="796" spans="1:14" x14ac:dyDescent="0.35">
      <c r="A796" t="s">
        <v>16</v>
      </c>
      <c r="B796" t="s">
        <v>20</v>
      </c>
      <c r="C796">
        <v>2004</v>
      </c>
      <c r="D796" t="s">
        <v>33</v>
      </c>
      <c r="E796" s="1">
        <f t="shared" si="136"/>
        <v>2526708</v>
      </c>
      <c r="F796" s="1">
        <f t="shared" si="131"/>
        <v>415424</v>
      </c>
      <c r="G796" s="1">
        <f t="shared" si="126"/>
        <v>2942132</v>
      </c>
      <c r="H796" s="2">
        <f t="shared" si="127"/>
        <v>0.8588017124996431</v>
      </c>
      <c r="I796" s="2">
        <f t="shared" si="128"/>
        <v>0.14119828750035687</v>
      </c>
      <c r="J796" s="1">
        <f t="shared" ref="J796:K796" si="161">SUM(J28+J220+J412+J604)</f>
        <v>4908167.8</v>
      </c>
      <c r="K796" s="1">
        <f t="shared" si="161"/>
        <v>2583649.5</v>
      </c>
      <c r="L796" s="1">
        <f t="shared" si="133"/>
        <v>7491817.2999999998</v>
      </c>
      <c r="M796" s="2">
        <f t="shared" si="134"/>
        <v>0.65513714542932056</v>
      </c>
      <c r="N796" s="2">
        <f t="shared" si="135"/>
        <v>0.34486285457067939</v>
      </c>
    </row>
    <row r="797" spans="1:14" x14ac:dyDescent="0.35">
      <c r="A797" t="s">
        <v>16</v>
      </c>
      <c r="B797" t="s">
        <v>21</v>
      </c>
      <c r="C797">
        <v>2004</v>
      </c>
      <c r="D797" t="s">
        <v>33</v>
      </c>
      <c r="E797" s="1">
        <f t="shared" si="136"/>
        <v>2525264</v>
      </c>
      <c r="F797" s="1">
        <f t="shared" si="131"/>
        <v>422587</v>
      </c>
      <c r="G797" s="1">
        <f t="shared" si="126"/>
        <v>2947851</v>
      </c>
      <c r="H797" s="2">
        <f t="shared" si="127"/>
        <v>0.85664573955739287</v>
      </c>
      <c r="I797" s="2">
        <f t="shared" si="128"/>
        <v>0.14335426044260718</v>
      </c>
      <c r="J797" s="1">
        <f t="shared" ref="J797:K797" si="162">SUM(J29+J221+J413+J605)</f>
        <v>4583683.3000000007</v>
      </c>
      <c r="K797" s="1">
        <f t="shared" si="162"/>
        <v>2739141.7</v>
      </c>
      <c r="L797" s="1">
        <f t="shared" si="133"/>
        <v>7322825.0000000009</v>
      </c>
      <c r="M797" s="2">
        <f t="shared" si="134"/>
        <v>0.62594467299163914</v>
      </c>
      <c r="N797" s="2">
        <f t="shared" si="135"/>
        <v>0.37405532700836081</v>
      </c>
    </row>
    <row r="798" spans="1:14" x14ac:dyDescent="0.35">
      <c r="A798" t="s">
        <v>16</v>
      </c>
      <c r="B798" t="s">
        <v>22</v>
      </c>
      <c r="C798">
        <v>2004</v>
      </c>
      <c r="D798" t="s">
        <v>33</v>
      </c>
      <c r="E798" s="1">
        <f t="shared" si="136"/>
        <v>2519199</v>
      </c>
      <c r="F798" s="1">
        <f t="shared" si="131"/>
        <v>431075</v>
      </c>
      <c r="G798" s="1">
        <f t="shared" si="126"/>
        <v>2950274</v>
      </c>
      <c r="H798" s="2">
        <f t="shared" si="127"/>
        <v>0.85388645258033657</v>
      </c>
      <c r="I798" s="2">
        <f t="shared" si="128"/>
        <v>0.1461135474196634</v>
      </c>
      <c r="J798" s="1">
        <f t="shared" ref="J798:K798" si="163">SUM(J30+J222+J414+J606)</f>
        <v>4794894.2</v>
      </c>
      <c r="K798" s="1">
        <f t="shared" si="163"/>
        <v>2919470.3</v>
      </c>
      <c r="L798" s="1">
        <f t="shared" si="133"/>
        <v>7714364.5</v>
      </c>
      <c r="M798" s="2">
        <f t="shared" si="134"/>
        <v>0.62155401135116184</v>
      </c>
      <c r="N798" s="2">
        <f t="shared" si="135"/>
        <v>0.37844598864883811</v>
      </c>
    </row>
    <row r="799" spans="1:14" x14ac:dyDescent="0.35">
      <c r="A799" t="s">
        <v>16</v>
      </c>
      <c r="B799" t="s">
        <v>23</v>
      </c>
      <c r="C799">
        <v>2004</v>
      </c>
      <c r="D799" t="s">
        <v>33</v>
      </c>
      <c r="E799" s="1">
        <f t="shared" si="136"/>
        <v>2510510</v>
      </c>
      <c r="F799" s="1">
        <f t="shared" si="131"/>
        <v>443573</v>
      </c>
      <c r="G799" s="1">
        <f t="shared" si="126"/>
        <v>2954083</v>
      </c>
      <c r="H799" s="2">
        <f t="shared" si="127"/>
        <v>0.84984409713606557</v>
      </c>
      <c r="I799" s="2">
        <f t="shared" si="128"/>
        <v>0.15015590286393443</v>
      </c>
      <c r="J799" s="1">
        <f t="shared" ref="J799:K799" si="164">SUM(J31+J223+J415+J607)</f>
        <v>5950192.7000000002</v>
      </c>
      <c r="K799" s="1">
        <f t="shared" si="164"/>
        <v>3386340.8</v>
      </c>
      <c r="L799" s="1">
        <f t="shared" si="133"/>
        <v>9336533.5</v>
      </c>
      <c r="M799" s="2">
        <f t="shared" si="134"/>
        <v>0.63730213146024706</v>
      </c>
      <c r="N799" s="2">
        <f t="shared" si="135"/>
        <v>0.362697868539753</v>
      </c>
    </row>
    <row r="800" spans="1:14" x14ac:dyDescent="0.35">
      <c r="A800" t="s">
        <v>16</v>
      </c>
      <c r="B800" t="s">
        <v>24</v>
      </c>
      <c r="C800">
        <v>2004</v>
      </c>
      <c r="D800" t="s">
        <v>33</v>
      </c>
      <c r="E800" s="1">
        <f t="shared" si="136"/>
        <v>2492157</v>
      </c>
      <c r="F800" s="1">
        <f t="shared" si="131"/>
        <v>459467</v>
      </c>
      <c r="G800" s="1">
        <f t="shared" si="126"/>
        <v>2951624</v>
      </c>
      <c r="H800" s="2">
        <f t="shared" si="127"/>
        <v>0.84433416993492394</v>
      </c>
      <c r="I800" s="2">
        <f t="shared" si="128"/>
        <v>0.15566583006507603</v>
      </c>
      <c r="J800" s="1">
        <f t="shared" ref="J800:K800" si="165">SUM(J32+J224+J416+J608)</f>
        <v>6233708.2999999998</v>
      </c>
      <c r="K800" s="1">
        <f t="shared" si="165"/>
        <v>3710467.8</v>
      </c>
      <c r="L800" s="1">
        <f t="shared" si="133"/>
        <v>9944176.0999999996</v>
      </c>
      <c r="M800" s="2">
        <f t="shared" si="134"/>
        <v>0.62687026429469606</v>
      </c>
      <c r="N800" s="2">
        <f t="shared" si="135"/>
        <v>0.37312973570530394</v>
      </c>
    </row>
    <row r="801" spans="1:14" x14ac:dyDescent="0.35">
      <c r="A801" t="s">
        <v>16</v>
      </c>
      <c r="B801" t="s">
        <v>25</v>
      </c>
      <c r="C801">
        <v>2004</v>
      </c>
      <c r="D801" t="s">
        <v>33</v>
      </c>
      <c r="E801" s="1">
        <f t="shared" si="136"/>
        <v>2480530</v>
      </c>
      <c r="F801" s="1">
        <f t="shared" si="131"/>
        <v>480550</v>
      </c>
      <c r="G801" s="1">
        <f t="shared" si="126"/>
        <v>2961080</v>
      </c>
      <c r="H801" s="2">
        <f t="shared" si="127"/>
        <v>0.83771124049333356</v>
      </c>
      <c r="I801" s="2">
        <f t="shared" si="128"/>
        <v>0.16228875950666649</v>
      </c>
      <c r="J801" s="1">
        <f t="shared" ref="J801:K801" si="166">SUM(J33+J225+J417+J609)</f>
        <v>6281712.2999999998</v>
      </c>
      <c r="K801" s="1">
        <f t="shared" si="166"/>
        <v>3892952.9000000004</v>
      </c>
      <c r="L801" s="1">
        <f t="shared" si="133"/>
        <v>10174665.199999999</v>
      </c>
      <c r="M801" s="2">
        <f t="shared" si="134"/>
        <v>0.6173876168426653</v>
      </c>
      <c r="N801" s="2">
        <f t="shared" si="135"/>
        <v>0.38261238315733481</v>
      </c>
    </row>
    <row r="802" spans="1:14" x14ac:dyDescent="0.35">
      <c r="A802" t="s">
        <v>16</v>
      </c>
      <c r="B802" t="s">
        <v>26</v>
      </c>
      <c r="C802">
        <v>2004</v>
      </c>
      <c r="D802" t="s">
        <v>33</v>
      </c>
      <c r="E802" s="1">
        <f t="shared" si="136"/>
        <v>2458928</v>
      </c>
      <c r="F802" s="1">
        <f t="shared" si="131"/>
        <v>503359</v>
      </c>
      <c r="G802" s="1">
        <f t="shared" si="126"/>
        <v>2962287</v>
      </c>
      <c r="H802" s="2">
        <f t="shared" si="127"/>
        <v>0.83007757182204156</v>
      </c>
      <c r="I802" s="2">
        <f t="shared" si="128"/>
        <v>0.16992242817795844</v>
      </c>
      <c r="J802" s="1">
        <f t="shared" ref="J802:K802" si="167">SUM(J34+J226+J418+J610)</f>
        <v>5895016.1999999993</v>
      </c>
      <c r="K802" s="1">
        <f t="shared" si="167"/>
        <v>3923241.4800000004</v>
      </c>
      <c r="L802" s="1">
        <f t="shared" si="133"/>
        <v>9818257.6799999997</v>
      </c>
      <c r="M802" s="2">
        <f t="shared" si="134"/>
        <v>0.60041367747031871</v>
      </c>
      <c r="N802" s="2">
        <f t="shared" si="135"/>
        <v>0.39958632252968129</v>
      </c>
    </row>
    <row r="803" spans="1:14" x14ac:dyDescent="0.35">
      <c r="A803" t="s">
        <v>16</v>
      </c>
      <c r="B803" t="s">
        <v>27</v>
      </c>
      <c r="C803">
        <v>2004</v>
      </c>
      <c r="D803" t="s">
        <v>33</v>
      </c>
      <c r="E803" s="1">
        <f t="shared" si="136"/>
        <v>2440546</v>
      </c>
      <c r="F803" s="1">
        <f t="shared" si="131"/>
        <v>524970</v>
      </c>
      <c r="G803" s="1">
        <f t="shared" si="126"/>
        <v>2965516</v>
      </c>
      <c r="H803" s="2">
        <f t="shared" si="127"/>
        <v>0.82297515845471747</v>
      </c>
      <c r="I803" s="2">
        <f t="shared" si="128"/>
        <v>0.1770248415452825</v>
      </c>
      <c r="J803" s="1">
        <f t="shared" ref="J803:K803" si="168">SUM(J35+J227+J419+J611)</f>
        <v>4934579.5580000002</v>
      </c>
      <c r="K803" s="1">
        <f t="shared" si="168"/>
        <v>3636254.818</v>
      </c>
      <c r="L803" s="1">
        <f t="shared" si="133"/>
        <v>8570834.3760000002</v>
      </c>
      <c r="M803" s="2">
        <f t="shared" si="134"/>
        <v>0.5757408604018508</v>
      </c>
      <c r="N803" s="2">
        <f t="shared" si="135"/>
        <v>0.4242591395981492</v>
      </c>
    </row>
    <row r="804" spans="1:14" x14ac:dyDescent="0.35">
      <c r="A804" t="s">
        <v>16</v>
      </c>
      <c r="B804" t="s">
        <v>28</v>
      </c>
      <c r="C804">
        <v>2004</v>
      </c>
      <c r="D804" t="s">
        <v>33</v>
      </c>
      <c r="E804" s="1">
        <f t="shared" si="136"/>
        <v>2422722</v>
      </c>
      <c r="F804" s="1">
        <f t="shared" si="131"/>
        <v>546250</v>
      </c>
      <c r="G804" s="1">
        <f t="shared" si="126"/>
        <v>2968972</v>
      </c>
      <c r="H804" s="2">
        <f t="shared" si="127"/>
        <v>0.81601375829748479</v>
      </c>
      <c r="I804" s="2">
        <f t="shared" si="128"/>
        <v>0.18398624170251521</v>
      </c>
      <c r="J804" s="1">
        <f t="shared" ref="J804:K804" si="169">SUM(J36+J228+J420+J612)</f>
        <v>4132595.4180000001</v>
      </c>
      <c r="K804" s="1">
        <f t="shared" si="169"/>
        <v>3345508.0749999997</v>
      </c>
      <c r="L804" s="1">
        <f t="shared" si="133"/>
        <v>7478103.4929999998</v>
      </c>
      <c r="M804" s="2">
        <f t="shared" si="134"/>
        <v>0.55262613333292099</v>
      </c>
      <c r="N804" s="2">
        <f t="shared" si="135"/>
        <v>0.44737386666707901</v>
      </c>
    </row>
    <row r="805" spans="1:14" x14ac:dyDescent="0.35">
      <c r="A805" t="s">
        <v>16</v>
      </c>
      <c r="B805" t="s">
        <v>29</v>
      </c>
      <c r="C805">
        <v>2004</v>
      </c>
      <c r="D805" t="s">
        <v>33</v>
      </c>
      <c r="E805" s="1">
        <f t="shared" si="136"/>
        <v>2408578</v>
      </c>
      <c r="F805" s="1">
        <f t="shared" si="131"/>
        <v>562177</v>
      </c>
      <c r="G805" s="1">
        <f t="shared" si="126"/>
        <v>2970755</v>
      </c>
      <c r="H805" s="2">
        <f t="shared" si="127"/>
        <v>0.81076292053703525</v>
      </c>
      <c r="I805" s="2">
        <f t="shared" si="128"/>
        <v>0.18923707946296481</v>
      </c>
      <c r="J805" s="1">
        <f t="shared" ref="J805:K805" si="170">SUM(J37+J229+J421+J613)</f>
        <v>4270335.3439999996</v>
      </c>
      <c r="K805" s="1">
        <f t="shared" si="170"/>
        <v>3388963.7779999999</v>
      </c>
      <c r="L805" s="1">
        <f t="shared" si="133"/>
        <v>7659299.1219999995</v>
      </c>
      <c r="M805" s="2">
        <f t="shared" si="134"/>
        <v>0.55753604552852709</v>
      </c>
      <c r="N805" s="2">
        <f t="shared" si="135"/>
        <v>0.44246395447147285</v>
      </c>
    </row>
    <row r="806" spans="1:14" x14ac:dyDescent="0.35">
      <c r="A806" t="s">
        <v>16</v>
      </c>
      <c r="B806" t="s">
        <v>17</v>
      </c>
      <c r="C806">
        <v>2005</v>
      </c>
      <c r="D806" t="s">
        <v>33</v>
      </c>
      <c r="E806" s="1">
        <f t="shared" si="136"/>
        <v>2385088</v>
      </c>
      <c r="F806" s="1">
        <f t="shared" si="131"/>
        <v>582279</v>
      </c>
      <c r="G806" s="1">
        <f t="shared" si="126"/>
        <v>2967367</v>
      </c>
      <c r="H806" s="2">
        <f t="shared" si="127"/>
        <v>0.80377250269346523</v>
      </c>
      <c r="I806" s="2">
        <f t="shared" si="128"/>
        <v>0.19622749730653472</v>
      </c>
      <c r="J806" s="1">
        <f t="shared" ref="J806:K806" si="171">SUM(J38+J230+J422+J614)</f>
        <v>4791808</v>
      </c>
      <c r="K806" s="1">
        <f t="shared" si="171"/>
        <v>3596947.4</v>
      </c>
      <c r="L806" s="1">
        <f t="shared" si="133"/>
        <v>8388755.4000000004</v>
      </c>
      <c r="M806" s="2">
        <f t="shared" si="134"/>
        <v>0.57121799021580721</v>
      </c>
      <c r="N806" s="2">
        <f t="shared" si="135"/>
        <v>0.42878200978419273</v>
      </c>
    </row>
    <row r="807" spans="1:14" x14ac:dyDescent="0.35">
      <c r="A807" t="s">
        <v>16</v>
      </c>
      <c r="B807" t="s">
        <v>19</v>
      </c>
      <c r="C807">
        <v>2005</v>
      </c>
      <c r="D807" t="s">
        <v>33</v>
      </c>
      <c r="E807" s="1">
        <f t="shared" si="136"/>
        <v>2373892</v>
      </c>
      <c r="F807" s="1">
        <f t="shared" si="131"/>
        <v>598392</v>
      </c>
      <c r="G807" s="1">
        <f t="shared" si="126"/>
        <v>2972284</v>
      </c>
      <c r="H807" s="2">
        <f t="shared" si="127"/>
        <v>0.79867603499531004</v>
      </c>
      <c r="I807" s="2">
        <f t="shared" si="128"/>
        <v>0.20132396500468999</v>
      </c>
      <c r="J807" s="1">
        <f t="shared" ref="J807:K807" si="172">SUM(J39+J231+J423+J615)</f>
        <v>4250595</v>
      </c>
      <c r="K807" s="1">
        <f t="shared" si="172"/>
        <v>3531320.1</v>
      </c>
      <c r="L807" s="1">
        <f t="shared" si="133"/>
        <v>7781915.0999999996</v>
      </c>
      <c r="M807" s="2">
        <f t="shared" si="134"/>
        <v>0.54621451729793358</v>
      </c>
      <c r="N807" s="2">
        <f t="shared" si="135"/>
        <v>0.45378548270206653</v>
      </c>
    </row>
    <row r="808" spans="1:14" x14ac:dyDescent="0.35">
      <c r="A808" t="s">
        <v>16</v>
      </c>
      <c r="B808" t="s">
        <v>20</v>
      </c>
      <c r="C808">
        <v>2005</v>
      </c>
      <c r="D808" t="s">
        <v>33</v>
      </c>
      <c r="E808" s="1">
        <f t="shared" si="136"/>
        <v>2359743</v>
      </c>
      <c r="F808" s="1">
        <f t="shared" si="131"/>
        <v>618582</v>
      </c>
      <c r="G808" s="1">
        <f t="shared" si="126"/>
        <v>2978325</v>
      </c>
      <c r="H808" s="2">
        <f t="shared" si="127"/>
        <v>0.79230540656241344</v>
      </c>
      <c r="I808" s="2">
        <f t="shared" si="128"/>
        <v>0.20769459343758656</v>
      </c>
      <c r="J808" s="1">
        <f t="shared" ref="J808:K808" si="173">SUM(J40+J232+J424+J616)</f>
        <v>3896689</v>
      </c>
      <c r="K808" s="1">
        <f t="shared" si="173"/>
        <v>3638395.8</v>
      </c>
      <c r="L808" s="1">
        <f t="shared" si="133"/>
        <v>7535084.7999999998</v>
      </c>
      <c r="M808" s="2">
        <f t="shared" si="134"/>
        <v>0.51713936915481029</v>
      </c>
      <c r="N808" s="2">
        <f t="shared" si="135"/>
        <v>0.48286063084518965</v>
      </c>
    </row>
    <row r="809" spans="1:14" x14ac:dyDescent="0.35">
      <c r="A809" t="s">
        <v>16</v>
      </c>
      <c r="B809" t="s">
        <v>21</v>
      </c>
      <c r="C809">
        <v>2005</v>
      </c>
      <c r="D809" t="s">
        <v>33</v>
      </c>
      <c r="E809" s="1">
        <f t="shared" si="136"/>
        <v>2340170</v>
      </c>
      <c r="F809" s="1">
        <f t="shared" si="131"/>
        <v>644021</v>
      </c>
      <c r="G809" s="1">
        <f t="shared" si="126"/>
        <v>2984191</v>
      </c>
      <c r="H809" s="2">
        <f t="shared" si="127"/>
        <v>0.78418908173102864</v>
      </c>
      <c r="I809" s="2">
        <f t="shared" si="128"/>
        <v>0.21581091826897139</v>
      </c>
      <c r="J809" s="1">
        <f t="shared" ref="J809:K809" si="174">SUM(J41+J233+J425+J617)</f>
        <v>3569025.7</v>
      </c>
      <c r="K809" s="1">
        <f t="shared" si="174"/>
        <v>3702485.9000000004</v>
      </c>
      <c r="L809" s="1">
        <f t="shared" si="133"/>
        <v>7271511.6000000006</v>
      </c>
      <c r="M809" s="2">
        <f t="shared" si="134"/>
        <v>0.490823077281483</v>
      </c>
      <c r="N809" s="2">
        <f t="shared" si="135"/>
        <v>0.509176922718517</v>
      </c>
    </row>
    <row r="810" spans="1:14" x14ac:dyDescent="0.35">
      <c r="A810" t="s">
        <v>16</v>
      </c>
      <c r="B810" t="s">
        <v>22</v>
      </c>
      <c r="C810">
        <v>2005</v>
      </c>
      <c r="D810" t="s">
        <v>33</v>
      </c>
      <c r="E810" s="1">
        <f t="shared" si="136"/>
        <v>2316238</v>
      </c>
      <c r="F810" s="1">
        <f t="shared" si="131"/>
        <v>672087</v>
      </c>
      <c r="G810" s="1">
        <f t="shared" si="126"/>
        <v>2988325</v>
      </c>
      <c r="H810" s="2">
        <f t="shared" si="127"/>
        <v>0.77509574761781264</v>
      </c>
      <c r="I810" s="2">
        <f t="shared" si="128"/>
        <v>0.22490425238218734</v>
      </c>
      <c r="J810" s="1">
        <f t="shared" ref="J810:K810" si="175">SUM(J42+J234+J426+J618)</f>
        <v>3707095.3000000003</v>
      </c>
      <c r="K810" s="1">
        <f t="shared" si="175"/>
        <v>3861701.3</v>
      </c>
      <c r="L810" s="1">
        <f t="shared" si="133"/>
        <v>7568796.5999999996</v>
      </c>
      <c r="M810" s="2">
        <f t="shared" si="134"/>
        <v>0.48978661944753549</v>
      </c>
      <c r="N810" s="2">
        <f t="shared" si="135"/>
        <v>0.51021338055246457</v>
      </c>
    </row>
    <row r="811" spans="1:14" x14ac:dyDescent="0.35">
      <c r="A811" t="s">
        <v>16</v>
      </c>
      <c r="B811" t="s">
        <v>23</v>
      </c>
      <c r="C811">
        <v>2005</v>
      </c>
      <c r="D811" t="s">
        <v>33</v>
      </c>
      <c r="E811" s="1">
        <f t="shared" si="136"/>
        <v>2283551</v>
      </c>
      <c r="F811" s="1">
        <f t="shared" si="131"/>
        <v>709790</v>
      </c>
      <c r="G811" s="1">
        <f t="shared" si="126"/>
        <v>2993341</v>
      </c>
      <c r="H811" s="2">
        <f t="shared" si="127"/>
        <v>0.76287699931280795</v>
      </c>
      <c r="I811" s="2">
        <f t="shared" si="128"/>
        <v>0.237123000687192</v>
      </c>
      <c r="J811" s="1">
        <f t="shared" ref="J811:K811" si="176">SUM(J43+J235+J427+J619)</f>
        <v>4911563.0000000009</v>
      </c>
      <c r="K811" s="1">
        <f t="shared" si="176"/>
        <v>4823470.9000000004</v>
      </c>
      <c r="L811" s="1">
        <f t="shared" si="133"/>
        <v>9735033.9000000022</v>
      </c>
      <c r="M811" s="2">
        <f t="shared" si="134"/>
        <v>0.50452448861015264</v>
      </c>
      <c r="N811" s="2">
        <f t="shared" si="135"/>
        <v>0.49547551138984725</v>
      </c>
    </row>
    <row r="812" spans="1:14" x14ac:dyDescent="0.35">
      <c r="A812" t="s">
        <v>16</v>
      </c>
      <c r="B812" t="s">
        <v>24</v>
      </c>
      <c r="C812">
        <v>2005</v>
      </c>
      <c r="D812" t="s">
        <v>33</v>
      </c>
      <c r="E812" s="1">
        <f t="shared" si="136"/>
        <v>2258909</v>
      </c>
      <c r="F812" s="1">
        <f t="shared" si="131"/>
        <v>739343</v>
      </c>
      <c r="G812" s="1">
        <f t="shared" si="126"/>
        <v>2998252</v>
      </c>
      <c r="H812" s="2">
        <f t="shared" si="127"/>
        <v>0.7534086527750169</v>
      </c>
      <c r="I812" s="2">
        <f t="shared" si="128"/>
        <v>0.2465913472249831</v>
      </c>
      <c r="J812" s="1">
        <f t="shared" ref="J812:K812" si="177">SUM(J44+J236+J428+J620)</f>
        <v>5584213.6000000006</v>
      </c>
      <c r="K812" s="1">
        <f t="shared" si="177"/>
        <v>5245176.1000000006</v>
      </c>
      <c r="L812" s="1">
        <f t="shared" si="133"/>
        <v>10829389.700000001</v>
      </c>
      <c r="M812" s="2">
        <f t="shared" si="134"/>
        <v>0.51565358295306341</v>
      </c>
      <c r="N812" s="2">
        <f t="shared" si="135"/>
        <v>0.48434641704693665</v>
      </c>
    </row>
    <row r="813" spans="1:14" x14ac:dyDescent="0.35">
      <c r="A813" t="s">
        <v>16</v>
      </c>
      <c r="B813" t="s">
        <v>25</v>
      </c>
      <c r="C813">
        <v>2005</v>
      </c>
      <c r="D813" t="s">
        <v>33</v>
      </c>
      <c r="E813" s="1">
        <f t="shared" si="136"/>
        <v>2235154</v>
      </c>
      <c r="F813" s="1">
        <f t="shared" si="131"/>
        <v>765943</v>
      </c>
      <c r="G813" s="1">
        <f t="shared" si="126"/>
        <v>3001097</v>
      </c>
      <c r="H813" s="2">
        <f t="shared" si="127"/>
        <v>0.74477899248174917</v>
      </c>
      <c r="I813" s="2">
        <f t="shared" si="128"/>
        <v>0.25522100751825083</v>
      </c>
      <c r="J813" s="1">
        <f t="shared" ref="J813:K813" si="178">SUM(J45+J237+J429+J621)</f>
        <v>5319947.5999999996</v>
      </c>
      <c r="K813" s="1">
        <f t="shared" si="178"/>
        <v>5283251.2</v>
      </c>
      <c r="L813" s="1">
        <f t="shared" si="133"/>
        <v>10603198.800000001</v>
      </c>
      <c r="M813" s="2">
        <f t="shared" si="134"/>
        <v>0.50173044006304957</v>
      </c>
      <c r="N813" s="2">
        <f t="shared" si="135"/>
        <v>0.49826955993695032</v>
      </c>
    </row>
    <row r="814" spans="1:14" x14ac:dyDescent="0.35">
      <c r="A814" t="s">
        <v>16</v>
      </c>
      <c r="B814" t="s">
        <v>26</v>
      </c>
      <c r="C814">
        <v>2005</v>
      </c>
      <c r="D814" t="s">
        <v>33</v>
      </c>
      <c r="E814" s="1">
        <f t="shared" si="136"/>
        <v>2212070</v>
      </c>
      <c r="F814" s="1">
        <f t="shared" si="131"/>
        <v>794114</v>
      </c>
      <c r="G814" s="1">
        <f t="shared" si="126"/>
        <v>3006184</v>
      </c>
      <c r="H814" s="2">
        <f t="shared" si="127"/>
        <v>0.73583985544464348</v>
      </c>
      <c r="I814" s="2">
        <f t="shared" si="128"/>
        <v>0.26416014455535658</v>
      </c>
      <c r="J814" s="1">
        <f t="shared" ref="J814:K814" si="179">SUM(J46+J238+J430+J622)</f>
        <v>5696049.6000000006</v>
      </c>
      <c r="K814" s="1">
        <f t="shared" si="179"/>
        <v>5791540.4000000004</v>
      </c>
      <c r="L814" s="1">
        <f t="shared" si="133"/>
        <v>11487590</v>
      </c>
      <c r="M814" s="2">
        <f t="shared" si="134"/>
        <v>0.49584374094131151</v>
      </c>
      <c r="N814" s="2">
        <f t="shared" si="135"/>
        <v>0.50415625905868855</v>
      </c>
    </row>
    <row r="815" spans="1:14" x14ac:dyDescent="0.35">
      <c r="A815" t="s">
        <v>16</v>
      </c>
      <c r="B815" t="s">
        <v>27</v>
      </c>
      <c r="C815">
        <v>2005</v>
      </c>
      <c r="D815" t="s">
        <v>33</v>
      </c>
      <c r="E815" s="1">
        <f t="shared" si="136"/>
        <v>2195552</v>
      </c>
      <c r="F815" s="1">
        <f t="shared" si="131"/>
        <v>812261</v>
      </c>
      <c r="G815" s="1">
        <f t="shared" si="126"/>
        <v>3007813</v>
      </c>
      <c r="H815" s="2">
        <f t="shared" si="127"/>
        <v>0.72994963450187889</v>
      </c>
      <c r="I815" s="2">
        <f t="shared" si="128"/>
        <v>0.27005036549812106</v>
      </c>
      <c r="J815" s="1">
        <f t="shared" ref="J815:K815" si="180">SUM(J47+J239+J431+J623)</f>
        <v>4395716.9000000004</v>
      </c>
      <c r="K815" s="1">
        <f t="shared" si="180"/>
        <v>4993562.5999999996</v>
      </c>
      <c r="L815" s="1">
        <f t="shared" si="133"/>
        <v>9389279.5</v>
      </c>
      <c r="M815" s="2">
        <f t="shared" si="134"/>
        <v>0.46816338782970518</v>
      </c>
      <c r="N815" s="2">
        <f t="shared" si="135"/>
        <v>0.53183661217029476</v>
      </c>
    </row>
    <row r="816" spans="1:14" x14ac:dyDescent="0.35">
      <c r="A816" t="s">
        <v>16</v>
      </c>
      <c r="B816" t="s">
        <v>28</v>
      </c>
      <c r="C816">
        <v>2005</v>
      </c>
      <c r="D816" t="s">
        <v>33</v>
      </c>
      <c r="E816" s="1">
        <f t="shared" si="136"/>
        <v>2179137</v>
      </c>
      <c r="F816" s="1">
        <f t="shared" si="131"/>
        <v>829197</v>
      </c>
      <c r="G816" s="1">
        <f t="shared" si="126"/>
        <v>3008334</v>
      </c>
      <c r="H816" s="2">
        <f t="shared" si="127"/>
        <v>0.72436670928161562</v>
      </c>
      <c r="I816" s="2">
        <f t="shared" si="128"/>
        <v>0.27563329071838433</v>
      </c>
      <c r="J816" s="1">
        <f t="shared" ref="J816:K816" si="181">SUM(J48+J240+J432+J624)</f>
        <v>3266625.3</v>
      </c>
      <c r="K816" s="1">
        <f t="shared" si="181"/>
        <v>4261066.7</v>
      </c>
      <c r="L816" s="1">
        <f t="shared" si="133"/>
        <v>7527692</v>
      </c>
      <c r="M816" s="2">
        <f t="shared" si="134"/>
        <v>0.43394778904344117</v>
      </c>
      <c r="N816" s="2">
        <f t="shared" si="135"/>
        <v>0.56605221095655878</v>
      </c>
    </row>
    <row r="817" spans="1:14" x14ac:dyDescent="0.35">
      <c r="A817" t="s">
        <v>16</v>
      </c>
      <c r="B817" t="s">
        <v>29</v>
      </c>
      <c r="C817">
        <v>2005</v>
      </c>
      <c r="D817" t="s">
        <v>33</v>
      </c>
      <c r="E817" s="1">
        <f t="shared" si="136"/>
        <v>2169713</v>
      </c>
      <c r="F817" s="1">
        <f t="shared" si="131"/>
        <v>840507</v>
      </c>
      <c r="G817" s="1">
        <f t="shared" si="126"/>
        <v>3010220</v>
      </c>
      <c r="H817" s="2">
        <f t="shared" si="127"/>
        <v>0.72078220196530485</v>
      </c>
      <c r="I817" s="2">
        <f t="shared" si="128"/>
        <v>0.27921779803469515</v>
      </c>
      <c r="J817" s="1">
        <f t="shared" ref="J817:K817" si="182">SUM(J49+J241+J433+J625)</f>
        <v>3561479.7</v>
      </c>
      <c r="K817" s="1">
        <f t="shared" si="182"/>
        <v>4352113.8000000007</v>
      </c>
      <c r="L817" s="1">
        <f t="shared" si="133"/>
        <v>7913593.5000000009</v>
      </c>
      <c r="M817" s="2">
        <f t="shared" si="134"/>
        <v>0.45004582305118401</v>
      </c>
      <c r="N817" s="2">
        <f t="shared" si="135"/>
        <v>0.54995417694881599</v>
      </c>
    </row>
    <row r="818" spans="1:14" x14ac:dyDescent="0.35">
      <c r="A818" t="s">
        <v>16</v>
      </c>
      <c r="B818" t="s">
        <v>17</v>
      </c>
      <c r="C818">
        <v>2006</v>
      </c>
      <c r="D818" t="s">
        <v>33</v>
      </c>
      <c r="E818" s="1">
        <f t="shared" si="136"/>
        <v>2160741</v>
      </c>
      <c r="F818" s="1">
        <f t="shared" si="131"/>
        <v>853711</v>
      </c>
      <c r="G818" s="1">
        <f t="shared" si="126"/>
        <v>3014452</v>
      </c>
      <c r="H818" s="2">
        <f t="shared" si="127"/>
        <v>0.71679396454148214</v>
      </c>
      <c r="I818" s="2">
        <f t="shared" si="128"/>
        <v>0.28320603545851786</v>
      </c>
      <c r="J818" s="1">
        <f t="shared" ref="J818:K818" si="183">SUM(J50+J242+J434+J626)</f>
        <v>3687588</v>
      </c>
      <c r="K818" s="1">
        <f t="shared" si="183"/>
        <v>4407851.0000000009</v>
      </c>
      <c r="L818" s="1">
        <f t="shared" si="133"/>
        <v>8095439.0000000009</v>
      </c>
      <c r="M818" s="2">
        <f t="shared" si="134"/>
        <v>0.45551427167816344</v>
      </c>
      <c r="N818" s="2">
        <f t="shared" si="135"/>
        <v>0.54448572832183662</v>
      </c>
    </row>
    <row r="819" spans="1:14" x14ac:dyDescent="0.35">
      <c r="A819" t="s">
        <v>16</v>
      </c>
      <c r="B819" t="s">
        <v>19</v>
      </c>
      <c r="C819">
        <v>2006</v>
      </c>
      <c r="D819" t="s">
        <v>33</v>
      </c>
      <c r="E819" s="1">
        <f t="shared" si="136"/>
        <v>2152945</v>
      </c>
      <c r="F819" s="1">
        <f t="shared" si="131"/>
        <v>867832</v>
      </c>
      <c r="G819" s="1">
        <f t="shared" si="126"/>
        <v>3020777</v>
      </c>
      <c r="H819" s="2">
        <f t="shared" si="127"/>
        <v>0.71271232533881179</v>
      </c>
      <c r="I819" s="2">
        <f t="shared" si="128"/>
        <v>0.28728767466118815</v>
      </c>
      <c r="J819" s="1">
        <f t="shared" ref="J819:K819" si="184">SUM(J51+J243+J435+J627)</f>
        <v>3314990</v>
      </c>
      <c r="K819" s="1">
        <f t="shared" si="184"/>
        <v>4059167.8</v>
      </c>
      <c r="L819" s="1">
        <f t="shared" si="133"/>
        <v>7374157.7999999998</v>
      </c>
      <c r="M819" s="2">
        <f t="shared" si="134"/>
        <v>0.44954150560759631</v>
      </c>
      <c r="N819" s="2">
        <f t="shared" si="135"/>
        <v>0.55045849439240369</v>
      </c>
    </row>
    <row r="820" spans="1:14" x14ac:dyDescent="0.35">
      <c r="A820" t="s">
        <v>16</v>
      </c>
      <c r="B820" t="s">
        <v>20</v>
      </c>
      <c r="C820">
        <v>2006</v>
      </c>
      <c r="D820" t="s">
        <v>33</v>
      </c>
      <c r="E820" s="1">
        <f t="shared" si="136"/>
        <v>2141934</v>
      </c>
      <c r="F820" s="1">
        <f t="shared" si="131"/>
        <v>883161</v>
      </c>
      <c r="G820" s="1">
        <f t="shared" si="126"/>
        <v>3025095</v>
      </c>
      <c r="H820" s="2">
        <f t="shared" si="127"/>
        <v>0.70805511893014927</v>
      </c>
      <c r="I820" s="2">
        <f t="shared" si="128"/>
        <v>0.29194488106985073</v>
      </c>
      <c r="J820" s="1">
        <f t="shared" ref="J820:K820" si="185">SUM(J52+J244+J436+J628)</f>
        <v>3300890</v>
      </c>
      <c r="K820" s="1">
        <f t="shared" si="185"/>
        <v>4365875.4000000004</v>
      </c>
      <c r="L820" s="1">
        <f t="shared" si="133"/>
        <v>7666765.4000000004</v>
      </c>
      <c r="M820" s="2">
        <f t="shared" si="134"/>
        <v>0.43054532489020725</v>
      </c>
      <c r="N820" s="2">
        <f t="shared" si="135"/>
        <v>0.56945467510979275</v>
      </c>
    </row>
    <row r="821" spans="1:14" x14ac:dyDescent="0.35">
      <c r="A821" t="s">
        <v>16</v>
      </c>
      <c r="B821" t="s">
        <v>21</v>
      </c>
      <c r="C821">
        <v>2006</v>
      </c>
      <c r="D821" t="s">
        <v>33</v>
      </c>
      <c r="E821" s="1">
        <f t="shared" si="136"/>
        <v>2128948</v>
      </c>
      <c r="F821" s="1">
        <f t="shared" si="131"/>
        <v>900771</v>
      </c>
      <c r="G821" s="1">
        <f t="shared" si="126"/>
        <v>3029719</v>
      </c>
      <c r="H821" s="2">
        <f t="shared" si="127"/>
        <v>0.70268826911010562</v>
      </c>
      <c r="I821" s="2">
        <f t="shared" si="128"/>
        <v>0.29731173088989443</v>
      </c>
      <c r="J821" s="1">
        <f t="shared" ref="J821:K821" si="186">SUM(J53+J245+J437+J629)</f>
        <v>3302585</v>
      </c>
      <c r="K821" s="1">
        <f t="shared" si="186"/>
        <v>4583144</v>
      </c>
      <c r="L821" s="1">
        <f t="shared" si="133"/>
        <v>7885729</v>
      </c>
      <c r="M821" s="2">
        <f t="shared" si="134"/>
        <v>0.41880528737419204</v>
      </c>
      <c r="N821" s="2">
        <f t="shared" si="135"/>
        <v>0.58119471262580791</v>
      </c>
    </row>
    <row r="822" spans="1:14" x14ac:dyDescent="0.35">
      <c r="A822" t="s">
        <v>16</v>
      </c>
      <c r="B822" t="s">
        <v>22</v>
      </c>
      <c r="C822">
        <v>2006</v>
      </c>
      <c r="D822" t="s">
        <v>33</v>
      </c>
      <c r="E822" s="1">
        <f t="shared" si="136"/>
        <v>2115541</v>
      </c>
      <c r="F822" s="1">
        <f t="shared" si="131"/>
        <v>918596</v>
      </c>
      <c r="G822" s="1">
        <f t="shared" si="126"/>
        <v>3034137</v>
      </c>
      <c r="H822" s="2">
        <f t="shared" si="127"/>
        <v>0.69724636692410391</v>
      </c>
      <c r="I822" s="2">
        <f t="shared" si="128"/>
        <v>0.30275363307589603</v>
      </c>
      <c r="J822" s="1">
        <f t="shared" ref="J822:K822" si="187">SUM(J54+J246+J438+J630)</f>
        <v>3445374</v>
      </c>
      <c r="K822" s="1">
        <f t="shared" si="187"/>
        <v>4732175</v>
      </c>
      <c r="L822" s="1">
        <f t="shared" si="133"/>
        <v>8177549</v>
      </c>
      <c r="M822" s="2">
        <f t="shared" si="134"/>
        <v>0.42132110733913058</v>
      </c>
      <c r="N822" s="2">
        <f t="shared" si="135"/>
        <v>0.57867889266086936</v>
      </c>
    </row>
    <row r="823" spans="1:14" x14ac:dyDescent="0.35">
      <c r="A823" t="s">
        <v>16</v>
      </c>
      <c r="B823" t="s">
        <v>23</v>
      </c>
      <c r="C823">
        <v>2006</v>
      </c>
      <c r="D823" t="s">
        <v>33</v>
      </c>
      <c r="E823" s="1">
        <f t="shared" si="136"/>
        <v>2099857</v>
      </c>
      <c r="F823" s="1">
        <f t="shared" si="131"/>
        <v>938460</v>
      </c>
      <c r="G823" s="1">
        <f t="shared" si="126"/>
        <v>3038317</v>
      </c>
      <c r="H823" s="2">
        <f t="shared" si="127"/>
        <v>0.69112505377154521</v>
      </c>
      <c r="I823" s="2">
        <f t="shared" si="128"/>
        <v>0.30887494622845474</v>
      </c>
      <c r="J823" s="1">
        <f t="shared" ref="J823:K823" si="188">SUM(J55+J247+J439+J631)</f>
        <v>4439926</v>
      </c>
      <c r="K823" s="1">
        <f t="shared" si="188"/>
        <v>5572667</v>
      </c>
      <c r="L823" s="1">
        <f t="shared" si="133"/>
        <v>10012593</v>
      </c>
      <c r="M823" s="2">
        <f t="shared" si="134"/>
        <v>0.44343418333292883</v>
      </c>
      <c r="N823" s="2">
        <f t="shared" si="135"/>
        <v>0.55656581666707117</v>
      </c>
    </row>
    <row r="824" spans="1:14" x14ac:dyDescent="0.35">
      <c r="A824" t="s">
        <v>16</v>
      </c>
      <c r="B824" t="s">
        <v>24</v>
      </c>
      <c r="C824">
        <v>2006</v>
      </c>
      <c r="D824" t="s">
        <v>33</v>
      </c>
      <c r="E824" s="1">
        <f t="shared" si="136"/>
        <v>2085704</v>
      </c>
      <c r="F824" s="1">
        <f t="shared" si="131"/>
        <v>956995</v>
      </c>
      <c r="G824" s="1">
        <f t="shared" si="126"/>
        <v>3042699</v>
      </c>
      <c r="H824" s="2">
        <f t="shared" si="127"/>
        <v>0.68547825466797729</v>
      </c>
      <c r="I824" s="2">
        <f t="shared" si="128"/>
        <v>0.31452174533202265</v>
      </c>
      <c r="J824" s="1">
        <f t="shared" ref="J824:K824" si="189">SUM(J56+J248+J440+J632)</f>
        <v>4861060</v>
      </c>
      <c r="K824" s="1">
        <f t="shared" si="189"/>
        <v>5862891.2000000011</v>
      </c>
      <c r="L824" s="1">
        <f t="shared" si="133"/>
        <v>10723951.200000001</v>
      </c>
      <c r="M824" s="2">
        <f t="shared" si="134"/>
        <v>0.45329001497134747</v>
      </c>
      <c r="N824" s="2">
        <f t="shared" si="135"/>
        <v>0.54670998502865253</v>
      </c>
    </row>
    <row r="825" spans="1:14" x14ac:dyDescent="0.35">
      <c r="A825" t="s">
        <v>16</v>
      </c>
      <c r="B825" t="s">
        <v>25</v>
      </c>
      <c r="C825">
        <v>2006</v>
      </c>
      <c r="D825" t="s">
        <v>33</v>
      </c>
      <c r="E825" s="1">
        <f t="shared" si="136"/>
        <v>2067206</v>
      </c>
      <c r="F825" s="1">
        <f t="shared" si="131"/>
        <v>980335</v>
      </c>
      <c r="G825" s="1">
        <f t="shared" si="126"/>
        <v>3047541</v>
      </c>
      <c r="H825" s="2">
        <f t="shared" si="127"/>
        <v>0.67831934008435002</v>
      </c>
      <c r="I825" s="2">
        <f t="shared" si="128"/>
        <v>0.32168065991565004</v>
      </c>
      <c r="J825" s="1">
        <f t="shared" ref="J825:K825" si="190">SUM(J57+J249+J441+J633)</f>
        <v>5333219.0999999996</v>
      </c>
      <c r="K825" s="1">
        <f t="shared" si="190"/>
        <v>6286111.2999999998</v>
      </c>
      <c r="L825" s="1">
        <f t="shared" si="133"/>
        <v>11619330.399999999</v>
      </c>
      <c r="M825" s="2">
        <f t="shared" si="134"/>
        <v>0.45899539099086123</v>
      </c>
      <c r="N825" s="2">
        <f t="shared" si="135"/>
        <v>0.54100460900913883</v>
      </c>
    </row>
    <row r="826" spans="1:14" x14ac:dyDescent="0.35">
      <c r="A826" t="s">
        <v>16</v>
      </c>
      <c r="B826" t="s">
        <v>26</v>
      </c>
      <c r="C826">
        <v>2006</v>
      </c>
      <c r="D826" t="s">
        <v>33</v>
      </c>
      <c r="E826" s="1">
        <f t="shared" si="136"/>
        <v>2044270</v>
      </c>
      <c r="F826" s="1">
        <f t="shared" si="131"/>
        <v>1006775</v>
      </c>
      <c r="G826" s="1">
        <f t="shared" si="126"/>
        <v>3051045</v>
      </c>
      <c r="H826" s="2">
        <f t="shared" si="127"/>
        <v>0.67002289379540447</v>
      </c>
      <c r="I826" s="2">
        <f t="shared" si="128"/>
        <v>0.32997710620459547</v>
      </c>
      <c r="J826" s="1">
        <f t="shared" ref="J826:K826" si="191">SUM(J58+J250+J442+J634)</f>
        <v>4974482.7</v>
      </c>
      <c r="K826" s="1">
        <f t="shared" si="191"/>
        <v>6288398.7000000002</v>
      </c>
      <c r="L826" s="1">
        <f t="shared" si="133"/>
        <v>11262881.4</v>
      </c>
      <c r="M826" s="2">
        <f t="shared" si="134"/>
        <v>0.44167052136409785</v>
      </c>
      <c r="N826" s="2">
        <f t="shared" si="135"/>
        <v>0.55832947863590221</v>
      </c>
    </row>
    <row r="827" spans="1:14" x14ac:dyDescent="0.35">
      <c r="A827" t="s">
        <v>16</v>
      </c>
      <c r="B827" t="s">
        <v>27</v>
      </c>
      <c r="C827">
        <v>2006</v>
      </c>
      <c r="D827" t="s">
        <v>33</v>
      </c>
      <c r="E827" s="1">
        <f t="shared" si="136"/>
        <v>2021839</v>
      </c>
      <c r="F827" s="1">
        <f t="shared" si="131"/>
        <v>1027366</v>
      </c>
      <c r="G827" s="1">
        <f t="shared" si="126"/>
        <v>3049205</v>
      </c>
      <c r="H827" s="2">
        <f t="shared" si="127"/>
        <v>0.66307086601261644</v>
      </c>
      <c r="I827" s="2">
        <f t="shared" si="128"/>
        <v>0.33692913398738361</v>
      </c>
      <c r="J827" s="1">
        <f t="shared" ref="J827:K827" si="192">SUM(J59+J251+J443+J635)</f>
        <v>3556574.3</v>
      </c>
      <c r="K827" s="1">
        <f t="shared" si="192"/>
        <v>5110503.3000000007</v>
      </c>
      <c r="L827" s="1">
        <f t="shared" si="133"/>
        <v>8667077.6000000015</v>
      </c>
      <c r="M827" s="2">
        <f t="shared" si="134"/>
        <v>0.41035450057583417</v>
      </c>
      <c r="N827" s="2">
        <f t="shared" si="135"/>
        <v>0.58964549942416578</v>
      </c>
    </row>
    <row r="828" spans="1:14" x14ac:dyDescent="0.35">
      <c r="A828" t="s">
        <v>16</v>
      </c>
      <c r="B828" t="s">
        <v>28</v>
      </c>
      <c r="C828">
        <v>2006</v>
      </c>
      <c r="D828" t="s">
        <v>33</v>
      </c>
      <c r="E828" s="1">
        <f t="shared" si="136"/>
        <v>2001087</v>
      </c>
      <c r="F828" s="1">
        <f t="shared" si="131"/>
        <v>1049476</v>
      </c>
      <c r="G828" s="1">
        <f t="shared" si="126"/>
        <v>3050563</v>
      </c>
      <c r="H828" s="2">
        <f t="shared" si="127"/>
        <v>0.65597301219479809</v>
      </c>
      <c r="I828" s="2">
        <f t="shared" si="128"/>
        <v>0.34402698780520186</v>
      </c>
      <c r="J828" s="1">
        <f t="shared" ref="J828:K828" si="193">SUM(J60+J252+J444+J636)</f>
        <v>2923255.5000000005</v>
      </c>
      <c r="K828" s="1">
        <f t="shared" si="193"/>
        <v>4525223.7000000011</v>
      </c>
      <c r="L828" s="1">
        <f t="shared" si="133"/>
        <v>7448479.2000000011</v>
      </c>
      <c r="M828" s="2">
        <f t="shared" si="134"/>
        <v>0.39246340380463168</v>
      </c>
      <c r="N828" s="2">
        <f t="shared" si="135"/>
        <v>0.60753659619536837</v>
      </c>
    </row>
    <row r="829" spans="1:14" x14ac:dyDescent="0.35">
      <c r="A829" t="s">
        <v>16</v>
      </c>
      <c r="B829" t="s">
        <v>29</v>
      </c>
      <c r="C829">
        <v>2006</v>
      </c>
      <c r="D829" t="s">
        <v>33</v>
      </c>
      <c r="E829" s="1">
        <f t="shared" si="136"/>
        <v>1987267</v>
      </c>
      <c r="F829" s="1">
        <f t="shared" si="131"/>
        <v>1068730</v>
      </c>
      <c r="G829" s="1">
        <f t="shared" si="126"/>
        <v>3055997</v>
      </c>
      <c r="H829" s="2">
        <f t="shared" si="127"/>
        <v>0.65028434255661904</v>
      </c>
      <c r="I829" s="2">
        <f t="shared" si="128"/>
        <v>0.34971565744338101</v>
      </c>
      <c r="J829" s="1">
        <f t="shared" ref="J829:K829" si="194">SUM(J61+J253+J445+J637)</f>
        <v>3192478</v>
      </c>
      <c r="K829" s="1">
        <f t="shared" si="194"/>
        <v>4651406.3999999994</v>
      </c>
      <c r="L829" s="1">
        <f t="shared" si="133"/>
        <v>7843884.3999999994</v>
      </c>
      <c r="M829" s="2">
        <f t="shared" si="134"/>
        <v>0.40700217356594398</v>
      </c>
      <c r="N829" s="2">
        <f t="shared" si="135"/>
        <v>0.59299782643405607</v>
      </c>
    </row>
    <row r="830" spans="1:14" x14ac:dyDescent="0.35">
      <c r="A830" t="s">
        <v>16</v>
      </c>
      <c r="B830" t="s">
        <v>17</v>
      </c>
      <c r="C830">
        <v>2007</v>
      </c>
      <c r="D830" t="s">
        <v>33</v>
      </c>
      <c r="E830" s="1">
        <f t="shared" si="136"/>
        <v>1973628</v>
      </c>
      <c r="F830" s="1">
        <f t="shared" si="131"/>
        <v>1086401</v>
      </c>
      <c r="G830" s="1">
        <f t="shared" si="126"/>
        <v>3060029</v>
      </c>
      <c r="H830" s="2">
        <f t="shared" si="127"/>
        <v>0.64497035812405701</v>
      </c>
      <c r="I830" s="2">
        <f t="shared" si="128"/>
        <v>0.35502964187594299</v>
      </c>
      <c r="J830" s="1">
        <f t="shared" ref="J830:K830" si="195">SUM(J62+J254+J446+J638)</f>
        <v>3597596.6999999997</v>
      </c>
      <c r="K830" s="1">
        <f t="shared" si="195"/>
        <v>4921445.5</v>
      </c>
      <c r="L830" s="1">
        <f t="shared" si="133"/>
        <v>8519042.1999999993</v>
      </c>
      <c r="M830" s="2">
        <f t="shared" si="134"/>
        <v>0.42230060792514917</v>
      </c>
      <c r="N830" s="2">
        <f t="shared" si="135"/>
        <v>0.57769939207485088</v>
      </c>
    </row>
    <row r="831" spans="1:14" x14ac:dyDescent="0.35">
      <c r="A831" t="s">
        <v>16</v>
      </c>
      <c r="B831" t="s">
        <v>19</v>
      </c>
      <c r="C831">
        <v>2007</v>
      </c>
      <c r="D831" t="s">
        <v>33</v>
      </c>
      <c r="E831" s="1">
        <f t="shared" si="136"/>
        <v>1961964</v>
      </c>
      <c r="F831" s="1">
        <f t="shared" si="131"/>
        <v>1103597</v>
      </c>
      <c r="G831" s="1">
        <f t="shared" si="126"/>
        <v>3065561</v>
      </c>
      <c r="H831" s="2">
        <f t="shared" si="127"/>
        <v>0.6400016179746546</v>
      </c>
      <c r="I831" s="2">
        <f t="shared" si="128"/>
        <v>0.35999838202534545</v>
      </c>
      <c r="J831" s="1">
        <f t="shared" ref="J831:K831" si="196">SUM(J63+J255+J447+J639)</f>
        <v>3725686.5</v>
      </c>
      <c r="K831" s="1">
        <f t="shared" si="196"/>
        <v>5102715.2</v>
      </c>
      <c r="L831" s="1">
        <f t="shared" si="133"/>
        <v>8828401.6999999993</v>
      </c>
      <c r="M831" s="2">
        <f t="shared" si="134"/>
        <v>0.42201143837847799</v>
      </c>
      <c r="N831" s="2">
        <f t="shared" si="135"/>
        <v>0.57798856162152212</v>
      </c>
    </row>
    <row r="832" spans="1:14" x14ac:dyDescent="0.35">
      <c r="A832" t="s">
        <v>16</v>
      </c>
      <c r="B832" t="s">
        <v>20</v>
      </c>
      <c r="C832">
        <v>2007</v>
      </c>
      <c r="D832" t="s">
        <v>33</v>
      </c>
      <c r="E832" s="1">
        <f t="shared" si="136"/>
        <v>1945167</v>
      </c>
      <c r="F832" s="1">
        <f t="shared" si="131"/>
        <v>1121580</v>
      </c>
      <c r="G832" s="1">
        <f t="shared" si="126"/>
        <v>3066747</v>
      </c>
      <c r="H832" s="2">
        <f t="shared" si="127"/>
        <v>0.63427697165759023</v>
      </c>
      <c r="I832" s="2">
        <f t="shared" si="128"/>
        <v>0.36572302834240972</v>
      </c>
      <c r="J832" s="1">
        <f t="shared" ref="J832:K832" si="197">SUM(J64+J256+J448+J640)</f>
        <v>3093713.6999999997</v>
      </c>
      <c r="K832" s="1">
        <f t="shared" si="197"/>
        <v>4592871.3</v>
      </c>
      <c r="L832" s="1">
        <f t="shared" si="133"/>
        <v>7686585</v>
      </c>
      <c r="M832" s="2">
        <f t="shared" si="134"/>
        <v>0.40248220763837256</v>
      </c>
      <c r="N832" s="2">
        <f t="shared" si="135"/>
        <v>0.59751779236162739</v>
      </c>
    </row>
    <row r="833" spans="1:14" x14ac:dyDescent="0.35">
      <c r="A833" t="s">
        <v>16</v>
      </c>
      <c r="B833" t="s">
        <v>21</v>
      </c>
      <c r="C833">
        <v>2007</v>
      </c>
      <c r="D833" t="s">
        <v>33</v>
      </c>
      <c r="E833" s="1">
        <f t="shared" si="136"/>
        <v>1927454</v>
      </c>
      <c r="F833" s="1">
        <f t="shared" si="131"/>
        <v>1143108</v>
      </c>
      <c r="G833" s="1">
        <f t="shared" si="126"/>
        <v>3070562</v>
      </c>
      <c r="H833" s="2">
        <f t="shared" si="127"/>
        <v>0.62772026749500576</v>
      </c>
      <c r="I833" s="2">
        <f t="shared" si="128"/>
        <v>0.37227973250499419</v>
      </c>
      <c r="J833" s="1">
        <f t="shared" ref="J833:K833" si="198">SUM(J65+J257+J449+J641)</f>
        <v>2790581.8309999998</v>
      </c>
      <c r="K833" s="1">
        <f t="shared" si="198"/>
        <v>4592502.199</v>
      </c>
      <c r="L833" s="1">
        <f t="shared" si="133"/>
        <v>7383084.0299999993</v>
      </c>
      <c r="M833" s="2">
        <f t="shared" si="134"/>
        <v>0.37796966953930228</v>
      </c>
      <c r="N833" s="2">
        <f t="shared" si="135"/>
        <v>0.62203033046069778</v>
      </c>
    </row>
    <row r="834" spans="1:14" x14ac:dyDescent="0.35">
      <c r="A834" t="s">
        <v>16</v>
      </c>
      <c r="B834" t="s">
        <v>22</v>
      </c>
      <c r="C834">
        <v>2007</v>
      </c>
      <c r="D834" t="s">
        <v>33</v>
      </c>
      <c r="E834" s="1">
        <f t="shared" si="136"/>
        <v>1912779</v>
      </c>
      <c r="F834" s="1">
        <f t="shared" si="131"/>
        <v>1160644</v>
      </c>
      <c r="G834" s="1">
        <f t="shared" ref="G834:G897" si="199">SUM(E834:F834)</f>
        <v>3073423</v>
      </c>
      <c r="H834" s="2">
        <f t="shared" ref="H834:H897" si="200">SUM(E834)/G834</f>
        <v>0.62236112634024021</v>
      </c>
      <c r="I834" s="2">
        <f t="shared" ref="I834:I897" si="201">SUM(F834/G834)</f>
        <v>0.37763887365975984</v>
      </c>
      <c r="J834" s="1">
        <f t="shared" ref="J834:K834" si="202">SUM(J66+J258+J450+J642)</f>
        <v>2838987.1709999996</v>
      </c>
      <c r="K834" s="1">
        <f t="shared" si="202"/>
        <v>4754775.8870000001</v>
      </c>
      <c r="L834" s="1">
        <f t="shared" si="133"/>
        <v>7593763.0580000002</v>
      </c>
      <c r="M834" s="2">
        <f t="shared" si="134"/>
        <v>0.37385775001356375</v>
      </c>
      <c r="N834" s="2">
        <f t="shared" si="135"/>
        <v>0.62614224998643619</v>
      </c>
    </row>
    <row r="835" spans="1:14" x14ac:dyDescent="0.35">
      <c r="A835" t="s">
        <v>16</v>
      </c>
      <c r="B835" t="s">
        <v>23</v>
      </c>
      <c r="C835">
        <v>2007</v>
      </c>
      <c r="D835" t="s">
        <v>33</v>
      </c>
      <c r="E835" s="1">
        <f t="shared" si="136"/>
        <v>1902439</v>
      </c>
      <c r="F835" s="1">
        <f t="shared" si="136"/>
        <v>1174700</v>
      </c>
      <c r="G835" s="1">
        <f t="shared" si="199"/>
        <v>3077139</v>
      </c>
      <c r="H835" s="2">
        <f t="shared" si="200"/>
        <v>0.61824928935611945</v>
      </c>
      <c r="I835" s="2">
        <f t="shared" si="201"/>
        <v>0.38175071064388055</v>
      </c>
      <c r="J835" s="1">
        <f t="shared" ref="J835:K835" si="203">SUM(J67+J259+J451+J643)</f>
        <v>3497160.5440000002</v>
      </c>
      <c r="K835" s="1">
        <f t="shared" si="203"/>
        <v>5366829.6409999998</v>
      </c>
      <c r="L835" s="1">
        <f t="shared" ref="L835:L898" si="204">SUM(J835:K835)</f>
        <v>8863990.1850000005</v>
      </c>
      <c r="M835" s="2">
        <f t="shared" ref="M835:M898" si="205">SUM(J835)/L835</f>
        <v>0.39453569679240341</v>
      </c>
      <c r="N835" s="2">
        <f t="shared" ref="N835:N898" si="206">SUM(K835/L835)</f>
        <v>0.60546430320759648</v>
      </c>
    </row>
    <row r="836" spans="1:14" x14ac:dyDescent="0.35">
      <c r="A836" t="s">
        <v>16</v>
      </c>
      <c r="B836" t="s">
        <v>24</v>
      </c>
      <c r="C836">
        <v>2007</v>
      </c>
      <c r="D836" t="s">
        <v>33</v>
      </c>
      <c r="E836" s="1">
        <f t="shared" ref="E836:F899" si="207">SUM(E68+E260+E452+E644)</f>
        <v>1893109</v>
      </c>
      <c r="F836" s="1">
        <f t="shared" si="207"/>
        <v>1186695</v>
      </c>
      <c r="G836" s="1">
        <f t="shared" si="199"/>
        <v>3079804</v>
      </c>
      <c r="H836" s="2">
        <f t="shared" si="200"/>
        <v>0.61468489553231309</v>
      </c>
      <c r="I836" s="2">
        <f t="shared" si="201"/>
        <v>0.38531510446768691</v>
      </c>
      <c r="J836" s="1">
        <f t="shared" ref="J836:K836" si="208">SUM(J68+J260+J452+J644)</f>
        <v>3882474</v>
      </c>
      <c r="K836" s="1">
        <f t="shared" si="208"/>
        <v>5804644</v>
      </c>
      <c r="L836" s="1">
        <f t="shared" si="204"/>
        <v>9687118</v>
      </c>
      <c r="M836" s="2">
        <f t="shared" si="205"/>
        <v>0.40078731362619924</v>
      </c>
      <c r="N836" s="2">
        <f t="shared" si="206"/>
        <v>0.59921268637380076</v>
      </c>
    </row>
    <row r="837" spans="1:14" x14ac:dyDescent="0.35">
      <c r="A837" t="s">
        <v>16</v>
      </c>
      <c r="B837" t="s">
        <v>25</v>
      </c>
      <c r="C837">
        <v>2007</v>
      </c>
      <c r="D837" t="s">
        <v>33</v>
      </c>
      <c r="E837" s="1">
        <f t="shared" si="207"/>
        <v>1886507</v>
      </c>
      <c r="F837" s="1">
        <f t="shared" si="207"/>
        <v>1196667</v>
      </c>
      <c r="G837" s="1">
        <f t="shared" si="199"/>
        <v>3083174</v>
      </c>
      <c r="H837" s="2">
        <f t="shared" si="200"/>
        <v>0.61187172699302728</v>
      </c>
      <c r="I837" s="2">
        <f t="shared" si="201"/>
        <v>0.38812827300697267</v>
      </c>
      <c r="J837" s="1">
        <f t="shared" ref="J837:K837" si="209">SUM(J69+J261+J453+J645)</f>
        <v>4154818</v>
      </c>
      <c r="K837" s="1">
        <f t="shared" si="209"/>
        <v>6056561</v>
      </c>
      <c r="L837" s="1">
        <f t="shared" si="204"/>
        <v>10211379</v>
      </c>
      <c r="M837" s="2">
        <f t="shared" si="205"/>
        <v>0.4068811861747566</v>
      </c>
      <c r="N837" s="2">
        <f t="shared" si="206"/>
        <v>0.59311881382524334</v>
      </c>
    </row>
    <row r="838" spans="1:14" x14ac:dyDescent="0.35">
      <c r="A838" t="s">
        <v>16</v>
      </c>
      <c r="B838" t="s">
        <v>26</v>
      </c>
      <c r="C838">
        <v>2007</v>
      </c>
      <c r="D838" t="s">
        <v>33</v>
      </c>
      <c r="E838" s="1">
        <f t="shared" si="207"/>
        <v>1881998</v>
      </c>
      <c r="F838" s="1">
        <f t="shared" si="207"/>
        <v>1204651</v>
      </c>
      <c r="G838" s="1">
        <f t="shared" si="199"/>
        <v>3086649</v>
      </c>
      <c r="H838" s="2">
        <f t="shared" si="200"/>
        <v>0.60972206428395326</v>
      </c>
      <c r="I838" s="2">
        <f t="shared" si="201"/>
        <v>0.39027793571604674</v>
      </c>
      <c r="J838" s="1">
        <f t="shared" ref="J838:K838" si="210">SUM(J70+J262+J454+J646)</f>
        <v>4460685</v>
      </c>
      <c r="K838" s="1">
        <f t="shared" si="210"/>
        <v>6493526</v>
      </c>
      <c r="L838" s="1">
        <f t="shared" si="204"/>
        <v>10954211</v>
      </c>
      <c r="M838" s="2">
        <f t="shared" si="205"/>
        <v>0.40721189321622525</v>
      </c>
      <c r="N838" s="2">
        <f t="shared" si="206"/>
        <v>0.5927881067837748</v>
      </c>
    </row>
    <row r="839" spans="1:14" x14ac:dyDescent="0.35">
      <c r="A839" t="s">
        <v>16</v>
      </c>
      <c r="B839" t="s">
        <v>27</v>
      </c>
      <c r="C839">
        <v>2007</v>
      </c>
      <c r="D839" t="s">
        <v>33</v>
      </c>
      <c r="E839" s="1">
        <f t="shared" si="207"/>
        <v>1877434</v>
      </c>
      <c r="F839" s="1">
        <f t="shared" si="207"/>
        <v>1210716</v>
      </c>
      <c r="G839" s="1">
        <f t="shared" si="199"/>
        <v>3088150</v>
      </c>
      <c r="H839" s="2">
        <f t="shared" si="200"/>
        <v>0.60794780046306041</v>
      </c>
      <c r="I839" s="2">
        <f t="shared" si="201"/>
        <v>0.39205219953693959</v>
      </c>
      <c r="J839" s="1">
        <f t="shared" ref="J839:K839" si="211">SUM(J71+J263+J455+J647)</f>
        <v>3761515.3</v>
      </c>
      <c r="K839" s="1">
        <f t="shared" si="211"/>
        <v>5859856.8999999994</v>
      </c>
      <c r="L839" s="1">
        <f t="shared" si="204"/>
        <v>9621372.1999999993</v>
      </c>
      <c r="M839" s="2">
        <f t="shared" si="205"/>
        <v>0.39095414061624184</v>
      </c>
      <c r="N839" s="2">
        <f t="shared" si="206"/>
        <v>0.60904585938375821</v>
      </c>
    </row>
    <row r="840" spans="1:14" x14ac:dyDescent="0.35">
      <c r="A840" t="s">
        <v>16</v>
      </c>
      <c r="B840" t="s">
        <v>28</v>
      </c>
      <c r="C840">
        <v>2007</v>
      </c>
      <c r="D840" t="s">
        <v>33</v>
      </c>
      <c r="E840" s="1">
        <f t="shared" si="207"/>
        <v>1874083</v>
      </c>
      <c r="F840" s="1">
        <f t="shared" si="207"/>
        <v>1216797</v>
      </c>
      <c r="G840" s="1">
        <f t="shared" si="199"/>
        <v>3090880</v>
      </c>
      <c r="H840" s="2">
        <f t="shared" si="200"/>
        <v>0.60632667719225597</v>
      </c>
      <c r="I840" s="2">
        <f t="shared" si="201"/>
        <v>0.39367332280774409</v>
      </c>
      <c r="J840" s="1">
        <f t="shared" ref="J840:K840" si="212">SUM(J72+J264+J456+J648)</f>
        <v>2862403</v>
      </c>
      <c r="K840" s="1">
        <f t="shared" si="212"/>
        <v>4950918.5</v>
      </c>
      <c r="L840" s="1">
        <f t="shared" si="204"/>
        <v>7813321.5</v>
      </c>
      <c r="M840" s="2">
        <f t="shared" si="205"/>
        <v>0.36634906166346798</v>
      </c>
      <c r="N840" s="2">
        <f t="shared" si="206"/>
        <v>0.63365093833653208</v>
      </c>
    </row>
    <row r="841" spans="1:14" x14ac:dyDescent="0.35">
      <c r="A841" t="s">
        <v>16</v>
      </c>
      <c r="B841" t="s">
        <v>29</v>
      </c>
      <c r="C841">
        <v>2007</v>
      </c>
      <c r="D841" t="s">
        <v>33</v>
      </c>
      <c r="E841" s="1">
        <f t="shared" si="207"/>
        <v>1869455</v>
      </c>
      <c r="F841" s="1">
        <f t="shared" si="207"/>
        <v>1223326</v>
      </c>
      <c r="G841" s="1">
        <f t="shared" si="199"/>
        <v>3092781</v>
      </c>
      <c r="H841" s="2">
        <f t="shared" si="200"/>
        <v>0.6044576062773277</v>
      </c>
      <c r="I841" s="2">
        <f t="shared" si="201"/>
        <v>0.39554239372267225</v>
      </c>
      <c r="J841" s="1">
        <f t="shared" ref="J841:K841" si="213">SUM(J73+J265+J457+J649)</f>
        <v>3146015.5</v>
      </c>
      <c r="K841" s="1">
        <f t="shared" si="213"/>
        <v>5203186.8999999994</v>
      </c>
      <c r="L841" s="1">
        <f t="shared" si="204"/>
        <v>8349202.3999999994</v>
      </c>
      <c r="M841" s="2">
        <f t="shared" si="205"/>
        <v>0.37680431606257386</v>
      </c>
      <c r="N841" s="2">
        <f t="shared" si="206"/>
        <v>0.62319568393742619</v>
      </c>
    </row>
    <row r="842" spans="1:14" x14ac:dyDescent="0.35">
      <c r="A842" t="s">
        <v>16</v>
      </c>
      <c r="B842" t="s">
        <v>17</v>
      </c>
      <c r="C842">
        <v>2008</v>
      </c>
      <c r="D842" t="s">
        <v>33</v>
      </c>
      <c r="E842" s="1">
        <f t="shared" si="207"/>
        <v>1867396</v>
      </c>
      <c r="F842" s="1">
        <f t="shared" si="207"/>
        <v>1228373</v>
      </c>
      <c r="G842" s="1">
        <f t="shared" si="199"/>
        <v>3095769</v>
      </c>
      <c r="H842" s="2">
        <f t="shared" si="200"/>
        <v>0.6032090895670833</v>
      </c>
      <c r="I842" s="2">
        <f t="shared" si="201"/>
        <v>0.39679091043291664</v>
      </c>
      <c r="J842" s="1">
        <f t="shared" ref="J842:K842" si="214">SUM(J74+J266+J458+J650)</f>
        <v>3652184</v>
      </c>
      <c r="K842" s="1">
        <f t="shared" si="214"/>
        <v>5571776</v>
      </c>
      <c r="L842" s="1">
        <f t="shared" si="204"/>
        <v>9223960</v>
      </c>
      <c r="M842" s="2">
        <f t="shared" si="205"/>
        <v>0.39594534234753836</v>
      </c>
      <c r="N842" s="2">
        <f t="shared" si="206"/>
        <v>0.60405465765246158</v>
      </c>
    </row>
    <row r="843" spans="1:14" x14ac:dyDescent="0.35">
      <c r="A843" t="s">
        <v>16</v>
      </c>
      <c r="B843" t="s">
        <v>19</v>
      </c>
      <c r="C843">
        <v>2008</v>
      </c>
      <c r="D843" t="s">
        <v>33</v>
      </c>
      <c r="E843" s="1">
        <f t="shared" si="207"/>
        <v>1862632</v>
      </c>
      <c r="F843" s="1">
        <f t="shared" si="207"/>
        <v>1234975</v>
      </c>
      <c r="G843" s="1">
        <f t="shared" si="199"/>
        <v>3097607</v>
      </c>
      <c r="H843" s="2">
        <f t="shared" si="200"/>
        <v>0.60131320725966853</v>
      </c>
      <c r="I843" s="2">
        <f t="shared" si="201"/>
        <v>0.39868679274033147</v>
      </c>
      <c r="J843" s="1">
        <f t="shared" ref="J843:K843" si="215">SUM(J75+J267+J459+J651)</f>
        <v>3401113</v>
      </c>
      <c r="K843" s="1">
        <f t="shared" si="215"/>
        <v>5198235</v>
      </c>
      <c r="L843" s="1">
        <f t="shared" si="204"/>
        <v>8599348</v>
      </c>
      <c r="M843" s="2">
        <f t="shared" si="205"/>
        <v>0.39550824085733011</v>
      </c>
      <c r="N843" s="2">
        <f t="shared" si="206"/>
        <v>0.60449175914266984</v>
      </c>
    </row>
    <row r="844" spans="1:14" x14ac:dyDescent="0.35">
      <c r="A844" t="s">
        <v>16</v>
      </c>
      <c r="B844" t="s">
        <v>20</v>
      </c>
      <c r="C844">
        <v>2008</v>
      </c>
      <c r="D844" t="s">
        <v>33</v>
      </c>
      <c r="E844" s="1">
        <f t="shared" si="207"/>
        <v>1859461</v>
      </c>
      <c r="F844" s="1">
        <f t="shared" si="207"/>
        <v>1241754</v>
      </c>
      <c r="G844" s="1">
        <f t="shared" si="199"/>
        <v>3101215</v>
      </c>
      <c r="H844" s="2">
        <f t="shared" si="200"/>
        <v>0.59959112799338321</v>
      </c>
      <c r="I844" s="2">
        <f t="shared" si="201"/>
        <v>0.40040887200661673</v>
      </c>
      <c r="J844" s="1">
        <f t="shared" ref="J844:K844" si="216">SUM(J76+J268+J460+J652)</f>
        <v>2991872</v>
      </c>
      <c r="K844" s="1">
        <f t="shared" si="216"/>
        <v>4839772.7</v>
      </c>
      <c r="L844" s="1">
        <f t="shared" si="204"/>
        <v>7831644.7000000002</v>
      </c>
      <c r="M844" s="2">
        <f t="shared" si="205"/>
        <v>0.38202345926137327</v>
      </c>
      <c r="N844" s="2">
        <f t="shared" si="206"/>
        <v>0.61797654073862673</v>
      </c>
    </row>
    <row r="845" spans="1:14" x14ac:dyDescent="0.35">
      <c r="A845" t="s">
        <v>16</v>
      </c>
      <c r="B845" t="s">
        <v>21</v>
      </c>
      <c r="C845">
        <v>2008</v>
      </c>
      <c r="D845" t="s">
        <v>33</v>
      </c>
      <c r="E845" s="1">
        <f t="shared" si="207"/>
        <v>1853444</v>
      </c>
      <c r="F845" s="1">
        <f t="shared" si="207"/>
        <v>1248547</v>
      </c>
      <c r="G845" s="1">
        <f t="shared" si="199"/>
        <v>3101991</v>
      </c>
      <c r="H845" s="2">
        <f t="shared" si="200"/>
        <v>0.59750141119042577</v>
      </c>
      <c r="I845" s="2">
        <f t="shared" si="201"/>
        <v>0.40249858880957423</v>
      </c>
      <c r="J845" s="1">
        <f t="shared" ref="J845:K845" si="217">SUM(J77+J269+J461+J653)</f>
        <v>2774197.4999999995</v>
      </c>
      <c r="K845" s="1">
        <f t="shared" si="217"/>
        <v>4737925.8999999994</v>
      </c>
      <c r="L845" s="1">
        <f t="shared" si="204"/>
        <v>7512123.3999999985</v>
      </c>
      <c r="M845" s="2">
        <f t="shared" si="205"/>
        <v>0.36929605016871797</v>
      </c>
      <c r="N845" s="2">
        <f t="shared" si="206"/>
        <v>0.63070394983128208</v>
      </c>
    </row>
    <row r="846" spans="1:14" x14ac:dyDescent="0.35">
      <c r="A846" t="s">
        <v>16</v>
      </c>
      <c r="B846" t="s">
        <v>22</v>
      </c>
      <c r="C846">
        <v>2008</v>
      </c>
      <c r="D846" t="s">
        <v>33</v>
      </c>
      <c r="E846" s="1">
        <f t="shared" si="207"/>
        <v>1851936</v>
      </c>
      <c r="F846" s="1">
        <f t="shared" si="207"/>
        <v>1287733</v>
      </c>
      <c r="G846" s="1">
        <f t="shared" si="199"/>
        <v>3139669</v>
      </c>
      <c r="H846" s="2">
        <f t="shared" si="200"/>
        <v>0.58985071356248064</v>
      </c>
      <c r="I846" s="2">
        <f t="shared" si="201"/>
        <v>0.41014928643751936</v>
      </c>
      <c r="J846" s="1">
        <f t="shared" ref="J846:K846" si="218">SUM(J78+J270+J462+J654)</f>
        <v>2748021.8</v>
      </c>
      <c r="K846" s="1">
        <f t="shared" si="218"/>
        <v>4864827.3</v>
      </c>
      <c r="L846" s="1">
        <f t="shared" si="204"/>
        <v>7612849.0999999996</v>
      </c>
      <c r="M846" s="2">
        <f t="shared" si="205"/>
        <v>0.36097153167005502</v>
      </c>
      <c r="N846" s="2">
        <f t="shared" si="206"/>
        <v>0.63902846832994498</v>
      </c>
    </row>
    <row r="847" spans="1:14" x14ac:dyDescent="0.35">
      <c r="A847" t="s">
        <v>16</v>
      </c>
      <c r="B847" t="s">
        <v>23</v>
      </c>
      <c r="C847">
        <v>2008</v>
      </c>
      <c r="D847" t="s">
        <v>33</v>
      </c>
      <c r="E847" s="1">
        <f t="shared" si="207"/>
        <v>1849195</v>
      </c>
      <c r="F847" s="1">
        <f t="shared" si="207"/>
        <v>1258193</v>
      </c>
      <c r="G847" s="1">
        <f t="shared" si="199"/>
        <v>3107388</v>
      </c>
      <c r="H847" s="2">
        <f t="shared" si="200"/>
        <v>0.59509626734736698</v>
      </c>
      <c r="I847" s="2">
        <f t="shared" si="201"/>
        <v>0.40490373265263302</v>
      </c>
      <c r="J847" s="1">
        <f t="shared" ref="J847:K847" si="219">SUM(J79+J271+J463+J655)</f>
        <v>4207563.4470000006</v>
      </c>
      <c r="K847" s="1">
        <f t="shared" si="219"/>
        <v>6260109.4000000004</v>
      </c>
      <c r="L847" s="1">
        <f t="shared" si="204"/>
        <v>10467672.847000001</v>
      </c>
      <c r="M847" s="2">
        <f t="shared" si="205"/>
        <v>0.40195786671016126</v>
      </c>
      <c r="N847" s="2">
        <f t="shared" si="206"/>
        <v>0.5980421332898388</v>
      </c>
    </row>
    <row r="848" spans="1:14" x14ac:dyDescent="0.35">
      <c r="A848" t="s">
        <v>16</v>
      </c>
      <c r="B848" t="s">
        <v>24</v>
      </c>
      <c r="C848">
        <v>2008</v>
      </c>
      <c r="D848" t="s">
        <v>33</v>
      </c>
      <c r="E848" s="1">
        <f t="shared" si="207"/>
        <v>1846298</v>
      </c>
      <c r="F848" s="1">
        <f t="shared" si="207"/>
        <v>1266729</v>
      </c>
      <c r="G848" s="1">
        <f t="shared" si="199"/>
        <v>3113027</v>
      </c>
      <c r="H848" s="2">
        <f t="shared" si="200"/>
        <v>0.59308769246138882</v>
      </c>
      <c r="I848" s="2">
        <f t="shared" si="201"/>
        <v>0.40691230753861113</v>
      </c>
      <c r="J848" s="1">
        <f t="shared" ref="J848:K848" si="220">SUM(J80+J272+J464+J656)</f>
        <v>4375530.2340000002</v>
      </c>
      <c r="K848" s="1">
        <f t="shared" si="220"/>
        <v>6537153.0269999998</v>
      </c>
      <c r="L848" s="1">
        <f t="shared" si="204"/>
        <v>10912683.261</v>
      </c>
      <c r="M848" s="2">
        <f t="shared" si="205"/>
        <v>0.4009582363338054</v>
      </c>
      <c r="N848" s="2">
        <f t="shared" si="206"/>
        <v>0.59904176366619455</v>
      </c>
    </row>
    <row r="849" spans="1:14" x14ac:dyDescent="0.35">
      <c r="A849" t="s">
        <v>16</v>
      </c>
      <c r="B849" t="s">
        <v>25</v>
      </c>
      <c r="C849">
        <v>2008</v>
      </c>
      <c r="D849" t="s">
        <v>33</v>
      </c>
      <c r="E849" s="1">
        <f t="shared" si="207"/>
        <v>1847556</v>
      </c>
      <c r="F849" s="1">
        <f t="shared" si="207"/>
        <v>1269051</v>
      </c>
      <c r="G849" s="1">
        <f t="shared" si="199"/>
        <v>3116607</v>
      </c>
      <c r="H849" s="2">
        <f t="shared" si="200"/>
        <v>0.59281006556168292</v>
      </c>
      <c r="I849" s="2">
        <f t="shared" si="201"/>
        <v>0.40718993443831708</v>
      </c>
      <c r="J849" s="1">
        <f t="shared" ref="J849:K849" si="221">SUM(J81+J273+J465+J657)</f>
        <v>4513275.0630000001</v>
      </c>
      <c r="K849" s="1">
        <f t="shared" si="221"/>
        <v>6776723.6970000006</v>
      </c>
      <c r="L849" s="1">
        <f t="shared" si="204"/>
        <v>11289998.760000002</v>
      </c>
      <c r="M849" s="2">
        <f t="shared" si="205"/>
        <v>0.39975868544736665</v>
      </c>
      <c r="N849" s="2">
        <f t="shared" si="206"/>
        <v>0.6002413145526333</v>
      </c>
    </row>
    <row r="850" spans="1:14" x14ac:dyDescent="0.35">
      <c r="A850" t="s">
        <v>16</v>
      </c>
      <c r="B850" t="s">
        <v>26</v>
      </c>
      <c r="C850">
        <v>2008</v>
      </c>
      <c r="D850" t="s">
        <v>33</v>
      </c>
      <c r="E850" s="1">
        <f t="shared" si="207"/>
        <v>1848436</v>
      </c>
      <c r="F850" s="1">
        <f t="shared" si="207"/>
        <v>1267475</v>
      </c>
      <c r="G850" s="1">
        <f t="shared" si="199"/>
        <v>3115911</v>
      </c>
      <c r="H850" s="2">
        <f t="shared" si="200"/>
        <v>0.59322490276519446</v>
      </c>
      <c r="I850" s="2">
        <f t="shared" si="201"/>
        <v>0.40677509723480548</v>
      </c>
      <c r="J850" s="1">
        <f t="shared" ref="J850:K850" si="222">SUM(J82+J274+J466+J658)</f>
        <v>4003034.6919999998</v>
      </c>
      <c r="K850" s="1">
        <f t="shared" si="222"/>
        <v>6405954.1449999996</v>
      </c>
      <c r="L850" s="1">
        <f t="shared" si="204"/>
        <v>10408988.836999999</v>
      </c>
      <c r="M850" s="2">
        <f t="shared" si="205"/>
        <v>0.38457478960595409</v>
      </c>
      <c r="N850" s="2">
        <f t="shared" si="206"/>
        <v>0.61542521039404585</v>
      </c>
    </row>
    <row r="851" spans="1:14" x14ac:dyDescent="0.35">
      <c r="A851" t="s">
        <v>16</v>
      </c>
      <c r="B851" t="s">
        <v>27</v>
      </c>
      <c r="C851">
        <v>2008</v>
      </c>
      <c r="D851" t="s">
        <v>33</v>
      </c>
      <c r="E851" s="1">
        <f t="shared" si="207"/>
        <v>1847387</v>
      </c>
      <c r="F851" s="1">
        <f t="shared" si="207"/>
        <v>1270692</v>
      </c>
      <c r="G851" s="1">
        <f t="shared" si="199"/>
        <v>3118079</v>
      </c>
      <c r="H851" s="2">
        <f t="shared" si="200"/>
        <v>0.59247600846546866</v>
      </c>
      <c r="I851" s="2">
        <f t="shared" si="201"/>
        <v>0.40752399153453134</v>
      </c>
      <c r="J851" s="1">
        <f t="shared" ref="J851:K851" si="223">SUM(J83+J275+J467+J659)</f>
        <v>3142159</v>
      </c>
      <c r="K851" s="1">
        <f t="shared" si="223"/>
        <v>5442816</v>
      </c>
      <c r="L851" s="1">
        <f t="shared" si="204"/>
        <v>8584975</v>
      </c>
      <c r="M851" s="2">
        <f t="shared" si="205"/>
        <v>0.36600677346177479</v>
      </c>
      <c r="N851" s="2">
        <f t="shared" si="206"/>
        <v>0.63399322653822521</v>
      </c>
    </row>
    <row r="852" spans="1:14" x14ac:dyDescent="0.35">
      <c r="A852" t="s">
        <v>16</v>
      </c>
      <c r="B852" t="s">
        <v>28</v>
      </c>
      <c r="C852">
        <v>2008</v>
      </c>
      <c r="D852" t="s">
        <v>33</v>
      </c>
      <c r="E852" s="1">
        <f t="shared" si="207"/>
        <v>1845903</v>
      </c>
      <c r="F852" s="1">
        <f t="shared" si="207"/>
        <v>1273941</v>
      </c>
      <c r="G852" s="1">
        <f t="shared" si="199"/>
        <v>3119844</v>
      </c>
      <c r="H852" s="2">
        <f t="shared" si="200"/>
        <v>0.59166516018108595</v>
      </c>
      <c r="I852" s="2">
        <f t="shared" si="201"/>
        <v>0.408334839818914</v>
      </c>
      <c r="J852" s="1">
        <f t="shared" ref="J852:K852" si="224">SUM(J84+J276+J468+J660)</f>
        <v>2526251</v>
      </c>
      <c r="K852" s="1">
        <f t="shared" si="224"/>
        <v>4804465</v>
      </c>
      <c r="L852" s="1">
        <f t="shared" si="204"/>
        <v>7330716</v>
      </c>
      <c r="M852" s="2">
        <f t="shared" si="205"/>
        <v>0.34461176780003483</v>
      </c>
      <c r="N852" s="2">
        <f t="shared" si="206"/>
        <v>0.65538823219996523</v>
      </c>
    </row>
    <row r="853" spans="1:14" x14ac:dyDescent="0.35">
      <c r="A853" t="s">
        <v>16</v>
      </c>
      <c r="B853" t="s">
        <v>29</v>
      </c>
      <c r="C853">
        <v>2008</v>
      </c>
      <c r="D853" t="s">
        <v>33</v>
      </c>
      <c r="E853" s="1">
        <f t="shared" si="207"/>
        <v>1843450</v>
      </c>
      <c r="F853" s="1">
        <f t="shared" si="207"/>
        <v>1278745</v>
      </c>
      <c r="G853" s="1">
        <f t="shared" si="199"/>
        <v>3122195</v>
      </c>
      <c r="H853" s="2">
        <f t="shared" si="200"/>
        <v>0.59043397353464466</v>
      </c>
      <c r="I853" s="2">
        <f t="shared" si="201"/>
        <v>0.40956602646535528</v>
      </c>
      <c r="J853" s="1">
        <f t="shared" ref="J853:K853" si="225">SUM(J85+J277+J469+J661)</f>
        <v>2891184</v>
      </c>
      <c r="K853" s="1">
        <f t="shared" si="225"/>
        <v>5162858</v>
      </c>
      <c r="L853" s="1">
        <f t="shared" si="204"/>
        <v>8054042</v>
      </c>
      <c r="M853" s="2">
        <f t="shared" si="205"/>
        <v>0.35897304732207752</v>
      </c>
      <c r="N853" s="2">
        <f t="shared" si="206"/>
        <v>0.64102695267792242</v>
      </c>
    </row>
    <row r="854" spans="1:14" x14ac:dyDescent="0.35">
      <c r="A854" t="s">
        <v>16</v>
      </c>
      <c r="B854" t="s">
        <v>17</v>
      </c>
      <c r="C854">
        <v>2009</v>
      </c>
      <c r="D854" t="s">
        <v>33</v>
      </c>
      <c r="E854" s="1">
        <f t="shared" si="207"/>
        <v>1839767</v>
      </c>
      <c r="F854" s="1">
        <f t="shared" si="207"/>
        <v>1289606</v>
      </c>
      <c r="G854" s="1">
        <f t="shared" si="199"/>
        <v>3129373</v>
      </c>
      <c r="H854" s="2">
        <f t="shared" si="200"/>
        <v>0.58790275240439538</v>
      </c>
      <c r="I854" s="2">
        <f t="shared" si="201"/>
        <v>0.41209724759560462</v>
      </c>
      <c r="J854" s="1">
        <f t="shared" ref="J854:K854" si="226">SUM(J86+J278+J470+J662)</f>
        <v>3497866</v>
      </c>
      <c r="K854" s="1">
        <f t="shared" si="226"/>
        <v>5629887</v>
      </c>
      <c r="L854" s="1">
        <f t="shared" si="204"/>
        <v>9127753</v>
      </c>
      <c r="M854" s="2">
        <f t="shared" si="205"/>
        <v>0.38321216623631249</v>
      </c>
      <c r="N854" s="2">
        <f t="shared" si="206"/>
        <v>0.61678783376368751</v>
      </c>
    </row>
    <row r="855" spans="1:14" x14ac:dyDescent="0.35">
      <c r="A855" t="s">
        <v>16</v>
      </c>
      <c r="B855" t="s">
        <v>19</v>
      </c>
      <c r="C855">
        <v>2009</v>
      </c>
      <c r="D855" t="s">
        <v>33</v>
      </c>
      <c r="E855" s="1">
        <f t="shared" si="207"/>
        <v>1839656</v>
      </c>
      <c r="F855" s="1">
        <f t="shared" si="207"/>
        <v>1284486</v>
      </c>
      <c r="G855" s="1">
        <f t="shared" si="199"/>
        <v>3124142</v>
      </c>
      <c r="H855" s="2">
        <f t="shared" si="200"/>
        <v>0.58885159509394902</v>
      </c>
      <c r="I855" s="2">
        <f t="shared" si="201"/>
        <v>0.41114840490605098</v>
      </c>
      <c r="J855" s="1">
        <f t="shared" ref="J855:K855" si="227">SUM(J87+J279+J471+J663)</f>
        <v>3043618</v>
      </c>
      <c r="K855" s="1">
        <f t="shared" si="227"/>
        <v>4916499</v>
      </c>
      <c r="L855" s="1">
        <f t="shared" si="204"/>
        <v>7960117</v>
      </c>
      <c r="M855" s="2">
        <f t="shared" si="205"/>
        <v>0.38235845025895976</v>
      </c>
      <c r="N855" s="2">
        <f t="shared" si="206"/>
        <v>0.61764154974104024</v>
      </c>
    </row>
    <row r="856" spans="1:14" x14ac:dyDescent="0.35">
      <c r="A856" t="s">
        <v>16</v>
      </c>
      <c r="B856" t="s">
        <v>20</v>
      </c>
      <c r="C856">
        <v>2009</v>
      </c>
      <c r="D856" t="s">
        <v>33</v>
      </c>
      <c r="E856" s="1">
        <f t="shared" si="207"/>
        <v>1842007</v>
      </c>
      <c r="F856" s="1">
        <f t="shared" si="207"/>
        <v>1286589</v>
      </c>
      <c r="G856" s="1">
        <f t="shared" si="199"/>
        <v>3128596</v>
      </c>
      <c r="H856" s="2">
        <f t="shared" si="200"/>
        <v>0.58876473664225104</v>
      </c>
      <c r="I856" s="2">
        <f t="shared" si="201"/>
        <v>0.41123526335774896</v>
      </c>
      <c r="J856" s="1">
        <f t="shared" ref="J856:K856" si="228">SUM(J88+J280+J472+J664)</f>
        <v>2675571</v>
      </c>
      <c r="K856" s="1">
        <f t="shared" si="228"/>
        <v>4645352</v>
      </c>
      <c r="L856" s="1">
        <f t="shared" si="204"/>
        <v>7320923</v>
      </c>
      <c r="M856" s="2">
        <f t="shared" si="205"/>
        <v>0.36546908087955576</v>
      </c>
      <c r="N856" s="2">
        <f t="shared" si="206"/>
        <v>0.63453091912044424</v>
      </c>
    </row>
    <row r="857" spans="1:14" x14ac:dyDescent="0.35">
      <c r="A857" t="s">
        <v>16</v>
      </c>
      <c r="B857" t="s">
        <v>21</v>
      </c>
      <c r="C857">
        <v>2009</v>
      </c>
      <c r="D857" t="s">
        <v>33</v>
      </c>
      <c r="E857" s="1">
        <f t="shared" si="207"/>
        <v>1840489</v>
      </c>
      <c r="F857" s="1">
        <f t="shared" si="207"/>
        <v>1290842</v>
      </c>
      <c r="G857" s="1">
        <f t="shared" si="199"/>
        <v>3131331</v>
      </c>
      <c r="H857" s="2">
        <f t="shared" si="200"/>
        <v>0.58776571368533059</v>
      </c>
      <c r="I857" s="2">
        <f t="shared" si="201"/>
        <v>0.41223428631466941</v>
      </c>
      <c r="J857" s="1">
        <f t="shared" ref="J857:K857" si="229">SUM(J89+J281+J473+J665)</f>
        <v>2659379</v>
      </c>
      <c r="K857" s="1">
        <f t="shared" si="229"/>
        <v>4740526</v>
      </c>
      <c r="L857" s="1">
        <f t="shared" si="204"/>
        <v>7399905</v>
      </c>
      <c r="M857" s="2">
        <f t="shared" si="205"/>
        <v>0.35938015420468233</v>
      </c>
      <c r="N857" s="2">
        <f t="shared" si="206"/>
        <v>0.64061984579531761</v>
      </c>
    </row>
    <row r="858" spans="1:14" x14ac:dyDescent="0.35">
      <c r="A858" t="s">
        <v>16</v>
      </c>
      <c r="B858" t="s">
        <v>22</v>
      </c>
      <c r="C858">
        <v>2009</v>
      </c>
      <c r="D858" t="s">
        <v>33</v>
      </c>
      <c r="E858" s="1">
        <f t="shared" si="207"/>
        <v>1835175</v>
      </c>
      <c r="F858" s="1">
        <f t="shared" si="207"/>
        <v>1298153</v>
      </c>
      <c r="G858" s="1">
        <f t="shared" si="199"/>
        <v>3133328</v>
      </c>
      <c r="H858" s="2">
        <f t="shared" si="200"/>
        <v>0.58569514586407811</v>
      </c>
      <c r="I858" s="2">
        <f t="shared" si="201"/>
        <v>0.41430485413592194</v>
      </c>
      <c r="J858" s="1">
        <f t="shared" ref="J858:K858" si="230">SUM(J90+J282+J474+J666)</f>
        <v>2726250</v>
      </c>
      <c r="K858" s="1">
        <f t="shared" si="230"/>
        <v>4804020</v>
      </c>
      <c r="L858" s="1">
        <f t="shared" si="204"/>
        <v>7530270</v>
      </c>
      <c r="M858" s="2">
        <f t="shared" si="205"/>
        <v>0.36203881135736171</v>
      </c>
      <c r="N858" s="2">
        <f t="shared" si="206"/>
        <v>0.63796118864263829</v>
      </c>
    </row>
    <row r="859" spans="1:14" x14ac:dyDescent="0.35">
      <c r="A859" t="s">
        <v>16</v>
      </c>
      <c r="B859" t="s">
        <v>23</v>
      </c>
      <c r="C859">
        <v>2009</v>
      </c>
      <c r="D859" t="s">
        <v>33</v>
      </c>
      <c r="E859" s="1">
        <f t="shared" si="207"/>
        <v>1830548</v>
      </c>
      <c r="F859" s="1">
        <f t="shared" si="207"/>
        <v>1306402</v>
      </c>
      <c r="G859" s="1">
        <f t="shared" si="199"/>
        <v>3136950</v>
      </c>
      <c r="H859" s="2">
        <f t="shared" si="200"/>
        <v>0.58354388817163172</v>
      </c>
      <c r="I859" s="2">
        <f t="shared" si="201"/>
        <v>0.41645611182836834</v>
      </c>
      <c r="J859" s="1">
        <f t="shared" ref="J859:K859" si="231">SUM(J91+J283+J475+J667)</f>
        <v>3452209</v>
      </c>
      <c r="K859" s="1">
        <f t="shared" si="231"/>
        <v>5561412</v>
      </c>
      <c r="L859" s="1">
        <f t="shared" si="204"/>
        <v>9013621</v>
      </c>
      <c r="M859" s="2">
        <f t="shared" si="205"/>
        <v>0.38299912987244528</v>
      </c>
      <c r="N859" s="2">
        <f t="shared" si="206"/>
        <v>0.61700087012755478</v>
      </c>
    </row>
    <row r="860" spans="1:14" x14ac:dyDescent="0.35">
      <c r="A860" t="s">
        <v>16</v>
      </c>
      <c r="B860" t="s">
        <v>24</v>
      </c>
      <c r="C860">
        <v>2009</v>
      </c>
      <c r="D860" t="s">
        <v>33</v>
      </c>
      <c r="E860" s="1">
        <f t="shared" si="207"/>
        <v>1821734</v>
      </c>
      <c r="F860" s="1">
        <f t="shared" si="207"/>
        <v>1318822</v>
      </c>
      <c r="G860" s="1">
        <f t="shared" si="199"/>
        <v>3140556</v>
      </c>
      <c r="H860" s="2">
        <f t="shared" si="200"/>
        <v>0.58006735113145569</v>
      </c>
      <c r="I860" s="2">
        <f t="shared" si="201"/>
        <v>0.41993264886854431</v>
      </c>
      <c r="J860" s="1">
        <f t="shared" ref="J860:K860" si="232">SUM(J92+J284+J476+J668)</f>
        <v>4527713.5999999996</v>
      </c>
      <c r="K860" s="1">
        <f t="shared" si="232"/>
        <v>6532659.2000000002</v>
      </c>
      <c r="L860" s="1">
        <f t="shared" si="204"/>
        <v>11060372.800000001</v>
      </c>
      <c r="M860" s="2">
        <f t="shared" si="205"/>
        <v>0.40936356141630231</v>
      </c>
      <c r="N860" s="2">
        <f t="shared" si="206"/>
        <v>0.59063643858369763</v>
      </c>
    </row>
    <row r="861" spans="1:14" x14ac:dyDescent="0.35">
      <c r="A861" t="s">
        <v>16</v>
      </c>
      <c r="B861" t="s">
        <v>25</v>
      </c>
      <c r="C861">
        <v>2009</v>
      </c>
      <c r="D861" t="s">
        <v>33</v>
      </c>
      <c r="E861" s="1">
        <f t="shared" si="207"/>
        <v>1810479</v>
      </c>
      <c r="F861" s="1">
        <f t="shared" si="207"/>
        <v>1332303</v>
      </c>
      <c r="G861" s="1">
        <f t="shared" si="199"/>
        <v>3142782</v>
      </c>
      <c r="H861" s="2">
        <f t="shared" si="200"/>
        <v>0.57607527343608311</v>
      </c>
      <c r="I861" s="2">
        <f t="shared" si="201"/>
        <v>0.42392472656391694</v>
      </c>
      <c r="J861" s="1">
        <f t="shared" ref="J861:K861" si="233">SUM(J93+J285+J477+J669)</f>
        <v>4334766.2</v>
      </c>
      <c r="K861" s="1">
        <f t="shared" si="233"/>
        <v>6324571.7999999998</v>
      </c>
      <c r="L861" s="1">
        <f t="shared" si="204"/>
        <v>10659338</v>
      </c>
      <c r="M861" s="2">
        <f t="shared" si="205"/>
        <v>0.40666373465218947</v>
      </c>
      <c r="N861" s="2">
        <f t="shared" si="206"/>
        <v>0.59333626534781048</v>
      </c>
    </row>
    <row r="862" spans="1:14" x14ac:dyDescent="0.35">
      <c r="A862" t="s">
        <v>16</v>
      </c>
      <c r="B862" t="s">
        <v>26</v>
      </c>
      <c r="C862">
        <v>2009</v>
      </c>
      <c r="D862" t="s">
        <v>33</v>
      </c>
      <c r="E862" s="1">
        <f t="shared" si="207"/>
        <v>1793877</v>
      </c>
      <c r="F862" s="1">
        <f t="shared" si="207"/>
        <v>1347866</v>
      </c>
      <c r="G862" s="1">
        <f t="shared" si="199"/>
        <v>3141743</v>
      </c>
      <c r="H862" s="2">
        <f t="shared" si="200"/>
        <v>0.57098145838154168</v>
      </c>
      <c r="I862" s="2">
        <f t="shared" si="201"/>
        <v>0.42901854161845832</v>
      </c>
      <c r="J862" s="1">
        <f t="shared" ref="J862:K862" si="234">SUM(J94+J286+J478+J670)</f>
        <v>4054235.1000000006</v>
      </c>
      <c r="K862" s="1">
        <f t="shared" si="234"/>
        <v>6207359.7999999998</v>
      </c>
      <c r="L862" s="1">
        <f t="shared" si="204"/>
        <v>10261594.9</v>
      </c>
      <c r="M862" s="2">
        <f t="shared" si="205"/>
        <v>0.39508820407634687</v>
      </c>
      <c r="N862" s="2">
        <f t="shared" si="206"/>
        <v>0.60491179592365307</v>
      </c>
    </row>
    <row r="863" spans="1:14" x14ac:dyDescent="0.35">
      <c r="A863" t="s">
        <v>16</v>
      </c>
      <c r="B863" t="s">
        <v>27</v>
      </c>
      <c r="C863">
        <v>2009</v>
      </c>
      <c r="D863" t="s">
        <v>33</v>
      </c>
      <c r="E863" s="1">
        <f t="shared" si="207"/>
        <v>1781689</v>
      </c>
      <c r="F863" s="1">
        <f t="shared" si="207"/>
        <v>1358890</v>
      </c>
      <c r="G863" s="1">
        <f t="shared" si="199"/>
        <v>3140579</v>
      </c>
      <c r="H863" s="2">
        <f t="shared" si="200"/>
        <v>0.56731226948916103</v>
      </c>
      <c r="I863" s="2">
        <f t="shared" si="201"/>
        <v>0.43268773051083892</v>
      </c>
      <c r="J863" s="1">
        <f t="shared" ref="J863:K863" si="235">SUM(J95+J287+J479+J671)</f>
        <v>2940667.6</v>
      </c>
      <c r="K863" s="1">
        <f t="shared" si="235"/>
        <v>5127998.9999999991</v>
      </c>
      <c r="L863" s="1">
        <f t="shared" si="204"/>
        <v>8068666.5999999996</v>
      </c>
      <c r="M863" s="2">
        <f t="shared" si="205"/>
        <v>0.36445521246348189</v>
      </c>
      <c r="N863" s="2">
        <f t="shared" si="206"/>
        <v>0.635544787536518</v>
      </c>
    </row>
    <row r="864" spans="1:14" x14ac:dyDescent="0.35">
      <c r="A864" t="s">
        <v>16</v>
      </c>
      <c r="B864" t="s">
        <v>28</v>
      </c>
      <c r="C864">
        <v>2009</v>
      </c>
      <c r="D864" t="s">
        <v>33</v>
      </c>
      <c r="E864" s="1">
        <f t="shared" si="207"/>
        <v>1772072</v>
      </c>
      <c r="F864" s="1">
        <f t="shared" si="207"/>
        <v>1369561</v>
      </c>
      <c r="G864" s="1">
        <f t="shared" si="199"/>
        <v>3141633</v>
      </c>
      <c r="H864" s="2">
        <f t="shared" si="200"/>
        <v>0.56406079258780384</v>
      </c>
      <c r="I864" s="2">
        <f t="shared" si="201"/>
        <v>0.43593920741219616</v>
      </c>
      <c r="J864" s="1">
        <f t="shared" ref="J864:K864" si="236">SUM(J96+J288+J480+J672)</f>
        <v>2435637.4</v>
      </c>
      <c r="K864" s="1">
        <f t="shared" si="236"/>
        <v>4479260.5</v>
      </c>
      <c r="L864" s="1">
        <f t="shared" si="204"/>
        <v>6914897.9000000004</v>
      </c>
      <c r="M864" s="2">
        <f t="shared" si="205"/>
        <v>0.35223042121851139</v>
      </c>
      <c r="N864" s="2">
        <f t="shared" si="206"/>
        <v>0.64776957878148855</v>
      </c>
    </row>
    <row r="865" spans="1:14" x14ac:dyDescent="0.35">
      <c r="A865" t="s">
        <v>16</v>
      </c>
      <c r="B865" t="s">
        <v>29</v>
      </c>
      <c r="C865">
        <v>2009</v>
      </c>
      <c r="D865" t="s">
        <v>33</v>
      </c>
      <c r="E865" s="1">
        <f t="shared" si="207"/>
        <v>1763359</v>
      </c>
      <c r="F865" s="1">
        <f t="shared" si="207"/>
        <v>1381223</v>
      </c>
      <c r="G865" s="1">
        <f t="shared" si="199"/>
        <v>3144582</v>
      </c>
      <c r="H865" s="2">
        <f t="shared" si="200"/>
        <v>0.56076101688555113</v>
      </c>
      <c r="I865" s="2">
        <f t="shared" si="201"/>
        <v>0.43923898311444892</v>
      </c>
      <c r="J865" s="1">
        <f t="shared" ref="J865:K865" si="237">SUM(J97+J289+J481+J673)</f>
        <v>3026820.2</v>
      </c>
      <c r="K865" s="1">
        <f t="shared" si="237"/>
        <v>5176737.1000000006</v>
      </c>
      <c r="L865" s="1">
        <f t="shared" si="204"/>
        <v>8203557.3000000007</v>
      </c>
      <c r="M865" s="2">
        <f t="shared" si="205"/>
        <v>0.36896435159903129</v>
      </c>
      <c r="N865" s="2">
        <f t="shared" si="206"/>
        <v>0.63103564840096871</v>
      </c>
    </row>
    <row r="866" spans="1:14" x14ac:dyDescent="0.35">
      <c r="A866" t="s">
        <v>16</v>
      </c>
      <c r="B866" t="s">
        <v>17</v>
      </c>
      <c r="C866">
        <v>2010</v>
      </c>
      <c r="D866" t="s">
        <v>33</v>
      </c>
      <c r="E866" s="1">
        <f t="shared" si="207"/>
        <v>1757549</v>
      </c>
      <c r="F866" s="1">
        <f t="shared" si="207"/>
        <v>1389559</v>
      </c>
      <c r="G866" s="1">
        <f t="shared" si="199"/>
        <v>3147108</v>
      </c>
      <c r="H866" s="2">
        <f t="shared" si="200"/>
        <v>0.55846478735397709</v>
      </c>
      <c r="I866" s="2">
        <f t="shared" si="201"/>
        <v>0.44153521264602297</v>
      </c>
      <c r="J866" s="1">
        <f t="shared" ref="J866:K866" si="238">SUM(J98+J290+J482+J674)</f>
        <v>3916015.5079999999</v>
      </c>
      <c r="K866" s="1">
        <f t="shared" si="238"/>
        <v>5948004.1289999997</v>
      </c>
      <c r="L866" s="1">
        <f t="shared" si="204"/>
        <v>9864019.6370000001</v>
      </c>
      <c r="M866" s="2">
        <f t="shared" si="205"/>
        <v>0.39699997081423083</v>
      </c>
      <c r="N866" s="2">
        <f t="shared" si="206"/>
        <v>0.60300002918576912</v>
      </c>
    </row>
    <row r="867" spans="1:14" x14ac:dyDescent="0.35">
      <c r="A867" t="s">
        <v>16</v>
      </c>
      <c r="B867" t="s">
        <v>19</v>
      </c>
      <c r="C867">
        <v>2010</v>
      </c>
      <c r="D867" t="s">
        <v>33</v>
      </c>
      <c r="E867" s="1">
        <f t="shared" si="207"/>
        <v>1748281</v>
      </c>
      <c r="F867" s="1">
        <f t="shared" si="207"/>
        <v>1404362</v>
      </c>
      <c r="G867" s="1">
        <f t="shared" si="199"/>
        <v>3152643</v>
      </c>
      <c r="H867" s="2">
        <f t="shared" si="200"/>
        <v>0.55454455198384345</v>
      </c>
      <c r="I867" s="2">
        <f t="shared" si="201"/>
        <v>0.44545544801615661</v>
      </c>
      <c r="J867" s="1">
        <f t="shared" ref="J867:K867" si="239">SUM(J99+J291+J483+J675)</f>
        <v>3388321.8870000001</v>
      </c>
      <c r="K867" s="1">
        <f t="shared" si="239"/>
        <v>5256097.2029999997</v>
      </c>
      <c r="L867" s="1">
        <f t="shared" si="204"/>
        <v>8644419.0899999999</v>
      </c>
      <c r="M867" s="2">
        <f t="shared" si="205"/>
        <v>0.39196640650146919</v>
      </c>
      <c r="N867" s="2">
        <f t="shared" si="206"/>
        <v>0.60803359349853081</v>
      </c>
    </row>
    <row r="868" spans="1:14" x14ac:dyDescent="0.35">
      <c r="A868" t="s">
        <v>16</v>
      </c>
      <c r="B868" t="s">
        <v>20</v>
      </c>
      <c r="C868">
        <v>2010</v>
      </c>
      <c r="D868" t="s">
        <v>33</v>
      </c>
      <c r="E868" s="1">
        <f t="shared" si="207"/>
        <v>1738155</v>
      </c>
      <c r="F868" s="1">
        <f t="shared" si="207"/>
        <v>1416652</v>
      </c>
      <c r="G868" s="1">
        <f t="shared" si="199"/>
        <v>3154807</v>
      </c>
      <c r="H868" s="2">
        <f t="shared" si="200"/>
        <v>0.55095446409241511</v>
      </c>
      <c r="I868" s="2">
        <f t="shared" si="201"/>
        <v>0.44904553590758484</v>
      </c>
      <c r="J868" s="1">
        <f t="shared" ref="J868:K868" si="240">SUM(J100+J292+J484+J676)</f>
        <v>3119234.5780000002</v>
      </c>
      <c r="K868" s="1">
        <f t="shared" si="240"/>
        <v>4984372.8130000001</v>
      </c>
      <c r="L868" s="1">
        <f t="shared" si="204"/>
        <v>8103607.3910000008</v>
      </c>
      <c r="M868" s="2">
        <f t="shared" si="205"/>
        <v>0.38491926218738992</v>
      </c>
      <c r="N868" s="2">
        <f t="shared" si="206"/>
        <v>0.61508073781260997</v>
      </c>
    </row>
    <row r="869" spans="1:14" x14ac:dyDescent="0.35">
      <c r="A869" t="s">
        <v>16</v>
      </c>
      <c r="B869" t="s">
        <v>21</v>
      </c>
      <c r="C869">
        <v>2010</v>
      </c>
      <c r="D869" t="s">
        <v>33</v>
      </c>
      <c r="E869" s="1">
        <f t="shared" si="207"/>
        <v>1729938</v>
      </c>
      <c r="F869" s="1">
        <f t="shared" si="207"/>
        <v>1425276</v>
      </c>
      <c r="G869" s="1">
        <f t="shared" si="199"/>
        <v>3155214</v>
      </c>
      <c r="H869" s="2">
        <f t="shared" si="200"/>
        <v>0.54827913415698581</v>
      </c>
      <c r="I869" s="2">
        <f t="shared" si="201"/>
        <v>0.45172086584301413</v>
      </c>
      <c r="J869" s="1">
        <f t="shared" ref="J869:K869" si="241">SUM(J101+J293+J485+J677)</f>
        <v>2661555.2000000002</v>
      </c>
      <c r="K869" s="1">
        <f t="shared" si="241"/>
        <v>4691198.2509999992</v>
      </c>
      <c r="L869" s="1">
        <f t="shared" si="204"/>
        <v>7352753.4509999994</v>
      </c>
      <c r="M869" s="2">
        <f t="shared" si="205"/>
        <v>0.36198074880887238</v>
      </c>
      <c r="N869" s="2">
        <f t="shared" si="206"/>
        <v>0.63801925119112768</v>
      </c>
    </row>
    <row r="870" spans="1:14" x14ac:dyDescent="0.35">
      <c r="A870" t="s">
        <v>16</v>
      </c>
      <c r="B870" t="s">
        <v>22</v>
      </c>
      <c r="C870">
        <v>2010</v>
      </c>
      <c r="D870" t="s">
        <v>33</v>
      </c>
      <c r="E870" s="1">
        <f t="shared" si="207"/>
        <v>1721078</v>
      </c>
      <c r="F870" s="1">
        <f t="shared" si="207"/>
        <v>1436188</v>
      </c>
      <c r="G870" s="1">
        <f t="shared" si="199"/>
        <v>3157266</v>
      </c>
      <c r="H870" s="2">
        <f t="shared" si="200"/>
        <v>0.54511656604163217</v>
      </c>
      <c r="I870" s="2">
        <f t="shared" si="201"/>
        <v>0.45488343395836778</v>
      </c>
      <c r="J870" s="1">
        <f t="shared" ref="J870:K870" si="242">SUM(J102+J294+J486+J678)</f>
        <v>2628325</v>
      </c>
      <c r="K870" s="1">
        <f t="shared" si="242"/>
        <v>4796397.5190000003</v>
      </c>
      <c r="L870" s="1">
        <f t="shared" si="204"/>
        <v>7424722.5190000003</v>
      </c>
      <c r="M870" s="2">
        <f t="shared" si="205"/>
        <v>0.35399639424558538</v>
      </c>
      <c r="N870" s="2">
        <f t="shared" si="206"/>
        <v>0.64600360575441462</v>
      </c>
    </row>
    <row r="871" spans="1:14" x14ac:dyDescent="0.35">
      <c r="A871" t="s">
        <v>16</v>
      </c>
      <c r="B871" t="s">
        <v>23</v>
      </c>
      <c r="C871">
        <v>2010</v>
      </c>
      <c r="D871" t="s">
        <v>33</v>
      </c>
      <c r="E871" s="1">
        <f t="shared" si="207"/>
        <v>1710592</v>
      </c>
      <c r="F871" s="1">
        <f t="shared" si="207"/>
        <v>1448834</v>
      </c>
      <c r="G871" s="1">
        <f t="shared" si="199"/>
        <v>3159426</v>
      </c>
      <c r="H871" s="2">
        <f t="shared" si="200"/>
        <v>0.54142492971824629</v>
      </c>
      <c r="I871" s="2">
        <f t="shared" si="201"/>
        <v>0.45857507028175371</v>
      </c>
      <c r="J871" s="1">
        <f t="shared" ref="J871:K871" si="243">SUM(J103+J295+J487+J679)</f>
        <v>3722201.8999999994</v>
      </c>
      <c r="K871" s="1">
        <f t="shared" si="243"/>
        <v>6164045.3420000002</v>
      </c>
      <c r="L871" s="1">
        <f t="shared" si="204"/>
        <v>9886247.2419999987</v>
      </c>
      <c r="M871" s="2">
        <f t="shared" si="205"/>
        <v>0.37650301564246474</v>
      </c>
      <c r="N871" s="2">
        <f t="shared" si="206"/>
        <v>0.62349698435753531</v>
      </c>
    </row>
    <row r="872" spans="1:14" x14ac:dyDescent="0.35">
      <c r="A872" t="s">
        <v>16</v>
      </c>
      <c r="B872" t="s">
        <v>24</v>
      </c>
      <c r="C872">
        <v>2010</v>
      </c>
      <c r="D872" t="s">
        <v>33</v>
      </c>
      <c r="E872" s="1">
        <f t="shared" si="207"/>
        <v>1698272</v>
      </c>
      <c r="F872" s="1">
        <f t="shared" si="207"/>
        <v>1464159</v>
      </c>
      <c r="G872" s="1">
        <f t="shared" si="199"/>
        <v>3162431</v>
      </c>
      <c r="H872" s="2">
        <f t="shared" si="200"/>
        <v>0.53701472063738309</v>
      </c>
      <c r="I872" s="2">
        <f t="shared" si="201"/>
        <v>0.46298527936261691</v>
      </c>
      <c r="J872" s="1">
        <f t="shared" ref="J872:K872" si="244">SUM(J104+J296+J488+J680)</f>
        <v>4188638.6999999997</v>
      </c>
      <c r="K872" s="1">
        <f t="shared" si="244"/>
        <v>6724731.0000000009</v>
      </c>
      <c r="L872" s="1">
        <f t="shared" si="204"/>
        <v>10913369.700000001</v>
      </c>
      <c r="M872" s="2">
        <f t="shared" si="205"/>
        <v>0.38380800936304754</v>
      </c>
      <c r="N872" s="2">
        <f t="shared" si="206"/>
        <v>0.6161919906369524</v>
      </c>
    </row>
    <row r="873" spans="1:14" x14ac:dyDescent="0.35">
      <c r="A873" t="s">
        <v>16</v>
      </c>
      <c r="B873" t="s">
        <v>25</v>
      </c>
      <c r="C873">
        <v>2010</v>
      </c>
      <c r="D873" t="s">
        <v>33</v>
      </c>
      <c r="E873" s="1">
        <f t="shared" si="207"/>
        <v>1685671</v>
      </c>
      <c r="F873" s="1">
        <f t="shared" si="207"/>
        <v>1481691</v>
      </c>
      <c r="G873" s="1">
        <f t="shared" si="199"/>
        <v>3167362</v>
      </c>
      <c r="H873" s="2">
        <f t="shared" si="200"/>
        <v>0.53220029791353185</v>
      </c>
      <c r="I873" s="2">
        <f t="shared" si="201"/>
        <v>0.46779970208646815</v>
      </c>
      <c r="J873" s="1">
        <f t="shared" ref="J873:K873" si="245">SUM(J105+J297+J489+J681)</f>
        <v>4371877.2</v>
      </c>
      <c r="K873" s="1">
        <f t="shared" si="245"/>
        <v>6936776.0999999996</v>
      </c>
      <c r="L873" s="1">
        <f t="shared" si="204"/>
        <v>11308653.300000001</v>
      </c>
      <c r="M873" s="2">
        <f t="shared" si="205"/>
        <v>0.38659574080319536</v>
      </c>
      <c r="N873" s="2">
        <f t="shared" si="206"/>
        <v>0.61340425919680452</v>
      </c>
    </row>
    <row r="874" spans="1:14" x14ac:dyDescent="0.35">
      <c r="A874" t="s">
        <v>16</v>
      </c>
      <c r="B874" t="s">
        <v>26</v>
      </c>
      <c r="C874">
        <v>2010</v>
      </c>
      <c r="D874" t="s">
        <v>33</v>
      </c>
      <c r="E874" s="1">
        <f t="shared" si="207"/>
        <v>1670605</v>
      </c>
      <c r="F874" s="1">
        <f t="shared" si="207"/>
        <v>1496583</v>
      </c>
      <c r="G874" s="1">
        <f t="shared" si="199"/>
        <v>3167188</v>
      </c>
      <c r="H874" s="2">
        <f t="shared" si="200"/>
        <v>0.52747263503145381</v>
      </c>
      <c r="I874" s="2">
        <f t="shared" si="201"/>
        <v>0.47252736496854625</v>
      </c>
      <c r="J874" s="1">
        <f t="shared" ref="J874:K874" si="246">SUM(J106+J298+J490+J682)</f>
        <v>4244445.5999999996</v>
      </c>
      <c r="K874" s="1">
        <f t="shared" si="246"/>
        <v>7012433.7999999998</v>
      </c>
      <c r="L874" s="1">
        <f t="shared" si="204"/>
        <v>11256879.399999999</v>
      </c>
      <c r="M874" s="2">
        <f t="shared" si="205"/>
        <v>0.37705348428979352</v>
      </c>
      <c r="N874" s="2">
        <f t="shared" si="206"/>
        <v>0.62294651571020654</v>
      </c>
    </row>
    <row r="875" spans="1:14" x14ac:dyDescent="0.35">
      <c r="A875" t="s">
        <v>16</v>
      </c>
      <c r="B875" t="s">
        <v>27</v>
      </c>
      <c r="C875">
        <v>2010</v>
      </c>
      <c r="D875" t="s">
        <v>33</v>
      </c>
      <c r="E875" s="1">
        <f t="shared" si="207"/>
        <v>1655099</v>
      </c>
      <c r="F875" s="1">
        <f t="shared" si="207"/>
        <v>1511616</v>
      </c>
      <c r="G875" s="1">
        <f t="shared" si="199"/>
        <v>3166715</v>
      </c>
      <c r="H875" s="2">
        <f t="shared" si="200"/>
        <v>0.52265486474153811</v>
      </c>
      <c r="I875" s="2">
        <f t="shared" si="201"/>
        <v>0.47734513525846184</v>
      </c>
      <c r="J875" s="1">
        <f t="shared" ref="J875:K875" si="247">SUM(J107+J299+J491+J683)</f>
        <v>3136453.7</v>
      </c>
      <c r="K875" s="1">
        <f t="shared" si="247"/>
        <v>5713863.2999999998</v>
      </c>
      <c r="L875" s="1">
        <f t="shared" si="204"/>
        <v>8850317</v>
      </c>
      <c r="M875" s="2">
        <f t="shared" si="205"/>
        <v>0.35438885409415283</v>
      </c>
      <c r="N875" s="2">
        <f t="shared" si="206"/>
        <v>0.64561114590584723</v>
      </c>
    </row>
    <row r="876" spans="1:14" x14ac:dyDescent="0.35">
      <c r="A876" t="s">
        <v>16</v>
      </c>
      <c r="B876" t="s">
        <v>28</v>
      </c>
      <c r="C876">
        <v>2010</v>
      </c>
      <c r="D876" t="s">
        <v>33</v>
      </c>
      <c r="E876" s="1">
        <f t="shared" si="207"/>
        <v>1642722</v>
      </c>
      <c r="F876" s="1">
        <f t="shared" si="207"/>
        <v>1526271</v>
      </c>
      <c r="G876" s="1">
        <f t="shared" si="199"/>
        <v>3168993</v>
      </c>
      <c r="H876" s="2">
        <f t="shared" si="200"/>
        <v>0.51837350224503498</v>
      </c>
      <c r="I876" s="2">
        <f t="shared" si="201"/>
        <v>0.48162649775496508</v>
      </c>
      <c r="J876" s="1">
        <f t="shared" ref="J876:K876" si="248">SUM(J108+J300+J492+J684)</f>
        <v>2476114.1000000006</v>
      </c>
      <c r="K876" s="1">
        <f t="shared" si="248"/>
        <v>4918623.4000000004</v>
      </c>
      <c r="L876" s="1">
        <f t="shared" si="204"/>
        <v>7394737.5000000009</v>
      </c>
      <c r="M876" s="2">
        <f t="shared" si="205"/>
        <v>0.3348481403160018</v>
      </c>
      <c r="N876" s="2">
        <f t="shared" si="206"/>
        <v>0.66515185968399826</v>
      </c>
    </row>
    <row r="877" spans="1:14" x14ac:dyDescent="0.35">
      <c r="A877" t="s">
        <v>16</v>
      </c>
      <c r="B877" t="s">
        <v>29</v>
      </c>
      <c r="C877">
        <v>2010</v>
      </c>
      <c r="D877" t="s">
        <v>33</v>
      </c>
      <c r="E877" s="1">
        <f t="shared" si="207"/>
        <v>1631632</v>
      </c>
      <c r="F877" s="1">
        <f t="shared" si="207"/>
        <v>1539430</v>
      </c>
      <c r="G877" s="1">
        <f t="shared" si="199"/>
        <v>3171062</v>
      </c>
      <c r="H877" s="2">
        <f t="shared" si="200"/>
        <v>0.51453803173826307</v>
      </c>
      <c r="I877" s="2">
        <f t="shared" si="201"/>
        <v>0.48546196826173693</v>
      </c>
      <c r="J877" s="1">
        <f t="shared" ref="J877:K877" si="249">SUM(J109+J301+J493+J685)</f>
        <v>2860138.7</v>
      </c>
      <c r="K877" s="1">
        <f t="shared" si="249"/>
        <v>5463413.0000000009</v>
      </c>
      <c r="L877" s="1">
        <f t="shared" si="204"/>
        <v>8323551.7000000011</v>
      </c>
      <c r="M877" s="2">
        <f t="shared" si="205"/>
        <v>0.34361998376246039</v>
      </c>
      <c r="N877" s="2">
        <f t="shared" si="206"/>
        <v>0.65638001623753961</v>
      </c>
    </row>
    <row r="878" spans="1:14" x14ac:dyDescent="0.35">
      <c r="A878" t="s">
        <v>16</v>
      </c>
      <c r="B878" t="s">
        <v>17</v>
      </c>
      <c r="C878">
        <v>2011</v>
      </c>
      <c r="D878" t="s">
        <v>33</v>
      </c>
      <c r="E878" s="1">
        <f t="shared" si="207"/>
        <v>1622367</v>
      </c>
      <c r="F878" s="1">
        <f t="shared" si="207"/>
        <v>1551486</v>
      </c>
      <c r="G878" s="1">
        <f t="shared" si="199"/>
        <v>3173853</v>
      </c>
      <c r="H878" s="2">
        <f t="shared" si="200"/>
        <v>0.51116639617524817</v>
      </c>
      <c r="I878" s="2">
        <f t="shared" si="201"/>
        <v>0.48883360382475183</v>
      </c>
      <c r="J878" s="1">
        <f t="shared" ref="J878:K878" si="250">SUM(J110+J302+J494+J686)</f>
        <v>3371066.1999999993</v>
      </c>
      <c r="K878" s="1">
        <f t="shared" si="250"/>
        <v>6063347.8000000007</v>
      </c>
      <c r="L878" s="1">
        <f t="shared" si="204"/>
        <v>9434414</v>
      </c>
      <c r="M878" s="2">
        <f t="shared" si="205"/>
        <v>0.3573159074850859</v>
      </c>
      <c r="N878" s="2">
        <f t="shared" si="206"/>
        <v>0.6426840925149141</v>
      </c>
    </row>
    <row r="879" spans="1:14" x14ac:dyDescent="0.35">
      <c r="A879" t="s">
        <v>16</v>
      </c>
      <c r="B879" t="s">
        <v>19</v>
      </c>
      <c r="C879">
        <v>2011</v>
      </c>
      <c r="D879" t="s">
        <v>33</v>
      </c>
      <c r="E879" s="1">
        <f t="shared" si="207"/>
        <v>1610357</v>
      </c>
      <c r="F879" s="1">
        <f t="shared" si="207"/>
        <v>1567598</v>
      </c>
      <c r="G879" s="1">
        <f t="shared" si="199"/>
        <v>3177955</v>
      </c>
      <c r="H879" s="2">
        <f t="shared" si="200"/>
        <v>0.5067274395011887</v>
      </c>
      <c r="I879" s="2">
        <f t="shared" si="201"/>
        <v>0.49327256049881135</v>
      </c>
      <c r="J879" s="1">
        <f t="shared" ref="J879:K879" si="251">SUM(J111+J303+J495+J687)</f>
        <v>3510208.3</v>
      </c>
      <c r="K879" s="1">
        <f t="shared" si="251"/>
        <v>6297599.3999999994</v>
      </c>
      <c r="L879" s="1">
        <f t="shared" si="204"/>
        <v>9807807.6999999993</v>
      </c>
      <c r="M879" s="2">
        <f t="shared" si="205"/>
        <v>0.35789938051089643</v>
      </c>
      <c r="N879" s="2">
        <f t="shared" si="206"/>
        <v>0.64210061948910357</v>
      </c>
    </row>
    <row r="880" spans="1:14" x14ac:dyDescent="0.35">
      <c r="A880" t="s">
        <v>16</v>
      </c>
      <c r="B880" t="s">
        <v>20</v>
      </c>
      <c r="C880">
        <v>2011</v>
      </c>
      <c r="D880" t="s">
        <v>33</v>
      </c>
      <c r="E880" s="1">
        <f t="shared" si="207"/>
        <v>1597317</v>
      </c>
      <c r="F880" s="1">
        <f t="shared" si="207"/>
        <v>1583933</v>
      </c>
      <c r="G880" s="1">
        <f t="shared" si="199"/>
        <v>3181250</v>
      </c>
      <c r="H880" s="2">
        <f t="shared" si="200"/>
        <v>0.50210357563850683</v>
      </c>
      <c r="I880" s="2">
        <f t="shared" si="201"/>
        <v>0.49789642436149312</v>
      </c>
      <c r="J880" s="1">
        <f t="shared" ref="J880:K880" si="252">SUM(J112+J304+J496+J688)</f>
        <v>2485202.1</v>
      </c>
      <c r="K880" s="1">
        <f t="shared" si="252"/>
        <v>4989566.5</v>
      </c>
      <c r="L880" s="1">
        <f t="shared" si="204"/>
        <v>7474768.5999999996</v>
      </c>
      <c r="M880" s="2">
        <f t="shared" si="205"/>
        <v>0.33247880074842723</v>
      </c>
      <c r="N880" s="2">
        <f t="shared" si="206"/>
        <v>0.66752119925157283</v>
      </c>
    </row>
    <row r="881" spans="1:14" x14ac:dyDescent="0.35">
      <c r="A881" t="s">
        <v>16</v>
      </c>
      <c r="B881" t="s">
        <v>21</v>
      </c>
      <c r="C881">
        <v>2011</v>
      </c>
      <c r="D881" t="s">
        <v>33</v>
      </c>
      <c r="E881" s="1">
        <f t="shared" si="207"/>
        <v>1584274</v>
      </c>
      <c r="F881" s="1">
        <f t="shared" si="207"/>
        <v>1599621</v>
      </c>
      <c r="G881" s="1">
        <f t="shared" si="199"/>
        <v>3183895</v>
      </c>
      <c r="H881" s="2">
        <f t="shared" si="200"/>
        <v>0.49758990167703393</v>
      </c>
      <c r="I881" s="2">
        <f t="shared" si="201"/>
        <v>0.50241009832296601</v>
      </c>
      <c r="J881" s="1">
        <f t="shared" ref="J881:K881" si="253">SUM(J113+J305+J497+J689)</f>
        <v>2220990.1</v>
      </c>
      <c r="K881" s="1">
        <f t="shared" si="253"/>
        <v>4754920.8000000007</v>
      </c>
      <c r="L881" s="1">
        <f t="shared" si="204"/>
        <v>6975910.9000000004</v>
      </c>
      <c r="M881" s="2">
        <f t="shared" si="205"/>
        <v>0.3183799408905868</v>
      </c>
      <c r="N881" s="2">
        <f t="shared" si="206"/>
        <v>0.68162005910941326</v>
      </c>
    </row>
    <row r="882" spans="1:14" x14ac:dyDescent="0.35">
      <c r="A882" t="s">
        <v>16</v>
      </c>
      <c r="B882" t="s">
        <v>22</v>
      </c>
      <c r="C882">
        <v>2011</v>
      </c>
      <c r="D882" t="s">
        <v>33</v>
      </c>
      <c r="E882" s="1">
        <f t="shared" si="207"/>
        <v>1573212</v>
      </c>
      <c r="F882" s="1">
        <f t="shared" si="207"/>
        <v>1612238</v>
      </c>
      <c r="G882" s="1">
        <f t="shared" si="199"/>
        <v>3185450</v>
      </c>
      <c r="H882" s="2">
        <f t="shared" si="200"/>
        <v>0.49387433486634541</v>
      </c>
      <c r="I882" s="2">
        <f t="shared" si="201"/>
        <v>0.50612566513365453</v>
      </c>
      <c r="J882" s="1">
        <f t="shared" ref="J882:K882" si="254">SUM(J114+J306+J498+J690)</f>
        <v>2526762.5</v>
      </c>
      <c r="K882" s="1">
        <f t="shared" si="254"/>
        <v>5679953.8999999994</v>
      </c>
      <c r="L882" s="1">
        <f t="shared" si="204"/>
        <v>8206716.3999999994</v>
      </c>
      <c r="M882" s="2">
        <f t="shared" si="205"/>
        <v>0.30788958419472129</v>
      </c>
      <c r="N882" s="2">
        <f t="shared" si="206"/>
        <v>0.69211041580527866</v>
      </c>
    </row>
    <row r="883" spans="1:14" x14ac:dyDescent="0.35">
      <c r="A883" t="s">
        <v>16</v>
      </c>
      <c r="B883" t="s">
        <v>23</v>
      </c>
      <c r="C883">
        <v>2011</v>
      </c>
      <c r="D883" t="s">
        <v>33</v>
      </c>
      <c r="E883" s="1">
        <f t="shared" si="207"/>
        <v>1560928</v>
      </c>
      <c r="F883" s="1">
        <f t="shared" si="207"/>
        <v>1628154</v>
      </c>
      <c r="G883" s="1">
        <f t="shared" si="199"/>
        <v>3189082</v>
      </c>
      <c r="H883" s="2">
        <f t="shared" si="200"/>
        <v>0.48945997625649013</v>
      </c>
      <c r="I883" s="2">
        <f t="shared" si="201"/>
        <v>0.51054002374350993</v>
      </c>
      <c r="J883" s="1">
        <f t="shared" ref="J883:K883" si="255">SUM(J115+J307+J499+J691)</f>
        <v>3381468.0000000005</v>
      </c>
      <c r="K883" s="1">
        <f t="shared" si="255"/>
        <v>6882959.7000000002</v>
      </c>
      <c r="L883" s="1">
        <f t="shared" si="204"/>
        <v>10264427.700000001</v>
      </c>
      <c r="M883" s="2">
        <f t="shared" si="205"/>
        <v>0.32943560993663584</v>
      </c>
      <c r="N883" s="2">
        <f t="shared" si="206"/>
        <v>0.6705643900633641</v>
      </c>
    </row>
    <row r="884" spans="1:14" x14ac:dyDescent="0.35">
      <c r="A884" t="s">
        <v>16</v>
      </c>
      <c r="B884" t="s">
        <v>24</v>
      </c>
      <c r="C884">
        <v>2011</v>
      </c>
      <c r="D884" t="s">
        <v>33</v>
      </c>
      <c r="E884" s="1">
        <f t="shared" si="207"/>
        <v>1533442</v>
      </c>
      <c r="F884" s="1">
        <f t="shared" si="207"/>
        <v>1645695</v>
      </c>
      <c r="G884" s="1">
        <f t="shared" si="199"/>
        <v>3179137</v>
      </c>
      <c r="H884" s="2">
        <f t="shared" si="200"/>
        <v>0.48234536605374351</v>
      </c>
      <c r="I884" s="2">
        <f t="shared" si="201"/>
        <v>0.51765463394625644</v>
      </c>
      <c r="J884" s="1">
        <f t="shared" ref="J884:K884" si="256">SUM(J116+J308+J500+J692)</f>
        <v>4122601.5</v>
      </c>
      <c r="K884" s="1">
        <f t="shared" si="256"/>
        <v>7973801.4000000004</v>
      </c>
      <c r="L884" s="1">
        <f t="shared" si="204"/>
        <v>12096402.9</v>
      </c>
      <c r="M884" s="2">
        <f t="shared" si="205"/>
        <v>0.34081218475287395</v>
      </c>
      <c r="N884" s="2">
        <f t="shared" si="206"/>
        <v>0.65918781524712611</v>
      </c>
    </row>
    <row r="885" spans="1:14" x14ac:dyDescent="0.35">
      <c r="A885" t="s">
        <v>16</v>
      </c>
      <c r="B885" t="s">
        <v>25</v>
      </c>
      <c r="C885">
        <v>2011</v>
      </c>
      <c r="D885" t="s">
        <v>33</v>
      </c>
      <c r="E885" s="1">
        <f t="shared" si="207"/>
        <v>1531135</v>
      </c>
      <c r="F885" s="1">
        <f t="shared" si="207"/>
        <v>1666171</v>
      </c>
      <c r="G885" s="1">
        <f t="shared" si="199"/>
        <v>3197306</v>
      </c>
      <c r="H885" s="2">
        <f t="shared" si="200"/>
        <v>0.47888284699681544</v>
      </c>
      <c r="I885" s="2">
        <f t="shared" si="201"/>
        <v>0.52111715300318451</v>
      </c>
      <c r="J885" s="1">
        <f t="shared" ref="J885:K885" si="257">SUM(J117+J309+J501+J693)</f>
        <v>4297820.17</v>
      </c>
      <c r="K885" s="1">
        <f t="shared" si="257"/>
        <v>8313834.3999999994</v>
      </c>
      <c r="L885" s="1">
        <f t="shared" si="204"/>
        <v>12611654.57</v>
      </c>
      <c r="M885" s="2">
        <f t="shared" si="205"/>
        <v>0.34078162751328828</v>
      </c>
      <c r="N885" s="2">
        <f t="shared" si="206"/>
        <v>0.65921837248671167</v>
      </c>
    </row>
    <row r="886" spans="1:14" x14ac:dyDescent="0.35">
      <c r="A886" t="s">
        <v>16</v>
      </c>
      <c r="B886" t="s">
        <v>26</v>
      </c>
      <c r="C886">
        <v>2011</v>
      </c>
      <c r="D886" t="s">
        <v>33</v>
      </c>
      <c r="E886" s="1">
        <f t="shared" si="207"/>
        <v>1516815</v>
      </c>
      <c r="F886" s="1">
        <f t="shared" si="207"/>
        <v>1679148</v>
      </c>
      <c r="G886" s="1">
        <f t="shared" si="199"/>
        <v>3195963</v>
      </c>
      <c r="H886" s="2">
        <f t="shared" si="200"/>
        <v>0.47460342938888844</v>
      </c>
      <c r="I886" s="2">
        <f t="shared" si="201"/>
        <v>0.52539657061111156</v>
      </c>
      <c r="J886" s="1">
        <f t="shared" ref="J886:K886" si="258">SUM(J118+J310+J502+J694)</f>
        <v>3861989.6</v>
      </c>
      <c r="K886" s="1">
        <f t="shared" si="258"/>
        <v>7892499.4500000002</v>
      </c>
      <c r="L886" s="1">
        <f t="shared" si="204"/>
        <v>11754489.050000001</v>
      </c>
      <c r="M886" s="2">
        <f t="shared" si="205"/>
        <v>0.32855444278116025</v>
      </c>
      <c r="N886" s="2">
        <f t="shared" si="206"/>
        <v>0.67144555721883969</v>
      </c>
    </row>
    <row r="887" spans="1:14" x14ac:dyDescent="0.35">
      <c r="A887" t="s">
        <v>16</v>
      </c>
      <c r="B887" t="s">
        <v>27</v>
      </c>
      <c r="C887">
        <v>2011</v>
      </c>
      <c r="D887" t="s">
        <v>33</v>
      </c>
      <c r="E887" s="1">
        <f t="shared" si="207"/>
        <v>1503508</v>
      </c>
      <c r="F887" s="1">
        <f t="shared" si="207"/>
        <v>1692968</v>
      </c>
      <c r="G887" s="1">
        <f t="shared" si="199"/>
        <v>3196476</v>
      </c>
      <c r="H887" s="2">
        <f t="shared" si="200"/>
        <v>0.47036423861777782</v>
      </c>
      <c r="I887" s="2">
        <f t="shared" si="201"/>
        <v>0.52963576138222213</v>
      </c>
      <c r="J887" s="1">
        <f t="shared" ref="J887:K887" si="259">SUM(J119+J311+J503+J695)</f>
        <v>2666605.3000000003</v>
      </c>
      <c r="K887" s="1">
        <f t="shared" si="259"/>
        <v>6334185.2000000002</v>
      </c>
      <c r="L887" s="1">
        <f t="shared" si="204"/>
        <v>9000790.5</v>
      </c>
      <c r="M887" s="2">
        <f t="shared" si="205"/>
        <v>0.29626345597089504</v>
      </c>
      <c r="N887" s="2">
        <f t="shared" si="206"/>
        <v>0.70373654402910502</v>
      </c>
    </row>
    <row r="888" spans="1:14" x14ac:dyDescent="0.35">
      <c r="A888" t="s">
        <v>16</v>
      </c>
      <c r="B888" t="s">
        <v>28</v>
      </c>
      <c r="C888">
        <v>2011</v>
      </c>
      <c r="D888" t="s">
        <v>33</v>
      </c>
      <c r="E888" s="1">
        <f t="shared" si="207"/>
        <v>1493828</v>
      </c>
      <c r="F888" s="1">
        <f t="shared" si="207"/>
        <v>1706203</v>
      </c>
      <c r="G888" s="1">
        <f t="shared" si="199"/>
        <v>3200031</v>
      </c>
      <c r="H888" s="2">
        <f t="shared" si="200"/>
        <v>0.4668167277129503</v>
      </c>
      <c r="I888" s="2">
        <f t="shared" si="201"/>
        <v>0.53318327228704976</v>
      </c>
      <c r="J888" s="1">
        <f t="shared" ref="J888:K888" si="260">SUM(J120+J312+J504+J696)</f>
        <v>2128638.5</v>
      </c>
      <c r="K888" s="1">
        <f t="shared" si="260"/>
        <v>5452401.2000000002</v>
      </c>
      <c r="L888" s="1">
        <f t="shared" si="204"/>
        <v>7581039.7000000002</v>
      </c>
      <c r="M888" s="2">
        <f t="shared" si="205"/>
        <v>0.28078450769753915</v>
      </c>
      <c r="N888" s="2">
        <f t="shared" si="206"/>
        <v>0.71921549230246085</v>
      </c>
    </row>
    <row r="889" spans="1:14" x14ac:dyDescent="0.35">
      <c r="A889" t="s">
        <v>16</v>
      </c>
      <c r="B889" t="s">
        <v>29</v>
      </c>
      <c r="C889">
        <v>2011</v>
      </c>
      <c r="D889" t="s">
        <v>33</v>
      </c>
      <c r="E889" s="1">
        <f t="shared" si="207"/>
        <v>1485688</v>
      </c>
      <c r="F889" s="1">
        <f t="shared" si="207"/>
        <v>1717657</v>
      </c>
      <c r="G889" s="1">
        <f t="shared" si="199"/>
        <v>3203345</v>
      </c>
      <c r="H889" s="2">
        <f t="shared" si="200"/>
        <v>0.46379269170195531</v>
      </c>
      <c r="I889" s="2">
        <f t="shared" si="201"/>
        <v>0.53620730829804475</v>
      </c>
      <c r="J889" s="1">
        <f t="shared" ref="J889:K889" si="261">SUM(J121+J313+J505+J697)</f>
        <v>2534060.1</v>
      </c>
      <c r="K889" s="1">
        <f t="shared" si="261"/>
        <v>6094193.7000000002</v>
      </c>
      <c r="L889" s="1">
        <f t="shared" si="204"/>
        <v>8628253.8000000007</v>
      </c>
      <c r="M889" s="2">
        <f t="shared" si="205"/>
        <v>0.29369327313946186</v>
      </c>
      <c r="N889" s="2">
        <f t="shared" si="206"/>
        <v>0.70630672686053808</v>
      </c>
    </row>
    <row r="890" spans="1:14" x14ac:dyDescent="0.35">
      <c r="A890" t="s">
        <v>16</v>
      </c>
      <c r="B890" t="s">
        <v>17</v>
      </c>
      <c r="C890">
        <v>2012</v>
      </c>
      <c r="D890" t="s">
        <v>33</v>
      </c>
      <c r="E890" s="1">
        <f t="shared" si="207"/>
        <v>1476581</v>
      </c>
      <c r="F890" s="1">
        <f t="shared" si="207"/>
        <v>1728875</v>
      </c>
      <c r="G890" s="1">
        <f t="shared" si="199"/>
        <v>3205456</v>
      </c>
      <c r="H890" s="2">
        <f t="shared" si="200"/>
        <v>0.46064616079584308</v>
      </c>
      <c r="I890" s="2">
        <f t="shared" si="201"/>
        <v>0.53935383920415692</v>
      </c>
      <c r="J890" s="1">
        <f t="shared" ref="J890:K890" si="262">SUM(J122+J314+J506+J698)</f>
        <v>2702118.3999999994</v>
      </c>
      <c r="K890" s="1">
        <f t="shared" si="262"/>
        <v>6380364</v>
      </c>
      <c r="L890" s="1">
        <f t="shared" si="204"/>
        <v>9082482.3999999985</v>
      </c>
      <c r="M890" s="2">
        <f t="shared" si="205"/>
        <v>0.29750879561297028</v>
      </c>
      <c r="N890" s="2">
        <f t="shared" si="206"/>
        <v>0.70249120438702983</v>
      </c>
    </row>
    <row r="891" spans="1:14" x14ac:dyDescent="0.35">
      <c r="A891" t="s">
        <v>16</v>
      </c>
      <c r="B891" t="s">
        <v>19</v>
      </c>
      <c r="C891">
        <v>2012</v>
      </c>
      <c r="D891" t="s">
        <v>33</v>
      </c>
      <c r="E891" s="1">
        <f t="shared" si="207"/>
        <v>1468709</v>
      </c>
      <c r="F891" s="1">
        <f t="shared" si="207"/>
        <v>1741182</v>
      </c>
      <c r="G891" s="1">
        <f t="shared" si="199"/>
        <v>3209891</v>
      </c>
      <c r="H891" s="2">
        <f t="shared" si="200"/>
        <v>0.45755728154008968</v>
      </c>
      <c r="I891" s="2">
        <f t="shared" si="201"/>
        <v>0.54244271845991032</v>
      </c>
      <c r="J891" s="1">
        <f t="shared" ref="J891:K891" si="263">SUM(J123+J315+J507+J699)</f>
        <v>2312201.1</v>
      </c>
      <c r="K891" s="1">
        <f t="shared" si="263"/>
        <v>5843559.4000000004</v>
      </c>
      <c r="L891" s="1">
        <f t="shared" si="204"/>
        <v>8155760.5</v>
      </c>
      <c r="M891" s="2">
        <f t="shared" si="205"/>
        <v>0.28350527213250071</v>
      </c>
      <c r="N891" s="2">
        <f t="shared" si="206"/>
        <v>0.71649472786749935</v>
      </c>
    </row>
    <row r="892" spans="1:14" x14ac:dyDescent="0.35">
      <c r="A892" t="s">
        <v>16</v>
      </c>
      <c r="B892" t="s">
        <v>20</v>
      </c>
      <c r="C892">
        <v>2012</v>
      </c>
      <c r="D892" t="s">
        <v>33</v>
      </c>
      <c r="E892" s="1">
        <f t="shared" si="207"/>
        <v>1461110</v>
      </c>
      <c r="F892" s="1">
        <f t="shared" si="207"/>
        <v>1753314</v>
      </c>
      <c r="G892" s="1">
        <f t="shared" si="199"/>
        <v>3214424</v>
      </c>
      <c r="H892" s="2">
        <f t="shared" si="200"/>
        <v>0.4545479998904936</v>
      </c>
      <c r="I892" s="2">
        <f t="shared" si="201"/>
        <v>0.54545200010950645</v>
      </c>
      <c r="J892" s="1">
        <f t="shared" ref="J892:K892" si="264">SUM(J124+J316+J508+J700)</f>
        <v>2048179.5999999999</v>
      </c>
      <c r="K892" s="1">
        <f t="shared" si="264"/>
        <v>5483882.5</v>
      </c>
      <c r="L892" s="1">
        <f t="shared" si="204"/>
        <v>7532062.0999999996</v>
      </c>
      <c r="M892" s="2">
        <f t="shared" si="205"/>
        <v>0.27192813505879088</v>
      </c>
      <c r="N892" s="2">
        <f t="shared" si="206"/>
        <v>0.72807186494120912</v>
      </c>
    </row>
    <row r="893" spans="1:14" x14ac:dyDescent="0.35">
      <c r="A893" t="s">
        <v>16</v>
      </c>
      <c r="B893" t="s">
        <v>21</v>
      </c>
      <c r="C893">
        <v>2012</v>
      </c>
      <c r="D893" t="s">
        <v>33</v>
      </c>
      <c r="E893" s="1">
        <f t="shared" si="207"/>
        <v>1451206</v>
      </c>
      <c r="F893" s="1">
        <f t="shared" si="207"/>
        <v>1765853</v>
      </c>
      <c r="G893" s="1">
        <f t="shared" si="199"/>
        <v>3217059</v>
      </c>
      <c r="H893" s="2">
        <f t="shared" si="200"/>
        <v>0.45109710452932322</v>
      </c>
      <c r="I893" s="2">
        <f t="shared" si="201"/>
        <v>0.54890289547067683</v>
      </c>
      <c r="J893" s="1">
        <f t="shared" ref="J893:K893" si="265">SUM(J125+J317+J509+J701)</f>
        <v>2075889.7000000002</v>
      </c>
      <c r="K893" s="1">
        <f t="shared" si="265"/>
        <v>5812175.5000000009</v>
      </c>
      <c r="L893" s="1">
        <f t="shared" si="204"/>
        <v>7888065.2000000011</v>
      </c>
      <c r="M893" s="2">
        <f t="shared" si="205"/>
        <v>0.26316842563623838</v>
      </c>
      <c r="N893" s="2">
        <f t="shared" si="206"/>
        <v>0.73683157436376157</v>
      </c>
    </row>
    <row r="894" spans="1:14" x14ac:dyDescent="0.35">
      <c r="A894" t="s">
        <v>16</v>
      </c>
      <c r="B894" t="s">
        <v>22</v>
      </c>
      <c r="C894">
        <v>2012</v>
      </c>
      <c r="D894" t="s">
        <v>33</v>
      </c>
      <c r="E894" s="1">
        <f t="shared" si="207"/>
        <v>1445539</v>
      </c>
      <c r="F894" s="1">
        <f t="shared" si="207"/>
        <v>1775571</v>
      </c>
      <c r="G894" s="1">
        <f t="shared" si="199"/>
        <v>3221110</v>
      </c>
      <c r="H894" s="2">
        <f t="shared" si="200"/>
        <v>0.4487704549052966</v>
      </c>
      <c r="I894" s="2">
        <f t="shared" si="201"/>
        <v>0.55122954509470334</v>
      </c>
      <c r="J894" s="1">
        <f t="shared" ref="J894:K894" si="266">SUM(J126+J318+J510+J702)</f>
        <v>2313550.0999999996</v>
      </c>
      <c r="K894" s="1">
        <f t="shared" si="266"/>
        <v>6158357.6999999993</v>
      </c>
      <c r="L894" s="1">
        <f t="shared" si="204"/>
        <v>8471907.7999999989</v>
      </c>
      <c r="M894" s="2">
        <f t="shared" si="205"/>
        <v>0.2730849006642872</v>
      </c>
      <c r="N894" s="2">
        <f t="shared" si="206"/>
        <v>0.72691509933571274</v>
      </c>
    </row>
    <row r="895" spans="1:14" x14ac:dyDescent="0.35">
      <c r="A895" t="s">
        <v>16</v>
      </c>
      <c r="B895" t="s">
        <v>23</v>
      </c>
      <c r="C895">
        <v>2012</v>
      </c>
      <c r="D895" t="s">
        <v>33</v>
      </c>
      <c r="E895" s="1">
        <f t="shared" si="207"/>
        <v>1438244</v>
      </c>
      <c r="F895" s="1">
        <f t="shared" si="207"/>
        <v>1786569</v>
      </c>
      <c r="G895" s="1">
        <f t="shared" si="199"/>
        <v>3224813</v>
      </c>
      <c r="H895" s="2">
        <f t="shared" si="200"/>
        <v>0.4459929924618885</v>
      </c>
      <c r="I895" s="2">
        <f t="shared" si="201"/>
        <v>0.5540070075381115</v>
      </c>
      <c r="J895" s="1">
        <f t="shared" ref="J895:K895" si="267">SUM(J127+J319+J511+J703)</f>
        <v>2906958.7</v>
      </c>
      <c r="K895" s="1">
        <f t="shared" si="267"/>
        <v>7335932.3999999994</v>
      </c>
      <c r="L895" s="1">
        <f t="shared" si="204"/>
        <v>10242891.1</v>
      </c>
      <c r="M895" s="2">
        <f t="shared" si="205"/>
        <v>0.28380255843977492</v>
      </c>
      <c r="N895" s="2">
        <f t="shared" si="206"/>
        <v>0.71619744156022513</v>
      </c>
    </row>
    <row r="896" spans="1:14" x14ac:dyDescent="0.35">
      <c r="A896" t="s">
        <v>16</v>
      </c>
      <c r="B896" t="s">
        <v>24</v>
      </c>
      <c r="C896">
        <v>2012</v>
      </c>
      <c r="D896" t="s">
        <v>33</v>
      </c>
      <c r="E896" s="1">
        <f t="shared" si="207"/>
        <v>1431673</v>
      </c>
      <c r="F896" s="1">
        <f t="shared" si="207"/>
        <v>1794731</v>
      </c>
      <c r="G896" s="1">
        <f t="shared" si="199"/>
        <v>3226404</v>
      </c>
      <c r="H896" s="2">
        <f t="shared" si="200"/>
        <v>0.44373643226328757</v>
      </c>
      <c r="I896" s="2">
        <f t="shared" si="201"/>
        <v>0.55626356773671248</v>
      </c>
      <c r="J896" s="1">
        <f t="shared" ref="J896:K896" si="268">SUM(J128+J320+J512+J704)</f>
        <v>3329209.1</v>
      </c>
      <c r="K896" s="1">
        <f t="shared" si="268"/>
        <v>7999982.5</v>
      </c>
      <c r="L896" s="1">
        <f t="shared" si="204"/>
        <v>11329191.6</v>
      </c>
      <c r="M896" s="2">
        <f t="shared" si="205"/>
        <v>0.29386113480506415</v>
      </c>
      <c r="N896" s="2">
        <f t="shared" si="206"/>
        <v>0.70613886519493596</v>
      </c>
    </row>
    <row r="897" spans="1:14" x14ac:dyDescent="0.35">
      <c r="A897" t="s">
        <v>16</v>
      </c>
      <c r="B897" t="s">
        <v>25</v>
      </c>
      <c r="C897">
        <v>2012</v>
      </c>
      <c r="D897" t="s">
        <v>33</v>
      </c>
      <c r="E897" s="1">
        <f t="shared" si="207"/>
        <v>1424733</v>
      </c>
      <c r="F897" s="1">
        <f t="shared" si="207"/>
        <v>1804494</v>
      </c>
      <c r="G897" s="1">
        <f t="shared" si="199"/>
        <v>3229227</v>
      </c>
      <c r="H897" s="2">
        <f t="shared" si="200"/>
        <v>0.44119939539710279</v>
      </c>
      <c r="I897" s="2">
        <f t="shared" si="201"/>
        <v>0.55880060460289727</v>
      </c>
      <c r="J897" s="1">
        <f t="shared" ref="J897:K897" si="269">SUM(J129+J321+J513+J705)</f>
        <v>3496465</v>
      </c>
      <c r="K897" s="1">
        <f t="shared" si="269"/>
        <v>8268411.6999999993</v>
      </c>
      <c r="L897" s="1">
        <f t="shared" si="204"/>
        <v>11764876.699999999</v>
      </c>
      <c r="M897" s="2">
        <f t="shared" si="205"/>
        <v>0.29719520987415027</v>
      </c>
      <c r="N897" s="2">
        <f t="shared" si="206"/>
        <v>0.70280479012584973</v>
      </c>
    </row>
    <row r="898" spans="1:14" x14ac:dyDescent="0.35">
      <c r="A898" t="s">
        <v>16</v>
      </c>
      <c r="B898" t="s">
        <v>26</v>
      </c>
      <c r="C898">
        <v>2012</v>
      </c>
      <c r="D898" t="s">
        <v>33</v>
      </c>
      <c r="E898" s="1">
        <f t="shared" si="207"/>
        <v>1417909</v>
      </c>
      <c r="F898" s="1">
        <f t="shared" si="207"/>
        <v>1813941</v>
      </c>
      <c r="G898" s="1">
        <f t="shared" ref="G898:G961" si="270">SUM(E898:F898)</f>
        <v>3231850</v>
      </c>
      <c r="H898" s="2">
        <f t="shared" ref="H898:H961" si="271">SUM(E898)/G898</f>
        <v>0.43872982966412427</v>
      </c>
      <c r="I898" s="2">
        <f t="shared" ref="I898:I961" si="272">SUM(F898/G898)</f>
        <v>0.56127017033587578</v>
      </c>
      <c r="J898" s="1">
        <f t="shared" ref="J898:K898" si="273">SUM(J130+J322+J514+J706)</f>
        <v>3137745.5</v>
      </c>
      <c r="K898" s="1">
        <f t="shared" si="273"/>
        <v>7861274.2999999989</v>
      </c>
      <c r="L898" s="1">
        <f t="shared" si="204"/>
        <v>10999019.799999999</v>
      </c>
      <c r="M898" s="2">
        <f t="shared" si="205"/>
        <v>0.2852750115060253</v>
      </c>
      <c r="N898" s="2">
        <f t="shared" si="206"/>
        <v>0.7147249884939747</v>
      </c>
    </row>
    <row r="899" spans="1:14" x14ac:dyDescent="0.35">
      <c r="A899" t="s">
        <v>16</v>
      </c>
      <c r="B899" t="s">
        <v>27</v>
      </c>
      <c r="C899">
        <v>2012</v>
      </c>
      <c r="D899" t="s">
        <v>33</v>
      </c>
      <c r="E899" s="1">
        <f t="shared" si="207"/>
        <v>1412183</v>
      </c>
      <c r="F899" s="1">
        <f t="shared" si="207"/>
        <v>1821894</v>
      </c>
      <c r="G899" s="1">
        <f t="shared" si="270"/>
        <v>3234077</v>
      </c>
      <c r="H899" s="2">
        <f t="shared" si="271"/>
        <v>0.43665719771050598</v>
      </c>
      <c r="I899" s="2">
        <f t="shared" si="272"/>
        <v>0.56334280228949407</v>
      </c>
      <c r="J899" s="1">
        <f t="shared" ref="J899:K899" si="274">SUM(J131+J323+J515+J707)</f>
        <v>2368478</v>
      </c>
      <c r="K899" s="1">
        <f t="shared" si="274"/>
        <v>6526670.8999999994</v>
      </c>
      <c r="L899" s="1">
        <f t="shared" ref="L899:L961" si="275">SUM(J899:K899)</f>
        <v>8895148.8999999985</v>
      </c>
      <c r="M899" s="2">
        <f t="shared" ref="M899:M961" si="276">SUM(J899)/L899</f>
        <v>0.2662662566559173</v>
      </c>
      <c r="N899" s="2">
        <f t="shared" ref="N899:N961" si="277">SUM(K899/L899)</f>
        <v>0.73373374334408281</v>
      </c>
    </row>
    <row r="900" spans="1:14" x14ac:dyDescent="0.35">
      <c r="A900" t="s">
        <v>16</v>
      </c>
      <c r="B900" t="s">
        <v>28</v>
      </c>
      <c r="C900">
        <v>2012</v>
      </c>
      <c r="D900" t="s">
        <v>33</v>
      </c>
      <c r="E900" s="1">
        <f t="shared" ref="E900:F961" si="278">SUM(E132+E324+E516+E708)</f>
        <v>1406974</v>
      </c>
      <c r="F900" s="1">
        <f t="shared" si="278"/>
        <v>1830903</v>
      </c>
      <c r="G900" s="1">
        <f t="shared" si="270"/>
        <v>3237877</v>
      </c>
      <c r="H900" s="2">
        <f t="shared" si="271"/>
        <v>0.43453596291644186</v>
      </c>
      <c r="I900" s="2">
        <f t="shared" si="272"/>
        <v>0.56546403708355819</v>
      </c>
      <c r="J900" s="1">
        <f t="shared" ref="J900:K900" si="279">SUM(J132+J324+J516+J708)</f>
        <v>1994917.9</v>
      </c>
      <c r="K900" s="1">
        <f t="shared" si="279"/>
        <v>5931831.5</v>
      </c>
      <c r="L900" s="1">
        <f t="shared" si="275"/>
        <v>7926749.4000000004</v>
      </c>
      <c r="M900" s="2">
        <f t="shared" si="276"/>
        <v>0.25166910158658479</v>
      </c>
      <c r="N900" s="2">
        <f t="shared" si="277"/>
        <v>0.74833089841341516</v>
      </c>
    </row>
    <row r="901" spans="1:14" x14ac:dyDescent="0.35">
      <c r="A901" t="s">
        <v>16</v>
      </c>
      <c r="B901" t="s">
        <v>29</v>
      </c>
      <c r="C901">
        <v>2012</v>
      </c>
      <c r="D901" t="s">
        <v>33</v>
      </c>
      <c r="E901" s="1">
        <f t="shared" si="278"/>
        <v>1404119</v>
      </c>
      <c r="F901" s="1">
        <f t="shared" si="278"/>
        <v>1837015</v>
      </c>
      <c r="G901" s="1">
        <f t="shared" si="270"/>
        <v>3241134</v>
      </c>
      <c r="H901" s="2">
        <f t="shared" si="271"/>
        <v>0.43321843527604842</v>
      </c>
      <c r="I901" s="2">
        <f t="shared" si="272"/>
        <v>0.56678156472395158</v>
      </c>
      <c r="J901" s="1">
        <f t="shared" ref="J901:K901" si="280">SUM(J133+J325+J517+J709)</f>
        <v>2088994.2000000002</v>
      </c>
      <c r="K901" s="1">
        <f t="shared" si="280"/>
        <v>5993403.9000000004</v>
      </c>
      <c r="L901" s="1">
        <f t="shared" si="275"/>
        <v>8082398.1000000006</v>
      </c>
      <c r="M901" s="2">
        <f t="shared" si="276"/>
        <v>0.25846217597225257</v>
      </c>
      <c r="N901" s="2">
        <f t="shared" si="277"/>
        <v>0.74153782402774737</v>
      </c>
    </row>
    <row r="902" spans="1:14" x14ac:dyDescent="0.35">
      <c r="A902" t="s">
        <v>16</v>
      </c>
      <c r="B902" t="s">
        <v>17</v>
      </c>
      <c r="C902">
        <v>2013</v>
      </c>
      <c r="D902" t="s">
        <v>33</v>
      </c>
      <c r="E902" s="1">
        <f t="shared" si="278"/>
        <v>1399964</v>
      </c>
      <c r="F902" s="1">
        <f t="shared" si="278"/>
        <v>1843775</v>
      </c>
      <c r="G902" s="1">
        <f t="shared" si="270"/>
        <v>3243739</v>
      </c>
      <c r="H902" s="2">
        <f t="shared" si="271"/>
        <v>0.43158959460055202</v>
      </c>
      <c r="I902" s="2">
        <f t="shared" si="272"/>
        <v>0.56841040539944798</v>
      </c>
      <c r="J902" s="1">
        <f t="shared" ref="J902:K902" si="281">SUM(J134+J326+J518+J710)</f>
        <v>2615010.7999999998</v>
      </c>
      <c r="K902" s="1">
        <f t="shared" si="281"/>
        <v>6719009.7999999998</v>
      </c>
      <c r="L902" s="1">
        <f t="shared" si="275"/>
        <v>9334020.5999999996</v>
      </c>
      <c r="M902" s="2">
        <f t="shared" si="276"/>
        <v>0.28015909885607065</v>
      </c>
      <c r="N902" s="2">
        <f t="shared" si="277"/>
        <v>0.7198409011439294</v>
      </c>
    </row>
    <row r="903" spans="1:14" x14ac:dyDescent="0.35">
      <c r="A903" t="s">
        <v>16</v>
      </c>
      <c r="B903" t="s">
        <v>19</v>
      </c>
      <c r="C903">
        <v>2013</v>
      </c>
      <c r="D903" t="s">
        <v>33</v>
      </c>
      <c r="E903" s="1">
        <f t="shared" si="278"/>
        <v>1395232</v>
      </c>
      <c r="F903" s="1">
        <f t="shared" si="278"/>
        <v>1853564</v>
      </c>
      <c r="G903" s="1">
        <f t="shared" si="270"/>
        <v>3248796</v>
      </c>
      <c r="H903" s="2">
        <f t="shared" si="271"/>
        <v>0.42946125272254704</v>
      </c>
      <c r="I903" s="2">
        <f t="shared" si="272"/>
        <v>0.57053874727745291</v>
      </c>
      <c r="J903" s="1">
        <f t="shared" ref="J903:K903" si="282">SUM(J135+J327+J519+J711)</f>
        <v>2178859.7000000002</v>
      </c>
      <c r="K903" s="1">
        <f t="shared" si="282"/>
        <v>6114502.9999999991</v>
      </c>
      <c r="L903" s="1">
        <f t="shared" si="275"/>
        <v>8293362.6999999993</v>
      </c>
      <c r="M903" s="2">
        <f t="shared" si="276"/>
        <v>0.26272331005130167</v>
      </c>
      <c r="N903" s="2">
        <f t="shared" si="277"/>
        <v>0.73727668994869833</v>
      </c>
    </row>
    <row r="904" spans="1:14" x14ac:dyDescent="0.35">
      <c r="A904" t="s">
        <v>16</v>
      </c>
      <c r="B904" t="s">
        <v>20</v>
      </c>
      <c r="C904">
        <v>2013</v>
      </c>
      <c r="D904" t="s">
        <v>33</v>
      </c>
      <c r="E904" s="1">
        <f t="shared" si="278"/>
        <v>1389174</v>
      </c>
      <c r="F904" s="1">
        <f t="shared" si="278"/>
        <v>1864072</v>
      </c>
      <c r="G904" s="1">
        <f t="shared" si="270"/>
        <v>3253246</v>
      </c>
      <c r="H904" s="2">
        <f t="shared" si="271"/>
        <v>0.42701166773124444</v>
      </c>
      <c r="I904" s="2">
        <f t="shared" si="272"/>
        <v>0.57298833226875556</v>
      </c>
      <c r="J904" s="1">
        <f t="shared" ref="J904:K904" si="283">SUM(J136+J328+J520+J712)</f>
        <v>2025660.9000000001</v>
      </c>
      <c r="K904" s="1">
        <f t="shared" si="283"/>
        <v>5842831.5</v>
      </c>
      <c r="L904" s="1">
        <f t="shared" si="275"/>
        <v>7868492.4000000004</v>
      </c>
      <c r="M904" s="2">
        <f t="shared" si="276"/>
        <v>0.25743951916379815</v>
      </c>
      <c r="N904" s="2">
        <f t="shared" si="277"/>
        <v>0.74256048083620185</v>
      </c>
    </row>
    <row r="905" spans="1:14" x14ac:dyDescent="0.35">
      <c r="A905" t="s">
        <v>16</v>
      </c>
      <c r="B905" t="s">
        <v>21</v>
      </c>
      <c r="C905">
        <v>2013</v>
      </c>
      <c r="D905" t="s">
        <v>33</v>
      </c>
      <c r="E905" s="1">
        <f t="shared" si="278"/>
        <v>1382403</v>
      </c>
      <c r="F905" s="1">
        <f t="shared" si="278"/>
        <v>1875266</v>
      </c>
      <c r="G905" s="1">
        <f t="shared" si="270"/>
        <v>3257669</v>
      </c>
      <c r="H905" s="2">
        <f t="shared" si="271"/>
        <v>0.42435342571636347</v>
      </c>
      <c r="I905" s="2">
        <f t="shared" si="272"/>
        <v>0.57564657428363653</v>
      </c>
      <c r="J905" s="1">
        <f t="shared" ref="J905:K905" si="284">SUM(J137+J329+J521+J713)</f>
        <v>1984020.7</v>
      </c>
      <c r="K905" s="1">
        <f t="shared" si="284"/>
        <v>6020973.2000000002</v>
      </c>
      <c r="L905" s="1">
        <f t="shared" si="275"/>
        <v>8004993.9000000004</v>
      </c>
      <c r="M905" s="2">
        <f t="shared" si="276"/>
        <v>0.24784787156427437</v>
      </c>
      <c r="N905" s="2">
        <f t="shared" si="277"/>
        <v>0.75215212843572554</v>
      </c>
    </row>
    <row r="906" spans="1:14" x14ac:dyDescent="0.35">
      <c r="A906" t="s">
        <v>16</v>
      </c>
      <c r="B906" t="s">
        <v>22</v>
      </c>
      <c r="C906">
        <v>2013</v>
      </c>
      <c r="D906" t="s">
        <v>33</v>
      </c>
      <c r="E906" s="1">
        <f t="shared" si="278"/>
        <v>1377702</v>
      </c>
      <c r="F906" s="1">
        <f t="shared" si="278"/>
        <v>1884392</v>
      </c>
      <c r="G906" s="1">
        <f t="shared" si="270"/>
        <v>3262094</v>
      </c>
      <c r="H906" s="2">
        <f t="shared" si="271"/>
        <v>0.42233669538646035</v>
      </c>
      <c r="I906" s="2">
        <f t="shared" si="272"/>
        <v>0.57766330461353965</v>
      </c>
      <c r="J906" s="1">
        <f t="shared" ref="J906:K906" si="285">SUM(J138+J330+J522+J714)</f>
        <v>1957361.5999999999</v>
      </c>
      <c r="K906" s="1">
        <f t="shared" si="285"/>
        <v>5981668.7000000002</v>
      </c>
      <c r="L906" s="1">
        <f t="shared" si="275"/>
        <v>7939030.2999999998</v>
      </c>
      <c r="M906" s="2">
        <f t="shared" si="276"/>
        <v>0.24654920387443285</v>
      </c>
      <c r="N906" s="2">
        <f t="shared" si="277"/>
        <v>0.7534507961255672</v>
      </c>
    </row>
    <row r="907" spans="1:14" x14ac:dyDescent="0.35">
      <c r="A907" t="s">
        <v>16</v>
      </c>
      <c r="B907" t="s">
        <v>23</v>
      </c>
      <c r="C907">
        <v>2013</v>
      </c>
      <c r="D907" t="s">
        <v>33</v>
      </c>
      <c r="E907" s="1">
        <f t="shared" si="278"/>
        <v>1372860</v>
      </c>
      <c r="F907" s="1">
        <f t="shared" si="278"/>
        <v>1892785</v>
      </c>
      <c r="G907" s="1">
        <f t="shared" si="270"/>
        <v>3265645</v>
      </c>
      <c r="H907" s="2">
        <f t="shared" si="271"/>
        <v>0.42039474590777626</v>
      </c>
      <c r="I907" s="2">
        <f t="shared" si="272"/>
        <v>0.57960525409222374</v>
      </c>
      <c r="J907" s="1">
        <f t="shared" ref="J907:K907" si="286">SUM(J139+J331+J523+J715)</f>
        <v>2518994.6999999997</v>
      </c>
      <c r="K907" s="1">
        <f t="shared" si="286"/>
        <v>7286025.7000000002</v>
      </c>
      <c r="L907" s="1">
        <f t="shared" si="275"/>
        <v>9805020.4000000004</v>
      </c>
      <c r="M907" s="2">
        <f t="shared" si="276"/>
        <v>0.25690866487131425</v>
      </c>
      <c r="N907" s="2">
        <f t="shared" si="277"/>
        <v>0.74309133512868575</v>
      </c>
    </row>
    <row r="908" spans="1:14" x14ac:dyDescent="0.35">
      <c r="A908" t="s">
        <v>16</v>
      </c>
      <c r="B908" t="s">
        <v>24</v>
      </c>
      <c r="C908">
        <v>2013</v>
      </c>
      <c r="D908" t="s">
        <v>33</v>
      </c>
      <c r="E908" s="1">
        <f t="shared" si="278"/>
        <v>1366500</v>
      </c>
      <c r="F908" s="1">
        <f t="shared" si="278"/>
        <v>1902185</v>
      </c>
      <c r="G908" s="1">
        <f t="shared" si="270"/>
        <v>3268685</v>
      </c>
      <c r="H908" s="2">
        <f t="shared" si="271"/>
        <v>0.41805802639287665</v>
      </c>
      <c r="I908" s="2">
        <f t="shared" si="272"/>
        <v>0.58194197360712341</v>
      </c>
      <c r="J908" s="1">
        <f t="shared" ref="J908:K908" si="287">SUM(J140+J332+J524+J716)</f>
        <v>2993016.2</v>
      </c>
      <c r="K908" s="1">
        <f t="shared" si="287"/>
        <v>8134655.8000000007</v>
      </c>
      <c r="L908" s="1">
        <f t="shared" si="275"/>
        <v>11127672</v>
      </c>
      <c r="M908" s="2">
        <f t="shared" si="276"/>
        <v>0.26897056275562403</v>
      </c>
      <c r="N908" s="2">
        <f t="shared" si="277"/>
        <v>0.73102943724437608</v>
      </c>
    </row>
    <row r="909" spans="1:14" x14ac:dyDescent="0.35">
      <c r="A909" t="s">
        <v>16</v>
      </c>
      <c r="B909" t="s">
        <v>25</v>
      </c>
      <c r="C909">
        <v>2013</v>
      </c>
      <c r="D909" t="s">
        <v>33</v>
      </c>
      <c r="E909" s="1">
        <f t="shared" si="278"/>
        <v>1362100</v>
      </c>
      <c r="F909" s="1">
        <f t="shared" si="278"/>
        <v>1911617</v>
      </c>
      <c r="G909" s="1">
        <f t="shared" si="270"/>
        <v>3273717</v>
      </c>
      <c r="H909" s="2">
        <f t="shared" si="271"/>
        <v>0.41607139529776094</v>
      </c>
      <c r="I909" s="2">
        <f t="shared" si="272"/>
        <v>0.58392860470223906</v>
      </c>
      <c r="J909" s="1">
        <f t="shared" ref="J909:K909" si="288">SUM(J141+J333+J525+J717)</f>
        <v>3103816.1999999997</v>
      </c>
      <c r="K909" s="1">
        <f t="shared" si="288"/>
        <v>8297758</v>
      </c>
      <c r="L909" s="1">
        <f t="shared" si="275"/>
        <v>11401574.199999999</v>
      </c>
      <c r="M909" s="2">
        <f t="shared" si="276"/>
        <v>0.27222698774349946</v>
      </c>
      <c r="N909" s="2">
        <f t="shared" si="277"/>
        <v>0.7277730122565006</v>
      </c>
    </row>
    <row r="910" spans="1:14" x14ac:dyDescent="0.35">
      <c r="A910" t="s">
        <v>16</v>
      </c>
      <c r="B910" t="s">
        <v>26</v>
      </c>
      <c r="C910">
        <v>2013</v>
      </c>
      <c r="D910" t="s">
        <v>33</v>
      </c>
      <c r="E910" s="1">
        <f t="shared" si="278"/>
        <v>1357792</v>
      </c>
      <c r="F910" s="1">
        <f t="shared" si="278"/>
        <v>1917659</v>
      </c>
      <c r="G910" s="1">
        <f t="shared" si="270"/>
        <v>3275451</v>
      </c>
      <c r="H910" s="2">
        <f t="shared" si="271"/>
        <v>0.41453589139327685</v>
      </c>
      <c r="I910" s="2">
        <f t="shared" si="272"/>
        <v>0.58546410860672315</v>
      </c>
      <c r="J910" s="1">
        <f t="shared" ref="J910:K910" si="289">SUM(J142+J334+J526+J718)</f>
        <v>3171043.3</v>
      </c>
      <c r="K910" s="1">
        <f t="shared" si="289"/>
        <v>8558423</v>
      </c>
      <c r="L910" s="1">
        <f t="shared" si="275"/>
        <v>11729466.300000001</v>
      </c>
      <c r="M910" s="2">
        <f t="shared" si="276"/>
        <v>0.2703484727178081</v>
      </c>
      <c r="N910" s="2">
        <f t="shared" si="277"/>
        <v>0.72965152728219185</v>
      </c>
    </row>
    <row r="911" spans="1:14" x14ac:dyDescent="0.35">
      <c r="A911" t="s">
        <v>16</v>
      </c>
      <c r="B911" t="s">
        <v>27</v>
      </c>
      <c r="C911">
        <v>2013</v>
      </c>
      <c r="D911" t="s">
        <v>33</v>
      </c>
      <c r="E911" s="1">
        <f t="shared" si="278"/>
        <v>1352615</v>
      </c>
      <c r="F911" s="1">
        <f t="shared" si="278"/>
        <v>1925627</v>
      </c>
      <c r="G911" s="1">
        <f t="shared" si="270"/>
        <v>3278242</v>
      </c>
      <c r="H911" s="2">
        <f t="shared" si="271"/>
        <v>0.41260376750709682</v>
      </c>
      <c r="I911" s="2">
        <f t="shared" si="272"/>
        <v>0.58739623249290318</v>
      </c>
      <c r="J911" s="1">
        <f t="shared" ref="J911:K911" si="290">SUM(J143+J335+J527+J719)</f>
        <v>2394399.0000000005</v>
      </c>
      <c r="K911" s="1">
        <f t="shared" si="290"/>
        <v>7181134.0000000009</v>
      </c>
      <c r="L911" s="1">
        <f t="shared" si="275"/>
        <v>9575533.0000000019</v>
      </c>
      <c r="M911" s="2">
        <f t="shared" si="276"/>
        <v>0.25005386123153667</v>
      </c>
      <c r="N911" s="2">
        <f t="shared" si="277"/>
        <v>0.74994613876846328</v>
      </c>
    </row>
    <row r="912" spans="1:14" x14ac:dyDescent="0.35">
      <c r="A912" t="s">
        <v>16</v>
      </c>
      <c r="B912" t="s">
        <v>28</v>
      </c>
      <c r="C912">
        <v>2013</v>
      </c>
      <c r="D912" t="s">
        <v>33</v>
      </c>
      <c r="E912" s="1">
        <f t="shared" si="278"/>
        <v>1348163</v>
      </c>
      <c r="F912" s="1">
        <f t="shared" si="278"/>
        <v>1933704</v>
      </c>
      <c r="G912" s="1">
        <f t="shared" si="270"/>
        <v>3281867</v>
      </c>
      <c r="H912" s="2">
        <f t="shared" si="271"/>
        <v>0.4107914793622045</v>
      </c>
      <c r="I912" s="2">
        <f t="shared" si="272"/>
        <v>0.5892085206377955</v>
      </c>
      <c r="J912" s="1">
        <f t="shared" ref="J912:K912" si="291">SUM(J144+J336+J528+J720)</f>
        <v>1792311.5999999999</v>
      </c>
      <c r="K912" s="1">
        <f t="shared" si="291"/>
        <v>5988643.7000000002</v>
      </c>
      <c r="L912" s="1">
        <f t="shared" si="275"/>
        <v>7780955.2999999998</v>
      </c>
      <c r="M912" s="2">
        <f t="shared" si="276"/>
        <v>0.23034595764867072</v>
      </c>
      <c r="N912" s="2">
        <f t="shared" si="277"/>
        <v>0.76965404235132928</v>
      </c>
    </row>
    <row r="913" spans="1:14" x14ac:dyDescent="0.35">
      <c r="A913" t="s">
        <v>16</v>
      </c>
      <c r="B913" t="s">
        <v>29</v>
      </c>
      <c r="C913">
        <v>2013</v>
      </c>
      <c r="D913" t="s">
        <v>33</v>
      </c>
      <c r="E913" s="1">
        <f t="shared" si="278"/>
        <v>1345769</v>
      </c>
      <c r="F913" s="1">
        <f t="shared" si="278"/>
        <v>1938579</v>
      </c>
      <c r="G913" s="1">
        <f t="shared" si="270"/>
        <v>3284348</v>
      </c>
      <c r="H913" s="2">
        <f t="shared" si="271"/>
        <v>0.40975225524213632</v>
      </c>
      <c r="I913" s="2">
        <f t="shared" si="272"/>
        <v>0.59024774475786368</v>
      </c>
      <c r="J913" s="1">
        <f t="shared" ref="J913:K913" si="292">SUM(J145+J337+J529+J721)</f>
        <v>2414268.9999999995</v>
      </c>
      <c r="K913" s="1">
        <f t="shared" si="292"/>
        <v>7049751.4000000004</v>
      </c>
      <c r="L913" s="1">
        <f t="shared" si="275"/>
        <v>9464020.4000000004</v>
      </c>
      <c r="M913" s="2">
        <f t="shared" si="276"/>
        <v>0.25509972484843751</v>
      </c>
      <c r="N913" s="2">
        <f t="shared" si="277"/>
        <v>0.74490027515156243</v>
      </c>
    </row>
    <row r="914" spans="1:14" x14ac:dyDescent="0.35">
      <c r="A914" t="s">
        <v>16</v>
      </c>
      <c r="B914" t="s">
        <v>17</v>
      </c>
      <c r="C914">
        <v>2014</v>
      </c>
      <c r="D914" t="s">
        <v>33</v>
      </c>
      <c r="E914" s="1">
        <f t="shared" si="278"/>
        <v>1343084</v>
      </c>
      <c r="F914" s="1">
        <f t="shared" si="278"/>
        <v>1944284</v>
      </c>
      <c r="G914" s="1">
        <f t="shared" si="270"/>
        <v>3287368</v>
      </c>
      <c r="H914" s="2">
        <f t="shared" si="271"/>
        <v>0.40855906609786308</v>
      </c>
      <c r="I914" s="2">
        <f t="shared" si="272"/>
        <v>0.59144093390213692</v>
      </c>
      <c r="J914" s="1">
        <f t="shared" ref="J914:K914" si="293">SUM(J146+J338+J530+J722)</f>
        <v>2666021.9000000004</v>
      </c>
      <c r="K914" s="1">
        <f t="shared" si="293"/>
        <v>7462975.6000000006</v>
      </c>
      <c r="L914" s="1">
        <f t="shared" si="275"/>
        <v>10128997.5</v>
      </c>
      <c r="M914" s="2">
        <f t="shared" si="276"/>
        <v>0.26320688695993855</v>
      </c>
      <c r="N914" s="2">
        <f t="shared" si="277"/>
        <v>0.73679311304006156</v>
      </c>
    </row>
    <row r="915" spans="1:14" x14ac:dyDescent="0.35">
      <c r="A915" t="s">
        <v>16</v>
      </c>
      <c r="B915" t="s">
        <v>19</v>
      </c>
      <c r="C915">
        <v>2014</v>
      </c>
      <c r="D915" t="s">
        <v>33</v>
      </c>
      <c r="E915" s="1">
        <f t="shared" si="278"/>
        <v>1337578</v>
      </c>
      <c r="F915" s="1">
        <f t="shared" si="278"/>
        <v>1954209</v>
      </c>
      <c r="G915" s="1">
        <f t="shared" si="270"/>
        <v>3291787</v>
      </c>
      <c r="H915" s="2">
        <f t="shared" si="271"/>
        <v>0.40633795564536829</v>
      </c>
      <c r="I915" s="2">
        <f t="shared" si="272"/>
        <v>0.59366204435463166</v>
      </c>
      <c r="J915" s="1">
        <f t="shared" ref="J915:K915" si="294">SUM(J147+J339+J531+J723)</f>
        <v>2433908.1999999997</v>
      </c>
      <c r="K915" s="1">
        <f t="shared" si="294"/>
        <v>6899021</v>
      </c>
      <c r="L915" s="1">
        <f t="shared" si="275"/>
        <v>9332929.1999999993</v>
      </c>
      <c r="M915" s="2">
        <f t="shared" si="276"/>
        <v>0.26078717065591794</v>
      </c>
      <c r="N915" s="2">
        <f t="shared" si="277"/>
        <v>0.73921282934408206</v>
      </c>
    </row>
    <row r="916" spans="1:14" x14ac:dyDescent="0.35">
      <c r="A916" t="s">
        <v>16</v>
      </c>
      <c r="B916" t="s">
        <v>20</v>
      </c>
      <c r="C916">
        <v>2014</v>
      </c>
      <c r="D916" t="s">
        <v>33</v>
      </c>
      <c r="E916" s="1">
        <f t="shared" si="278"/>
        <v>1331891</v>
      </c>
      <c r="F916" s="1">
        <f t="shared" si="278"/>
        <v>1963907</v>
      </c>
      <c r="G916" s="1">
        <f t="shared" si="270"/>
        <v>3295798</v>
      </c>
      <c r="H916" s="2">
        <f t="shared" si="271"/>
        <v>0.40411791013891019</v>
      </c>
      <c r="I916" s="2">
        <f t="shared" si="272"/>
        <v>0.59588208986108981</v>
      </c>
      <c r="J916" s="1">
        <f t="shared" ref="J916:K916" si="295">SUM(J148+J340+J532+J724)</f>
        <v>2169266.4</v>
      </c>
      <c r="K916" s="1">
        <f t="shared" si="295"/>
        <v>6463592.4000000004</v>
      </c>
      <c r="L916" s="1">
        <f t="shared" si="275"/>
        <v>8632858.8000000007</v>
      </c>
      <c r="M916" s="2">
        <f t="shared" si="276"/>
        <v>0.2512801900570874</v>
      </c>
      <c r="N916" s="2">
        <f t="shared" si="277"/>
        <v>0.74871980994291254</v>
      </c>
    </row>
    <row r="917" spans="1:14" x14ac:dyDescent="0.35">
      <c r="A917" t="s">
        <v>16</v>
      </c>
      <c r="B917" t="s">
        <v>21</v>
      </c>
      <c r="C917">
        <v>2014</v>
      </c>
      <c r="D917" t="s">
        <v>33</v>
      </c>
      <c r="E917" s="1">
        <f t="shared" si="278"/>
        <v>1327916</v>
      </c>
      <c r="F917" s="1">
        <f t="shared" si="278"/>
        <v>1972735</v>
      </c>
      <c r="G917" s="1">
        <f t="shared" si="270"/>
        <v>3300651</v>
      </c>
      <c r="H917" s="2">
        <f t="shared" si="271"/>
        <v>0.40231942122932718</v>
      </c>
      <c r="I917" s="2">
        <f t="shared" si="272"/>
        <v>0.59768057877067282</v>
      </c>
      <c r="J917" s="1">
        <f t="shared" ref="J917:K917" si="296">SUM(J149+J341+J533+J725)</f>
        <v>1937810.8</v>
      </c>
      <c r="K917" s="1">
        <f t="shared" si="296"/>
        <v>6349360.2999999989</v>
      </c>
      <c r="L917" s="1">
        <f t="shared" si="275"/>
        <v>8287171.0999999987</v>
      </c>
      <c r="M917" s="2">
        <f t="shared" si="276"/>
        <v>0.23383260422848037</v>
      </c>
      <c r="N917" s="2">
        <f t="shared" si="277"/>
        <v>0.7661673957715196</v>
      </c>
    </row>
    <row r="918" spans="1:14" x14ac:dyDescent="0.35">
      <c r="A918" t="s">
        <v>16</v>
      </c>
      <c r="B918" t="s">
        <v>22</v>
      </c>
      <c r="C918">
        <v>2014</v>
      </c>
      <c r="D918" t="s">
        <v>33</v>
      </c>
      <c r="E918" s="1">
        <f t="shared" si="278"/>
        <v>1325211</v>
      </c>
      <c r="F918" s="1">
        <f t="shared" si="278"/>
        <v>1979922</v>
      </c>
      <c r="G918" s="1">
        <f t="shared" si="270"/>
        <v>3305133</v>
      </c>
      <c r="H918" s="2">
        <f t="shared" si="271"/>
        <v>0.40095542297390152</v>
      </c>
      <c r="I918" s="2">
        <f t="shared" si="272"/>
        <v>0.59904457702609848</v>
      </c>
      <c r="J918" s="1">
        <f t="shared" ref="J918:K918" si="297">SUM(J150+J342+J534+J726)</f>
        <v>2004941.1</v>
      </c>
      <c r="K918" s="1">
        <f t="shared" si="297"/>
        <v>6482489.2999999998</v>
      </c>
      <c r="L918" s="1">
        <f t="shared" si="275"/>
        <v>8487430.4000000004</v>
      </c>
      <c r="M918" s="2">
        <f t="shared" si="276"/>
        <v>0.23622474712723418</v>
      </c>
      <c r="N918" s="2">
        <f t="shared" si="277"/>
        <v>0.76377525287276582</v>
      </c>
    </row>
    <row r="919" spans="1:14" x14ac:dyDescent="0.35">
      <c r="A919" t="s">
        <v>16</v>
      </c>
      <c r="B919" t="s">
        <v>23</v>
      </c>
      <c r="C919">
        <v>2014</v>
      </c>
      <c r="D919" t="s">
        <v>33</v>
      </c>
      <c r="E919" s="1">
        <f t="shared" si="278"/>
        <v>1320985</v>
      </c>
      <c r="F919" s="1">
        <f t="shared" si="278"/>
        <v>1987815</v>
      </c>
      <c r="G919" s="1">
        <f t="shared" si="270"/>
        <v>3308800</v>
      </c>
      <c r="H919" s="2">
        <f t="shared" si="271"/>
        <v>0.39923386121856869</v>
      </c>
      <c r="I919" s="2">
        <f t="shared" si="272"/>
        <v>0.60076613878143137</v>
      </c>
      <c r="J919" s="1">
        <f t="shared" ref="J919:K919" si="298">SUM(J151+J343+J535+J727)</f>
        <v>2503850.7000000002</v>
      </c>
      <c r="K919" s="1">
        <f t="shared" si="298"/>
        <v>7548126.2999999998</v>
      </c>
      <c r="L919" s="1">
        <f t="shared" si="275"/>
        <v>10051977</v>
      </c>
      <c r="M919" s="2">
        <f t="shared" si="276"/>
        <v>0.24909037296842204</v>
      </c>
      <c r="N919" s="2">
        <f t="shared" si="277"/>
        <v>0.75090962703157793</v>
      </c>
    </row>
    <row r="920" spans="1:14" x14ac:dyDescent="0.35">
      <c r="A920" t="s">
        <v>16</v>
      </c>
      <c r="B920" t="s">
        <v>24</v>
      </c>
      <c r="C920">
        <v>2014</v>
      </c>
      <c r="D920" t="s">
        <v>33</v>
      </c>
      <c r="E920" s="1">
        <f t="shared" si="278"/>
        <v>1315363</v>
      </c>
      <c r="F920" s="1">
        <f t="shared" si="278"/>
        <v>1997590</v>
      </c>
      <c r="G920" s="1">
        <f t="shared" si="270"/>
        <v>3312953</v>
      </c>
      <c r="H920" s="2">
        <f t="shared" si="271"/>
        <v>0.3970364203778321</v>
      </c>
      <c r="I920" s="2">
        <f t="shared" si="272"/>
        <v>0.60296357962216784</v>
      </c>
      <c r="J920" s="1">
        <f t="shared" ref="J920:K920" si="299">SUM(J152+J344+J536+J728)</f>
        <v>2806654.7999999993</v>
      </c>
      <c r="K920" s="1">
        <f t="shared" si="299"/>
        <v>7999963.7999999998</v>
      </c>
      <c r="L920" s="1">
        <f t="shared" si="275"/>
        <v>10806618.6</v>
      </c>
      <c r="M920" s="2">
        <f t="shared" si="276"/>
        <v>0.25971628164984001</v>
      </c>
      <c r="N920" s="2">
        <f t="shared" si="277"/>
        <v>0.74028371835015994</v>
      </c>
    </row>
    <row r="921" spans="1:14" x14ac:dyDescent="0.35">
      <c r="A921" t="s">
        <v>16</v>
      </c>
      <c r="B921" t="s">
        <v>25</v>
      </c>
      <c r="C921">
        <v>2014</v>
      </c>
      <c r="D921" t="s">
        <v>33</v>
      </c>
      <c r="E921" s="1">
        <f t="shared" si="278"/>
        <v>1308964</v>
      </c>
      <c r="F921" s="1">
        <f t="shared" si="278"/>
        <v>2008495</v>
      </c>
      <c r="G921" s="1">
        <f t="shared" si="270"/>
        <v>3317459</v>
      </c>
      <c r="H921" s="2">
        <f t="shared" si="271"/>
        <v>0.39456825238834903</v>
      </c>
      <c r="I921" s="2">
        <f t="shared" si="272"/>
        <v>0.60543174761165097</v>
      </c>
      <c r="J921" s="1">
        <f t="shared" ref="J921:K921" si="300">SUM(J153+J345+J537+J729)</f>
        <v>2901998.6</v>
      </c>
      <c r="K921" s="1">
        <f t="shared" si="300"/>
        <v>8158774.1000000006</v>
      </c>
      <c r="L921" s="1">
        <f t="shared" si="275"/>
        <v>11060772.700000001</v>
      </c>
      <c r="M921" s="2">
        <f t="shared" si="276"/>
        <v>0.26236852331302313</v>
      </c>
      <c r="N921" s="2">
        <f t="shared" si="277"/>
        <v>0.73763147668697682</v>
      </c>
    </row>
    <row r="922" spans="1:14" x14ac:dyDescent="0.35">
      <c r="A922" t="s">
        <v>16</v>
      </c>
      <c r="B922" t="s">
        <v>26</v>
      </c>
      <c r="C922">
        <v>2014</v>
      </c>
      <c r="D922" t="s">
        <v>33</v>
      </c>
      <c r="E922" s="1">
        <f t="shared" si="278"/>
        <v>1304009</v>
      </c>
      <c r="F922" s="1">
        <f t="shared" si="278"/>
        <v>2016789</v>
      </c>
      <c r="G922" s="1">
        <f t="shared" si="270"/>
        <v>3320798</v>
      </c>
      <c r="H922" s="2">
        <f t="shared" si="271"/>
        <v>0.39267941018996039</v>
      </c>
      <c r="I922" s="2">
        <f t="shared" si="272"/>
        <v>0.60732058981003967</v>
      </c>
      <c r="J922" s="1">
        <f t="shared" ref="J922:K922" si="301">SUM(J154+J346+J538+J730)</f>
        <v>3075043.8</v>
      </c>
      <c r="K922" s="1">
        <f t="shared" si="301"/>
        <v>8687547.7799999993</v>
      </c>
      <c r="L922" s="1">
        <f t="shared" si="275"/>
        <v>11762591.579999998<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"0.35">
      <c r="A923" t="s">
        <v>16</v>
      </c>
      <c r="B923" t="s">
        <v>27</v>
      </c>
      <c r="C923">
        <v>2014</v>
      </c>
      <c r="D923" t="s">
        <v>33</v>
      </c>
      <c r="E923" s="1">
        <f t="shared" si="278"/>
        <v>1300419</v>
      </c>
      <c r="F923" s="1">
        <f t="shared" si="278"/>
        <v>2024135</v>
      </c>
      <c r="G923" s="1">
        <f t="shared" si="270"/>
        <v>3324554</v>
      </c>
      <c r="H923" s="2">
        <f t="shared" si="271"/>
        <v>0.39115592647916081</v>
      </c>
      <c r="I923" s="2">
        <f t="shared" si="272"/>
        <v>0.60884407352083914</v>
      </c>
      <c r="J923" s="1">
        <f t="shared" ref="J923:K923" si="302">SUM(J155+J347+J539+J731)</f>
        <v>2297132.0000000005</v>
      </c>
      <c r="K923" s="1">
        <f t="shared" si="302"/>
        <v>7115120.3999999994</v>
      </c>
      <c r="L923" s="1">
        <f t="shared" si="275"/>
        <v>9412252.4000000004</v>
      </c>
      <c r="M923" s="2">
        <f t="shared" si="276"/>
        <v>0.24405762854383298</v>
      </c>
      <c r="N923" s="2">
        <f t="shared" si="277"/>
        <v>0.75594237145616694</v>
      </c>
    </row>
    <row r="924" spans="1:14" x14ac:dyDescent="0.35">
      <c r="A924" t="s">
        <v>16</v>
      </c>
      <c r="B924" t="s">
        <v>28</v>
      </c>
      <c r="C924">
        <v>2014</v>
      </c>
      <c r="D924" t="s">
        <v>33</v>
      </c>
      <c r="E924" s="1">
        <f t="shared" si="278"/>
        <v>1297231</v>
      </c>
      <c r="F924" s="1">
        <f t="shared" si="278"/>
        <v>2031435</v>
      </c>
      <c r="G924" s="1">
        <f t="shared" si="270"/>
        <v>3328666</v>
      </c>
      <c r="H924" s="2">
        <f t="shared" si="271"/>
        <v>0.38971497891347467</v>
      </c>
      <c r="I924" s="2">
        <f t="shared" si="272"/>
        <v>0.61028502108652538</v>
      </c>
      <c r="J924" s="1">
        <f t="shared" ref="J924:K924" si="303">SUM(J156+J348+J540+J732)</f>
        <v>1958315</v>
      </c>
      <c r="K924" s="1">
        <f t="shared" si="303"/>
        <v>6354344.2000000002</v>
      </c>
      <c r="L924" s="1">
        <f t="shared" si="275"/>
        <v>8312659.2000000002</v>
      </c>
      <c r="M924" s="2">
        <f t="shared" si="276"/>
        <v>0.23558225507428476</v>
      </c>
      <c r="N924" s="2">
        <f t="shared" si="277"/>
        <v>0.76441774492571524</v>
      </c>
    </row>
    <row r="925" spans="1:14" x14ac:dyDescent="0.35">
      <c r="A925" t="s">
        <v>16</v>
      </c>
      <c r="B925" t="s">
        <v>29</v>
      </c>
      <c r="C925">
        <v>2014</v>
      </c>
      <c r="D925" t="s">
        <v>33</v>
      </c>
      <c r="E925" s="1">
        <f t="shared" si="278"/>
        <v>1294279</v>
      </c>
      <c r="F925" s="1">
        <f t="shared" si="278"/>
        <v>2038102</v>
      </c>
      <c r="G925" s="1">
        <f t="shared" si="270"/>
        <v>3332381</v>
      </c>
      <c r="H925" s="2">
        <f t="shared" si="271"/>
        <v>0.38839466435560638</v>
      </c>
      <c r="I925" s="2">
        <f t="shared" si="272"/>
        <v>0.61160533564439357</v>
      </c>
      <c r="J925" s="1">
        <f t="shared" ref="J925:K925" si="304">SUM(J157+J349+J541+J733)</f>
        <v>2103781.5</v>
      </c>
      <c r="K925" s="1">
        <f t="shared" si="304"/>
        <v>6525789</v>
      </c>
      <c r="L925" s="1">
        <f t="shared" si="275"/>
        <v>8629570.5</v>
      </c>
      <c r="M925" s="2">
        <f t="shared" si="276"/>
        <v>0.24378750947106811</v>
      </c>
      <c r="N925" s="2">
        <f t="shared" si="277"/>
        <v>0.75621249052893191</v>
      </c>
    </row>
    <row r="926" spans="1:14" x14ac:dyDescent="0.35">
      <c r="A926" t="s">
        <v>16</v>
      </c>
      <c r="B926" t="s">
        <v>17</v>
      </c>
      <c r="C926">
        <v>2015</v>
      </c>
      <c r="D926" t="s">
        <v>33</v>
      </c>
      <c r="E926" s="1">
        <f t="shared" si="278"/>
        <v>1293167</v>
      </c>
      <c r="F926" s="1">
        <f t="shared" si="278"/>
        <v>2042811</v>
      </c>
      <c r="G926" s="1">
        <f t="shared" si="270"/>
        <v>3335978</v>
      </c>
      <c r="H926" s="2">
        <f t="shared" si="271"/>
        <v>0.38764254440526885</v>
      </c>
      <c r="I926" s="2">
        <f t="shared" si="272"/>
        <v>0.61235745559473109</v>
      </c>
      <c r="J926" s="1">
        <f t="shared" ref="J926:K926" si="305">SUM(J158+J350+J542+J734)</f>
        <v>2467903.6000000006</v>
      </c>
      <c r="K926" s="1">
        <f t="shared" si="305"/>
        <v>7200853.0599999996</v>
      </c>
      <c r="L926" s="1">
        <f t="shared" si="275"/>
        <v>9668756.6600000001</v>
      </c>
      <c r="M926" s="2">
        <f t="shared" si="276"/>
        <v>0.25524518682012215</v>
      </c>
      <c r="N926" s="2">
        <f t="shared" si="277"/>
        <v>0.74475481317987779</v>
      </c>
    </row>
    <row r="927" spans="1:14" x14ac:dyDescent="0.35">
      <c r="A927" t="s">
        <v>16</v>
      </c>
      <c r="B927" t="s">
        <v>19</v>
      </c>
      <c r="C927">
        <v>2015</v>
      </c>
      <c r="D927" t="s">
        <v>33</v>
      </c>
      <c r="E927" s="1">
        <f t="shared" si="278"/>
        <v>1294816</v>
      </c>
      <c r="F927" s="1">
        <f t="shared" si="278"/>
        <v>2046203</v>
      </c>
      <c r="G927" s="1">
        <f t="shared" si="270"/>
        <v>3341019</v>
      </c>
      <c r="H927" s="2">
        <f t="shared" si="271"/>
        <v>0.38755122314479507</v>
      </c>
      <c r="I927" s="2">
        <f t="shared" si="272"/>
        <v>0.61244877685520493</v>
      </c>
      <c r="J927" s="1">
        <f t="shared" ref="J927:K927" si="306">SUM(J159+J351+J543+J735)</f>
        <v>2392199.1</v>
      </c>
      <c r="K927" s="1">
        <f t="shared" si="306"/>
        <v>6974377.5</v>
      </c>
      <c r="L927" s="1">
        <f t="shared" si="275"/>
        <v>9366576.5999999996</v>
      </c>
      <c r="M927" s="2">
        <f t="shared" si="276"/>
        <v>0.25539737752211411</v>
      </c>
      <c r="N927" s="2">
        <f t="shared" si="277"/>
        <v>0.74460262247788589</v>
      </c>
    </row>
    <row r="928" spans="1:14" x14ac:dyDescent="0.35">
      <c r="A928" t="s">
        <v>16</v>
      </c>
      <c r="B928" t="s">
        <v>20</v>
      </c>
      <c r="C928">
        <v>2015</v>
      </c>
      <c r="D928" t="s">
        <v>33</v>
      </c>
      <c r="E928" s="1">
        <f t="shared" si="278"/>
        <v>1292721</v>
      </c>
      <c r="F928" s="1">
        <f t="shared" si="278"/>
        <v>2051957</v>
      </c>
      <c r="G928" s="1">
        <f t="shared" si="270"/>
        <v>3344678</v>
      </c>
      <c r="H928" s="2">
        <f t="shared" si="271"/>
        <v>0.38650088289515461</v>
      </c>
      <c r="I928" s="2">
        <f t="shared" si="272"/>
        <v>0.61349911710484539</v>
      </c>
      <c r="J928" s="1">
        <f t="shared" ref="J928:K928" si="307">SUM(J160+J352+J544+J736)</f>
        <v>2371033.4</v>
      </c>
      <c r="K928" s="1">
        <f t="shared" si="307"/>
        <v>6856327.7999999998</v>
      </c>
      <c r="L928" s="1">
        <f t="shared" si="275"/>
        <v>9227361.1999999993</v>
      </c>
      <c r="M928" s="2">
        <f t="shared" si="276"/>
        <v>0.2569568209814958</v>
      </c>
      <c r="N928" s="2">
        <f t="shared" si="277"/>
        <v>0.74304317901850425</v>
      </c>
    </row>
    <row r="929" spans="1:14" x14ac:dyDescent="0.35">
      <c r="A929" t="s">
        <v>16</v>
      </c>
      <c r="B929" t="s">
        <v>21</v>
      </c>
      <c r="C929">
        <v>2015</v>
      </c>
      <c r="D929" t="s">
        <v>33</v>
      </c>
      <c r="E929" s="1">
        <f t="shared" si="278"/>
        <v>1288673</v>
      </c>
      <c r="F929" s="1">
        <f t="shared" si="278"/>
        <v>2060618</v>
      </c>
      <c r="G929" s="1">
        <f t="shared" si="270"/>
        <v>3349291</v>
      </c>
      <c r="H929" s="2">
        <f t="shared" si="271"/>
        <v>0.38475993874524489</v>
      </c>
      <c r="I929" s="2">
        <f t="shared" si="272"/>
        <v>0.61524006125475517</v>
      </c>
      <c r="J929" s="1">
        <f t="shared" ref="J929:K929" si="308">SUM(J161+J353+J545+J737)</f>
        <v>1951659.1</v>
      </c>
      <c r="K929" s="1">
        <f t="shared" si="308"/>
        <v>6284750.3999999994</v>
      </c>
      <c r="L929" s="1">
        <f t="shared" si="275"/>
        <v>8236409.5</v>
      </c>
      <c r="M929" s="2">
        <f t="shared" si="276"/>
        <v>0.2369550834013292</v>
      </c>
      <c r="N929" s="2">
        <f t="shared" si="277"/>
        <v>0.7630449165986708</v>
      </c>
    </row>
    <row r="930" spans="1:14" x14ac:dyDescent="0.35">
      <c r="A930" t="s">
        <v>16</v>
      </c>
      <c r="B930" t="s">
        <v>22</v>
      </c>
      <c r="C930">
        <v>2015</v>
      </c>
      <c r="D930" t="s">
        <v>33</v>
      </c>
      <c r="E930" s="1">
        <f t="shared" si="278"/>
        <v>1284544</v>
      </c>
      <c r="F930" s="1">
        <f t="shared" si="278"/>
        <v>2068074</v>
      </c>
      <c r="G930" s="1">
        <f t="shared" si="270"/>
        <v>3352618</v>
      </c>
      <c r="H930" s="2">
        <f t="shared" si="271"/>
        <v>0.38314654398443249</v>
      </c>
      <c r="I930" s="2">
        <f t="shared" si="272"/>
        <v>0.61685345601556751</v>
      </c>
      <c r="J930" s="1">
        <f t="shared" ref="J930:K930" si="309">SUM(J162+J354+J546+J738)</f>
        <v>1920686.4</v>
      </c>
      <c r="K930" s="1">
        <f t="shared" si="309"/>
        <v>6267333.8999999994</v>
      </c>
      <c r="L930" s="1">
        <f t="shared" si="275"/>
        <v>8188020.2999999989</v>
      </c>
      <c r="M930" s="2">
        <f t="shared" si="276"/>
        <v>0.23457274525809374</v>
      </c>
      <c r="N930" s="2">
        <f t="shared" si="277"/>
        <v>0.76542725474190632</v>
      </c>
    </row>
    <row r="931" spans="1:14" x14ac:dyDescent="0.35">
      <c r="A931" t="s">
        <v>16</v>
      </c>
      <c r="B931" t="s">
        <v>23</v>
      </c>
      <c r="C931">
        <v>2015</v>
      </c>
      <c r="D931" t="s">
        <v>33</v>
      </c>
      <c r="E931" s="1">
        <f t="shared" si="278"/>
        <v>1279350</v>
      </c>
      <c r="F931" s="1">
        <f t="shared" si="278"/>
        <v>2076468</v>
      </c>
      <c r="G931" s="1">
        <f t="shared" si="270"/>
        <v>3355818</v>
      </c>
      <c r="H931" s="2">
        <f t="shared" si="271"/>
        <v>0.38123342803453586</v>
      </c>
      <c r="I931" s="2">
        <f t="shared" si="272"/>
        <v>0.61876657196546414</v>
      </c>
      <c r="J931" s="1">
        <f t="shared" ref="J931:K931" si="310">SUM(J163+J355+J547+J739)</f>
        <v>2357687.9</v>
      </c>
      <c r="K931" s="1">
        <f t="shared" si="310"/>
        <v>7198378.2000000002</v>
      </c>
      <c r="L931" s="1">
        <f t="shared" si="275"/>
        <v>9556066.0999999996</v>
      </c>
      <c r="M931" s="2">
        <f t="shared" si="276"/>
        <v>0.24672159812707867</v>
      </c>
      <c r="N931" s="2">
        <f t="shared" si="277"/>
        <v>0.75327840187292139</v>
      </c>
    </row>
    <row r="932" spans="1:14" x14ac:dyDescent="0.35">
      <c r="A932" t="s">
        <v>16</v>
      </c>
      <c r="B932" t="s">
        <v>24</v>
      </c>
      <c r="C932">
        <v>2015</v>
      </c>
      <c r="D932" t="s">
        <v>33</v>
      </c>
      <c r="E932" s="1">
        <f t="shared" si="278"/>
        <v>1276070</v>
      </c>
      <c r="F932" s="1">
        <f t="shared" si="278"/>
        <v>2083487</v>
      </c>
      <c r="G932" s="1">
        <f t="shared" si="270"/>
        <v>3359557</v>
      </c>
      <c r="H932" s="2">
        <f t="shared" si="271"/>
        <v>0.37983281724346396</v>
      </c>
      <c r="I932" s="2">
        <f t="shared" si="272"/>
        <v>0.62016718275653604</v>
      </c>
      <c r="J932" s="1">
        <f t="shared" ref="J932:K932" si="311">SUM(J164+J356+J548+J740)</f>
        <v>2940277</v>
      </c>
      <c r="K932" s="1">
        <f t="shared" si="311"/>
        <v>8394630.3000000007</v>
      </c>
      <c r="L932" s="1">
        <f t="shared" si="275"/>
        <v>11334907.300000001</v>
      </c>
      <c r="M932" s="2">
        <f t="shared" si="276"/>
        <v>0.25940018053786817</v>
      </c>
      <c r="N932" s="2">
        <f t="shared" si="277"/>
        <v>0.74059981946213183</v>
      </c>
    </row>
    <row r="933" spans="1:14" x14ac:dyDescent="0.35">
      <c r="A933" t="s">
        <v>16</v>
      </c>
      <c r="B933" t="s">
        <v>25</v>
      </c>
      <c r="C933">
        <v>2015</v>
      </c>
      <c r="D933" t="s">
        <v>33</v>
      </c>
      <c r="E933" s="1">
        <f t="shared" si="278"/>
        <v>1272702</v>
      </c>
      <c r="F933" s="1">
        <f t="shared" si="278"/>
        <v>2091755</v>
      </c>
      <c r="G933" s="1">
        <f t="shared" si="270"/>
        <v>3364457</v>
      </c>
      <c r="H933" s="2">
        <f t="shared" si="271"/>
        <v>0.37827857511628177</v>
      </c>
      <c r="I933" s="2">
        <f t="shared" si="272"/>
        <v>0.62172142488371829</v>
      </c>
      <c r="J933" s="1">
        <f t="shared" ref="J933:K933" si="312">SUM(J165+J357+J549+J741)</f>
        <v>3274363.9</v>
      </c>
      <c r="K933" s="1">
        <f t="shared" si="312"/>
        <v>9027249.0999999996</v>
      </c>
      <c r="L933" s="1">
        <f t="shared" si="275"/>
        <v>12301613</v>
      </c>
      <c r="M933" s="2">
        <f t="shared" si="276"/>
        <v>0.26617354163230461</v>
      </c>
      <c r="N933" s="2">
        <f t="shared" si="277"/>
        <v>0.73382645836769533</v>
      </c>
    </row>
    <row r="934" spans="1:14" x14ac:dyDescent="0.35">
      <c r="A934" t="s">
        <v>16</v>
      </c>
      <c r="B934" t="s">
        <v>26</v>
      </c>
      <c r="C934">
        <v>2015</v>
      </c>
      <c r="D934" t="s">
        <v>33</v>
      </c>
      <c r="E934" s="1">
        <f t="shared" si="278"/>
        <v>1268464</v>
      </c>
      <c r="F934" s="1">
        <f t="shared" si="278"/>
        <v>2098941</v>
      </c>
      <c r="G934" s="1">
        <f t="shared" si="270"/>
        <v>3367405</v>
      </c>
      <c r="H934" s="2">
        <f t="shared" si="271"/>
        <v>0.37668887466758527</v>
      </c>
      <c r="I934" s="2">
        <f t="shared" si="272"/>
        <v>0.62331112533241473</v>
      </c>
      <c r="J934" s="1">
        <f t="shared" ref="J934:K934" si="313">SUM(J166+J358+J550+J742)</f>
        <v>3063896.9</v>
      </c>
      <c r="K934" s="1">
        <f t="shared" si="313"/>
        <v>8722343.9000000004</v>
      </c>
      <c r="L934" s="1">
        <f t="shared" si="275"/>
        <v>11786240.800000001</v>
      </c>
      <c r="M934" s="2">
        <f t="shared" si="276"/>
        <v>0.25995539646534283</v>
      </c>
      <c r="N934" s="2">
        <f t="shared" si="277"/>
        <v>0.74004460353465706</v>
      </c>
    </row>
    <row r="935" spans="1:14" x14ac:dyDescent="0.35">
      <c r="A935" t="s">
        <v>16</v>
      </c>
      <c r="B935" t="s">
        <v>27</v>
      </c>
      <c r="C935">
        <v>2015</v>
      </c>
      <c r="D935" t="s">
        <v>33</v>
      </c>
      <c r="E935" s="1">
        <f t="shared" si="278"/>
        <v>1263766</v>
      </c>
      <c r="F935" s="1">
        <f t="shared" si="278"/>
        <v>2107765</v>
      </c>
      <c r="G935" s="1">
        <f t="shared" si="270"/>
        <v>3371531</v>
      </c>
      <c r="H935" s="2">
        <f t="shared" si="271"/>
        <v>0.37483445947849803</v>
      </c>
      <c r="I935" s="2">
        <f t="shared" si="272"/>
        <v>0.62516554052150197</v>
      </c>
      <c r="J935" s="1">
        <f t="shared" ref="J935:K935" si="314">SUM(J167+J359+J551+J743)</f>
        <v>2522861.7999999998</v>
      </c>
      <c r="K935" s="1">
        <f t="shared" si="314"/>
        <v>7655031.2999999998</v>
      </c>
      <c r="L935" s="1">
        <f t="shared" si="275"/>
        <v>10177893.1</v>
      </c>
      <c r="M935" s="2">
        <f t="shared" si="276"/>
        <v>0.24787662586080805</v>
      </c>
      <c r="N935" s="2">
        <f t="shared" si="277"/>
        <v>0.75212337413919195</v>
      </c>
    </row>
    <row r="936" spans="1:14" x14ac:dyDescent="0.35">
      <c r="A936" t="s">
        <v>16</v>
      </c>
      <c r="B936" t="s">
        <v>28</v>
      </c>
      <c r="C936">
        <v>2015</v>
      </c>
      <c r="D936" t="s">
        <v>33</v>
      </c>
      <c r="E936" s="1">
        <f t="shared" si="278"/>
        <v>1260200</v>
      </c>
      <c r="F936" s="1">
        <f t="shared" si="278"/>
        <v>2114703</v>
      </c>
      <c r="G936" s="1">
        <f t="shared" si="270"/>
        <v>3374903</v>
      </c>
      <c r="H936" s="2">
        <f t="shared" si="271"/>
        <v>0.37340332448073321</v>
      </c>
      <c r="I936" s="2">
        <f t="shared" si="272"/>
        <v>0.62659667551926679</v>
      </c>
      <c r="J936" s="1">
        <f t="shared" ref="J936:K936" si="315">SUM(J168+J360+J552+J744)</f>
        <v>1908789.2</v>
      </c>
      <c r="K936" s="1">
        <f t="shared" si="315"/>
        <v>6309765.2999999998</v>
      </c>
      <c r="L936" s="1">
        <f t="shared" si="275"/>
        <v>8218554.5</v>
      </c>
      <c r="M936" s="2">
        <f t="shared" si="276"/>
        <v>0.23225364022347239</v>
      </c>
      <c r="N936" s="2">
        <f t="shared" si="277"/>
        <v>0.76774635977652761</v>
      </c>
    </row>
    <row r="937" spans="1:14" x14ac:dyDescent="0.35">
      <c r="A937" t="s">
        <v>16</v>
      </c>
      <c r="B937" t="s">
        <v>29</v>
      </c>
      <c r="C937">
        <v>2015</v>
      </c>
      <c r="D937" t="s">
        <v>33</v>
      </c>
      <c r="E937" s="1">
        <f t="shared" si="278"/>
        <v>1257554</v>
      </c>
      <c r="F937" s="1">
        <f t="shared" si="278"/>
        <v>2121529</v>
      </c>
      <c r="G937" s="1">
        <f t="shared" si="270"/>
        <v>3379083</v>
      </c>
      <c r="H937" s="2">
        <f t="shared" si="271"/>
        <v>0.37215836367440513</v>
      </c>
      <c r="I937" s="2">
        <f t="shared" si="272"/>
        <v>0.62784163632559487</v>
      </c>
      <c r="J937" s="1">
        <f t="shared" ref="J937:K937" si="316">SUM(J169+J361+J553+J745)</f>
        <v>2036159.8</v>
      </c>
      <c r="K937" s="1">
        <f t="shared" si="316"/>
        <v>6488024.0999999996</v>
      </c>
      <c r="L937" s="1">
        <f t="shared" si="275"/>
        <v>8524183.9000000004</v>
      </c>
      <c r="M937" s="2">
        <f t="shared" si="276"/>
        <v>0.23886859127945373</v>
      </c>
      <c r="N937" s="2">
        <f t="shared" si="277"/>
        <v>0.76113140872054619</v>
      </c>
    </row>
    <row r="938" spans="1:14" x14ac:dyDescent="0.35">
      <c r="A938" t="s">
        <v>16</v>
      </c>
      <c r="B938" t="s">
        <v>17</v>
      </c>
      <c r="C938">
        <v>2016</v>
      </c>
      <c r="D938" t="s">
        <v>33</v>
      </c>
      <c r="E938" s="1">
        <f t="shared" si="278"/>
        <v>1254401</v>
      </c>
      <c r="F938" s="1">
        <f t="shared" si="278"/>
        <v>2127621</v>
      </c>
      <c r="G938" s="1">
        <f t="shared" si="270"/>
        <v>3382022</v>
      </c>
      <c r="H938" s="2">
        <f t="shared" si="271"/>
        <v>0.37090267301631985</v>
      </c>
      <c r="I938" s="2">
        <f t="shared" si="272"/>
        <v>0.62909732698368015</v>
      </c>
      <c r="J938" s="1">
        <f t="shared" ref="J938:K938" si="317">SUM(J170+J362+J554+J746)</f>
        <v>2319237.5</v>
      </c>
      <c r="K938" s="1">
        <f t="shared" si="317"/>
        <v>7046662.5</v>
      </c>
      <c r="L938" s="1">
        <f t="shared" si="275"/>
        <v>9365900</v>
      </c>
      <c r="M938" s="2">
        <f t="shared" si="276"/>
        <v>0.24762569534161158</v>
      </c>
      <c r="N938" s="2">
        <f t="shared" si="277"/>
        <v>0.75237430465838839</v>
      </c>
    </row>
    <row r="939" spans="1:14" x14ac:dyDescent="0.35">
      <c r="A939" t="s">
        <v>16</v>
      </c>
      <c r="B939" t="s">
        <v>19</v>
      </c>
      <c r="C939">
        <v>2016</v>
      </c>
      <c r="D939" t="s">
        <v>33</v>
      </c>
      <c r="E939" s="1">
        <f t="shared" si="278"/>
        <v>1245706</v>
      </c>
      <c r="F939" s="1">
        <f t="shared" si="278"/>
        <v>2141533</v>
      </c>
      <c r="G939" s="1">
        <f t="shared" si="270"/>
        <v>3387239</v>
      </c>
      <c r="H939" s="2">
        <f t="shared" si="271"/>
        <v>0.36776442406337434</v>
      </c>
      <c r="I939" s="2">
        <f t="shared" si="272"/>
        <v>0.63223557593662572</v>
      </c>
      <c r="J939" s="1">
        <f t="shared" ref="J939:K939" si="318">SUM(J171+J363+J555+J747)</f>
        <v>2200306.7000000002</v>
      </c>
      <c r="K939" s="1">
        <f t="shared" si="318"/>
        <v>6803427.5999999996</v>
      </c>
      <c r="L939" s="1">
        <f t="shared" si="275"/>
        <v>9003734.3000000007</v>
      </c>
      <c r="M939" s="2">
        <f t="shared" si="276"/>
        <v>0.24437712472257206</v>
      </c>
      <c r="N939" s="2">
        <f t="shared" si="277"/>
        <v>0.75562287527742789</v>
      </c>
    </row>
    <row r="940" spans="1:14" x14ac:dyDescent="0.35">
      <c r="A940" t="s">
        <v>16</v>
      </c>
      <c r="B940" t="s">
        <v>20</v>
      </c>
      <c r="C940">
        <v>2016</v>
      </c>
      <c r="D940" t="s">
        <v>33</v>
      </c>
      <c r="E940" s="1">
        <f t="shared" si="278"/>
        <v>1241156</v>
      </c>
      <c r="F940" s="1">
        <f t="shared" si="278"/>
        <v>2151898</v>
      </c>
      <c r="G940" s="1">
        <f t="shared" si="270"/>
        <v>3393054</v>
      </c>
      <c r="H940" s="2">
        <f t="shared" si="271"/>
        <v>0.36579317629486591</v>
      </c>
      <c r="I940" s="2">
        <f t="shared" si="272"/>
        <v>0.63420682370513404</v>
      </c>
      <c r="J940" s="1">
        <f t="shared" ref="J940:K940" si="319">SUM(J172+J364+J556+J748)</f>
        <v>1815197.4</v>
      </c>
      <c r="K940" s="1">
        <f t="shared" si="319"/>
        <v>6010212.0999999996</v>
      </c>
      <c r="L940" s="1">
        <f t="shared" si="275"/>
        <v>7825409.5</v>
      </c>
      <c r="M940" s="2">
        <f t="shared" si="276"/>
        <v>0.23196196953015685</v>
      </c>
      <c r="N940" s="2">
        <f t="shared" si="277"/>
        <v>0.76803803046984309</v>
      </c>
    </row>
    <row r="941" spans="1:14" x14ac:dyDescent="0.35">
      <c r="A941" t="s">
        <v>16</v>
      </c>
      <c r="B941" t="s">
        <v>21</v>
      </c>
      <c r="C941">
        <v>2016</v>
      </c>
      <c r="D941" t="s">
        <v>33</v>
      </c>
      <c r="E941" s="1">
        <f t="shared" si="278"/>
        <v>1238012</v>
      </c>
      <c r="F941" s="1">
        <f t="shared" si="278"/>
        <v>2160105</v>
      </c>
      <c r="G941" s="1">
        <f t="shared" si="270"/>
        <v>3398117</v>
      </c>
      <c r="H941" s="2">
        <f t="shared" si="271"/>
        <v>0.36432294709099189</v>
      </c>
      <c r="I941" s="2">
        <f t="shared" si="272"/>
        <v>0.63567705290900811</v>
      </c>
      <c r="J941" s="1">
        <f t="shared" ref="J941:K941" si="320">SUM(J173+J365+J557+J749)</f>
        <v>1801265.3</v>
      </c>
      <c r="K941" s="1">
        <f t="shared" si="320"/>
        <v>6191222.6000000006</v>
      </c>
      <c r="L941" s="1">
        <f t="shared" si="275"/>
        <v>7992487.9000000004</v>
      </c>
      <c r="M941" s="2">
        <f t="shared" si="276"/>
        <v>0.22536978754762957</v>
      </c>
      <c r="N941" s="2">
        <f t="shared" si="277"/>
        <v>0.77463021245237051</v>
      </c>
    </row>
    <row r="942" spans="1:14" x14ac:dyDescent="0.35">
      <c r="A942" t="s">
        <v>16</v>
      </c>
      <c r="B942" t="s">
        <v>22</v>
      </c>
      <c r="C942">
        <v>2016</v>
      </c>
      <c r="D942" t="s">
        <v>33</v>
      </c>
      <c r="E942" s="1">
        <f t="shared" si="278"/>
        <v>1235439</v>
      </c>
      <c r="F942" s="1">
        <f t="shared" si="278"/>
        <v>2167393</v>
      </c>
      <c r="G942" s="1">
        <f t="shared" si="270"/>
        <v>3402832</v>
      </c>
      <c r="H942" s="2">
        <f t="shared" si="271"/>
        <v>0.36306200247323406</v>
      </c>
      <c r="I942" s="2">
        <f t="shared" si="272"/>
        <v>0.63693799752676594</v>
      </c>
      <c r="J942" s="1">
        <f t="shared" ref="J942:K942" si="321">SUM(J174+J366+J558+J750)</f>
        <v>1868883.1</v>
      </c>
      <c r="K942" s="1">
        <f t="shared" si="321"/>
        <v>6304629.5999999996</v>
      </c>
      <c r="L942" s="1">
        <f t="shared" si="275"/>
        <v>8173512.6999999993</v>
      </c>
      <c r="M942" s="2">
        <f t="shared" si="276"/>
        <v>0.22865115264334271</v>
      </c>
      <c r="N942" s="2">
        <f t="shared" si="277"/>
        <v>0.77134884735665732</v>
      </c>
    </row>
    <row r="943" spans="1:14" x14ac:dyDescent="0.35">
      <c r="A943" t="s">
        <v>16</v>
      </c>
      <c r="B943" t="s">
        <v>23</v>
      </c>
      <c r="C943">
        <v>2016</v>
      </c>
      <c r="D943" t="s">
        <v>33</v>
      </c>
      <c r="E943" s="1">
        <f t="shared" si="278"/>
        <v>1232311</v>
      </c>
      <c r="F943" s="1">
        <f t="shared" si="278"/>
        <v>2174895</v>
      </c>
      <c r="G943" s="1">
        <f t="shared" si="270"/>
        <v>3407206</v>
      </c>
      <c r="H943" s="2">
        <f t="shared" si="271"/>
        <v>0.36167786743742525</v>
      </c>
      <c r="I943" s="2">
        <f t="shared" si="272"/>
        <v>0.63832213256257475</v>
      </c>
      <c r="J943" s="1">
        <f t="shared" ref="J943:K943" si="322">SUM(J175+J367+J559+J751)</f>
        <v>2266218.9000000004</v>
      </c>
      <c r="K943" s="1">
        <f t="shared" si="322"/>
        <v>7246556.2000000002</v>
      </c>
      <c r="L943" s="1">
        <f t="shared" si="275"/>
        <v>9512775.1000000015</v>
      </c>
      <c r="M943" s="2">
        <f t="shared" si="276"/>
        <v>0.23822900007380601</v>
      </c>
      <c r="N943" s="2">
        <f t="shared" si="277"/>
        <v>0.7617709999261939</v>
      </c>
    </row>
    <row r="944" spans="1:14" x14ac:dyDescent="0.35">
      <c r="A944" t="s">
        <v>16</v>
      </c>
      <c r="B944" t="s">
        <v>24</v>
      </c>
      <c r="C944">
        <v>2016</v>
      </c>
      <c r="D944" t="s">
        <v>33</v>
      </c>
      <c r="E944" s="1">
        <f t="shared" si="278"/>
        <v>1228331</v>
      </c>
      <c r="F944" s="1">
        <f t="shared" si="278"/>
        <v>2184139</v>
      </c>
      <c r="G944" s="1">
        <f t="shared" si="270"/>
        <v>3412470</v>
      </c>
      <c r="H944" s="2">
        <f t="shared" si="271"/>
        <v>0.35995364061808605</v>
      </c>
      <c r="I944" s="2">
        <f t="shared" si="272"/>
        <v>0.64004635938191401</v>
      </c>
      <c r="J944" s="1">
        <f t="shared" ref="J944:K944" si="323">SUM(J176+J368+J560+J752)</f>
        <v>2986214.3000000003</v>
      </c>
      <c r="K944" s="1">
        <f t="shared" si="323"/>
        <v>8821827.7999999989</v>
      </c>
      <c r="L944" s="1">
        <f t="shared" si="275"/>
        <v>11808042.1</v>
      </c>
      <c r="M944" s="2">
        <f t="shared" si="276"/>
        <v>0.25289665083426494</v>
      </c>
      <c r="N944" s="2">
        <f t="shared" si="277"/>
        <v>0.74710334916573506</v>
      </c>
    </row>
    <row r="945" spans="1:14" x14ac:dyDescent="0.35">
      <c r="A945" t="s">
        <v>16</v>
      </c>
      <c r="B945" t="s">
        <v>25</v>
      </c>
      <c r="C945">
        <v>2016</v>
      </c>
      <c r="D945" t="s">
        <v>33</v>
      </c>
      <c r="E945" s="1">
        <f t="shared" si="278"/>
        <v>1224771</v>
      </c>
      <c r="F945" s="1">
        <f t="shared" si="278"/>
        <v>2192877</v>
      </c>
      <c r="G945" s="1">
        <f t="shared" si="270"/>
        <v>3417648</v>
      </c>
      <c r="H945" s="2">
        <f t="shared" si="271"/>
        <v>0.35836663108664202</v>
      </c>
      <c r="I945" s="2">
        <f t="shared" si="272"/>
        <v>0.64163336891335798</v>
      </c>
      <c r="J945" s="1">
        <f t="shared" ref="J945:K945" si="324">SUM(J177+J369+J561+J753)</f>
        <v>3219930.4</v>
      </c>
      <c r="K945" s="1">
        <f t="shared" si="324"/>
        <v>9407875.3999999985</v>
      </c>
      <c r="L945" s="1">
        <f t="shared" si="275"/>
        <v>12627805.799999999</v>
      </c>
      <c r="M945" s="2">
        <f t="shared" si="276"/>
        <v>0.25498732329253909</v>
      </c>
      <c r="N945" s="2">
        <f t="shared" si="277"/>
        <v>0.74501267670746085</v>
      </c>
    </row>
    <row r="946" spans="1:14" x14ac:dyDescent="0.35">
      <c r="A946" t="s">
        <v>16</v>
      </c>
      <c r="B946" t="s">
        <v>26</v>
      </c>
      <c r="C946">
        <v>2016</v>
      </c>
      <c r="D946" t="s">
        <v>33</v>
      </c>
      <c r="E946" s="1">
        <f t="shared" si="278"/>
        <v>1221664</v>
      </c>
      <c r="F946" s="1">
        <f t="shared" si="278"/>
        <v>2200455</v>
      </c>
      <c r="G946" s="1">
        <f t="shared" si="270"/>
        <v>3422119</v>
      </c>
      <c r="H946" s="2">
        <f t="shared" si="271"/>
        <v>0.35699050792798265</v>
      </c>
      <c r="I946" s="2">
        <f t="shared" si="272"/>
        <v>0.64300949207201741</v>
      </c>
      <c r="J946" s="1">
        <f t="shared" ref="J946:K946" si="325">SUM(J178+J370+J562+J754)</f>
        <v>2913685.6999999997</v>
      </c>
      <c r="K946" s="1">
        <f t="shared" si="325"/>
        <v>8853799</v>
      </c>
      <c r="L946" s="1">
        <f t="shared" si="275"/>
        <v>11767484.699999999</v>
      </c>
      <c r="M946" s="2">
        <f t="shared" si="276"/>
        <v>0.247604800369955</v>
      </c>
      <c r="N946" s="2">
        <f t="shared" si="277"/>
        <v>0.75239519963004509</v>
      </c>
    </row>
    <row r="947" spans="1:14" x14ac:dyDescent="0.35">
      <c r="A947" t="s">
        <v>16</v>
      </c>
      <c r="B947" t="s">
        <v>27</v>
      </c>
      <c r="C947">
        <v>2016</v>
      </c>
      <c r="D947" t="s">
        <v>33</v>
      </c>
      <c r="E947" s="1">
        <f t="shared" si="278"/>
        <v>1218045</v>
      </c>
      <c r="F947" s="1">
        <f t="shared" si="278"/>
        <v>2207455</v>
      </c>
      <c r="G947" s="1">
        <f t="shared" si="270"/>
        <v>3425500</v>
      </c>
      <c r="H947" s="2">
        <f t="shared" si="271"/>
        <v>0.35558166690994014</v>
      </c>
      <c r="I947" s="2">
        <f t="shared" si="272"/>
        <v>0.6444183330900598</v>
      </c>
      <c r="J947" s="1">
        <f t="shared" ref="J947:K947" si="326">SUM(J179+J371+J563+J755)</f>
        <v>2466965</v>
      </c>
      <c r="K947" s="1">
        <f t="shared" si="326"/>
        <v>7847869.8000000007</v>
      </c>
      <c r="L947" s="1">
        <f t="shared" si="275"/>
        <v>10314834.800000001</v>
      </c>
      <c r="M947" s="2">
        <f t="shared" si="276"/>
        <v>0.2391666999843759</v>
      </c>
      <c r="N947" s="2">
        <f t="shared" si="277"/>
        <v>0.7608333000156241</v>
      </c>
    </row>
    <row r="948" spans="1:14" x14ac:dyDescent="0.35">
      <c r="A948" t="s">
        <v>16</v>
      </c>
      <c r="B948" t="s">
        <v>28</v>
      </c>
      <c r="C948">
        <v>2016</v>
      </c>
      <c r="D948" t="s">
        <v>33</v>
      </c>
      <c r="E948" s="1">
        <f t="shared" si="278"/>
        <v>1214887</v>
      </c>
      <c r="F948" s="1">
        <f t="shared" si="278"/>
        <v>2215216</v>
      </c>
      <c r="G948" s="1">
        <f t="shared" si="270"/>
        <v>3430103</v>
      </c>
      <c r="H948" s="2">
        <f t="shared" si="271"/>
        <v>0.35418382480059635</v>
      </c>
      <c r="I948" s="2">
        <f t="shared" si="272"/>
        <v>0.6458161751994036</v>
      </c>
      <c r="J948" s="1">
        <f t="shared" ref="J948:K948" si="327">SUM(J180+J372+J564+J756)</f>
        <v>1983562</v>
      </c>
      <c r="K948" s="1">
        <f t="shared" si="327"/>
        <v>6686945.9000000004</v>
      </c>
      <c r="L948" s="1">
        <f t="shared" si="275"/>
        <v>8670507.9000000004</v>
      </c>
      <c r="M948" s="2">
        <f t="shared" si="276"/>
        <v>0.22877114269165247</v>
      </c>
      <c r="N948" s="2">
        <f t="shared" si="277"/>
        <v>0.77122885730834756</v>
      </c>
    </row>
    <row r="949" spans="1:14" x14ac:dyDescent="0.35">
      <c r="A949" t="s">
        <v>16</v>
      </c>
      <c r="B949" t="s">
        <v>29</v>
      </c>
      <c r="C949">
        <v>2016</v>
      </c>
      <c r="D949" t="s">
        <v>33</v>
      </c>
      <c r="E949" s="1">
        <f t="shared" si="278"/>
        <v>1212840</v>
      </c>
      <c r="F949" s="1">
        <f t="shared" si="278"/>
        <v>2222405</v>
      </c>
      <c r="G949" s="1">
        <f t="shared" si="270"/>
        <v>3435245</v>
      </c>
      <c r="H949" s="2">
        <f t="shared" si="271"/>
        <v>0.35305778772693069</v>
      </c>
      <c r="I949" s="2">
        <f t="shared" si="272"/>
        <v>0.64694221227306936</v>
      </c>
      <c r="J949" s="1">
        <f t="shared" ref="J949:K949" si="328">SUM(J181+J373+J565+J757)</f>
        <v>1987406</v>
      </c>
      <c r="K949" s="1">
        <f t="shared" si="328"/>
        <v>6741477.4999999991</v>
      </c>
      <c r="L949" s="1">
        <f t="shared" si="275"/>
        <v>8728883.5</v>
      </c>
      <c r="M949" s="2">
        <f t="shared" si="276"/>
        <v>0.22768158149893969</v>
      </c>
      <c r="N949" s="2">
        <f t="shared" si="277"/>
        <v>0.7723184185010602</v>
      </c>
    </row>
    <row r="950" spans="1:14" x14ac:dyDescent="0.35">
      <c r="A950" t="s">
        <v>16</v>
      </c>
      <c r="B950" t="s">
        <v>17</v>
      </c>
      <c r="C950">
        <v>2017</v>
      </c>
      <c r="D950" t="s">
        <v>33</v>
      </c>
      <c r="E950" s="1">
        <f t="shared" si="278"/>
        <v>1211706</v>
      </c>
      <c r="F950" s="1">
        <f t="shared" si="278"/>
        <v>2227340</v>
      </c>
      <c r="G950" s="1">
        <f t="shared" si="270"/>
        <v>3439046</v>
      </c>
      <c r="H950" s="2">
        <f t="shared" si="271"/>
        <v>0.35233782857222612</v>
      </c>
      <c r="I950" s="2">
        <f t="shared" si="272"/>
        <v>0.64766217142777383</v>
      </c>
      <c r="J950" s="1">
        <f t="shared" ref="J950:K950" si="329">SUM(J182+J374+J566+J758)</f>
        <v>2339504.1800000002</v>
      </c>
      <c r="K950" s="1">
        <f t="shared" si="329"/>
        <v>7424263</v>
      </c>
      <c r="L950" s="1">
        <f t="shared" si="275"/>
        <v>9763767.1799999997</v>
      </c>
      <c r="M950" s="2">
        <f t="shared" si="276"/>
        <v>0.23961081177685356</v>
      </c>
      <c r="N950" s="2">
        <f t="shared" si="277"/>
        <v>0.76038918822314649</v>
      </c>
    </row>
    <row r="951" spans="1:14" x14ac:dyDescent="0.35">
      <c r="A951" t="s">
        <v>16</v>
      </c>
      <c r="B951" t="s">
        <v>19</v>
      </c>
      <c r="C951">
        <v>2017</v>
      </c>
      <c r="D951" t="s">
        <v>33</v>
      </c>
      <c r="E951" s="1">
        <f t="shared" si="278"/>
        <v>1210220</v>
      </c>
      <c r="F951" s="1">
        <f t="shared" si="278"/>
        <v>2233566</v>
      </c>
      <c r="G951" s="1">
        <f t="shared" si="270"/>
        <v>3443786</v>
      </c>
      <c r="H951" s="2">
        <f t="shared" si="271"/>
        <v>0.35142137171125037</v>
      </c>
      <c r="I951" s="2">
        <f t="shared" si="272"/>
        <v>0.64857862828874968</v>
      </c>
      <c r="J951" s="1">
        <f t="shared" ref="J951:K951" si="330">SUM(J183+J375+J567+J759)</f>
        <v>1942454.3</v>
      </c>
      <c r="K951" s="1">
        <f t="shared" si="330"/>
        <v>6517999</v>
      </c>
      <c r="L951" s="1">
        <f t="shared" si="275"/>
        <v>8460453.3000000007</v>
      </c>
      <c r="M951" s="2">
        <f t="shared" si="276"/>
        <v>0.22959222527710185</v>
      </c>
      <c r="N951" s="2">
        <f t="shared" si="277"/>
        <v>0.77040777472289801</v>
      </c>
    </row>
    <row r="952" spans="1:14" x14ac:dyDescent="0.35">
      <c r="A952" t="s">
        <v>16</v>
      </c>
      <c r="B952" t="s">
        <v>20</v>
      </c>
      <c r="C952">
        <v>2017</v>
      </c>
      <c r="D952" t="s">
        <v>33</v>
      </c>
      <c r="E952" s="1">
        <f t="shared" si="278"/>
        <v>1208004</v>
      </c>
      <c r="F952" s="1">
        <f t="shared" si="278"/>
        <v>2242489</v>
      </c>
      <c r="G952" s="1">
        <f t="shared" si="270"/>
        <v>3450493</v>
      </c>
      <c r="H952" s="2">
        <f t="shared" si="271"/>
        <v>0.3500960587371138</v>
      </c>
      <c r="I952" s="2">
        <f t="shared" si="272"/>
        <v>0.6499039412628862</v>
      </c>
      <c r="J952" s="1">
        <f t="shared" ref="J952:K952" si="331">SUM(J184+J376+J568+J760)</f>
        <v>1757302.1</v>
      </c>
      <c r="K952" s="1">
        <f t="shared" si="331"/>
        <v>6223889</v>
      </c>
      <c r="L952" s="1">
        <f t="shared" si="275"/>
        <v>7981191.0999999996</v>
      </c>
      <c r="M952" s="2">
        <f t="shared" si="276"/>
        <v>0.22018043146467201</v>
      </c>
      <c r="N952" s="2">
        <f t="shared" si="277"/>
        <v>0.77981956853532808</v>
      </c>
    </row>
    <row r="953" spans="1:14" x14ac:dyDescent="0.35">
      <c r="A953" t="s">
        <v>16</v>
      </c>
      <c r="B953" t="s">
        <v>21</v>
      </c>
      <c r="C953">
        <v>2017</v>
      </c>
      <c r="D953" t="s">
        <v>33</v>
      </c>
      <c r="E953" s="1">
        <f t="shared" si="278"/>
        <v>1204563</v>
      </c>
      <c r="F953" s="1">
        <f t="shared" si="278"/>
        <v>2252085</v>
      </c>
      <c r="G953" s="1">
        <f t="shared" si="270"/>
        <v>3456648</v>
      </c>
      <c r="H953" s="2">
        <f t="shared" si="271"/>
        <v>0.34847719524811321</v>
      </c>
      <c r="I953" s="2">
        <f t="shared" si="272"/>
        <v>0.65152280475188684</v>
      </c>
      <c r="J953" s="1">
        <f t="shared" ref="J953:K953" si="332">SUM(J185+J377+J569+J761)</f>
        <v>1866648.8000000003</v>
      </c>
      <c r="K953" s="1">
        <f t="shared" si="332"/>
        <v>6715769</v>
      </c>
      <c r="L953" s="1">
        <f t="shared" si="275"/>
        <v>8582417.8000000007</v>
      </c>
      <c r="M953" s="2">
        <f t="shared" si="276"/>
        <v>0.21749684570238473</v>
      </c>
      <c r="N953" s="2">
        <f t="shared" si="277"/>
        <v>0.78250315429761519</v>
      </c>
    </row>
    <row r="954" spans="1:14" x14ac:dyDescent="0.35">
      <c r="A954" t="s">
        <v>16</v>
      </c>
      <c r="B954" t="s">
        <v>22</v>
      </c>
      <c r="C954">
        <v>2017</v>
      </c>
      <c r="D954" t="s">
        <v>33</v>
      </c>
      <c r="E954" s="1">
        <f t="shared" si="278"/>
        <v>1203480</v>
      </c>
      <c r="F954" s="1">
        <f t="shared" si="278"/>
        <v>2258672</v>
      </c>
      <c r="G954" s="1">
        <f t="shared" si="270"/>
        <v>3462152</v>
      </c>
      <c r="H954" s="2">
        <f t="shared" si="271"/>
        <v>0.34761038798989763</v>
      </c>
      <c r="I954" s="2">
        <f t="shared" si="272"/>
        <v>0.65238961201010237</v>
      </c>
      <c r="J954" s="1">
        <f t="shared" ref="J954:K954" si="333">SUM(J186+J378+J570+J762)</f>
        <v>1901749.2999999998</v>
      </c>
      <c r="K954" s="1">
        <f t="shared" si="333"/>
        <v>6830859.8000000007</v>
      </c>
      <c r="L954" s="1">
        <f t="shared" si="275"/>
        <v>8732609.1000000015</v>
      </c>
      <c r="M954" s="2">
        <f t="shared" si="276"/>
        <v>0.21777561301810699</v>
      </c>
      <c r="N954" s="2">
        <f t="shared" si="277"/>
        <v>0.78222438698189289</v>
      </c>
    </row>
    <row r="955" spans="1:14" x14ac:dyDescent="0.35">
      <c r="A955" t="s">
        <v>16</v>
      </c>
      <c r="B955" t="s">
        <v>23</v>
      </c>
      <c r="C955">
        <v>2017</v>
      </c>
      <c r="D955" t="s">
        <v>33</v>
      </c>
      <c r="E955" s="1">
        <f t="shared" si="278"/>
        <v>1201288</v>
      </c>
      <c r="F955" s="1">
        <f t="shared" si="278"/>
        <v>2266733</v>
      </c>
      <c r="G955" s="1">
        <f t="shared" si="270"/>
        <v>3468021</v>
      </c>
      <c r="H955" s="2">
        <f t="shared" si="271"/>
        <v>0.34639005934508471</v>
      </c>
      <c r="I955" s="2">
        <f t="shared" si="272"/>
        <v>0.65360994065491529</v>
      </c>
      <c r="J955" s="1">
        <f t="shared" ref="J955:K955" si="334">SUM(J187+J379+J571+J763)</f>
        <v>2252154.2999999998</v>
      </c>
      <c r="K955" s="1">
        <f t="shared" si="334"/>
        <v>7682223.0999999996</v>
      </c>
      <c r="L955" s="1">
        <f t="shared" si="275"/>
        <v>9934377.3999999985</v>
      </c>
      <c r="M955" s="2">
        <f t="shared" si="276"/>
        <v>0.22670311478200941</v>
      </c>
      <c r="N955" s="2">
        <f t="shared" si="277"/>
        <v>0.77329688521799067</v>
      </c>
    </row>
    <row r="956" spans="1:14" x14ac:dyDescent="0.35">
      <c r="A956" t="s">
        <v>16</v>
      </c>
      <c r="B956" t="s">
        <v>24</v>
      </c>
      <c r="C956">
        <v>2017</v>
      </c>
      <c r="D956" t="s">
        <v>33</v>
      </c>
      <c r="E956" s="1">
        <f t="shared" si="278"/>
        <v>1200316</v>
      </c>
      <c r="F956" s="1">
        <f t="shared" si="278"/>
        <v>2273590</v>
      </c>
      <c r="G956" s="1">
        <f t="shared" si="270"/>
        <v>3473906</v>
      </c>
      <c r="H956" s="2">
        <f t="shared" si="271"/>
        <v>0.34552345400249745</v>
      </c>
      <c r="I956" s="2">
        <f t="shared" si="272"/>
        <v>0.65447654599750249</v>
      </c>
      <c r="J956" s="1">
        <f t="shared" ref="J956:K956" si="335">SUM(J188+J380+J572+J764)</f>
        <v>2844330.6</v>
      </c>
      <c r="K956" s="1">
        <f t="shared" si="335"/>
        <v>9142844.4000000004</v>
      </c>
      <c r="L956" s="1">
        <f t="shared" si="275"/>
        <v>11987175</v>
      </c>
      <c r="M956" s="2">
        <f t="shared" si="276"/>
        <v>0.23728114422288821</v>
      </c>
      <c r="N956" s="2">
        <f t="shared" si="277"/>
        <v>0.76271885577711185</v>
      </c>
    </row>
    <row r="957" spans="1:14" x14ac:dyDescent="0.35">
      <c r="A957" t="s">
        <v>16</v>
      </c>
      <c r="B957" t="s">
        <v>25</v>
      </c>
      <c r="C957">
        <v>2017</v>
      </c>
      <c r="D957" t="s">
        <v>33</v>
      </c>
      <c r="E957" s="1">
        <f t="shared" si="278"/>
        <v>1197448</v>
      </c>
      <c r="F957" s="1">
        <f t="shared" si="278"/>
        <v>2281196</v>
      </c>
      <c r="G957" s="1">
        <f t="shared" si="270"/>
        <v>3478644</v>
      </c>
      <c r="H957" s="2">
        <f t="shared" si="271"/>
        <v>0.34422838324358573</v>
      </c>
      <c r="I957" s="2">
        <f t="shared" si="272"/>
        <v>0.65577161675641427</v>
      </c>
      <c r="J957" s="1">
        <f t="shared" ref="J957:K957" si="336">SUM(J189+J381+J573+J765)</f>
        <v>2957494.0999999996</v>
      </c>
      <c r="K957" s="1">
        <f t="shared" si="336"/>
        <v>9333992.1999999993</v>
      </c>
      <c r="L957" s="1">
        <f t="shared" si="275"/>
        <v>12291486.299999999</v>
      </c>
      <c r="M957" s="2">
        <f t="shared" si="276"/>
        <v>0.24061322022544987</v>
      </c>
      <c r="N957" s="2">
        <f t="shared" si="277"/>
        <v>0.75938677977455016</v>
      </c>
    </row>
    <row r="958" spans="1:14" x14ac:dyDescent="0.35">
      <c r="A958" t="s">
        <v>16</v>
      </c>
      <c r="B958" t="s">
        <v>26</v>
      </c>
      <c r="C958">
        <v>2017</v>
      </c>
      <c r="D958" t="s">
        <v>33</v>
      </c>
      <c r="E958" s="1">
        <f t="shared" si="278"/>
        <v>1194870</v>
      </c>
      <c r="F958" s="1">
        <f t="shared" si="278"/>
        <v>2288553</v>
      </c>
      <c r="G958" s="1">
        <f t="shared" si="270"/>
        <v>3483423</v>
      </c>
      <c r="H958" s="2">
        <f t="shared" si="271"/>
        <v>0.34301605059161633</v>
      </c>
      <c r="I958" s="2">
        <f t="shared" si="272"/>
        <v>0.65698394940838367</v>
      </c>
      <c r="J958" s="1">
        <f t="shared" ref="J958:K958" si="337">SUM(J190+J382+J574+J766)</f>
        <v>2721815.3000000003</v>
      </c>
      <c r="K958" s="1">
        <f t="shared" si="337"/>
        <v>8967360.4999999981</v>
      </c>
      <c r="L958" s="1">
        <f t="shared" si="275"/>
        <v>11689175.799999999</v>
      </c>
      <c r="M958" s="2">
        <f t="shared" si="276"/>
        <v>0.2328492056728243</v>
      </c>
      <c r="N958" s="2">
        <f t="shared" si="277"/>
        <v>0.7671507943271757</v>
      </c>
    </row>
    <row r="959" spans="1:14" x14ac:dyDescent="0.35">
      <c r="A959" t="s">
        <v>16</v>
      </c>
      <c r="B959" t="s">
        <v>27</v>
      </c>
      <c r="C959">
        <v>2017</v>
      </c>
      <c r="D959" t="s">
        <v>33</v>
      </c>
      <c r="E959" s="1">
        <f t="shared" si="278"/>
        <v>1191390</v>
      </c>
      <c r="F959" s="1">
        <f t="shared" si="278"/>
        <v>2296218</v>
      </c>
      <c r="G959" s="1">
        <f t="shared" si="270"/>
        <v>3487608</v>
      </c>
      <c r="H959" s="2">
        <f t="shared" si="271"/>
        <v>0.34160662551525284</v>
      </c>
      <c r="I959" s="2">
        <f t="shared" si="272"/>
        <v>0.65839337448474711</v>
      </c>
      <c r="J959" s="1">
        <f t="shared" ref="J959:K959" si="338">SUM(J191+J383+J575+J767)</f>
        <v>2348794.1</v>
      </c>
      <c r="K959" s="1">
        <f t="shared" si="338"/>
        <v>7996348.9000000004</v>
      </c>
      <c r="L959" s="1">
        <f t="shared" si="275"/>
        <v>10345143</v>
      </c>
      <c r="M959" s="2">
        <f t="shared" si="276"/>
        <v>0.22704317378696459</v>
      </c>
      <c r="N959" s="2">
        <f t="shared" si="277"/>
        <v>0.77295682621303552</v>
      </c>
    </row>
    <row r="960" spans="1:14" x14ac:dyDescent="0.35">
      <c r="A960" t="s">
        <v>16</v>
      </c>
      <c r="B960" t="s">
        <v>28</v>
      </c>
      <c r="C960">
        <v>2017</v>
      </c>
      <c r="D960" t="s">
        <v>33</v>
      </c>
      <c r="E960" s="1">
        <f t="shared" si="278"/>
        <v>1186500</v>
      </c>
      <c r="F960" s="1">
        <f t="shared" si="278"/>
        <v>2307631</v>
      </c>
      <c r="G960" s="1">
        <f t="shared" si="270"/>
        <v>3494131</v>
      </c>
      <c r="H960" s="2">
        <f t="shared" si="271"/>
        <v>0.33956940938963076</v>
      </c>
      <c r="I960" s="2">
        <f t="shared" si="272"/>
        <v>0.66043059061036924</v>
      </c>
      <c r="J960" s="1">
        <f t="shared" ref="J960:K960" si="339">SUM(J192+J384+J576+J768)</f>
        <v>1759381.9</v>
      </c>
      <c r="K960" s="1">
        <f t="shared" si="339"/>
        <v>6400846.0999999987</v>
      </c>
      <c r="L960" s="1">
        <f t="shared" si="275"/>
        <v>8160227.9999999981</v>
      </c>
      <c r="M960" s="2">
        <f t="shared" si="276"/>
        <v>0.21560450271732606</v>
      </c>
      <c r="N960" s="2">
        <f t="shared" si="277"/>
        <v>0.78439549728267399</v>
      </c>
    </row>
    <row r="961" spans="1:15" x14ac:dyDescent="0.35">
      <c r="A961" t="s">
        <v>16</v>
      </c>
      <c r="B961" t="s">
        <v>29</v>
      </c>
      <c r="C961">
        <v>2017</v>
      </c>
      <c r="D961" t="s">
        <v>33</v>
      </c>
      <c r="E961" s="1">
        <f t="shared" si="278"/>
        <v>1187841</v>
      </c>
      <c r="F961" s="1">
        <f t="shared" si="278"/>
        <v>2330504</v>
      </c>
      <c r="G961" s="1">
        <f t="shared" si="270"/>
        <v>3518345</v>
      </c>
      <c r="H961" s="2">
        <f t="shared" si="271"/>
        <v>0.33761356546899179</v>
      </c>
      <c r="I961" s="2">
        <f t="shared" si="272"/>
        <v>0.66238643453100821</v>
      </c>
      <c r="J961" s="1">
        <f t="shared" ref="J961:K961" si="340">SUM(J193+J385+J577+J769)</f>
        <v>1888201.9</v>
      </c>
      <c r="K961" s="1">
        <f t="shared" si="340"/>
        <v>6871019.9000000004</v>
      </c>
      <c r="L961" s="1">
        <f t="shared" si="275"/>
        <v>8759221.8000000007</v>
      </c>
      <c r="M961" s="2">
        <f t="shared" si="276"/>
        <v>0.21556731215551589</v>
      </c>
      <c r="N961" s="2">
        <f t="shared" si="277"/>
        <v>0.78443268784448406</v>
      </c>
    </row>
    <row r="962" spans="1:15" x14ac:dyDescent="0.35">
      <c r="A962" t="s">
        <v>34</v>
      </c>
      <c r="B962" t="s">
        <v>17</v>
      </c>
      <c r="C962">
        <v>2002</v>
      </c>
      <c r="D962" t="s">
        <v>18</v>
      </c>
      <c r="E962" s="8">
        <v>1154571</v>
      </c>
      <c r="F962" s="8">
        <v>30183</v>
      </c>
      <c r="G962" s="1">
        <f>SUM(E962:F962)</f>
        <v>1184754</v>
      </c>
      <c r="H962" s="2">
        <f>SUM(E962)/G962</f>
        <v>0.97452382519915526</v>
      </c>
      <c r="I962" s="2">
        <f>SUM(F962/G962)</f>
        <v>2.5476174800844732E-2</v>
      </c>
      <c r="J962" s="3">
        <v>1307488.9950000001</v>
      </c>
      <c r="K962" s="3">
        <v>46287.544000000002</v>
      </c>
      <c r="L962" s="1">
        <f>SUM(J962:K962)</f>
        <v>1353776.5390000001</v>
      </c>
      <c r="M962" s="2">
        <f>SUM(J962)/L962</f>
        <v>0.96580857869335557</v>
      </c>
      <c r="N962" s="2">
        <f>SUM(K962/L962)</f>
        <v>3.4191421306644459E-2</v>
      </c>
      <c r="O962" s="5">
        <f>SUM(1000*L962)/G962</f>
        <v>1142.6646704716759</v>
      </c>
    </row>
    <row r="963" spans="1:15" x14ac:dyDescent="0.35">
      <c r="A963" t="s">
        <v>34</v>
      </c>
      <c r="B963" t="s">
        <v>19</v>
      </c>
      <c r="C963">
        <v>2002</v>
      </c>
      <c r="D963" t="s">
        <v>18</v>
      </c>
      <c r="E963" s="8">
        <v>1154571</v>
      </c>
      <c r="F963" s="8">
        <v>44139</v>
      </c>
      <c r="G963" s="1">
        <f t="shared" ref="G963:G973" si="341">SUM(E963:F963)</f>
        <v>1198710</v>
      </c>
      <c r="H963" s="2">
        <f t="shared" ref="H963:H973" si="342">SUM(E963)/G963</f>
        <v>0.96317791625997951</v>
      </c>
      <c r="I963" s="2">
        <f t="shared" ref="I963:I973" si="343">SUM(F963/G963)</f>
        <v>3.6822083740020523E-2</v>
      </c>
      <c r="J963" s="3">
        <v>1307488.9950000001</v>
      </c>
      <c r="K963" s="3">
        <v>48624.579000000027</v>
      </c>
      <c r="L963" s="1">
        <f t="shared" ref="L963:L1026" si="344">SUM(J963:K963)</f>
        <v>1356113.574</v>
      </c>
      <c r="M963" s="2">
        <f t="shared" ref="M963:M1026" si="345">SUM(J963)/L963</f>
        <v>0.96414416909302325</v>
      </c>
      <c r="N963" s="2">
        <f t="shared" ref="N963:N1026" si="346">SUM(K963/L963)</f>
        <v>3.5855830906976839E-2</v>
      </c>
      <c r="O963" s="5">
        <f t="shared" ref="O963:O1026" si="347">SUM(1000*L963)/G963</f>
        <v>1131.310804114423</v>
      </c>
    </row>
    <row r="964" spans="1:15" x14ac:dyDescent="0.35">
      <c r="A964" t="s">
        <v>34</v>
      </c>
      <c r="B964" t="s">
        <v>20</v>
      </c>
      <c r="C964">
        <v>2002</v>
      </c>
      <c r="D964" t="s">
        <v>18</v>
      </c>
      <c r="E964" s="8">
        <v>1487189</v>
      </c>
      <c r="F964" s="8">
        <v>47791</v>
      </c>
      <c r="G964" s="1">
        <f t="shared" si="341"/>
        <v>1534980</v>
      </c>
      <c r="H964" s="2">
        <f t="shared" si="342"/>
        <v>0.96886539238296265</v>
      </c>
      <c r="I964" s="2">
        <f t="shared" si="343"/>
        <v>3.1134607617037357E-2</v>
      </c>
      <c r="J964" s="3">
        <v>1307488.9950000001</v>
      </c>
      <c r="K964" s="3">
        <v>48956.660000000149</v>
      </c>
      <c r="L964" s="1">
        <f t="shared" si="344"/>
        <v>1356445.6550000003</v>
      </c>
      <c r="M964" s="2">
        <f t="shared" si="345"/>
        <v>0.96390813017864685</v>
      </c>
      <c r="N964" s="2">
        <f t="shared" si="346"/>
        <v>3.6091869821353172E-2</v>
      </c>
      <c r="O964" s="5">
        <f t="shared" si="347"/>
        <v>883.68946500931622</v>
      </c>
    </row>
    <row r="965" spans="1:15" x14ac:dyDescent="0.35">
      <c r="A965" t="s">
        <v>34</v>
      </c>
      <c r="B965" t="s">
        <v>21</v>
      </c>
      <c r="C965">
        <v>2002</v>
      </c>
      <c r="D965" t="s">
        <v>18</v>
      </c>
      <c r="E965" s="8">
        <v>1484765</v>
      </c>
      <c r="F965" s="8">
        <v>50215</v>
      </c>
      <c r="G965" s="1">
        <f t="shared" si="341"/>
        <v>1534980</v>
      </c>
      <c r="H965" s="2">
        <f t="shared" si="342"/>
        <v>0.9672862187129474</v>
      </c>
      <c r="I965" s="2">
        <f t="shared" si="343"/>
        <v>3.2713781287052601E-2</v>
      </c>
      <c r="J965" s="3">
        <v>1256908.5820000002</v>
      </c>
      <c r="K965" s="3">
        <v>50290.668999999994</v>
      </c>
      <c r="L965" s="1">
        <f t="shared" si="344"/>
        <v>1307199.2510000002</v>
      </c>
      <c r="M965" s="2">
        <f t="shared" si="345"/>
        <v>0.96152792394768594</v>
      </c>
      <c r="N965" s="2">
        <f t="shared" si="346"/>
        <v>3.8472076052314071E-2</v>
      </c>
      <c r="O965" s="5">
        <f t="shared" si="347"/>
        <v>851.60669911008631</v>
      </c>
    </row>
    <row r="966" spans="1:15" x14ac:dyDescent="0.35">
      <c r="A966" t="s">
        <v>34</v>
      </c>
      <c r="B966" t="s">
        <v>22</v>
      </c>
      <c r="C966">
        <v>2002</v>
      </c>
      <c r="D966" t="s">
        <v>18</v>
      </c>
      <c r="E966" s="8">
        <v>1471559</v>
      </c>
      <c r="F966" s="8">
        <v>66353</v>
      </c>
      <c r="G966" s="1">
        <f t="shared" si="341"/>
        <v>1537912</v>
      </c>
      <c r="H966" s="2">
        <f t="shared" si="342"/>
        <v>0.95685513865552774</v>
      </c>
      <c r="I966" s="2">
        <f t="shared" si="343"/>
        <v>4.3144861344472242E-2</v>
      </c>
      <c r="J966" s="3">
        <v>1698216.4639999999</v>
      </c>
      <c r="K966" s="3">
        <v>77123.235000000102</v>
      </c>
      <c r="L966" s="1">
        <f t="shared" si="344"/>
        <v>1775339.699</v>
      </c>
      <c r="M966" s="2">
        <f t="shared" si="345"/>
        <v>0.95655860394298542</v>
      </c>
      <c r="N966" s="2">
        <f t="shared" si="346"/>
        <v>4.3441396057014608E-2</v>
      </c>
      <c r="O966" s="5">
        <f t="shared" si="347"/>
        <v>1154.3831500111839</v>
      </c>
    </row>
    <row r="967" spans="1:15" x14ac:dyDescent="0.35">
      <c r="A967" t="s">
        <v>34</v>
      </c>
      <c r="B967" t="s">
        <v>23</v>
      </c>
      <c r="C967">
        <v>2002</v>
      </c>
      <c r="D967" t="s">
        <v>18</v>
      </c>
      <c r="E967" s="8">
        <v>1454591</v>
      </c>
      <c r="F967" s="8">
        <v>88930</v>
      </c>
      <c r="G967" s="1">
        <f t="shared" si="341"/>
        <v>1543521</v>
      </c>
      <c r="H967" s="2">
        <f t="shared" si="342"/>
        <v>0.94238497564982915</v>
      </c>
      <c r="I967" s="2">
        <f t="shared" si="343"/>
        <v>5.761502435017081E-2</v>
      </c>
      <c r="J967" s="3">
        <v>1965064.942</v>
      </c>
      <c r="K967" s="3">
        <v>120876.53799999994</v>
      </c>
      <c r="L967" s="1">
        <f t="shared" si="344"/>
        <v>2085941.48</v>
      </c>
      <c r="M967" s="2">
        <f t="shared" si="345"/>
        <v>0.94205180770459584</v>
      </c>
      <c r="N967" s="2">
        <f t="shared" si="346"/>
        <v>5.7948192295404155E-2</v>
      </c>
      <c r="O967" s="5">
        <f t="shared" si="347"/>
        <v>1351.417622435976</v>
      </c>
    </row>
    <row r="968" spans="1:15" x14ac:dyDescent="0.35">
      <c r="A968" t="s">
        <v>34</v>
      </c>
      <c r="B968" t="s">
        <v>24</v>
      </c>
      <c r="C968">
        <v>2002</v>
      </c>
      <c r="D968" t="s">
        <v>18</v>
      </c>
      <c r="E968" s="8">
        <v>1460213</v>
      </c>
      <c r="F968" s="8">
        <v>82952</v>
      </c>
      <c r="G968" s="1">
        <f t="shared" si="341"/>
        <v>1543165</v>
      </c>
      <c r="H968" s="2">
        <f t="shared" si="342"/>
        <v>0.94624554082032708</v>
      </c>
      <c r="I968" s="2">
        <f t="shared" si="343"/>
        <v>5.3754459179672948E-2</v>
      </c>
      <c r="J968" s="3">
        <v>2338594.9190000002</v>
      </c>
      <c r="K968" s="3">
        <v>168249.39099999983</v>
      </c>
      <c r="L968" s="1">
        <f t="shared" si="344"/>
        <v>2506844.31</v>
      </c>
      <c r="M968" s="2">
        <f t="shared" si="345"/>
        <v>0.93288398871487965</v>
      </c>
      <c r="N968" s="2">
        <f t="shared" si="346"/>
        <v>6.7116011285120389E-2</v>
      </c>
      <c r="O968" s="5">
        <f t="shared" si="347"/>
        <v>1624.4823528268203</v>
      </c>
    </row>
    <row r="969" spans="1:15" x14ac:dyDescent="0.35">
      <c r="A969" t="s">
        <v>34</v>
      </c>
      <c r="B969" t="s">
        <v>25</v>
      </c>
      <c r="C969">
        <v>2002</v>
      </c>
      <c r="D969" t="s">
        <v>18</v>
      </c>
      <c r="E969" s="8">
        <v>1412422</v>
      </c>
      <c r="F969" s="8">
        <v>137854</v>
      </c>
      <c r="G969" s="1">
        <f t="shared" si="341"/>
        <v>1550276</v>
      </c>
      <c r="H969" s="2">
        <f t="shared" si="342"/>
        <v>0.9110777693778398</v>
      </c>
      <c r="I969" s="2">
        <f t="shared" si="343"/>
        <v>8.8922230622160189E-2</v>
      </c>
      <c r="J969" s="3">
        <v>2550588.031</v>
      </c>
      <c r="K969" s="3">
        <v>206547.01900000032</v>
      </c>
      <c r="L969" s="1">
        <f t="shared" si="344"/>
        <v>2757135.0500000003</v>
      </c>
      <c r="M969" s="2">
        <f t="shared" si="345"/>
        <v>0.92508636129376387</v>
      </c>
      <c r="N969" s="2">
        <f t="shared" si="346"/>
        <v>7.491363870623613E-2</v>
      </c>
      <c r="O969" s="5">
        <f t="shared" si="347"/>
        <v>1778.4801222491999</v>
      </c>
    </row>
    <row r="970" spans="1:15" x14ac:dyDescent="0.35">
      <c r="A970" t="s">
        <v>34</v>
      </c>
      <c r="B970" t="s">
        <v>26</v>
      </c>
      <c r="C970">
        <v>2002</v>
      </c>
      <c r="D970" t="s">
        <v>18</v>
      </c>
      <c r="E970" s="8">
        <v>1410641</v>
      </c>
      <c r="F970" s="8">
        <v>145625</v>
      </c>
      <c r="G970" s="1">
        <f t="shared" si="341"/>
        <v>1556266</v>
      </c>
      <c r="H970" s="2">
        <f t="shared" si="342"/>
        <v>0.90642666485035339</v>
      </c>
      <c r="I970" s="2">
        <f t="shared" si="343"/>
        <v>9.357333514964665E-2</v>
      </c>
      <c r="J970" s="3">
        <v>2508576.2109999997</v>
      </c>
      <c r="K970" s="3">
        <v>236386.64</v>
      </c>
      <c r="L970" s="1">
        <f t="shared" si="344"/>
        <v>2744962.8509999998</v>
      </c>
      <c r="M970" s="2">
        <f t="shared" si="345"/>
        <v>0.91388348300820044</v>
      </c>
      <c r="N970" s="2">
        <f t="shared" si="346"/>
        <v>8.6116516991799549E-2</v>
      </c>
      <c r="O970" s="5">
        <f t="shared" si="347"/>
        <v>1763.8134168580436</v>
      </c>
    </row>
    <row r="971" spans="1:15" x14ac:dyDescent="0.35">
      <c r="A971" t="s">
        <v>34</v>
      </c>
      <c r="B971" t="s">
        <v>27</v>
      </c>
      <c r="C971">
        <v>2002</v>
      </c>
      <c r="D971" t="s">
        <v>18</v>
      </c>
      <c r="E971" s="8">
        <v>1415381</v>
      </c>
      <c r="F971" s="8">
        <v>149644</v>
      </c>
      <c r="G971" s="1">
        <f t="shared" si="341"/>
        <v>1565025</v>
      </c>
      <c r="H971" s="2">
        <f t="shared" si="342"/>
        <v>0.90438235810929535</v>
      </c>
      <c r="I971" s="2">
        <f t="shared" si="343"/>
        <v>9.5617641890704624E-2</v>
      </c>
      <c r="J971" s="3">
        <v>2154780.8820000002</v>
      </c>
      <c r="K971" s="3">
        <v>219756.72900000028</v>
      </c>
      <c r="L971" s="1">
        <f t="shared" si="344"/>
        <v>2374537.6110000005</v>
      </c>
      <c r="M971" s="2">
        <f t="shared" si="345"/>
        <v>0.90745283292966961</v>
      </c>
      <c r="N971" s="2">
        <f t="shared" si="346"/>
        <v>9.2547167070330408E-2</v>
      </c>
      <c r="O971" s="5">
        <f t="shared" si="347"/>
        <v>1517.2521914985387</v>
      </c>
    </row>
    <row r="972" spans="1:15" x14ac:dyDescent="0.35">
      <c r="A972" t="s">
        <v>34</v>
      </c>
      <c r="B972" t="s">
        <v>28</v>
      </c>
      <c r="C972">
        <v>2002</v>
      </c>
      <c r="D972" t="s">
        <v>18</v>
      </c>
      <c r="E972" s="8">
        <v>1416859</v>
      </c>
      <c r="F972" s="8">
        <v>150163</v>
      </c>
      <c r="G972" s="1">
        <f t="shared" si="341"/>
        <v>1567022</v>
      </c>
      <c r="H972" s="2">
        <f t="shared" si="342"/>
        <v>0.90417301097240499</v>
      </c>
      <c r="I972" s="2">
        <f t="shared" si="343"/>
        <v>9.5826989027595011E-2</v>
      </c>
      <c r="J972" s="3">
        <v>1454796.8390000002</v>
      </c>
      <c r="K972" s="3">
        <v>153670.91900000046</v>
      </c>
      <c r="L972" s="1">
        <f t="shared" si="344"/>
        <v>1608467.7580000006</v>
      </c>
      <c r="M972" s="2">
        <f t="shared" si="345"/>
        <v>0.90446129974586631</v>
      </c>
      <c r="N972" s="2">
        <f t="shared" si="346"/>
        <v>9.5538700254133663E-2</v>
      </c>
      <c r="O972" s="5">
        <f t="shared" si="347"/>
        <v>1026.4487403495298</v>
      </c>
    </row>
    <row r="973" spans="1:15" x14ac:dyDescent="0.35">
      <c r="A973" t="s">
        <v>34</v>
      </c>
      <c r="B973" t="s">
        <v>29</v>
      </c>
      <c r="C973">
        <v>2002</v>
      </c>
      <c r="D973" t="s">
        <v>18</v>
      </c>
      <c r="E973" s="8">
        <v>1417307</v>
      </c>
      <c r="F973" s="8">
        <v>151923</v>
      </c>
      <c r="G973" s="1">
        <f t="shared" si="341"/>
        <v>1569230</v>
      </c>
      <c r="H973" s="2">
        <f t="shared" si="342"/>
        <v>0.90318627607170399</v>
      </c>
      <c r="I973" s="2">
        <f t="shared" si="343"/>
        <v>9.6813723928296042E-2</v>
      </c>
      <c r="J973" s="3">
        <v>1207938.689</v>
      </c>
      <c r="K973" s="3">
        <v>131481.62899999996</v>
      </c>
      <c r="L973" s="1">
        <f t="shared" si="344"/>
        <v>1339420.318</v>
      </c>
      <c r="M973" s="2">
        <f t="shared" si="345"/>
        <v>0.90183691613971773</v>
      </c>
      <c r="N973" s="2">
        <f t="shared" si="346"/>
        <v>9.8163083860282274E-2</v>
      </c>
      <c r="O973" s="5">
        <f t="shared" si="347"/>
        <v>853.55258183950093</v>
      </c>
    </row>
    <row r="974" spans="1:15" x14ac:dyDescent="0.35">
      <c r="A974" t="s">
        <v>34</v>
      </c>
      <c r="B974" t="s">
        <v>17</v>
      </c>
      <c r="C974">
        <v>2003</v>
      </c>
      <c r="D974" t="s">
        <v>18</v>
      </c>
      <c r="E974" s="8">
        <v>1412437</v>
      </c>
      <c r="F974" s="8">
        <v>156205</v>
      </c>
      <c r="G974" s="1">
        <f>SUM(E974:F974)</f>
        <v>1568642</v>
      </c>
      <c r="H974" s="2">
        <f>SUM(E974)/G974</f>
        <v>0.90042023610231015</v>
      </c>
      <c r="I974" s="2">
        <f>SUM(F974/G974)</f>
        <v>9.9579763897689855E-2</v>
      </c>
      <c r="J974" s="3">
        <v>1497822</v>
      </c>
      <c r="K974" s="3">
        <v>170518</v>
      </c>
      <c r="L974" s="1">
        <f t="shared" si="344"/>
        <v>1668340</v>
      </c>
      <c r="M974" s="2">
        <f t="shared" si="345"/>
        <v>0.8977918170157162</v>
      </c>
      <c r="N974" s="2">
        <f t="shared" si="346"/>
        <v>0.10220818298428377</v>
      </c>
      <c r="O974" s="5">
        <f t="shared" si="347"/>
        <v>1063.5568855098868</v>
      </c>
    </row>
    <row r="975" spans="1:15" x14ac:dyDescent="0.35">
      <c r="A975" t="s">
        <v>34</v>
      </c>
      <c r="B975" t="s">
        <v>19</v>
      </c>
      <c r="C975">
        <v>2003</v>
      </c>
      <c r="D975" t="s">
        <v>18</v>
      </c>
      <c r="E975" s="8">
        <v>1415260</v>
      </c>
      <c r="F975" s="8">
        <v>159006</v>
      </c>
      <c r="G975" s="1">
        <f t="shared" ref="G975:G985" si="348">SUM(E975:F975)</f>
        <v>1574266</v>
      </c>
      <c r="H975" s="2">
        <f t="shared" ref="H975:H985" si="349">SUM(E975)/G975</f>
        <v>0.89899673879763653</v>
      </c>
      <c r="I975" s="2">
        <f t="shared" ref="I975:I985" si="350">SUM(F975/G975)</f>
        <v>0.10100326120236351</v>
      </c>
      <c r="J975" s="3">
        <v>1434885</v>
      </c>
      <c r="K975" s="3">
        <v>168773</v>
      </c>
      <c r="L975" s="1">
        <f t="shared" si="344"/>
        <v>1603658</v>
      </c>
      <c r="M975" s="2">
        <f t="shared" si="345"/>
        <v>0.89475748569832225</v>
      </c>
      <c r="N975" s="2">
        <f t="shared" si="346"/>
        <v>0.10524251430167779</v>
      </c>
      <c r="O975" s="5">
        <f t="shared" si="347"/>
        <v>1018.6702882486187</v>
      </c>
    </row>
    <row r="976" spans="1:15" x14ac:dyDescent="0.35">
      <c r="A976" t="s">
        <v>34</v>
      </c>
      <c r="B976" t="s">
        <v>20</v>
      </c>
      <c r="C976">
        <v>2003</v>
      </c>
      <c r="D976" t="s">
        <v>18</v>
      </c>
      <c r="E976" s="8">
        <v>1416926</v>
      </c>
      <c r="F976" s="8">
        <v>162461</v>
      </c>
      <c r="G976" s="1">
        <f t="shared" si="348"/>
        <v>1579387</v>
      </c>
      <c r="H976" s="2">
        <f t="shared" si="349"/>
        <v>0.89713667391209373</v>
      </c>
      <c r="I976" s="2">
        <f t="shared" si="350"/>
        <v>0.10286332608790626</v>
      </c>
      <c r="J976" s="3">
        <v>1274242</v>
      </c>
      <c r="K976" s="3">
        <v>155349</v>
      </c>
      <c r="L976" s="1">
        <f t="shared" si="344"/>
        <v>1429591</v>
      </c>
      <c r="M976" s="2">
        <f t="shared" si="345"/>
        <v>0.8913332554555814</v>
      </c>
      <c r="N976" s="2">
        <f t="shared" si="346"/>
        <v>0.10866674454441864</v>
      </c>
      <c r="O976" s="5">
        <f t="shared" si="347"/>
        <v>905.15560784025706</v>
      </c>
    </row>
    <row r="977" spans="1:15" x14ac:dyDescent="0.35">
      <c r="A977" t="s">
        <v>34</v>
      </c>
      <c r="B977" t="s">
        <v>21</v>
      </c>
      <c r="C977">
        <v>2003</v>
      </c>
      <c r="D977" t="s">
        <v>18</v>
      </c>
      <c r="E977" s="8">
        <v>1418684</v>
      </c>
      <c r="F977" s="8">
        <v>165673</v>
      </c>
      <c r="G977" s="1">
        <f t="shared" si="348"/>
        <v>1584357</v>
      </c>
      <c r="H977" s="2">
        <f t="shared" si="349"/>
        <v>0.89543202699896551</v>
      </c>
      <c r="I977" s="2">
        <f t="shared" si="350"/>
        <v>0.10456797300103449</v>
      </c>
      <c r="J977" s="3">
        <v>1097718.96</v>
      </c>
      <c r="K977" s="3">
        <v>132599.46</v>
      </c>
      <c r="L977" s="1">
        <f t="shared" si="344"/>
        <v>1230318.42</v>
      </c>
      <c r="M977" s="2">
        <f t="shared" si="345"/>
        <v>0.89222346195548308</v>
      </c>
      <c r="N977" s="2">
        <f t="shared" si="346"/>
        <v>0.10777653804451696</v>
      </c>
      <c r="O977" s="5">
        <f t="shared" si="347"/>
        <v>776.54115833742014</v>
      </c>
    </row>
    <row r="978" spans="1:15" x14ac:dyDescent="0.35">
      <c r="A978" t="s">
        <v>34</v>
      </c>
      <c r="B978" t="s">
        <v>22</v>
      </c>
      <c r="C978">
        <v>2003</v>
      </c>
      <c r="D978" t="s">
        <v>18</v>
      </c>
      <c r="E978" s="8">
        <v>1421238</v>
      </c>
      <c r="F978" s="8">
        <v>167906</v>
      </c>
      <c r="G978" s="1">
        <f t="shared" si="348"/>
        <v>1589144</v>
      </c>
      <c r="H978" s="2">
        <f t="shared" si="349"/>
        <v>0.89434185951682166</v>
      </c>
      <c r="I978" s="2">
        <f t="shared" si="350"/>
        <v>0.10565814048317837</v>
      </c>
      <c r="J978" s="3">
        <v>1440763.72</v>
      </c>
      <c r="K978" s="3">
        <v>174367.4</v>
      </c>
      <c r="L978" s="1">
        <f t="shared" si="344"/>
        <v>1615131.1199999999</v>
      </c>
      <c r="M978" s="2">
        <f t="shared" si="345"/>
        <v>0.89204133469981073</v>
      </c>
      <c r="N978" s="2">
        <f t="shared" si="346"/>
        <v>0.10795866530018938</v>
      </c>
      <c r="O978" s="5">
        <f t="shared" si="347"/>
        <v>1016.3529044567388</v>
      </c>
    </row>
    <row r="979" spans="1:15" x14ac:dyDescent="0.35">
      <c r="A979" t="s">
        <v>34</v>
      </c>
      <c r="B979" t="s">
        <v>23</v>
      </c>
      <c r="C979">
        <v>2003</v>
      </c>
      <c r="D979" t="s">
        <v>18</v>
      </c>
      <c r="E979" s="8">
        <v>1423525</v>
      </c>
      <c r="F979" s="8">
        <v>169220</v>
      </c>
      <c r="G979" s="1">
        <f t="shared" si="348"/>
        <v>1592745</v>
      </c>
      <c r="H979" s="2">
        <f t="shared" si="349"/>
        <v>0.89375574872311636</v>
      </c>
      <c r="I979" s="2">
        <f t="shared" si="350"/>
        <v>0.10624425127688363</v>
      </c>
      <c r="J979" s="3">
        <v>2184961.54</v>
      </c>
      <c r="K979" s="3">
        <v>266052.84999999998</v>
      </c>
      <c r="L979" s="1">
        <f t="shared" si="344"/>
        <v>2451014.39</v>
      </c>
      <c r="M979" s="2">
        <f t="shared" si="345"/>
        <v>0.89145194288312601</v>
      </c>
      <c r="N979" s="2">
        <f t="shared" si="346"/>
        <v>0.10854805711687394</v>
      </c>
      <c r="O979" s="5">
        <f t="shared" si="347"/>
        <v>1538.8617700887462</v>
      </c>
    </row>
    <row r="980" spans="1:15" x14ac:dyDescent="0.35">
      <c r="A980" t="s">
        <v>34</v>
      </c>
      <c r="B980" t="s">
        <v>24</v>
      </c>
      <c r="C980">
        <v>2003</v>
      </c>
      <c r="D980" t="s">
        <v>18</v>
      </c>
      <c r="E980" s="8">
        <v>1425118</v>
      </c>
      <c r="F980" s="8">
        <v>174627</v>
      </c>
      <c r="G980" s="1">
        <f t="shared" si="348"/>
        <v>1599745</v>
      </c>
      <c r="H980" s="2">
        <f t="shared" si="349"/>
        <v>0.89084072774098377</v>
      </c>
      <c r="I980" s="2">
        <f t="shared" si="350"/>
        <v>0.10915927225901628</v>
      </c>
      <c r="J980" s="3">
        <v>2432846.42</v>
      </c>
      <c r="K980" s="3">
        <v>305230.45</v>
      </c>
      <c r="L980" s="1">
        <f t="shared" si="344"/>
        <v>2738076.87</v>
      </c>
      <c r="M980" s="2">
        <f t="shared" si="345"/>
        <v>0.88852378348311301</v>
      </c>
      <c r="N980" s="2">
        <f t="shared" si="346"/>
        <v>0.11147621651688691</v>
      </c>
      <c r="O980" s="5">
        <f t="shared" si="347"/>
        <v>1711.5708253502903</v>
      </c>
    </row>
    <row r="981" spans="1:15" x14ac:dyDescent="0.35">
      <c r="A981" t="s">
        <v>34</v>
      </c>
      <c r="B981" t="s">
        <v>25</v>
      </c>
      <c r="C981">
        <v>2003</v>
      </c>
      <c r="D981" t="s">
        <v>18</v>
      </c>
      <c r="E981" s="8">
        <v>1425420</v>
      </c>
      <c r="F981" s="8">
        <v>179999</v>
      </c>
      <c r="G981" s="1">
        <f t="shared" si="348"/>
        <v>1605419</v>
      </c>
      <c r="H981" s="2">
        <f t="shared" si="349"/>
        <v>0.88788036020503058</v>
      </c>
      <c r="I981" s="2">
        <f t="shared" si="350"/>
        <v>0.11211963979496942</v>
      </c>
      <c r="J981" s="3">
        <v>2461597.17</v>
      </c>
      <c r="K981" s="3">
        <v>319696.03999999998</v>
      </c>
      <c r="L981" s="1">
        <f t="shared" si="344"/>
        <v>2781293.21</v>
      </c>
      <c r="M981" s="2">
        <f t="shared" si="345"/>
        <v>0.88505489502129842</v>
      </c>
      <c r="N981" s="2">
        <f t="shared" si="346"/>
        <v>0.11494510497870161</v>
      </c>
      <c r="O981" s="5">
        <f t="shared" si="347"/>
        <v>1732.4406961671689</v>
      </c>
    </row>
    <row r="982" spans="1:15" x14ac:dyDescent="0.35">
      <c r="A982" t="s">
        <v>34</v>
      </c>
      <c r="B982" t="s">
        <v>26</v>
      </c>
      <c r="C982">
        <v>2003</v>
      </c>
      <c r="D982" t="s">
        <v>18</v>
      </c>
      <c r="E982" s="8">
        <v>1422697</v>
      </c>
      <c r="F982" s="8">
        <v>188701</v>
      </c>
      <c r="G982" s="1">
        <f t="shared" si="348"/>
        <v>1611398</v>
      </c>
      <c r="H982" s="2">
        <f t="shared" si="349"/>
        <v>0.88289609395071855</v>
      </c>
      <c r="I982" s="2">
        <f t="shared" si="350"/>
        <v>0.11710390604928143</v>
      </c>
      <c r="J982" s="3">
        <v>2496055.04</v>
      </c>
      <c r="K982" s="3">
        <v>342335.53</v>
      </c>
      <c r="L982" s="1">
        <f t="shared" si="344"/>
        <v>2838390.5700000003</v>
      </c>
      <c r="M982" s="2">
        <f t="shared" si="345"/>
        <v>0.87939097120097875</v>
      </c>
      <c r="N982" s="2">
        <f t="shared" si="346"/>
        <v>0.12060902879902112</v>
      </c>
      <c r="O982" s="5">
        <f t="shared" si="347"/>
        <v>1761.4460052699585</v>
      </c>
    </row>
    <row r="983" spans="1:15" x14ac:dyDescent="0.35">
      <c r="A983" t="s">
        <v>34</v>
      </c>
      <c r="B983" t="s">
        <v>27</v>
      </c>
      <c r="C983">
        <v>2003</v>
      </c>
      <c r="D983" t="s">
        <v>18</v>
      </c>
      <c r="E983" s="8">
        <v>1417431</v>
      </c>
      <c r="F983" s="8">
        <v>198757</v>
      </c>
      <c r="G983" s="1">
        <f t="shared" si="348"/>
        <v>1616188</v>
      </c>
      <c r="H983" s="2">
        <f t="shared" si="349"/>
        <v>0.87702111388031589</v>
      </c>
      <c r="I983" s="2">
        <f t="shared" si="350"/>
        <v>0.12297888611968409</v>
      </c>
      <c r="J983" s="3">
        <v>1857315.24</v>
      </c>
      <c r="K983" s="3">
        <v>269713.2</v>
      </c>
      <c r="L983" s="1">
        <f t="shared" si="344"/>
        <v>2127028.44</v>
      </c>
      <c r="M983" s="2">
        <f t="shared" si="345"/>
        <v>0.87319718207434971</v>
      </c>
      <c r="N983" s="2">
        <f t="shared" si="346"/>
        <v>0.12680281792565032</v>
      </c>
      <c r="O983" s="5">
        <f t="shared" si="347"/>
        <v>1316.0773622870606</v>
      </c>
    </row>
    <row r="984" spans="1:15" x14ac:dyDescent="0.35">
      <c r="A984" t="s">
        <v>34</v>
      </c>
      <c r="B984" t="s">
        <v>28</v>
      </c>
      <c r="C984">
        <v>2003</v>
      </c>
      <c r="D984" t="s">
        <v>18</v>
      </c>
      <c r="E984" s="8">
        <v>1410127</v>
      </c>
      <c r="F984" s="8">
        <v>206746</v>
      </c>
      <c r="G984" s="1">
        <f t="shared" si="348"/>
        <v>1616873</v>
      </c>
      <c r="H984" s="2">
        <f t="shared" si="349"/>
        <v>0.87213219591149094</v>
      </c>
      <c r="I984" s="2">
        <f t="shared" si="350"/>
        <v>0.12786780408850912</v>
      </c>
      <c r="J984" s="3">
        <v>1407219.56</v>
      </c>
      <c r="K984" s="3">
        <v>218431.51</v>
      </c>
      <c r="L984" s="1">
        <f t="shared" si="344"/>
        <v>1625651.07</v>
      </c>
      <c r="M984" s="2">
        <f t="shared" si="345"/>
        <v>0.86563444392774891</v>
      </c>
      <c r="N984" s="2">
        <f t="shared" si="346"/>
        <v>0.13436555607225109</v>
      </c>
      <c r="O984" s="5">
        <f t="shared" si="347"/>
        <v>1005.4290411182573</v>
      </c>
    </row>
    <row r="985" spans="1:15" x14ac:dyDescent="0.35">
      <c r="A985" t="s">
        <v>34</v>
      </c>
      <c r="B985" t="s">
        <v>29</v>
      </c>
      <c r="C985">
        <v>2003</v>
      </c>
      <c r="D985" t="s">
        <v>18</v>
      </c>
      <c r="E985" s="8">
        <v>1407346</v>
      </c>
      <c r="F985" s="8">
        <v>215554</v>
      </c>
      <c r="G985" s="1">
        <f t="shared" si="348"/>
        <v>1622900</v>
      </c>
      <c r="H985" s="2">
        <f t="shared" si="349"/>
        <v>0.86717973997165565</v>
      </c>
      <c r="I985" s="2">
        <f t="shared" si="350"/>
        <v>0.13282026002834432</v>
      </c>
      <c r="J985" s="3">
        <v>1288693</v>
      </c>
      <c r="K985" s="3">
        <v>209405.06</v>
      </c>
      <c r="L985" s="1">
        <f t="shared" si="344"/>
        <v>1498098.06</v>
      </c>
      <c r="M985" s="2">
        <f t="shared" si="345"/>
        <v>0.8602193904449752</v>
      </c>
      <c r="N985" s="2">
        <f t="shared" si="346"/>
        <v>0.13978060955502472</v>
      </c>
      <c r="O985" s="5">
        <f t="shared" si="347"/>
        <v>923.099426951753</v>
      </c>
    </row>
    <row r="986" spans="1:15" x14ac:dyDescent="0.35">
      <c r="A986" t="s">
        <v>34</v>
      </c>
      <c r="B986" t="s">
        <v>17</v>
      </c>
      <c r="C986">
        <v>2004</v>
      </c>
      <c r="D986" t="s">
        <v>18</v>
      </c>
      <c r="E986" s="8">
        <v>1405294</v>
      </c>
      <c r="F986" s="8">
        <v>220905</v>
      </c>
      <c r="G986" s="1">
        <f>SUM(E986:F986)</f>
        <v>1626199</v>
      </c>
      <c r="H986" s="2">
        <f>SUM(E986)/G986</f>
        <v>0.86415869152545288</v>
      </c>
      <c r="I986" s="2">
        <f>SUM(F986/G986)</f>
        <v>0.13584130847454709</v>
      </c>
      <c r="J986" s="3">
        <v>1404336.79</v>
      </c>
      <c r="K986" s="3">
        <v>223474.99</v>
      </c>
      <c r="L986" s="1">
        <f t="shared" si="344"/>
        <v>1627811.78</v>
      </c>
      <c r="M986" s="2">
        <f t="shared" si="345"/>
        <v>0.86271447796009926</v>
      </c>
      <c r="N986" s="2">
        <f t="shared" si="346"/>
        <v>0.13728552203990069</v>
      </c>
      <c r="O986" s="5">
        <f t="shared" si="347"/>
        <v>1000.9917482423738</v>
      </c>
    </row>
    <row r="987" spans="1:15" x14ac:dyDescent="0.35">
      <c r="A987" t="s">
        <v>34</v>
      </c>
      <c r="B987" t="s">
        <v>19</v>
      </c>
      <c r="C987">
        <v>2004</v>
      </c>
      <c r="D987" t="s">
        <v>18</v>
      </c>
      <c r="E987" s="8">
        <v>1403171</v>
      </c>
      <c r="F987" s="8">
        <v>224148</v>
      </c>
      <c r="G987" s="1">
        <f t="shared" ref="G987:G997" si="351">SUM(E987:F987)</f>
        <v>1627319</v>
      </c>
      <c r="H987" s="2">
        <f t="shared" ref="H987:H997" si="352">SUM(E987)/G987</f>
        <v>0.86225933575408387</v>
      </c>
      <c r="I987" s="2">
        <f t="shared" ref="I987:I997" si="353">SUM(F987/G987)</f>
        <v>0.13774066424591613</v>
      </c>
      <c r="J987" s="3">
        <v>1282333.33</v>
      </c>
      <c r="K987" s="3">
        <v>215688.98</v>
      </c>
      <c r="L987" s="1">
        <f t="shared" si="344"/>
        <v>1498022.31</v>
      </c>
      <c r="M987" s="2">
        <f t="shared" si="345"/>
        <v>0.85601751151489858</v>
      </c>
      <c r="N987" s="2">
        <f t="shared" si="346"/>
        <v>0.1439824884851014</v>
      </c>
      <c r="O987" s="5">
        <f t="shared" si="347"/>
        <v>920.54619284848263</v>
      </c>
    </row>
    <row r="988" spans="1:15" x14ac:dyDescent="0.35">
      <c r="A988" t="s">
        <v>34</v>
      </c>
      <c r="B988" t="s">
        <v>20</v>
      </c>
      <c r="C988">
        <v>2004</v>
      </c>
      <c r="D988" t="s">
        <v>18</v>
      </c>
      <c r="E988" s="8">
        <v>1400635</v>
      </c>
      <c r="F988" s="8">
        <v>231637</v>
      </c>
      <c r="G988" s="1">
        <f t="shared" si="351"/>
        <v>1632272</v>
      </c>
      <c r="H988" s="2">
        <f t="shared" si="352"/>
        <v>0.85808921552290307</v>
      </c>
      <c r="I988" s="2">
        <f t="shared" si="353"/>
        <v>0.14191078447709696</v>
      </c>
      <c r="J988" s="3">
        <v>1195993.73</v>
      </c>
      <c r="K988" s="3">
        <v>206996.67</v>
      </c>
      <c r="L988" s="1">
        <f t="shared" si="344"/>
        <v>1402990.4</v>
      </c>
      <c r="M988" s="2">
        <f t="shared" si="345"/>
        <v>0.85246038034187555</v>
      </c>
      <c r="N988" s="2">
        <f t="shared" si="346"/>
        <v>0.14753961965812454</v>
      </c>
      <c r="O988" s="5">
        <f t="shared" si="347"/>
        <v>859.53223482360784</v>
      </c>
    </row>
    <row r="989" spans="1:15" x14ac:dyDescent="0.35">
      <c r="A989" t="s">
        <v>34</v>
      </c>
      <c r="B989" t="s">
        <v>21</v>
      </c>
      <c r="C989">
        <v>2004</v>
      </c>
      <c r="D989" t="s">
        <v>18</v>
      </c>
      <c r="E989" s="8">
        <v>1398500</v>
      </c>
      <c r="F989" s="8">
        <v>237708</v>
      </c>
      <c r="G989" s="1">
        <f t="shared" si="351"/>
        <v>1636208</v>
      </c>
      <c r="H989" s="2">
        <f t="shared" si="352"/>
        <v>0.85472018227511415</v>
      </c>
      <c r="I989" s="2">
        <f t="shared" si="353"/>
        <v>0.14527981772488582</v>
      </c>
      <c r="J989" s="3">
        <v>1079220.3999999999</v>
      </c>
      <c r="K989" s="3">
        <v>193093.64</v>
      </c>
      <c r="L989" s="1">
        <f t="shared" si="344"/>
        <v>1272314.04</v>
      </c>
      <c r="M989" s="2">
        <f t="shared" si="345"/>
        <v>0.8482342928480141</v>
      </c>
      <c r="N989" s="2">
        <f t="shared" si="346"/>
        <v>0.15176570715198584</v>
      </c>
      <c r="O989" s="5">
        <f t="shared" si="347"/>
        <v>777.59920499105249</v>
      </c>
    </row>
    <row r="990" spans="1:15" x14ac:dyDescent="0.35">
      <c r="A990" t="s">
        <v>34</v>
      </c>
      <c r="B990" t="s">
        <v>22</v>
      </c>
      <c r="C990">
        <v>2004</v>
      </c>
      <c r="D990" t="s">
        <v>18</v>
      </c>
      <c r="E990" s="8">
        <v>1396717</v>
      </c>
      <c r="F990" s="8">
        <v>244320</v>
      </c>
      <c r="G990" s="1">
        <f t="shared" si="351"/>
        <v>1641037</v>
      </c>
      <c r="H990" s="2">
        <f t="shared" si="352"/>
        <v>0.85111853053892139</v>
      </c>
      <c r="I990" s="2">
        <f t="shared" si="353"/>
        <v>0.14888146946107858</v>
      </c>
      <c r="J990" s="3">
        <v>1256604.6399999999</v>
      </c>
      <c r="K990" s="3">
        <v>231576.52</v>
      </c>
      <c r="L990" s="1">
        <f t="shared" si="344"/>
        <v>1488181.16</v>
      </c>
      <c r="M990" s="2">
        <f t="shared" si="345"/>
        <v>0.8443895634319144</v>
      </c>
      <c r="N990" s="2">
        <f t="shared" si="346"/>
        <v>0.15561043656808557</v>
      </c>
      <c r="O990" s="5">
        <f t="shared" si="347"/>
        <v>906.85411724415724</v>
      </c>
    </row>
    <row r="991" spans="1:15" x14ac:dyDescent="0.35">
      <c r="A991" t="s">
        <v>34</v>
      </c>
      <c r="B991" t="s">
        <v>23</v>
      </c>
      <c r="C991">
        <v>2004</v>
      </c>
      <c r="D991" t="s">
        <v>18</v>
      </c>
      <c r="E991" s="8">
        <v>1392208</v>
      </c>
      <c r="F991" s="8">
        <v>255071</v>
      </c>
      <c r="G991" s="1">
        <f t="shared" si="351"/>
        <v>1647279</v>
      </c>
      <c r="H991" s="2">
        <f t="shared" si="352"/>
        <v>0.84515616358856027</v>
      </c>
      <c r="I991" s="2">
        <f t="shared" si="353"/>
        <v>0.1548438364114397</v>
      </c>
      <c r="J991" s="3">
        <v>1741665.62</v>
      </c>
      <c r="K991" s="3">
        <v>334357.43</v>
      </c>
      <c r="L991" s="1">
        <f t="shared" si="344"/>
        <v>2076023.05</v>
      </c>
      <c r="M991" s="2">
        <f t="shared" si="345"/>
        <v>0.83894329593305816</v>
      </c>
      <c r="N991" s="2">
        <f t="shared" si="346"/>
        <v>0.16105670406694184</v>
      </c>
      <c r="O991" s="5">
        <f t="shared" si="347"/>
        <v>1260.2740944308766</v>
      </c>
    </row>
    <row r="992" spans="1:15" x14ac:dyDescent="0.35">
      <c r="A992" t="s">
        <v>34</v>
      </c>
      <c r="B992" t="s">
        <v>24</v>
      </c>
      <c r="C992">
        <v>2004</v>
      </c>
      <c r="D992" t="s">
        <v>18</v>
      </c>
      <c r="E992" s="8">
        <v>1383232</v>
      </c>
      <c r="F992" s="8">
        <v>267173</v>
      </c>
      <c r="G992" s="1">
        <f t="shared" si="351"/>
        <v>1650405</v>
      </c>
      <c r="H992" s="2">
        <f t="shared" si="352"/>
        <v>0.83811670468763733</v>
      </c>
      <c r="I992" s="2">
        <f t="shared" si="353"/>
        <v>0.16188329531236273</v>
      </c>
      <c r="J992" s="3">
        <v>2144952.5</v>
      </c>
      <c r="K992" s="3">
        <v>431144.96000000002</v>
      </c>
      <c r="L992" s="1">
        <f t="shared" si="344"/>
        <v>2576097.46</v>
      </c>
      <c r="M992" s="2">
        <f t="shared" si="345"/>
        <v>0.83263639412151746</v>
      </c>
      <c r="N992" s="2">
        <f t="shared" si="346"/>
        <v>0.16736360587848256</v>
      </c>
      <c r="O992" s="5">
        <f t="shared" si="347"/>
        <v>1560.8880608093166</v>
      </c>
    </row>
    <row r="993" spans="1:15" x14ac:dyDescent="0.35">
      <c r="A993" t="s">
        <v>34</v>
      </c>
      <c r="B993" t="s">
        <v>25</v>
      </c>
      <c r="C993">
        <v>2004</v>
      </c>
      <c r="D993" t="s">
        <v>18</v>
      </c>
      <c r="E993" s="8">
        <v>1375586</v>
      </c>
      <c r="F993" s="8">
        <v>279633</v>
      </c>
      <c r="G993" s="1">
        <f t="shared" si="351"/>
        <v>1655219</v>
      </c>
      <c r="H993" s="2">
        <f t="shared" si="352"/>
        <v>0.83105981746222102</v>
      </c>
      <c r="I993" s="2">
        <f t="shared" si="353"/>
        <v>0.16894018253777898</v>
      </c>
      <c r="J993" s="3">
        <v>2384868.4500000002</v>
      </c>
      <c r="K993" s="3">
        <v>504929.78</v>
      </c>
      <c r="L993" s="1">
        <f t="shared" si="344"/>
        <v>2889798.2300000004</v>
      </c>
      <c r="M993" s="2">
        <f t="shared" si="345"/>
        <v>0.8252716142053973</v>
      </c>
      <c r="N993" s="2">
        <f t="shared" si="346"/>
        <v>0.17472838579460268</v>
      </c>
      <c r="O993" s="5">
        <f t="shared" si="347"/>
        <v>1745.8706249747015</v>
      </c>
    </row>
    <row r="994" spans="1:15" x14ac:dyDescent="0.35">
      <c r="A994" t="s">
        <v>34</v>
      </c>
      <c r="B994" t="s">
        <v>26</v>
      </c>
      <c r="C994">
        <v>2004</v>
      </c>
      <c r="D994" t="s">
        <v>18</v>
      </c>
      <c r="E994" s="8">
        <v>1366161</v>
      </c>
      <c r="F994" s="8">
        <v>293293</v>
      </c>
      <c r="G994" s="1">
        <f t="shared" si="351"/>
        <v>1659454</v>
      </c>
      <c r="H994" s="2">
        <f t="shared" si="352"/>
        <v>0.8232593371072654</v>
      </c>
      <c r="I994" s="2">
        <f t="shared" si="353"/>
        <v>0.1767406628927346</v>
      </c>
      <c r="J994" s="3">
        <v>2216933.1</v>
      </c>
      <c r="K994" s="3">
        <v>498110.49</v>
      </c>
      <c r="L994" s="1">
        <f t="shared" si="344"/>
        <v>2715043.59</v>
      </c>
      <c r="M994" s="2">
        <f t="shared" si="345"/>
        <v>0.81653683504948815</v>
      </c>
      <c r="N994" s="2">
        <f t="shared" si="346"/>
        <v>0.1834631649505119</v>
      </c>
      <c r="O994" s="5">
        <f t="shared" si="347"/>
        <v>1636.106568787083</v>
      </c>
    </row>
    <row r="995" spans="1:15" x14ac:dyDescent="0.35">
      <c r="A995" t="s">
        <v>34</v>
      </c>
      <c r="B995" t="s">
        <v>27</v>
      </c>
      <c r="C995">
        <v>2004</v>
      </c>
      <c r="D995" t="s">
        <v>18</v>
      </c>
      <c r="E995" s="3">
        <v>1358972</v>
      </c>
      <c r="F995" s="3">
        <v>303744</v>
      </c>
      <c r="G995" s="1">
        <f t="shared" si="351"/>
        <v>1662716</v>
      </c>
      <c r="H995" s="2">
        <f t="shared" si="352"/>
        <v>0.8173205766949978</v>
      </c>
      <c r="I995" s="2">
        <f t="shared" si="353"/>
        <v>0.18267942330500217</v>
      </c>
      <c r="J995" s="3">
        <v>2082335.7339999999</v>
      </c>
      <c r="K995" s="3">
        <v>490331.81699999998</v>
      </c>
      <c r="L995" s="1">
        <f t="shared" si="344"/>
        <v>2572667.551</v>
      </c>
      <c r="M995" s="2">
        <f t="shared" si="345"/>
        <v>0.80940723693218453</v>
      </c>
      <c r="N995" s="2">
        <f t="shared" si="346"/>
        <v>0.19059276306781545</v>
      </c>
      <c r="O995" s="5">
        <f t="shared" si="347"/>
        <v>1547.2681750822148</v>
      </c>
    </row>
    <row r="996" spans="1:15" x14ac:dyDescent="0.35">
      <c r="A996" t="s">
        <v>34</v>
      </c>
      <c r="B996" t="s">
        <v>28</v>
      </c>
      <c r="C996">
        <v>2004</v>
      </c>
      <c r="D996" t="s">
        <v>18</v>
      </c>
      <c r="E996" s="3">
        <v>1352200</v>
      </c>
      <c r="F996" s="3">
        <v>313913</v>
      </c>
      <c r="G996" s="1">
        <f t="shared" si="351"/>
        <v>1666113</v>
      </c>
      <c r="H996" s="2">
        <f t="shared" si="352"/>
        <v>0.81158961006846475</v>
      </c>
      <c r="I996" s="2">
        <f t="shared" si="353"/>
        <v>0.18841038993153525</v>
      </c>
      <c r="J996" s="3">
        <v>1579512.966</v>
      </c>
      <c r="K996" s="3">
        <v>388171.74599999998</v>
      </c>
      <c r="L996" s="1">
        <f t="shared" si="344"/>
        <v>1967684.7120000001</v>
      </c>
      <c r="M996" s="2">
        <f t="shared" si="345"/>
        <v>0.8027266545129309</v>
      </c>
      <c r="N996" s="2">
        <f t="shared" si="346"/>
        <v>0.19727334548706907</v>
      </c>
      <c r="O996" s="5">
        <f t="shared" si="347"/>
        <v>1181.0031564485723</v>
      </c>
    </row>
    <row r="997" spans="1:15" x14ac:dyDescent="0.35">
      <c r="A997" t="s">
        <v>34</v>
      </c>
      <c r="B997" t="s">
        <v>29</v>
      </c>
      <c r="C997">
        <v>2004</v>
      </c>
      <c r="D997" t="s">
        <v>18</v>
      </c>
      <c r="E997" s="3">
        <v>1341801</v>
      </c>
      <c r="F997" s="3">
        <v>324296</v>
      </c>
      <c r="G997" s="1">
        <f t="shared" si="351"/>
        <v>1666097</v>
      </c>
      <c r="H997" s="2">
        <f t="shared" si="352"/>
        <v>0.80535587063658354</v>
      </c>
      <c r="I997" s="2">
        <f t="shared" si="353"/>
        <v>0.19464412936341641</v>
      </c>
      <c r="J997" s="3">
        <v>1183574.719</v>
      </c>
      <c r="K997" s="3">
        <v>303587.261</v>
      </c>
      <c r="L997" s="1">
        <f t="shared" si="344"/>
        <v>1487161.98</v>
      </c>
      <c r="M997" s="2">
        <f t="shared" si="345"/>
        <v>0.79586133515866242</v>
      </c>
      <c r="N997" s="2">
        <f t="shared" si="346"/>
        <v>0.20413866484133758</v>
      </c>
      <c r="O997" s="5">
        <f t="shared" si="347"/>
        <v>892.60227945911913</v>
      </c>
    </row>
    <row r="998" spans="1:15" x14ac:dyDescent="0.35">
      <c r="A998" t="s">
        <v>34</v>
      </c>
      <c r="B998" t="s">
        <v>17</v>
      </c>
      <c r="C998">
        <v>2005</v>
      </c>
      <c r="D998" t="s">
        <v>18</v>
      </c>
      <c r="E998" s="3">
        <v>1334968</v>
      </c>
      <c r="F998" s="3">
        <v>334993</v>
      </c>
      <c r="G998" s="1">
        <f>SUM(E998:F998)</f>
        <v>1669961</v>
      </c>
      <c r="H998" s="2">
        <f>SUM(E998)/G998</f>
        <v>0.79940070456735213</v>
      </c>
      <c r="I998" s="2">
        <f>SUM(F998/G998)</f>
        <v>0.20059929543264782</v>
      </c>
      <c r="J998" s="3">
        <v>1352516.78</v>
      </c>
      <c r="K998" s="3">
        <f>359399.31</f>
        <v>359399.31</v>
      </c>
      <c r="L998" s="1">
        <f t="shared" si="344"/>
        <v>1711916.09</v>
      </c>
      <c r="M998" s="2">
        <f t="shared" si="345"/>
        <v>0.79006020674763322</v>
      </c>
      <c r="N998" s="2">
        <f t="shared" si="346"/>
        <v>0.2099397932523667</v>
      </c>
      <c r="O998" s="5">
        <f t="shared" si="347"/>
        <v>1025.1233950972508</v>
      </c>
    </row>
    <row r="999" spans="1:15" x14ac:dyDescent="0.35">
      <c r="A999" t="s">
        <v>34</v>
      </c>
      <c r="B999" t="s">
        <v>19</v>
      </c>
      <c r="C999">
        <v>2005</v>
      </c>
      <c r="D999" t="s">
        <v>18</v>
      </c>
      <c r="E999" s="3">
        <v>1325645</v>
      </c>
      <c r="F999" s="3">
        <v>347841</v>
      </c>
      <c r="G999" s="1">
        <f t="shared" ref="G999:G1009" si="354">SUM(E999:F999)</f>
        <v>1673486</v>
      </c>
      <c r="H999" s="2">
        <f t="shared" ref="H999:H1009" si="355">SUM(E999)/G999</f>
        <v>0.79214585601552689</v>
      </c>
      <c r="I999" s="2">
        <f t="shared" ref="I999:I1009" si="356">SUM(F999/G999)</f>
        <v>0.20785414398447313</v>
      </c>
      <c r="J999" s="3">
        <v>1230068.5900000001</v>
      </c>
      <c r="K999" s="3">
        <v>340238.73</v>
      </c>
      <c r="L999" s="1">
        <f t="shared" si="344"/>
        <v>1570307.32</v>
      </c>
      <c r="M999" s="2">
        <f t="shared" si="345"/>
        <v>0.78332984526875926</v>
      </c>
      <c r="N999" s="2">
        <f t="shared" si="346"/>
        <v>0.21667015473124074</v>
      </c>
      <c r="O999" s="5">
        <f t="shared" si="347"/>
        <v>938.34505935514255</v>
      </c>
    </row>
    <row r="1000" spans="1:15" x14ac:dyDescent="0.35">
      <c r="A1000" t="s">
        <v>34</v>
      </c>
      <c r="B1000" t="s">
        <v>20</v>
      </c>
      <c r="C1000">
        <v>2005</v>
      </c>
      <c r="D1000" t="s">
        <v>18</v>
      </c>
      <c r="E1000" s="3">
        <v>1318985</v>
      </c>
      <c r="F1000" s="3">
        <v>358970</v>
      </c>
      <c r="G1000" s="1">
        <f t="shared" si="354"/>
        <v>1677955</v>
      </c>
      <c r="H1000" s="2">
        <f t="shared" si="355"/>
        <v>0.78606696842287194</v>
      </c>
      <c r="I1000" s="2">
        <f t="shared" si="356"/>
        <v>0.21393303157712812</v>
      </c>
      <c r="J1000" s="3">
        <v>1027009.08</v>
      </c>
      <c r="K1000" s="3">
        <v>294119.98</v>
      </c>
      <c r="L1000" s="1">
        <f t="shared" si="344"/>
        <v>1321129.06</v>
      </c>
      <c r="M1000" s="2">
        <f t="shared" si="345"/>
        <v>0.77737225763545004</v>
      </c>
      <c r="N1000" s="2">
        <f t="shared" si="346"/>
        <v>0.22262774236454988</v>
      </c>
      <c r="O1000" s="5">
        <f t="shared" si="347"/>
        <v>787.34475000819452</v>
      </c>
    </row>
    <row r="1001" spans="1:15" x14ac:dyDescent="0.35">
      <c r="A1001" t="s">
        <v>34</v>
      </c>
      <c r="B1001" t="s">
        <v>21</v>
      </c>
      <c r="C1001">
        <v>2005</v>
      </c>
      <c r="D1001" t="s">
        <v>18</v>
      </c>
      <c r="E1001" s="3">
        <v>1312230</v>
      </c>
      <c r="F1001" s="3">
        <v>369643</v>
      </c>
      <c r="G1001" s="1">
        <f t="shared" si="354"/>
        <v>1681873</v>
      </c>
      <c r="H1001" s="2">
        <f t="shared" si="355"/>
        <v>0.78021943392872117</v>
      </c>
      <c r="I1001" s="2">
        <f t="shared" si="356"/>
        <v>0.21978056607127885</v>
      </c>
      <c r="J1001" s="3">
        <v>1036373.32</v>
      </c>
      <c r="K1001" s="3">
        <v>307209.67</v>
      </c>
      <c r="L1001" s="1">
        <f t="shared" si="344"/>
        <v>1343582.99</v>
      </c>
      <c r="M1001" s="2">
        <f t="shared" si="345"/>
        <v>0.77135043217538801</v>
      </c>
      <c r="N1001" s="2">
        <f t="shared" si="346"/>
        <v>0.22864956782461199</v>
      </c>
      <c r="O1001" s="5">
        <f t="shared" si="347"/>
        <v>798.86114468809478</v>
      </c>
    </row>
    <row r="1002" spans="1:15" x14ac:dyDescent="0.35">
      <c r="A1002" t="s">
        <v>34</v>
      </c>
      <c r="B1002" t="s">
        <v>22</v>
      </c>
      <c r="C1002">
        <v>2005</v>
      </c>
      <c r="D1002" t="s">
        <v>18</v>
      </c>
      <c r="E1002" s="3">
        <v>1304568</v>
      </c>
      <c r="F1002" s="3">
        <v>382943</v>
      </c>
      <c r="G1002" s="1">
        <f t="shared" si="354"/>
        <v>1687511</v>
      </c>
      <c r="H1002" s="2">
        <f t="shared" si="355"/>
        <v>0.7730722940472684</v>
      </c>
      <c r="I1002" s="2">
        <f t="shared" si="356"/>
        <v>0.22692770595273157</v>
      </c>
      <c r="J1002" s="3">
        <v>1088768.99</v>
      </c>
      <c r="K1002" s="3">
        <v>335418.64</v>
      </c>
      <c r="L1002" s="1">
        <f t="shared" si="344"/>
        <v>1424187.63</v>
      </c>
      <c r="M1002" s="2">
        <f t="shared" si="345"/>
        <v>0.76448423442633051</v>
      </c>
      <c r="N1002" s="2">
        <f t="shared" si="346"/>
        <v>0.23551576557366957</v>
      </c>
      <c r="O1002" s="5">
        <f t="shared" si="347"/>
        <v>843.9575386471555</v>
      </c>
    </row>
    <row r="1003" spans="1:15" x14ac:dyDescent="0.35">
      <c r="A1003" t="s">
        <v>34</v>
      </c>
      <c r="B1003" t="s">
        <v>23</v>
      </c>
      <c r="C1003">
        <v>2005</v>
      </c>
      <c r="D1003" t="s">
        <v>18</v>
      </c>
      <c r="E1003" s="3">
        <v>1295766</v>
      </c>
      <c r="F1003" s="3">
        <v>398169</v>
      </c>
      <c r="G1003" s="1">
        <f t="shared" si="354"/>
        <v>1693935</v>
      </c>
      <c r="H1003" s="2">
        <f t="shared" si="355"/>
        <v>0.76494434556225588</v>
      </c>
      <c r="I1003" s="2">
        <f t="shared" si="356"/>
        <v>0.23505565443774407</v>
      </c>
      <c r="J1003" s="3">
        <v>1671902.7</v>
      </c>
      <c r="K1003" s="3">
        <v>530457.87</v>
      </c>
      <c r="L1003" s="1">
        <f t="shared" si="344"/>
        <v>2202360.5699999998</v>
      </c>
      <c r="M1003" s="2">
        <f t="shared" si="345"/>
        <v>0.75914122454526145</v>
      </c>
      <c r="N1003" s="2">
        <f t="shared" si="346"/>
        <v>0.24085877545473858</v>
      </c>
      <c r="O1003" s="5">
        <f t="shared" si="347"/>
        <v>1300.1446749727704</v>
      </c>
    </row>
    <row r="1004" spans="1:15" x14ac:dyDescent="0.35">
      <c r="A1004" t="s">
        <v>34</v>
      </c>
      <c r="B1004" t="s">
        <v>24</v>
      </c>
      <c r="C1004">
        <v>2005</v>
      </c>
      <c r="D1004" t="s">
        <v>18</v>
      </c>
      <c r="E1004" s="3">
        <v>1285329</v>
      </c>
      <c r="F1004" s="3">
        <v>414860</v>
      </c>
      <c r="G1004" s="1">
        <f t="shared" si="354"/>
        <v>1700189</v>
      </c>
      <c r="H1004" s="2">
        <f t="shared" si="355"/>
        <v>0.75599183384906032</v>
      </c>
      <c r="I1004" s="2">
        <f t="shared" si="356"/>
        <v>0.24400816615093968</v>
      </c>
      <c r="J1004" s="3">
        <v>2294949.77</v>
      </c>
      <c r="K1004" s="3">
        <v>754537.95</v>
      </c>
      <c r="L1004" s="1">
        <f t="shared" si="344"/>
        <v>3049487.7199999997</v>
      </c>
      <c r="M1004" s="2">
        <f t="shared" si="345"/>
        <v>0.75256894951523212</v>
      </c>
      <c r="N1004" s="2">
        <f t="shared" si="346"/>
        <v>0.24743105048476799</v>
      </c>
      <c r="O1004" s="5">
        <f t="shared" si="347"/>
        <v>1793.6168978860583</v>
      </c>
    </row>
    <row r="1005" spans="1:15" x14ac:dyDescent="0.35">
      <c r="A1005" t="s">
        <v>34</v>
      </c>
      <c r="B1005" t="s">
        <v>25</v>
      </c>
      <c r="C1005">
        <v>2005</v>
      </c>
      <c r="D1005" t="s">
        <v>18</v>
      </c>
      <c r="E1005" s="3">
        <v>1268919</v>
      </c>
      <c r="F1005" s="3">
        <v>436033</v>
      </c>
      <c r="G1005" s="1">
        <f t="shared" si="354"/>
        <v>1704952</v>
      </c>
      <c r="H1005" s="2">
        <f t="shared" si="355"/>
        <v>0.74425497022790088</v>
      </c>
      <c r="I1005" s="2">
        <f t="shared" si="356"/>
        <v>0.25574502977209917</v>
      </c>
      <c r="J1005" s="3">
        <v>2165766.12</v>
      </c>
      <c r="K1005" s="3">
        <v>757671.55</v>
      </c>
      <c r="L1005" s="1">
        <f t="shared" si="344"/>
        <v>2923437.67</v>
      </c>
      <c r="M1005" s="2">
        <f t="shared" si="345"/>
        <v>0.74082856023402066</v>
      </c>
      <c r="N1005" s="2">
        <f t="shared" si="346"/>
        <v>0.25917143976597939</v>
      </c>
      <c r="O1005" s="5">
        <f t="shared" si="347"/>
        <v>1714.6744717739855</v>
      </c>
    </row>
    <row r="1006" spans="1:15" x14ac:dyDescent="0.35">
      <c r="A1006" t="s">
        <v>34</v>
      </c>
      <c r="B1006" t="s">
        <v>26</v>
      </c>
      <c r="C1006">
        <v>2005</v>
      </c>
      <c r="D1006" t="s">
        <v>18</v>
      </c>
      <c r="E1006" s="3">
        <v>1249788</v>
      </c>
      <c r="F1006" s="3">
        <v>457438</v>
      </c>
      <c r="G1006" s="1">
        <f t="shared" si="354"/>
        <v>1707226</v>
      </c>
      <c r="H1006" s="2">
        <f t="shared" si="355"/>
        <v>0.73205773576550492</v>
      </c>
      <c r="I1006" s="2">
        <f t="shared" si="356"/>
        <v>0.26794226423449502</v>
      </c>
      <c r="J1006" s="3">
        <v>2121188.7799999998</v>
      </c>
      <c r="K1006" s="3">
        <v>796453.05</v>
      </c>
      <c r="L1006" s="1">
        <f t="shared" si="344"/>
        <v>2917641.83</v>
      </c>
      <c r="M1006" s="2">
        <f t="shared" si="345"/>
        <v>0.72702165090634163</v>
      </c>
      <c r="N1006" s="2">
        <f t="shared" si="346"/>
        <v>0.27297834909365831</v>
      </c>
      <c r="O1006" s="5">
        <f t="shared" si="347"/>
        <v>1708.995663140088</v>
      </c>
    </row>
    <row r="1007" spans="1:15" x14ac:dyDescent="0.35">
      <c r="A1007" t="s">
        <v>34</v>
      </c>
      <c r="B1007" t="s">
        <v>27</v>
      </c>
      <c r="C1007">
        <v>2005</v>
      </c>
      <c r="D1007" t="s">
        <v>18</v>
      </c>
      <c r="E1007" s="3">
        <v>1233679</v>
      </c>
      <c r="F1007" s="3">
        <v>475846</v>
      </c>
      <c r="G1007" s="1">
        <f t="shared" si="354"/>
        <v>1709525</v>
      </c>
      <c r="H1007" s="2">
        <f t="shared" si="355"/>
        <v>0.72165016598177856</v>
      </c>
      <c r="I1007" s="2">
        <f t="shared" si="356"/>
        <v>0.27834983401822144</v>
      </c>
      <c r="J1007" s="3">
        <v>2078483.89</v>
      </c>
      <c r="K1007" s="3">
        <v>835707.84</v>
      </c>
      <c r="L1007" s="1">
        <f t="shared" si="344"/>
        <v>2914191.73</v>
      </c>
      <c r="M1007" s="2">
        <f t="shared" si="345"/>
        <v>0.71322825763423603</v>
      </c>
      <c r="N1007" s="2">
        <f t="shared" si="346"/>
        <v>0.28677174236576397</v>
      </c>
      <c r="O1007" s="5">
        <f t="shared" si="347"/>
        <v>1704.67921206183</v>
      </c>
    </row>
    <row r="1008" spans="1:15" x14ac:dyDescent="0.35">
      <c r="A1008" t="s">
        <v>34</v>
      </c>
      <c r="B1008" t="s">
        <v>28</v>
      </c>
      <c r="C1008">
        <v>2005</v>
      </c>
      <c r="D1008" t="s">
        <v>18</v>
      </c>
      <c r="E1008" s="3">
        <v>1225757</v>
      </c>
      <c r="F1008" s="3">
        <v>490641</v>
      </c>
      <c r="G1008" s="1">
        <f t="shared" si="354"/>
        <v>1716398</v>
      </c>
      <c r="H1008" s="2">
        <f t="shared" si="355"/>
        <v>0.71414497103818575</v>
      </c>
      <c r="I1008" s="2">
        <f t="shared" si="356"/>
        <v>0.28585502896181419</v>
      </c>
      <c r="J1008" s="3">
        <v>1283293.43</v>
      </c>
      <c r="K1008" s="3">
        <v>549655.56000000006</v>
      </c>
      <c r="L1008" s="1">
        <f t="shared" si="344"/>
        <v>1832948.99</v>
      </c>
      <c r="M1008" s="2">
        <f t="shared" si="345"/>
        <v>0.70012501002551086</v>
      </c>
      <c r="N1008" s="2">
        <f t="shared" si="346"/>
        <v>0.29987498997448919</v>
      </c>
      <c r="O1008" s="5">
        <f t="shared" si="347"/>
        <v>1067.9044079520017</v>
      </c>
    </row>
    <row r="1009" spans="1:15" x14ac:dyDescent="0.35">
      <c r="A1009" t="s">
        <v>34</v>
      </c>
      <c r="B1009" t="s">
        <v>29</v>
      </c>
      <c r="C1009">
        <v>2005</v>
      </c>
      <c r="D1009" t="s">
        <v>18</v>
      </c>
      <c r="E1009" s="3">
        <v>1223224</v>
      </c>
      <c r="F1009" s="3">
        <v>498921</v>
      </c>
      <c r="G1009" s="1">
        <f t="shared" si="354"/>
        <v>1722145</v>
      </c>
      <c r="H1009" s="2">
        <f t="shared" si="355"/>
        <v>0.71029094530367654</v>
      </c>
      <c r="I1009" s="2">
        <f t="shared" si="356"/>
        <v>0.28970905469632346</v>
      </c>
      <c r="J1009" s="3">
        <v>1111047.81</v>
      </c>
      <c r="K1009" s="3">
        <v>486360.8</v>
      </c>
      <c r="L1009" s="1">
        <f t="shared" si="344"/>
        <v>1597408.61</v>
      </c>
      <c r="M1009" s="2">
        <f t="shared" si="345"/>
        <v>0.69553137690925548</v>
      </c>
      <c r="N1009" s="2">
        <f t="shared" si="346"/>
        <v>0.30446862309074441</v>
      </c>
      <c r="O1009" s="5">
        <f t="shared" si="347"/>
        <v>927.56917100476437</v>
      </c>
    </row>
    <row r="1010" spans="1:15" x14ac:dyDescent="0.35">
      <c r="A1010" t="s">
        <v>34</v>
      </c>
      <c r="B1010" t="s">
        <v>17</v>
      </c>
      <c r="C1010">
        <v>2006</v>
      </c>
      <c r="D1010" t="s">
        <v>18</v>
      </c>
      <c r="E1010" s="3">
        <v>1223457</v>
      </c>
      <c r="F1010" s="3">
        <v>504806</v>
      </c>
      <c r="G1010" s="1">
        <f>SUM(E1010:F1010)</f>
        <v>1728263</v>
      </c>
      <c r="H1010" s="2">
        <f>SUM(E1010)/G1010</f>
        <v>0.70791135376965197</v>
      </c>
      <c r="I1010" s="2">
        <f>SUM(F1010/G1010)</f>
        <v>0.29208864623034803</v>
      </c>
      <c r="J1010" s="3">
        <v>1189333.3899999999</v>
      </c>
      <c r="K1010" s="3">
        <v>527834</v>
      </c>
      <c r="L1010" s="1">
        <f t="shared" si="344"/>
        <v>1717167.39</v>
      </c>
      <c r="M1010" s="2">
        <f t="shared" si="345"/>
        <v>0.69261354305126888</v>
      </c>
      <c r="N1010" s="2">
        <f t="shared" si="346"/>
        <v>0.30738645694873112</v>
      </c>
      <c r="O1010" s="5">
        <f t="shared" si="347"/>
        <v>993.57990653042964</v>
      </c>
    </row>
    <row r="1011" spans="1:15" x14ac:dyDescent="0.35">
      <c r="A1011" t="s">
        <v>34</v>
      </c>
      <c r="B1011" t="s">
        <v>19</v>
      </c>
      <c r="C1011">
        <v>2006</v>
      </c>
      <c r="D1011" t="s">
        <v>18</v>
      </c>
      <c r="E1011" s="3">
        <v>1222677</v>
      </c>
      <c r="F1011" s="3">
        <v>509819</v>
      </c>
      <c r="G1011" s="1">
        <f t="shared" ref="G1011:G1021" si="357">SUM(E1011:F1011)</f>
        <v>1732496</v>
      </c>
      <c r="H1011" s="2">
        <f t="shared" ref="H1011:H1021" si="358">SUM(E1011)/G1011</f>
        <v>0.70573149952438563</v>
      </c>
      <c r="I1011" s="2">
        <f t="shared" ref="I1011:I1021" si="359">SUM(F1011/G1011)</f>
        <v>0.29426850047561437</v>
      </c>
      <c r="J1011" s="3">
        <v>915887.55</v>
      </c>
      <c r="K1011" s="3">
        <v>407758</v>
      </c>
      <c r="L1011" s="1">
        <f t="shared" si="344"/>
        <v>1323645.55</v>
      </c>
      <c r="M1011" s="2">
        <f t="shared" si="345"/>
        <v>0.691943209418866</v>
      </c>
      <c r="N1011" s="2">
        <f t="shared" si="346"/>
        <v>0.30805679058113405</v>
      </c>
      <c r="O1011" s="5">
        <f t="shared" si="347"/>
        <v>764.0107394187346</v>
      </c>
    </row>
    <row r="1012" spans="1:15" x14ac:dyDescent="0.35">
      <c r="A1012" t="s">
        <v>34</v>
      </c>
      <c r="B1012" t="s">
        <v>20</v>
      </c>
      <c r="C1012">
        <v>2006</v>
      </c>
      <c r="D1012" t="s">
        <v>18</v>
      </c>
      <c r="E1012" s="3">
        <v>1220656</v>
      </c>
      <c r="F1012" s="3">
        <v>513519</v>
      </c>
      <c r="G1012" s="1">
        <f t="shared" si="357"/>
        <v>1734175</v>
      </c>
      <c r="H1012" s="2">
        <f t="shared" si="358"/>
        <v>0.70388282612769759</v>
      </c>
      <c r="I1012" s="2">
        <f t="shared" si="359"/>
        <v>0.29611717387230241</v>
      </c>
      <c r="J1012" s="3">
        <v>950959.3</v>
      </c>
      <c r="K1012" s="3">
        <v>429041</v>
      </c>
      <c r="L1012" s="1">
        <f t="shared" si="344"/>
        <v>1380000.3</v>
      </c>
      <c r="M1012" s="2">
        <f t="shared" si="345"/>
        <v>0.68910079222446552</v>
      </c>
      <c r="N1012" s="2">
        <f t="shared" si="346"/>
        <v>0.31089920777553454</v>
      </c>
      <c r="O1012" s="5">
        <f t="shared" si="347"/>
        <v>795.76761284184124</v>
      </c>
    </row>
    <row r="1013" spans="1:15" x14ac:dyDescent="0.35">
      <c r="A1013" t="s">
        <v>34</v>
      </c>
      <c r="B1013" t="s">
        <v>21</v>
      </c>
      <c r="C1013">
        <v>2006</v>
      </c>
      <c r="D1013" t="s">
        <v>18</v>
      </c>
      <c r="E1013" s="3">
        <v>1217082</v>
      </c>
      <c r="F1013" s="3">
        <v>521758</v>
      </c>
      <c r="G1013" s="1">
        <f t="shared" si="357"/>
        <v>1738840</v>
      </c>
      <c r="H1013" s="2">
        <f t="shared" si="358"/>
        <v>0.69993903981964989</v>
      </c>
      <c r="I1013" s="2">
        <f t="shared" si="359"/>
        <v>0.30006096018035011</v>
      </c>
      <c r="J1013" s="3">
        <v>967653.21</v>
      </c>
      <c r="K1013" s="3">
        <v>447839</v>
      </c>
      <c r="L1013" s="1">
        <f t="shared" si="344"/>
        <v>1415492.21</v>
      </c>
      <c r="M1013" s="2">
        <f t="shared" si="345"/>
        <v>0.68361606172315137</v>
      </c>
      <c r="N1013" s="2">
        <f t="shared" si="346"/>
        <v>0.31638393827684858</v>
      </c>
      <c r="O1013" s="5">
        <f t="shared" si="347"/>
        <v>814.04396609233743</v>
      </c>
    </row>
    <row r="1014" spans="1:15" x14ac:dyDescent="0.35">
      <c r="A1014" t="s">
        <v>34</v>
      </c>
      <c r="B1014" t="s">
        <v>22</v>
      </c>
      <c r="C1014">
        <v>2006</v>
      </c>
      <c r="D1014" t="s">
        <v>18</v>
      </c>
      <c r="E1014" s="3">
        <v>1211656</v>
      </c>
      <c r="F1014" s="3">
        <v>533174</v>
      </c>
      <c r="G1014" s="1">
        <f t="shared" si="357"/>
        <v>1744830</v>
      </c>
      <c r="H1014" s="2">
        <f t="shared" si="358"/>
        <v>0.69442639110973559</v>
      </c>
      <c r="I1014" s="2">
        <f t="shared" si="359"/>
        <v>0.30557360889026436</v>
      </c>
      <c r="J1014" s="3">
        <v>1307518.08</v>
      </c>
      <c r="K1014" s="3">
        <v>617871</v>
      </c>
      <c r="L1014" s="1">
        <f t="shared" si="344"/>
        <v>1925389.08</v>
      </c>
      <c r="M1014" s="2">
        <f t="shared" si="345"/>
        <v>0.67909291352166601</v>
      </c>
      <c r="N1014" s="2">
        <f t="shared" si="346"/>
        <v>0.32090708647833399</v>
      </c>
      <c r="O1014" s="5">
        <f t="shared" si="347"/>
        <v>1103.4823335224635</v>
      </c>
    </row>
    <row r="1015" spans="1:15" x14ac:dyDescent="0.35">
      <c r="A1015" t="s">
        <v>34</v>
      </c>
      <c r="B1015" t="s">
        <v>23</v>
      </c>
      <c r="C1015">
        <v>2006</v>
      </c>
      <c r="D1015" t="s">
        <v>18</v>
      </c>
      <c r="E1015" s="3">
        <v>1201329</v>
      </c>
      <c r="F1015" s="3">
        <v>549698</v>
      </c>
      <c r="G1015" s="1">
        <f t="shared" si="357"/>
        <v>1751027</v>
      </c>
      <c r="H1015" s="2">
        <f t="shared" si="358"/>
        <v>0.68607108856688104</v>
      </c>
      <c r="I1015" s="2">
        <f t="shared" si="359"/>
        <v>0.31392891143311896</v>
      </c>
      <c r="J1015" s="3">
        <v>1530963.48</v>
      </c>
      <c r="K1015" s="3">
        <v>746610</v>
      </c>
      <c r="L1015" s="1">
        <f t="shared" si="344"/>
        <v>2277573.48</v>
      </c>
      <c r="M1015" s="2">
        <f t="shared" si="345"/>
        <v>0.67219059821507932</v>
      </c>
      <c r="N1015" s="2">
        <f t="shared" si="346"/>
        <v>0.32780940178492068</v>
      </c>
      <c r="O1015" s="5">
        <f t="shared" si="347"/>
        <v>1300.7072306709149</v>
      </c>
    </row>
    <row r="1016" spans="1:15" x14ac:dyDescent="0.35">
      <c r="A1016" t="s">
        <v>34</v>
      </c>
      <c r="B1016" t="s">
        <v>24</v>
      </c>
      <c r="C1016">
        <v>2006</v>
      </c>
      <c r="D1016" t="s">
        <v>18</v>
      </c>
      <c r="E1016" s="3">
        <v>1183515</v>
      </c>
      <c r="F1016" s="3">
        <v>573585</v>
      </c>
      <c r="G1016" s="1">
        <f t="shared" si="357"/>
        <v>1757100</v>
      </c>
      <c r="H1016" s="2">
        <f t="shared" si="358"/>
        <v>0.67356155028171416</v>
      </c>
      <c r="I1016" s="2">
        <f t="shared" si="359"/>
        <v>0.32643844971828584</v>
      </c>
      <c r="J1016" s="3">
        <v>1789750.97</v>
      </c>
      <c r="K1016" s="3">
        <v>924963</v>
      </c>
      <c r="L1016" s="1">
        <f t="shared" si="344"/>
        <v>2714713.9699999997</v>
      </c>
      <c r="M1016" s="2">
        <f t="shared" si="345"/>
        <v>0.65927791648709133</v>
      </c>
      <c r="N1016" s="2">
        <f t="shared" si="346"/>
        <v>0.34072208351290878</v>
      </c>
      <c r="O1016" s="5">
        <f t="shared" si="347"/>
        <v>1544.9968527687665</v>
      </c>
    </row>
    <row r="1017" spans="1:15" x14ac:dyDescent="0.35">
      <c r="A1017" t="s">
        <v>34</v>
      </c>
      <c r="B1017" t="s">
        <v>25</v>
      </c>
      <c r="C1017">
        <v>2006</v>
      </c>
      <c r="D1017" t="s">
        <v>18</v>
      </c>
      <c r="E1017" s="3">
        <v>1169818</v>
      </c>
      <c r="F1017" s="3">
        <v>589509</v>
      </c>
      <c r="G1017" s="1">
        <f t="shared" si="357"/>
        <v>1759327</v>
      </c>
      <c r="H1017" s="2">
        <f t="shared" si="358"/>
        <v>0.66492357589009887</v>
      </c>
      <c r="I1017" s="2">
        <f t="shared" si="359"/>
        <v>0.33507642410990113</v>
      </c>
      <c r="J1017" s="3">
        <v>1866942.64</v>
      </c>
      <c r="K1017" s="3">
        <v>1001647</v>
      </c>
      <c r="L1017" s="1">
        <f t="shared" si="344"/>
        <v>2868589.6399999997</v>
      </c>
      <c r="M1017" s="2">
        <f t="shared" si="345"/>
        <v>0.65082248571461765</v>
      </c>
      <c r="N1017" s="2">
        <f t="shared" si="346"/>
        <v>0.34917751428538246</v>
      </c>
      <c r="O1017" s="5">
        <f t="shared" si="347"/>
        <v>1630.5039597527916</v>
      </c>
    </row>
    <row r="1018" spans="1:15" x14ac:dyDescent="0.35">
      <c r="A1018" t="s">
        <v>34</v>
      </c>
      <c r="B1018" t="s">
        <v>26</v>
      </c>
      <c r="C1018">
        <v>2006</v>
      </c>
      <c r="D1018" t="s">
        <v>18</v>
      </c>
      <c r="E1018" s="3">
        <v>1154253</v>
      </c>
      <c r="F1018" s="3">
        <v>607318</v>
      </c>
      <c r="G1018" s="1">
        <f t="shared" si="357"/>
        <v>1761571</v>
      </c>
      <c r="H1018" s="2">
        <f t="shared" si="358"/>
        <v>0.65524069140556929</v>
      </c>
      <c r="I1018" s="2">
        <f t="shared" si="359"/>
        <v>0.34475930859443077</v>
      </c>
      <c r="J1018" s="3">
        <v>1884944.42</v>
      </c>
      <c r="K1018" s="3">
        <v>1062268</v>
      </c>
      <c r="L1018" s="1">
        <f t="shared" si="344"/>
        <v>2947212.42</v>
      </c>
      <c r="M1018" s="2">
        <f t="shared" si="345"/>
        <v>0.63956856560749697</v>
      </c>
      <c r="N1018" s="2">
        <f t="shared" si="346"/>
        <v>0.36043143439250303</v>
      </c>
      <c r="O1018" s="5">
        <f t="shared" si="347"/>
        <v>1673.0591159822682</v>
      </c>
    </row>
    <row r="1019" spans="1:15" x14ac:dyDescent="0.35">
      <c r="A1019" t="s">
        <v>34</v>
      </c>
      <c r="B1019" t="s">
        <v>27</v>
      </c>
      <c r="C1019">
        <v>2006</v>
      </c>
      <c r="D1019" t="s">
        <v>18</v>
      </c>
      <c r="E1019" s="3">
        <v>1139532</v>
      </c>
      <c r="F1019" s="3">
        <v>623712</v>
      </c>
      <c r="G1019" s="1">
        <f t="shared" si="357"/>
        <v>1763244</v>
      </c>
      <c r="H1019" s="2">
        <f t="shared" si="358"/>
        <v>0.64627017020900113</v>
      </c>
      <c r="I1019" s="2">
        <f t="shared" si="359"/>
        <v>0.35372982979099887</v>
      </c>
      <c r="J1019" s="3">
        <v>1531722.52</v>
      </c>
      <c r="K1019" s="3">
        <f>901684.36</f>
        <v>901684.36</v>
      </c>
      <c r="L1019" s="1">
        <f t="shared" si="344"/>
        <v>2433406.88</v>
      </c>
      <c r="M1019" s="2">
        <f t="shared" si="345"/>
        <v>0.62945598312765516</v>
      </c>
      <c r="N1019" s="2">
        <f t="shared" si="346"/>
        <v>0.37054401687234484</v>
      </c>
      <c r="O1019" s="5">
        <f t="shared" si="347"/>
        <v>1380.0738184845659</v>
      </c>
    </row>
    <row r="1020" spans="1:15" x14ac:dyDescent="0.35">
      <c r="A1020" t="s">
        <v>34</v>
      </c>
      <c r="B1020" t="s">
        <v>28</v>
      </c>
      <c r="C1020">
        <v>2006</v>
      </c>
      <c r="D1020" t="s">
        <v>18</v>
      </c>
      <c r="E1020" s="3">
        <v>1127589</v>
      </c>
      <c r="F1020" s="3">
        <v>637666</v>
      </c>
      <c r="G1020" s="1">
        <f t="shared" si="357"/>
        <v>1765255</v>
      </c>
      <c r="H1020" s="2">
        <f t="shared" si="358"/>
        <v>0.63876833658593235</v>
      </c>
      <c r="I1020" s="2">
        <f t="shared" si="359"/>
        <v>0.36123166341406765</v>
      </c>
      <c r="J1020" s="3">
        <v>1041563.46</v>
      </c>
      <c r="K1020" s="3">
        <v>639125.96</v>
      </c>
      <c r="L1020" s="1">
        <f t="shared" si="344"/>
        <v>1680689.42</v>
      </c>
      <c r="M1020" s="2">
        <f t="shared" si="345"/>
        <v>0.61972393447922103</v>
      </c>
      <c r="N1020" s="2">
        <f t="shared" si="346"/>
        <v>0.38027606552077897</v>
      </c>
      <c r="O1020" s="5">
        <f t="shared" si="347"/>
        <v>952.09441128902051</v>
      </c>
    </row>
    <row r="1021" spans="1:15" x14ac:dyDescent="0.35">
      <c r="A1021" t="s">
        <v>34</v>
      </c>
      <c r="B1021" t="s">
        <v>29</v>
      </c>
      <c r="C1021">
        <v>2006</v>
      </c>
      <c r="D1021" t="s">
        <v>18</v>
      </c>
      <c r="E1021" s="3">
        <v>1111386</v>
      </c>
      <c r="F1021" s="3">
        <v>648585</v>
      </c>
      <c r="G1021" s="1">
        <f t="shared" si="357"/>
        <v>1759971</v>
      </c>
      <c r="H1021" s="2">
        <f t="shared" si="358"/>
        <v>0.63147972324543988</v>
      </c>
      <c r="I1021" s="2">
        <f t="shared" si="359"/>
        <v>0.36852027675456017</v>
      </c>
      <c r="J1021" s="3">
        <v>899652.37</v>
      </c>
      <c r="K1021" s="3">
        <v>570341.12</v>
      </c>
      <c r="L1021" s="1">
        <f t="shared" si="344"/>
        <v>1469993.49</v>
      </c>
      <c r="M1021" s="2">
        <f t="shared" si="345"/>
        <v>0.6120111253009699</v>
      </c>
      <c r="N1021" s="2">
        <f t="shared" si="346"/>
        <v>0.38798887469903015</v>
      </c>
      <c r="O1021" s="5">
        <f t="shared" si="347"/>
        <v>835.23733629701849</v>
      </c>
    </row>
    <row r="1022" spans="1:15" x14ac:dyDescent="0.35">
      <c r="A1022" t="s">
        <v>34</v>
      </c>
      <c r="B1022" t="s">
        <v>17</v>
      </c>
      <c r="C1022">
        <v>2007</v>
      </c>
      <c r="D1022" t="s">
        <v>18</v>
      </c>
      <c r="E1022" s="3">
        <v>1099743</v>
      </c>
      <c r="F1022" s="3">
        <v>661039</v>
      </c>
      <c r="G1022" s="1">
        <f>SUM(E1022:F1022)</f>
        <v>1760782</v>
      </c>
      <c r="H1022" s="2">
        <f>SUM(E1022)/G1022</f>
        <v>0.6245764665926844</v>
      </c>
      <c r="I1022" s="2">
        <f>SUM(F1022/G1022)</f>
        <v>0.3754235334073156</v>
      </c>
      <c r="J1022" s="3">
        <v>1030784.03</v>
      </c>
      <c r="K1022" s="3">
        <v>671446</v>
      </c>
      <c r="L1022" s="1">
        <f t="shared" si="344"/>
        <v>1702230.03</v>
      </c>
      <c r="M1022" s="2">
        <f t="shared" si="345"/>
        <v>0.60554919830664722</v>
      </c>
      <c r="N1022" s="2">
        <f t="shared" si="346"/>
        <v>0.39445080169335278</v>
      </c>
      <c r="O1022" s="5">
        <f t="shared" si="347"/>
        <v>966.74661031291782</v>
      </c>
    </row>
    <row r="1023" spans="1:15" x14ac:dyDescent="0.35">
      <c r="A1023" t="s">
        <v>34</v>
      </c>
      <c r="B1023" t="s">
        <v>19</v>
      </c>
      <c r="C1023">
        <v>2007</v>
      </c>
      <c r="D1023" t="s">
        <v>18</v>
      </c>
      <c r="E1023" s="3">
        <v>1092529</v>
      </c>
      <c r="F1023" s="3">
        <v>671042</v>
      </c>
      <c r="G1023" s="1">
        <f t="shared" ref="G1023:G1033" si="360">SUM(E1023:F1023)</f>
        <v>1763571</v>
      </c>
      <c r="H1023" s="2">
        <f t="shared" ref="H1023:H1033" si="361">SUM(E1023)/G1023</f>
        <v>0.61949816593718088</v>
      </c>
      <c r="I1023" s="2">
        <f t="shared" ref="I1023:I1033" si="362">SUM(F1023/G1023)</f>
        <v>0.38050183406281912</v>
      </c>
      <c r="J1023" s="3">
        <v>1036178.99</v>
      </c>
      <c r="K1023" s="3">
        <v>687924</v>
      </c>
      <c r="L1023" s="1">
        <f t="shared" si="344"/>
        <v>1724102.99</v>
      </c>
      <c r="M1023" s="2">
        <f t="shared" si="345"/>
        <v>0.60099599386461244</v>
      </c>
      <c r="N1023" s="2">
        <f t="shared" si="346"/>
        <v>0.39900400613538756</v>
      </c>
      <c r="O1023" s="5">
        <f t="shared" si="347"/>
        <v>977.62040201386844</v>
      </c>
    </row>
    <row r="1024" spans="1:15" x14ac:dyDescent="0.35">
      <c r="A1024" t="s">
        <v>34</v>
      </c>
      <c r="B1024" t="s">
        <v>20</v>
      </c>
      <c r="C1024">
        <v>2007</v>
      </c>
      <c r="D1024" t="s">
        <v>18</v>
      </c>
      <c r="E1024" s="3">
        <v>1084483</v>
      </c>
      <c r="F1024" s="3">
        <v>683520</v>
      </c>
      <c r="G1024" s="1">
        <f t="shared" si="360"/>
        <v>1768003</v>
      </c>
      <c r="H1024" s="2">
        <f t="shared" si="361"/>
        <v>0.61339432116348214</v>
      </c>
      <c r="I1024" s="2">
        <f t="shared" si="362"/>
        <v>0.38660567883651781</v>
      </c>
      <c r="J1024" s="3">
        <v>843711.33</v>
      </c>
      <c r="K1024" s="3">
        <v>575873</v>
      </c>
      <c r="L1024" s="1">
        <f t="shared" si="344"/>
        <v>1419584.33</v>
      </c>
      <c r="M1024" s="2">
        <f t="shared" si="345"/>
        <v>0.59433688592491007</v>
      </c>
      <c r="N1024" s="2">
        <f t="shared" si="346"/>
        <v>0.40566311407508981</v>
      </c>
      <c r="O1024" s="5">
        <f t="shared" si="347"/>
        <v>802.93095090902</v>
      </c>
    </row>
    <row r="1025" spans="1:15" x14ac:dyDescent="0.35">
      <c r="A1025" t="s">
        <v>34</v>
      </c>
      <c r="B1025" t="s">
        <v>21</v>
      </c>
      <c r="C1025">
        <v>2007</v>
      </c>
      <c r="D1025" t="s">
        <v>18</v>
      </c>
      <c r="E1025" s="3">
        <v>1083194</v>
      </c>
      <c r="F1025" s="3">
        <v>694576</v>
      </c>
      <c r="G1025" s="1">
        <f t="shared" si="360"/>
        <v>1777770</v>
      </c>
      <c r="H1025" s="2">
        <f t="shared" si="361"/>
        <v>0.6092992906843967</v>
      </c>
      <c r="I1025" s="2">
        <f t="shared" si="362"/>
        <v>0.39070070931560325</v>
      </c>
      <c r="J1025" s="3">
        <v>795435</v>
      </c>
      <c r="K1025" s="3">
        <v>557578</v>
      </c>
      <c r="L1025" s="1">
        <f t="shared" si="344"/>
        <v>1353013</v>
      </c>
      <c r="M1025" s="2">
        <f t="shared" si="345"/>
        <v>0.58789900762224756</v>
      </c>
      <c r="N1025" s="2">
        <f t="shared" si="346"/>
        <v>0.4121009923777525</v>
      </c>
      <c r="O1025" s="5">
        <f t="shared" si="347"/>
        <v>761.0731421949971</v>
      </c>
    </row>
    <row r="1026" spans="1:15" x14ac:dyDescent="0.35">
      <c r="A1026" t="s">
        <v>34</v>
      </c>
      <c r="B1026" t="s">
        <v>22</v>
      </c>
      <c r="C1026">
        <v>2007</v>
      </c>
      <c r="D1026" t="s">
        <v>18</v>
      </c>
      <c r="E1026" s="3">
        <v>1080617</v>
      </c>
      <c r="F1026" s="3">
        <v>703804</v>
      </c>
      <c r="G1026" s="1">
        <f t="shared" si="360"/>
        <v>1784421</v>
      </c>
      <c r="H1026" s="2">
        <f t="shared" si="361"/>
        <v>0.60558410823454778</v>
      </c>
      <c r="I1026" s="2">
        <f t="shared" si="362"/>
        <v>0.39441589176545222</v>
      </c>
      <c r="J1026" s="3">
        <v>888841</v>
      </c>
      <c r="K1026" s="3">
        <v>632766</v>
      </c>
      <c r="L1026" s="1">
        <f t="shared" si="344"/>
        <v>1521607</v>
      </c>
      <c r="M1026" s="2">
        <f t="shared" si="345"/>
        <v>0.58414623486879336</v>
      </c>
      <c r="N1026" s="2">
        <f t="shared" si="346"/>
        <v>0.4158537651312067</v>
      </c>
      <c r="O1026" s="5">
        <f t="shared" si="347"/>
        <v>852.71749211649046</v>
      </c>
    </row>
    <row r="1027" spans="1:15" x14ac:dyDescent="0.35">
      <c r="A1027" t="s">
        <v>34</v>
      </c>
      <c r="B1027" t="s">
        <v>23</v>
      </c>
      <c r="C1027">
        <v>2007</v>
      </c>
      <c r="D1027" t="s">
        <v>18</v>
      </c>
      <c r="E1027" s="3">
        <v>1076666</v>
      </c>
      <c r="F1027" s="3">
        <v>715366</v>
      </c>
      <c r="G1027" s="1">
        <f t="shared" si="360"/>
        <v>1792032</v>
      </c>
      <c r="H1027" s="2">
        <f t="shared" si="361"/>
        <v>0.60080735165443477</v>
      </c>
      <c r="I1027" s="2">
        <f t="shared" si="362"/>
        <v>0.39919264834556528</v>
      </c>
      <c r="J1027" s="3">
        <v>1205786</v>
      </c>
      <c r="K1027" s="3">
        <v>867056</v>
      </c>
      <c r="L1027" s="1">
        <f t="shared" ref="L1027:L1090" si="363">SUM(J1027:K1027)</f>
        <v>2072842</v>
      </c>
      <c r="M1027" s="2">
        <f t="shared" ref="M1027:M1090" si="364">SUM(J1027)/L1027</f>
        <v>0.58170666167513008</v>
      </c>
      <c r="N1027" s="2">
        <f t="shared" ref="N1027:N1090" si="365">SUM(K1027/L1027)</f>
        <v>0.41829333832486992</v>
      </c>
      <c r="O1027" s="5">
        <f t="shared" ref="O1027:O1090" si="366">SUM(1000*L1027)/G1027</f>
        <v>1156.6992107283797</v>
      </c>
    </row>
    <row r="1028" spans="1:15" x14ac:dyDescent="0.35">
      <c r="A1028" t="s">
        <v>34</v>
      </c>
      <c r="B1028" t="s">
        <v>24</v>
      </c>
      <c r="C1028">
        <v>2007</v>
      </c>
      <c r="D1028" t="s">
        <v>18</v>
      </c>
      <c r="E1028" s="3">
        <v>1071597</v>
      </c>
      <c r="F1028" s="3">
        <v>725551</v>
      </c>
      <c r="G1028" s="1">
        <f t="shared" si="360"/>
        <v>1797148</v>
      </c>
      <c r="H1028" s="2">
        <f t="shared" si="361"/>
        <v>0.59627643354915683</v>
      </c>
      <c r="I1028" s="2">
        <f t="shared" si="362"/>
        <v>0.40372356645084323</v>
      </c>
      <c r="J1028" s="3">
        <v>1524936.63</v>
      </c>
      <c r="K1028" s="3">
        <v>1103372.52</v>
      </c>
      <c r="L1028" s="1">
        <f t="shared" si="363"/>
        <v>2628309.15</v>
      </c>
      <c r="M1028" s="2">
        <f t="shared" si="364"/>
        <v>0.58019682730245026</v>
      </c>
      <c r="N1028" s="2">
        <f t="shared" si="365"/>
        <v>0.41980317269754969</v>
      </c>
      <c r="O1028" s="5">
        <f t="shared" si="366"/>
        <v>1462.4889825434523</v>
      </c>
    </row>
    <row r="1029" spans="1:15" x14ac:dyDescent="0.35">
      <c r="A1029" t="s">
        <v>34</v>
      </c>
      <c r="B1029" t="s">
        <v>25</v>
      </c>
      <c r="C1029">
        <v>2007</v>
      </c>
      <c r="D1029" t="s">
        <v>18</v>
      </c>
      <c r="E1029" s="3">
        <v>1065958</v>
      </c>
      <c r="F1029" s="3">
        <v>734239</v>
      </c>
      <c r="G1029" s="1">
        <f t="shared" si="360"/>
        <v>1800197</v>
      </c>
      <c r="H1029" s="2">
        <f t="shared" si="361"/>
        <v>0.5921340831031271</v>
      </c>
      <c r="I1029" s="2">
        <f t="shared" si="362"/>
        <v>0.40786591689687296</v>
      </c>
      <c r="J1029" s="3">
        <v>1509290.59</v>
      </c>
      <c r="K1029" s="3">
        <v>1100281.46</v>
      </c>
      <c r="L1029" s="1">
        <f t="shared" si="363"/>
        <v>2609572.0499999998</v>
      </c>
      <c r="M1029" s="2">
        <f t="shared" si="364"/>
        <v>0.57836708896387823</v>
      </c>
      <c r="N1029" s="2">
        <f t="shared" si="365"/>
        <v>0.42163291103612183</v>
      </c>
      <c r="O1029" s="5">
        <f t="shared" si="366"/>
        <v>1449.6035989394495</v>
      </c>
    </row>
    <row r="1030" spans="1:15" x14ac:dyDescent="0.35">
      <c r="A1030" t="s">
        <v>34</v>
      </c>
      <c r="B1030" t="s">
        <v>26</v>
      </c>
      <c r="C1030">
        <v>2007</v>
      </c>
      <c r="D1030" t="s">
        <v>18</v>
      </c>
      <c r="E1030" s="3">
        <v>1059429</v>
      </c>
      <c r="F1030" s="3">
        <v>748976</v>
      </c>
      <c r="G1030" s="1">
        <f t="shared" si="360"/>
        <v>1808405</v>
      </c>
      <c r="H1030" s="2">
        <f t="shared" si="361"/>
        <v>0.58583613736967111</v>
      </c>
      <c r="I1030" s="2">
        <f t="shared" si="362"/>
        <v>0.41416386263032895</v>
      </c>
      <c r="J1030" s="3">
        <v>1708810.96</v>
      </c>
      <c r="K1030" s="3">
        <v>1274177.97</v>
      </c>
      <c r="L1030" s="1">
        <f t="shared" si="363"/>
        <v>2982988.9299999997</v>
      </c>
      <c r="M1030" s="2">
        <f t="shared" si="364"/>
        <v>0.57285192808275021</v>
      </c>
      <c r="N1030" s="2">
        <f t="shared" si="365"/>
        <v>0.42714807191724985</v>
      </c>
      <c r="O1030" s="5">
        <f t="shared" si="366"/>
        <v>1649.5137593625318</v>
      </c>
    </row>
    <row r="1031" spans="1:15" x14ac:dyDescent="0.35">
      <c r="A1031" t="s">
        <v>34</v>
      </c>
      <c r="B1031" t="s">
        <v>27</v>
      </c>
      <c r="C1031">
        <v>2007</v>
      </c>
      <c r="D1031" t="s">
        <v>18</v>
      </c>
      <c r="E1031" s="3">
        <v>1050899</v>
      </c>
      <c r="F1031" s="3">
        <v>759801</v>
      </c>
      <c r="G1031" s="1">
        <f t="shared" si="360"/>
        <v>1810700</v>
      </c>
      <c r="H1031" s="2">
        <f t="shared" si="361"/>
        <v>0.58038272491301701</v>
      </c>
      <c r="I1031" s="2">
        <f t="shared" si="362"/>
        <v>0.41961727508698293</v>
      </c>
      <c r="J1031" s="3">
        <v>1467197.76</v>
      </c>
      <c r="K1031" s="3">
        <v>1124606.3</v>
      </c>
      <c r="L1031" s="1">
        <f t="shared" si="363"/>
        <v>2591804.06</v>
      </c>
      <c r="M1031" s="2">
        <f t="shared" si="364"/>
        <v>0.56609131170201188</v>
      </c>
      <c r="N1031" s="2">
        <f t="shared" si="365"/>
        <v>0.43390868829798807</v>
      </c>
      <c r="O1031" s="5">
        <f t="shared" si="366"/>
        <v>1431.3823714585519</v>
      </c>
    </row>
    <row r="1032" spans="1:15" x14ac:dyDescent="0.35">
      <c r="A1032" t="s">
        <v>34</v>
      </c>
      <c r="B1032" t="s">
        <v>28</v>
      </c>
      <c r="C1032">
        <v>2007</v>
      </c>
      <c r="D1032" t="s">
        <v>18</v>
      </c>
      <c r="E1032" s="3">
        <v>1040867</v>
      </c>
      <c r="F1032" s="3">
        <v>770017</v>
      </c>
      <c r="G1032" s="1">
        <f t="shared" si="360"/>
        <v>1810884</v>
      </c>
      <c r="H1032" s="2">
        <f t="shared" si="361"/>
        <v>0.57478391768881942</v>
      </c>
      <c r="I1032" s="2">
        <f t="shared" si="362"/>
        <v>0.42521608231118063</v>
      </c>
      <c r="J1032" s="3">
        <f>1032348.44</f>
        <v>1032348.44</v>
      </c>
      <c r="K1032" s="3">
        <v>815037.68</v>
      </c>
      <c r="L1032" s="1">
        <f t="shared" si="363"/>
        <v>1847386.12</v>
      </c>
      <c r="M1032" s="2">
        <f t="shared" si="364"/>
        <v>0.55881573907245763</v>
      </c>
      <c r="N1032" s="2">
        <f t="shared" si="365"/>
        <v>0.44118426092754232</v>
      </c>
      <c r="O1032" s="5">
        <f t="shared" si="366"/>
        <v>1020.1570724574296</v>
      </c>
    </row>
    <row r="1033" spans="1:15" x14ac:dyDescent="0.35">
      <c r="A1033" t="s">
        <v>34</v>
      </c>
      <c r="B1033" t="s">
        <v>29</v>
      </c>
      <c r="C1033">
        <v>2007</v>
      </c>
      <c r="D1033" t="s">
        <v>18</v>
      </c>
      <c r="E1033" s="3">
        <v>1032786</v>
      </c>
      <c r="F1033" s="3">
        <v>783338</v>
      </c>
      <c r="G1033" s="1">
        <f t="shared" si="360"/>
        <v>1816124</v>
      </c>
      <c r="H1033" s="2">
        <f t="shared" si="361"/>
        <v>0.5686759274146479</v>
      </c>
      <c r="I1033" s="2">
        <f t="shared" si="362"/>
        <v>0.4313240725853521</v>
      </c>
      <c r="J1033" s="3">
        <v>837769.19</v>
      </c>
      <c r="K1033" s="3">
        <v>689879.12</v>
      </c>
      <c r="L1033" s="1">
        <f t="shared" si="363"/>
        <v>1527648.31</v>
      </c>
      <c r="M1033" s="2">
        <f t="shared" si="364"/>
        <v>0.54840448846501844</v>
      </c>
      <c r="N1033" s="2">
        <f t="shared" si="365"/>
        <v>0.45159551153498151</v>
      </c>
      <c r="O1033" s="5">
        <f t="shared" si="366"/>
        <v>841.15859379645883</v>
      </c>
    </row>
    <row r="1034" spans="1:15" x14ac:dyDescent="0.35">
      <c r="A1034" t="s">
        <v>34</v>
      </c>
      <c r="B1034" t="s">
        <v>17</v>
      </c>
      <c r="C1034">
        <v>2008</v>
      </c>
      <c r="D1034" t="s">
        <v>18</v>
      </c>
      <c r="E1034" s="3">
        <v>1024094</v>
      </c>
      <c r="F1034" s="3">
        <v>792531</v>
      </c>
      <c r="G1034" s="1">
        <f>SUM(E1034:F1034)</f>
        <v>1816625</v>
      </c>
      <c r="H1034" s="2">
        <f>SUM(E1034)/G1034</f>
        <v>0.56373439757792609</v>
      </c>
      <c r="I1034" s="2">
        <f>SUM(F1034/G1034)</f>
        <v>0.43626560242207391</v>
      </c>
      <c r="J1034" s="3">
        <v>945786.19</v>
      </c>
      <c r="K1034" s="3">
        <v>789290.25</v>
      </c>
      <c r="L1034" s="1">
        <f t="shared" si="363"/>
        <v>1735076.44</v>
      </c>
      <c r="M1034" s="2">
        <f t="shared" si="364"/>
        <v>0.54509770762606857</v>
      </c>
      <c r="N1034" s="2">
        <f t="shared" si="365"/>
        <v>0.45490229237393137</v>
      </c>
      <c r="O1034" s="5">
        <f t="shared" si="366"/>
        <v>955.1098548131838</v>
      </c>
    </row>
    <row r="1035" spans="1:15" x14ac:dyDescent="0.35">
      <c r="A1035" t="s">
        <v>34</v>
      </c>
      <c r="B1035" t="s">
        <v>19</v>
      </c>
      <c r="C1035">
        <v>2008</v>
      </c>
      <c r="D1035" t="s">
        <v>18</v>
      </c>
      <c r="E1035" s="3">
        <v>1018127</v>
      </c>
      <c r="F1035" s="3">
        <v>801301</v>
      </c>
      <c r="G1035" s="1">
        <f t="shared" ref="G1035:G1045" si="367">SUM(E1035:F1035)</f>
        <v>1819428</v>
      </c>
      <c r="H1035" s="2">
        <f t="shared" ref="H1035:H1045" si="368">SUM(E1035)/G1035</f>
        <v>0.55958630954343891</v>
      </c>
      <c r="I1035" s="2">
        <f t="shared" ref="I1035:I1045" si="369">SUM(F1035/G1035)</f>
        <v>0.44041369045656109</v>
      </c>
      <c r="J1035" s="3">
        <v>858124.4</v>
      </c>
      <c r="K1035" s="3">
        <v>728655.76</v>
      </c>
      <c r="L1035" s="1">
        <f t="shared" si="363"/>
        <v>1586780.1600000001</v>
      </c>
      <c r="M1035" s="2">
        <f t="shared" si="364"/>
        <v>0.54079602306093866</v>
      </c>
      <c r="N1035" s="2">
        <f t="shared" si="365"/>
        <v>0.45920397693906129</v>
      </c>
      <c r="O1035" s="5">
        <f t="shared" si="366"/>
        <v>872.13132918697534</v>
      </c>
    </row>
    <row r="1036" spans="1:15" x14ac:dyDescent="0.35">
      <c r="A1036" t="s">
        <v>34</v>
      </c>
      <c r="B1036" t="s">
        <v>20</v>
      </c>
      <c r="C1036">
        <v>2008</v>
      </c>
      <c r="D1036" t="s">
        <v>18</v>
      </c>
      <c r="E1036" s="3">
        <v>1011138</v>
      </c>
      <c r="F1036" s="3">
        <v>813078</v>
      </c>
      <c r="G1036" s="1">
        <f t="shared" si="367"/>
        <v>1824216</v>
      </c>
      <c r="H1036" s="2">
        <f t="shared" si="368"/>
        <v>0.55428633451301823</v>
      </c>
      <c r="I1036" s="2">
        <f t="shared" si="369"/>
        <v>0.44571366548698182</v>
      </c>
      <c r="J1036" s="3">
        <v>708583.65</v>
      </c>
      <c r="K1036" s="3">
        <v>614485.19999999995</v>
      </c>
      <c r="L1036" s="1">
        <f t="shared" si="363"/>
        <v>1323068.8500000001</v>
      </c>
      <c r="M1036" s="2">
        <f t="shared" si="364"/>
        <v>0.53556067773797256</v>
      </c>
      <c r="N1036" s="2">
        <f t="shared" si="365"/>
        <v>0.46443932226202733</v>
      </c>
      <c r="O1036" s="5">
        <f t="shared" si="366"/>
        <v>725.28080556249915</v>
      </c>
    </row>
    <row r="1037" spans="1:15" x14ac:dyDescent="0.35">
      <c r="A1037" t="s">
        <v>34</v>
      </c>
      <c r="B1037" t="s">
        <v>21</v>
      </c>
      <c r="C1037">
        <v>2008</v>
      </c>
      <c r="D1037" t="s">
        <v>18</v>
      </c>
      <c r="E1037" s="3">
        <v>1004405</v>
      </c>
      <c r="F1037" s="3">
        <v>826661</v>
      </c>
      <c r="G1037" s="1">
        <f t="shared" si="367"/>
        <v>1831066</v>
      </c>
      <c r="H1037" s="2">
        <f t="shared" si="368"/>
        <v>0.5485356617402104</v>
      </c>
      <c r="I1037" s="2">
        <f t="shared" si="369"/>
        <v>0.45146433825978965</v>
      </c>
      <c r="J1037" s="3">
        <v>768292.17</v>
      </c>
      <c r="K1037" s="3">
        <v>686098.5</v>
      </c>
      <c r="L1037" s="1">
        <f t="shared" si="363"/>
        <v>1454390.67</v>
      </c>
      <c r="M1037" s="2">
        <f t="shared" si="364"/>
        <v>0.52825708102211633</v>
      </c>
      <c r="N1037" s="2">
        <f t="shared" si="365"/>
        <v>0.47174291897788373</v>
      </c>
      <c r="O1037" s="5">
        <f t="shared" si="366"/>
        <v>794.28631736922648</v>
      </c>
    </row>
    <row r="1038" spans="1:15" x14ac:dyDescent="0.35">
      <c r="A1038" t="s">
        <v>34</v>
      </c>
      <c r="B1038" t="s">
        <v>22</v>
      </c>
      <c r="C1038">
        <v>2008</v>
      </c>
      <c r="D1038" t="s">
        <v>18</v>
      </c>
      <c r="E1038" s="3">
        <v>998221</v>
      </c>
      <c r="F1038" s="3">
        <v>838161</v>
      </c>
      <c r="G1038" s="1">
        <f t="shared" si="367"/>
        <v>1836382</v>
      </c>
      <c r="H1038" s="2">
        <f t="shared" si="368"/>
        <v>0.54358025726673431</v>
      </c>
      <c r="I1038" s="2">
        <f t="shared" si="369"/>
        <v>0.45641974273326574</v>
      </c>
      <c r="J1038" s="3">
        <v>821198.24</v>
      </c>
      <c r="K1038" s="3">
        <v>746666.85</v>
      </c>
      <c r="L1038" s="1">
        <f t="shared" si="363"/>
        <v>1567865.0899999999</v>
      </c>
      <c r="M1038" s="2">
        <f t="shared" si="364"/>
        <v>0.52376843214233448</v>
      </c>
      <c r="N1038" s="2">
        <f t="shared" si="365"/>
        <v>0.47623156785766563</v>
      </c>
      <c r="O1038" s="5">
        <f t="shared" si="366"/>
        <v>853.77938250320449</v>
      </c>
    </row>
    <row r="1039" spans="1:15" x14ac:dyDescent="0.35">
      <c r="A1039" t="s">
        <v>34</v>
      </c>
      <c r="B1039" t="s">
        <v>23</v>
      </c>
      <c r="C1039">
        <v>2008</v>
      </c>
      <c r="D1039" t="s">
        <v>18</v>
      </c>
      <c r="E1039" s="3">
        <v>1001505</v>
      </c>
      <c r="F1039" s="3">
        <v>853819</v>
      </c>
      <c r="G1039" s="1">
        <f t="shared" si="367"/>
        <v>1855324</v>
      </c>
      <c r="H1039" s="2">
        <f t="shared" si="368"/>
        <v>0.53980059547550729</v>
      </c>
      <c r="I1039" s="2">
        <f t="shared" si="369"/>
        <v>0.46019940452449276</v>
      </c>
      <c r="J1039" s="3">
        <v>1262950.8700000001</v>
      </c>
      <c r="K1039" s="3">
        <v>1140106.1499999999</v>
      </c>
      <c r="L1039" s="1">
        <f t="shared" si="363"/>
        <v>2403057.02</v>
      </c>
      <c r="M1039" s="2">
        <f t="shared" si="364"/>
        <v>0.52556009261902581</v>
      </c>
      <c r="N1039" s="2">
        <f t="shared" si="365"/>
        <v>0.47443990738097419</v>
      </c>
      <c r="O1039" s="5">
        <f t="shared" si="366"/>
        <v>1295.2223007949017</v>
      </c>
    </row>
    <row r="1040" spans="1:15" x14ac:dyDescent="0.35">
      <c r="A1040" t="s">
        <v>34</v>
      </c>
      <c r="B1040" t="s">
        <v>24</v>
      </c>
      <c r="C1040">
        <v>2008</v>
      </c>
      <c r="D1040" t="s">
        <v>18</v>
      </c>
      <c r="E1040" s="3">
        <v>1009668</v>
      </c>
      <c r="F1040" s="3">
        <v>842231</v>
      </c>
      <c r="G1040" s="1">
        <f t="shared" si="367"/>
        <v>1851899</v>
      </c>
      <c r="H1040" s="2">
        <f t="shared" si="368"/>
        <v>0.54520683903387823</v>
      </c>
      <c r="I1040" s="2">
        <f t="shared" si="369"/>
        <v>0.45479316096612182</v>
      </c>
      <c r="J1040" s="3">
        <f>1581093.56</f>
        <v>1581093.56</v>
      </c>
      <c r="K1040" s="3">
        <v>1373398.55</v>
      </c>
      <c r="L1040" s="1">
        <f t="shared" si="363"/>
        <v>2954492.1100000003</v>
      </c>
      <c r="M1040" s="2">
        <f t="shared" si="364"/>
        <v>0.53514902092596883</v>
      </c>
      <c r="N1040" s="2">
        <f t="shared" si="365"/>
        <v>0.46485097907403106</v>
      </c>
      <c r="O1040" s="5">
        <f t="shared" si="366"/>
        <v>1595.3851208948222</v>
      </c>
    </row>
    <row r="1041" spans="1:15" x14ac:dyDescent="0.35">
      <c r="A1041" t="s">
        <v>34</v>
      </c>
      <c r="B1041" t="s">
        <v>25</v>
      </c>
      <c r="C1041">
        <v>2008</v>
      </c>
      <c r="D1041" t="s">
        <v>18</v>
      </c>
      <c r="E1041" s="3">
        <v>1012751</v>
      </c>
      <c r="F1041" s="3">
        <v>841476</v>
      </c>
      <c r="G1041" s="1">
        <f t="shared" si="367"/>
        <v>1854227</v>
      </c>
      <c r="H1041" s="2">
        <f t="shared" si="368"/>
        <v>0.5461850140247122</v>
      </c>
      <c r="I1041" s="2">
        <f t="shared" si="369"/>
        <v>0.4538149859752878</v>
      </c>
      <c r="J1041" s="3">
        <v>1620903.26</v>
      </c>
      <c r="K1041" s="3">
        <v>1385922.89</v>
      </c>
      <c r="L1041" s="1">
        <f t="shared" si="363"/>
        <v>3006826.15</v>
      </c>
      <c r="M1041" s="2">
        <f t="shared" si="364"/>
        <v>0.53907448556678284</v>
      </c>
      <c r="N1041" s="2">
        <f t="shared" si="365"/>
        <v>0.46092551443321722</v>
      </c>
      <c r="O1041" s="5">
        <f t="shared" si="366"/>
        <v>1621.6062812158382</v>
      </c>
    </row>
    <row r="1042" spans="1:15" x14ac:dyDescent="0.35">
      <c r="A1042" t="s">
        <v>34</v>
      </c>
      <c r="B1042" t="s">
        <v>26</v>
      </c>
      <c r="C1042">
        <v>2008</v>
      </c>
      <c r="D1042" t="s">
        <v>18</v>
      </c>
      <c r="E1042" s="3">
        <v>1006923</v>
      </c>
      <c r="F1042" s="3">
        <v>841926</v>
      </c>
      <c r="G1042" s="1">
        <f t="shared" si="367"/>
        <v>1848849</v>
      </c>
      <c r="H1042" s="2">
        <f t="shared" si="368"/>
        <v>0.54462154562108644</v>
      </c>
      <c r="I1042" s="2">
        <f t="shared" si="369"/>
        <v>0.45537845437891361</v>
      </c>
      <c r="J1042" s="3">
        <v>1557847.84</v>
      </c>
      <c r="K1042" s="3">
        <v>1332167.06</v>
      </c>
      <c r="L1042" s="1">
        <f t="shared" si="363"/>
        <v>2890014.9000000004</v>
      </c>
      <c r="M1042" s="2">
        <f t="shared" si="364"/>
        <v>0.53904491634281881</v>
      </c>
      <c r="N1042" s="2">
        <f t="shared" si="365"/>
        <v>0.46095508365718113</v>
      </c>
      <c r="O1042" s="5">
        <f t="shared" si="366"/>
        <v>1563.1427444858939</v>
      </c>
    </row>
    <row r="1043" spans="1:15" x14ac:dyDescent="0.35">
      <c r="A1043" t="s">
        <v>34</v>
      </c>
      <c r="B1043" t="s">
        <v>27</v>
      </c>
      <c r="C1043">
        <v>2008</v>
      </c>
      <c r="D1043" t="s">
        <v>18</v>
      </c>
      <c r="E1043" s="3">
        <v>992222</v>
      </c>
      <c r="F1043" s="3">
        <v>831130</v>
      </c>
      <c r="G1043" s="1">
        <f t="shared" si="367"/>
        <v>1823352</v>
      </c>
      <c r="H1043" s="2">
        <f t="shared" si="368"/>
        <v>0.54417468486611476</v>
      </c>
      <c r="I1043" s="2">
        <f t="shared" si="369"/>
        <v>0.4558253151338853</v>
      </c>
      <c r="J1043" s="3">
        <v>686115.54</v>
      </c>
      <c r="K1043" s="3">
        <v>613906.26</v>
      </c>
      <c r="L1043" s="1">
        <f t="shared" si="363"/>
        <v>1300021.8</v>
      </c>
      <c r="M1043" s="2">
        <f t="shared" si="364"/>
        <v>0.52777233427931747</v>
      </c>
      <c r="N1043" s="2">
        <f t="shared" si="365"/>
        <v>0.47222766572068253</v>
      </c>
      <c r="O1043" s="5">
        <f t="shared" si="366"/>
        <v>712.98454714174773</v>
      </c>
    </row>
    <row r="1044" spans="1:15" x14ac:dyDescent="0.35">
      <c r="A1044" t="s">
        <v>34</v>
      </c>
      <c r="B1044" t="s">
        <v>28</v>
      </c>
      <c r="C1044">
        <v>2008</v>
      </c>
      <c r="D1044" t="s">
        <v>18</v>
      </c>
      <c r="E1044" s="3">
        <v>967249</v>
      </c>
      <c r="F1044" s="3">
        <v>818881</v>
      </c>
      <c r="G1044" s="1">
        <f t="shared" si="367"/>
        <v>1786130</v>
      </c>
      <c r="H1044" s="2">
        <f t="shared" si="368"/>
        <v>0.5415333710312239</v>
      </c>
      <c r="I1044" s="2">
        <f t="shared" si="369"/>
        <v>0.45846662896877605</v>
      </c>
      <c r="J1044" s="3">
        <v>1178474.8400000001</v>
      </c>
      <c r="K1044" s="3">
        <v>1046362.9</v>
      </c>
      <c r="L1044" s="1">
        <f t="shared" si="363"/>
        <v>2224837.7400000002</v>
      </c>
      <c r="M1044" s="2">
        <f t="shared" si="364"/>
        <v>0.52969024159038225</v>
      </c>
      <c r="N1044" s="2">
        <f t="shared" si="365"/>
        <v>0.47030975840961775</v>
      </c>
      <c r="O1044" s="5">
        <f t="shared" si="366"/>
        <v>1245.6191542608881</v>
      </c>
    </row>
    <row r="1045" spans="1:15" x14ac:dyDescent="0.35">
      <c r="A1045" t="s">
        <v>34</v>
      </c>
      <c r="B1045" t="s">
        <v>29</v>
      </c>
      <c r="C1045">
        <v>2008</v>
      </c>
      <c r="D1045" t="s">
        <v>18</v>
      </c>
      <c r="E1045" s="3">
        <v>988565</v>
      </c>
      <c r="F1045" s="3">
        <v>849190</v>
      </c>
      <c r="G1045" s="1">
        <f t="shared" si="367"/>
        <v>1837755</v>
      </c>
      <c r="H1045" s="2">
        <f t="shared" si="368"/>
        <v>0.53791990771348741</v>
      </c>
      <c r="I1045" s="2">
        <f t="shared" si="369"/>
        <v>0.46208009228651264</v>
      </c>
      <c r="J1045" s="3">
        <v>781870.34</v>
      </c>
      <c r="K1045" s="3">
        <v>712013.38</v>
      </c>
      <c r="L1045" s="1">
        <f t="shared" si="363"/>
        <v>1493883.72</v>
      </c>
      <c r="M1045" s="2">
        <f t="shared" si="364"/>
        <v>0.5233809897868088</v>
      </c>
      <c r="N1045" s="2">
        <f t="shared" si="365"/>
        <v>0.4766190102131912</v>
      </c>
      <c r="O1045" s="5">
        <f t="shared" si="366"/>
        <v>812.88513430789192</v>
      </c>
    </row>
    <row r="1046" spans="1:15" x14ac:dyDescent="0.35">
      <c r="A1046" t="s">
        <v>34</v>
      </c>
      <c r="B1046" t="s">
        <v>17</v>
      </c>
      <c r="C1046">
        <v>2009</v>
      </c>
      <c r="D1046" t="s">
        <v>18</v>
      </c>
      <c r="E1046" s="3">
        <v>991481</v>
      </c>
      <c r="F1046" s="3">
        <v>854553</v>
      </c>
      <c r="G1046" s="1">
        <f>SUM(E1046:F1046)</f>
        <v>1846034</v>
      </c>
      <c r="H1046" s="2">
        <f>SUM(E1046)/G1046</f>
        <v>0.53708707423590252</v>
      </c>
      <c r="I1046" s="2">
        <f>SUM(F1046/G1046)</f>
        <v>0.46291292576409754</v>
      </c>
      <c r="J1046" s="3">
        <v>916176.76</v>
      </c>
      <c r="K1046" s="3">
        <v>846551.87</v>
      </c>
      <c r="L1046" s="1">
        <f t="shared" si="363"/>
        <v>1762728.63</v>
      </c>
      <c r="M1046" s="2">
        <f t="shared" si="364"/>
        <v>0.5197491799971502</v>
      </c>
      <c r="N1046" s="2">
        <f t="shared" si="365"/>
        <v>0.4802508200028498</v>
      </c>
      <c r="O1046" s="5">
        <f t="shared" si="366"/>
        <v>954.87332844357149</v>
      </c>
    </row>
    <row r="1047" spans="1:15" x14ac:dyDescent="0.35">
      <c r="A1047" t="s">
        <v>34</v>
      </c>
      <c r="B1047" t="s">
        <v>19</v>
      </c>
      <c r="C1047">
        <v>2009</v>
      </c>
      <c r="D1047" t="s">
        <v>18</v>
      </c>
      <c r="E1047" s="3">
        <v>986027</v>
      </c>
      <c r="F1047" s="3">
        <v>860503</v>
      </c>
      <c r="G1047" s="1">
        <f t="shared" ref="G1047:G1057" si="370">SUM(E1047:F1047)</f>
        <v>1846530</v>
      </c>
      <c r="H1047" s="2">
        <f t="shared" ref="H1047:H1057" si="371">SUM(E1047)/G1047</f>
        <v>0.53398915804238223</v>
      </c>
      <c r="I1047" s="2">
        <f t="shared" ref="I1047:I1057" si="372">SUM(F1047/G1047)</f>
        <v>0.46601084195761783</v>
      </c>
      <c r="J1047" s="3">
        <v>757117.07</v>
      </c>
      <c r="K1047" s="3">
        <v>708308.85</v>
      </c>
      <c r="L1047" s="1">
        <f t="shared" si="363"/>
        <v>1465425.9199999999</v>
      </c>
      <c r="M1047" s="2">
        <f t="shared" si="364"/>
        <v>0.51665325395636508</v>
      </c>
      <c r="N1047" s="2">
        <f t="shared" si="365"/>
        <v>0.48334674604363487</v>
      </c>
      <c r="O1047" s="5">
        <f t="shared" si="366"/>
        <v>793.61067515826983</v>
      </c>
    </row>
    <row r="1048" spans="1:15" x14ac:dyDescent="0.35">
      <c r="A1048" t="s">
        <v>34</v>
      </c>
      <c r="B1048" t="s">
        <v>20</v>
      </c>
      <c r="C1048">
        <v>2009</v>
      </c>
      <c r="D1048" t="s">
        <v>18</v>
      </c>
      <c r="E1048" s="3">
        <v>981342</v>
      </c>
      <c r="F1048" s="3">
        <v>872591</v>
      </c>
      <c r="G1048" s="1">
        <f t="shared" si="370"/>
        <v>1853933</v>
      </c>
      <c r="H1048" s="2">
        <f t="shared" si="371"/>
        <v>0.52932980857452783</v>
      </c>
      <c r="I1048" s="2">
        <f t="shared" si="372"/>
        <v>0.47067019142547223</v>
      </c>
      <c r="J1048" s="3">
        <v>663963.61</v>
      </c>
      <c r="K1048" s="3">
        <v>632111.54</v>
      </c>
      <c r="L1048" s="1">
        <f t="shared" si="363"/>
        <v>1296075.1499999999</v>
      </c>
      <c r="M1048" s="2">
        <f t="shared" si="364"/>
        <v>0.51228789472585756</v>
      </c>
      <c r="N1048" s="2">
        <f t="shared" si="365"/>
        <v>0.48771210527414255</v>
      </c>
      <c r="O1048" s="5">
        <f t="shared" si="366"/>
        <v>699.09492414235035</v>
      </c>
    </row>
    <row r="1049" spans="1:15" x14ac:dyDescent="0.35">
      <c r="A1049" t="s">
        <v>34</v>
      </c>
      <c r="B1049" t="s">
        <v>21</v>
      </c>
      <c r="C1049">
        <v>2009</v>
      </c>
      <c r="D1049" t="s">
        <v>18</v>
      </c>
      <c r="E1049" s="3">
        <v>974377</v>
      </c>
      <c r="F1049" s="3">
        <v>885120</v>
      </c>
      <c r="G1049" s="1">
        <f t="shared" si="370"/>
        <v>1859497</v>
      </c>
      <c r="H1049" s="2">
        <f t="shared" si="371"/>
        <v>0.52400030761006877</v>
      </c>
      <c r="I1049" s="2">
        <f t="shared" si="372"/>
        <v>0.47599969238993123</v>
      </c>
      <c r="J1049" s="3">
        <v>707695.75</v>
      </c>
      <c r="K1049" s="3">
        <v>688081.36</v>
      </c>
      <c r="L1049" s="1">
        <f t="shared" si="363"/>
        <v>1395777.1099999999</v>
      </c>
      <c r="M1049" s="2">
        <f t="shared" si="364"/>
        <v>0.50702633316575885</v>
      </c>
      <c r="N1049" s="2">
        <f t="shared" si="365"/>
        <v>0.49297366683424121</v>
      </c>
      <c r="O1049" s="5">
        <f t="shared" si="366"/>
        <v>750.62079153663581</v>
      </c>
    </row>
    <row r="1050" spans="1:15" x14ac:dyDescent="0.35">
      <c r="A1050" t="s">
        <v>34</v>
      </c>
      <c r="B1050" t="s">
        <v>22</v>
      </c>
      <c r="C1050">
        <v>2009</v>
      </c>
      <c r="D1050" t="s">
        <v>18</v>
      </c>
      <c r="E1050" s="3">
        <v>967173</v>
      </c>
      <c r="F1050" s="3">
        <v>896366</v>
      </c>
      <c r="G1050" s="1">
        <f t="shared" si="370"/>
        <v>1863539</v>
      </c>
      <c r="H1050" s="2">
        <f t="shared" si="371"/>
        <v>0.51899799252926826</v>
      </c>
      <c r="I1050" s="2">
        <f t="shared" si="372"/>
        <v>0.48100200747073174</v>
      </c>
      <c r="J1050" s="3">
        <v>809739.88</v>
      </c>
      <c r="K1050" s="3">
        <v>802190.15</v>
      </c>
      <c r="L1050" s="1">
        <f t="shared" si="363"/>
        <v>1611930.03</v>
      </c>
      <c r="M1050" s="2">
        <f t="shared" si="364"/>
        <v>0.50234182931625138</v>
      </c>
      <c r="N1050" s="2">
        <f t="shared" si="365"/>
        <v>0.49765817068374862</v>
      </c>
      <c r="O1050" s="5">
        <f t="shared" si="366"/>
        <v>864.98325497883332</v>
      </c>
    </row>
    <row r="1051" spans="1:15" x14ac:dyDescent="0.35">
      <c r="A1051" t="s">
        <v>34</v>
      </c>
      <c r="B1051" t="s">
        <v>23</v>
      </c>
      <c r="C1051">
        <v>2009</v>
      </c>
      <c r="D1051" t="s">
        <v>18</v>
      </c>
      <c r="E1051" s="3">
        <v>960806</v>
      </c>
      <c r="F1051" s="3">
        <v>908859</v>
      </c>
      <c r="G1051" s="1">
        <f t="shared" si="370"/>
        <v>1869665</v>
      </c>
      <c r="H1051" s="2">
        <f t="shared" si="371"/>
        <v>0.51389206087721595</v>
      </c>
      <c r="I1051" s="2">
        <f t="shared" si="372"/>
        <v>0.48610793912278405</v>
      </c>
      <c r="J1051" s="3">
        <v>1161999.01</v>
      </c>
      <c r="K1051" s="3">
        <v>1154622.52</v>
      </c>
      <c r="L1051" s="1">
        <f t="shared" si="363"/>
        <v>2316621.5300000003</v>
      </c>
      <c r="M1051" s="2">
        <f t="shared" si="364"/>
        <v>0.50159207922063986</v>
      </c>
      <c r="N1051" s="2">
        <f t="shared" si="365"/>
        <v>0.49840792077936008</v>
      </c>
      <c r="O1051" s="5">
        <f t="shared" si="366"/>
        <v>1239.0570128873358</v>
      </c>
    </row>
    <row r="1052" spans="1:15" x14ac:dyDescent="0.35">
      <c r="A1052" t="s">
        <v>34</v>
      </c>
      <c r="B1052" t="s">
        <v>24</v>
      </c>
      <c r="C1052">
        <v>2009</v>
      </c>
      <c r="D1052" t="s">
        <v>18</v>
      </c>
      <c r="E1052" s="3">
        <v>954332</v>
      </c>
      <c r="F1052" s="3">
        <v>917837</v>
      </c>
      <c r="G1052" s="1">
        <f t="shared" si="370"/>
        <v>1872169</v>
      </c>
      <c r="H1052" s="2">
        <f t="shared" si="371"/>
        <v>0.50974671624196322</v>
      </c>
      <c r="I1052" s="2">
        <f t="shared" si="372"/>
        <v>0.49025328375803678</v>
      </c>
      <c r="J1052" s="3">
        <v>1613997.95</v>
      </c>
      <c r="K1052" s="3">
        <v>1605447.58</v>
      </c>
      <c r="L1052" s="1">
        <f t="shared" si="363"/>
        <v>3219445.5300000003</v>
      </c>
      <c r="M1052" s="2">
        <f t="shared" si="364"/>
        <v>0.50132792586802977</v>
      </c>
      <c r="N1052" s="2">
        <f t="shared" si="365"/>
        <v>0.49867207413197018</v>
      </c>
      <c r="O1052" s="5">
        <f t="shared" si="366"/>
        <v>1719.6340341069638</v>
      </c>
    </row>
    <row r="1053" spans="1:15" x14ac:dyDescent="0.35">
      <c r="A1053" t="s">
        <v>34</v>
      </c>
      <c r="B1053" t="s">
        <v>25</v>
      </c>
      <c r="C1053">
        <v>2009</v>
      </c>
      <c r="D1053" t="s">
        <v>18</v>
      </c>
      <c r="E1053" s="3">
        <v>945651</v>
      </c>
      <c r="F1053" s="3">
        <v>930976</v>
      </c>
      <c r="G1053" s="1">
        <f t="shared" si="370"/>
        <v>1876627</v>
      </c>
      <c r="H1053" s="2">
        <f t="shared" si="371"/>
        <v>0.50390994054758886</v>
      </c>
      <c r="I1053" s="2">
        <f t="shared" si="372"/>
        <v>0.49609005945241114</v>
      </c>
      <c r="J1053" s="3">
        <v>1655779.84</v>
      </c>
      <c r="K1053" s="3">
        <v>1675784.16</v>
      </c>
      <c r="L1053" s="1">
        <f t="shared" si="363"/>
        <v>3331564</v>
      </c>
      <c r="M1053" s="2">
        <f t="shared" si="364"/>
        <v>0.49699775841016414</v>
      </c>
      <c r="N1053" s="2">
        <f t="shared" si="365"/>
        <v>0.50300224158983586</v>
      </c>
      <c r="O1053" s="5">
        <f t="shared" si="366"/>
        <v>1775.2936518551635</v>
      </c>
    </row>
    <row r="1054" spans="1:15" x14ac:dyDescent="0.35">
      <c r="A1054" t="s">
        <v>34</v>
      </c>
      <c r="B1054" t="s">
        <v>26</v>
      </c>
      <c r="C1054">
        <v>2009</v>
      </c>
      <c r="D1054" t="s">
        <v>18</v>
      </c>
      <c r="E1054" s="3">
        <v>939664</v>
      </c>
      <c r="F1054" s="3">
        <v>951756</v>
      </c>
      <c r="G1054" s="1">
        <f t="shared" si="370"/>
        <v>1891420</v>
      </c>
      <c r="H1054" s="2">
        <f t="shared" si="371"/>
        <v>0.4968034598344101</v>
      </c>
      <c r="I1054" s="2">
        <f t="shared" si="372"/>
        <v>0.5031965401655899</v>
      </c>
      <c r="J1054" s="3">
        <v>1542781.33</v>
      </c>
      <c r="K1054" s="3">
        <v>1610030.68</v>
      </c>
      <c r="L1054" s="1">
        <f t="shared" si="363"/>
        <v>3152812.01</v>
      </c>
      <c r="M1054" s="2">
        <f t="shared" si="364"/>
        <v>0.4893350206439997</v>
      </c>
      <c r="N1054" s="2">
        <f t="shared" si="365"/>
        <v>0.51066497935600041</v>
      </c>
      <c r="O1054" s="5">
        <f t="shared" si="366"/>
        <v>1666.9021211576487</v>
      </c>
    </row>
    <row r="1055" spans="1:15" x14ac:dyDescent="0.35">
      <c r="A1055" t="s">
        <v>34</v>
      </c>
      <c r="B1055" t="s">
        <v>27</v>
      </c>
      <c r="C1055">
        <v>2009</v>
      </c>
      <c r="D1055" t="s">
        <v>18</v>
      </c>
      <c r="E1055" s="3">
        <v>925770</v>
      </c>
      <c r="F1055" s="3">
        <v>960953</v>
      </c>
      <c r="G1055" s="1">
        <f t="shared" si="370"/>
        <v>1886723</v>
      </c>
      <c r="H1055" s="2">
        <f t="shared" si="371"/>
        <v>0.49067616178951545</v>
      </c>
      <c r="I1055" s="2">
        <f t="shared" si="372"/>
        <v>0.50932383821048455</v>
      </c>
      <c r="J1055" s="3">
        <v>1127804.58</v>
      </c>
      <c r="K1055" s="3">
        <v>1222950.42</v>
      </c>
      <c r="L1055" s="1">
        <f t="shared" si="363"/>
        <v>2350755</v>
      </c>
      <c r="M1055" s="2">
        <f t="shared" si="364"/>
        <v>0.47976270602423482</v>
      </c>
      <c r="N1055" s="2">
        <f t="shared" si="365"/>
        <v>0.52023729397576524</v>
      </c>
      <c r="O1055" s="5">
        <f t="shared" si="366"/>
        <v>1245.9460132727486</v>
      </c>
    </row>
    <row r="1056" spans="1:15" x14ac:dyDescent="0.35">
      <c r="A1056" t="s">
        <v>34</v>
      </c>
      <c r="B1056" t="s">
        <v>28</v>
      </c>
      <c r="C1056">
        <v>2009</v>
      </c>
      <c r="D1056" t="s">
        <v>18</v>
      </c>
      <c r="E1056" s="3">
        <v>917481</v>
      </c>
      <c r="F1056" s="3">
        <v>964552</v>
      </c>
      <c r="G1056" s="1">
        <f t="shared" si="370"/>
        <v>1882033</v>
      </c>
      <c r="H1056" s="2">
        <f t="shared" si="371"/>
        <v>0.4874946401046103</v>
      </c>
      <c r="I1056" s="2">
        <f t="shared" si="372"/>
        <v>0.5125053598953897</v>
      </c>
      <c r="J1056" s="3">
        <v>820785.96</v>
      </c>
      <c r="K1056" s="3">
        <v>920664.76</v>
      </c>
      <c r="L1056" s="1">
        <f t="shared" si="363"/>
        <v>1741450.72</v>
      </c>
      <c r="M1056" s="2">
        <f t="shared" si="364"/>
        <v>0.4713231046813659</v>
      </c>
      <c r="N1056" s="2">
        <f t="shared" si="365"/>
        <v>0.52867689531863415</v>
      </c>
      <c r="O1056" s="5">
        <f t="shared" si="366"/>
        <v>925.30296758877239</v>
      </c>
    </row>
    <row r="1057" spans="1:15" x14ac:dyDescent="0.35">
      <c r="A1057" t="s">
        <v>34</v>
      </c>
      <c r="B1057" t="s">
        <v>29</v>
      </c>
      <c r="C1057">
        <v>2009</v>
      </c>
      <c r="D1057" t="s">
        <v>18</v>
      </c>
      <c r="E1057" s="3">
        <v>910956</v>
      </c>
      <c r="F1057" s="3">
        <v>972267</v>
      </c>
      <c r="G1057" s="1">
        <f t="shared" si="370"/>
        <v>1883223</v>
      </c>
      <c r="H1057" s="2">
        <f t="shared" si="371"/>
        <v>0.48372178971900831</v>
      </c>
      <c r="I1057" s="2">
        <f t="shared" si="372"/>
        <v>0.51627821028099163</v>
      </c>
      <c r="J1057" s="3">
        <v>675050.96</v>
      </c>
      <c r="K1057" s="3">
        <v>780847.54</v>
      </c>
      <c r="L1057" s="1">
        <f t="shared" si="363"/>
        <v>1455898.5</v>
      </c>
      <c r="M1057" s="2">
        <f t="shared" si="364"/>
        <v>0.46366622398470769</v>
      </c>
      <c r="N1057" s="2">
        <f t="shared" si="365"/>
        <v>0.53633377601529231</v>
      </c>
      <c r="O1057" s="5">
        <f t="shared" si="366"/>
        <v>773.08874201302763</v>
      </c>
    </row>
    <row r="1058" spans="1:15" x14ac:dyDescent="0.35">
      <c r="A1058" t="s">
        <v>34</v>
      </c>
      <c r="B1058" t="s">
        <v>17</v>
      </c>
      <c r="C1058">
        <v>2010</v>
      </c>
      <c r="D1058" t="s">
        <v>18</v>
      </c>
      <c r="E1058" s="3">
        <v>904667</v>
      </c>
      <c r="F1058" s="3">
        <v>976833</v>
      </c>
      <c r="G1058" s="1">
        <f>SUM(E1058:F1058)</f>
        <v>1881500</v>
      </c>
      <c r="H1058" s="2">
        <f>SUM(E1058)/G1058</f>
        <v>0.48082221631676852</v>
      </c>
      <c r="I1058" s="2">
        <f>SUM(F1058/G1058)</f>
        <v>0.51917778368323142</v>
      </c>
      <c r="J1058" s="3">
        <v>929140.44</v>
      </c>
      <c r="K1058" s="3">
        <v>1085982.19</v>
      </c>
      <c r="L1058" s="1">
        <f t="shared" si="363"/>
        <v>2015122.63</v>
      </c>
      <c r="M1058" s="2">
        <f t="shared" si="364"/>
        <v>0.46108381999560988</v>
      </c>
      <c r="N1058" s="2">
        <f t="shared" si="365"/>
        <v>0.53891618000439012</v>
      </c>
      <c r="O1058" s="5">
        <f t="shared" si="366"/>
        <v>1071.0192027637522</v>
      </c>
    </row>
    <row r="1059" spans="1:15" x14ac:dyDescent="0.35">
      <c r="A1059" t="s">
        <v>34</v>
      </c>
      <c r="B1059" t="s">
        <v>19</v>
      </c>
      <c r="C1059">
        <v>2010</v>
      </c>
      <c r="D1059" t="s">
        <v>18</v>
      </c>
      <c r="E1059" s="3">
        <v>899622</v>
      </c>
      <c r="F1059" s="3">
        <v>983862</v>
      </c>
      <c r="G1059" s="1">
        <f t="shared" ref="G1059:G1069" si="373">SUM(E1059:F1059)</f>
        <v>1883484</v>
      </c>
      <c r="H1059" s="2">
        <f t="shared" ref="H1059:H1069" si="374">SUM(E1059)/G1059</f>
        <v>0.47763718725510806</v>
      </c>
      <c r="I1059" s="2">
        <f t="shared" ref="I1059:I1069" si="375">SUM(F1059/G1059)</f>
        <v>0.52236281274489194</v>
      </c>
      <c r="J1059" s="3">
        <v>812720.99</v>
      </c>
      <c r="K1059" s="3">
        <v>961110.72</v>
      </c>
      <c r="L1059" s="1">
        <f t="shared" si="363"/>
        <v>1773831.71</v>
      </c>
      <c r="M1059" s="2">
        <f t="shared" si="364"/>
        <v>0.45817254557930975</v>
      </c>
      <c r="N1059" s="2">
        <f t="shared" si="365"/>
        <v>0.54182745442069025</v>
      </c>
      <c r="O1059" s="5">
        <f t="shared" si="366"/>
        <v>941.78220255653889</v>
      </c>
    </row>
    <row r="1060" spans="1:15" x14ac:dyDescent="0.35">
      <c r="A1060" t="s">
        <v>34</v>
      </c>
      <c r="B1060" t="s">
        <v>20</v>
      </c>
      <c r="C1060">
        <v>2010</v>
      </c>
      <c r="D1060" t="s">
        <v>18</v>
      </c>
      <c r="E1060" s="3">
        <v>896163</v>
      </c>
      <c r="F1060" s="3">
        <v>990496</v>
      </c>
      <c r="G1060" s="1">
        <f t="shared" si="373"/>
        <v>1886659</v>
      </c>
      <c r="H1060" s="2">
        <f t="shared" si="374"/>
        <v>0.47499998674906274</v>
      </c>
      <c r="I1060" s="2">
        <f t="shared" si="375"/>
        <v>0.52500001325093726</v>
      </c>
      <c r="J1060" s="3">
        <v>773257.39</v>
      </c>
      <c r="K1060" s="3">
        <v>924613.8</v>
      </c>
      <c r="L1060" s="1">
        <f t="shared" si="363"/>
        <v>1697871.19</v>
      </c>
      <c r="M1060" s="2">
        <f t="shared" si="364"/>
        <v>0.4554275934206764</v>
      </c>
      <c r="N1060" s="2">
        <f t="shared" si="365"/>
        <v>0.5445724065793236</v>
      </c>
      <c r="O1060" s="5">
        <f t="shared" si="366"/>
        <v>899.93538312964881</v>
      </c>
    </row>
    <row r="1061" spans="1:15" x14ac:dyDescent="0.35">
      <c r="A1061" t="s">
        <v>34</v>
      </c>
      <c r="B1061" t="s">
        <v>21</v>
      </c>
      <c r="C1061">
        <v>2010</v>
      </c>
      <c r="D1061" t="s">
        <v>18</v>
      </c>
      <c r="E1061" s="3">
        <v>893613</v>
      </c>
      <c r="F1061" s="3">
        <v>999888</v>
      </c>
      <c r="G1061" s="1">
        <f t="shared" si="373"/>
        <v>1893501</v>
      </c>
      <c r="H1061" s="2">
        <f t="shared" si="374"/>
        <v>0.47193690417908413</v>
      </c>
      <c r="I1061" s="2">
        <f t="shared" si="375"/>
        <v>0.52806309582091582</v>
      </c>
      <c r="J1061" s="3">
        <v>619273.43999999994</v>
      </c>
      <c r="K1061" s="3">
        <v>749344.05</v>
      </c>
      <c r="L1061" s="1">
        <f t="shared" si="363"/>
        <v>1368617.49</v>
      </c>
      <c r="M1061" s="2">
        <f t="shared" si="364"/>
        <v>0.45248102155993924</v>
      </c>
      <c r="N1061" s="2">
        <f t="shared" si="365"/>
        <v>0.5475189784400607</v>
      </c>
      <c r="O1061" s="5">
        <f t="shared" si="366"/>
        <v>722.79734206636283</v>
      </c>
    </row>
    <row r="1062" spans="1:15" x14ac:dyDescent="0.35">
      <c r="A1062" t="s">
        <v>34</v>
      </c>
      <c r="B1062" t="s">
        <v>22</v>
      </c>
      <c r="C1062">
        <v>2010</v>
      </c>
      <c r="D1062" t="s">
        <v>18</v>
      </c>
      <c r="E1062" s="3">
        <v>888576</v>
      </c>
      <c r="F1062" s="3">
        <v>1006586</v>
      </c>
      <c r="G1062" s="1">
        <f t="shared" si="373"/>
        <v>1895162</v>
      </c>
      <c r="H1062" s="2">
        <f t="shared" si="374"/>
        <v>0.4688654584674028</v>
      </c>
      <c r="I1062" s="2">
        <f t="shared" si="375"/>
        <v>0.5311345415325972</v>
      </c>
      <c r="J1062" s="3">
        <v>684353.38</v>
      </c>
      <c r="K1062" s="3">
        <v>837523.42</v>
      </c>
      <c r="L1062" s="1">
        <f t="shared" si="363"/>
        <v>1521876.8</v>
      </c>
      <c r="M1062" s="2">
        <f t="shared" si="364"/>
        <v>0.44967725376981893</v>
      </c>
      <c r="N1062" s="2">
        <f t="shared" si="365"/>
        <v>0.55032274623018107</v>
      </c>
      <c r="O1062" s="5">
        <f t="shared" si="366"/>
        <v>803.03256397078451</v>
      </c>
    </row>
    <row r="1063" spans="1:15" x14ac:dyDescent="0.35">
      <c r="A1063" t="s">
        <v>34</v>
      </c>
      <c r="B1063" t="s">
        <v>23</v>
      </c>
      <c r="C1063">
        <v>2010</v>
      </c>
      <c r="D1063" t="s">
        <v>18</v>
      </c>
      <c r="E1063" s="3">
        <v>884596</v>
      </c>
      <c r="F1063" s="3">
        <v>1019153</v>
      </c>
      <c r="G1063" s="1">
        <f t="shared" si="373"/>
        <v>1903749</v>
      </c>
      <c r="H1063" s="2">
        <f t="shared" si="374"/>
        <v>0.46465999456861173</v>
      </c>
      <c r="I1063" s="2">
        <f t="shared" si="375"/>
        <v>0.53534000543138827</v>
      </c>
      <c r="J1063" s="3">
        <v>1137915.8</v>
      </c>
      <c r="K1063" s="3">
        <v>1386567.48</v>
      </c>
      <c r="L1063" s="1">
        <f t="shared" si="363"/>
        <v>2524483.2800000003</v>
      </c>
      <c r="M1063" s="2">
        <f t="shared" si="364"/>
        <v>0.45075196536853274</v>
      </c>
      <c r="N1063" s="2">
        <f t="shared" si="365"/>
        <v>0.54924803463146721</v>
      </c>
      <c r="O1063" s="5">
        <f t="shared" si="366"/>
        <v>1326.0588869646158</v>
      </c>
    </row>
    <row r="1064" spans="1:15" x14ac:dyDescent="0.35">
      <c r="A1064" t="s">
        <v>34</v>
      </c>
      <c r="B1064" t="s">
        <v>24</v>
      </c>
      <c r="C1064">
        <v>2010</v>
      </c>
      <c r="D1064" t="s">
        <v>18</v>
      </c>
      <c r="E1064" s="3">
        <v>876218</v>
      </c>
      <c r="F1064" s="3">
        <v>1029004</v>
      </c>
      <c r="G1064" s="1">
        <f t="shared" si="373"/>
        <v>1905222</v>
      </c>
      <c r="H1064" s="2">
        <f t="shared" si="374"/>
        <v>0.45990336034330909</v>
      </c>
      <c r="I1064" s="2">
        <f t="shared" si="375"/>
        <v>0.54009663965669097</v>
      </c>
      <c r="J1064" s="3">
        <v>1394022.94</v>
      </c>
      <c r="K1064" s="3">
        <v>1700374.48</v>
      </c>
      <c r="L1064" s="1">
        <f t="shared" si="363"/>
        <v>3094397.42</v>
      </c>
      <c r="M1064" s="2">
        <f t="shared" si="364"/>
        <v>0.45049899892949108</v>
      </c>
      <c r="N1064" s="2">
        <f t="shared" si="365"/>
        <v>0.54950100107050892</v>
      </c>
      <c r="O1064" s="5">
        <f t="shared" si="366"/>
        <v>1624.1663281234419</v>
      </c>
    </row>
    <row r="1065" spans="1:15" x14ac:dyDescent="0.35">
      <c r="A1065" t="s">
        <v>34</v>
      </c>
      <c r="B1065" t="s">
        <v>25</v>
      </c>
      <c r="C1065">
        <v>2010</v>
      </c>
      <c r="D1065" t="s">
        <v>18</v>
      </c>
      <c r="E1065" s="3">
        <v>868809</v>
      </c>
      <c r="F1065" s="3">
        <v>1039449</v>
      </c>
      <c r="G1065" s="1">
        <f t="shared" si="373"/>
        <v>1908258</v>
      </c>
      <c r="H1065" s="2">
        <f t="shared" si="374"/>
        <v>0.45528906468622166</v>
      </c>
      <c r="I1065" s="2">
        <f t="shared" si="375"/>
        <v>0.54471093531377834</v>
      </c>
      <c r="J1065" s="3">
        <v>1376257.01</v>
      </c>
      <c r="K1065" s="3">
        <v>1708336.85</v>
      </c>
      <c r="L1065" s="1">
        <f t="shared" si="363"/>
        <v>3084593.8600000003</v>
      </c>
      <c r="M1065" s="2">
        <f t="shared" si="364"/>
        <v>0.44617122138731091</v>
      </c>
      <c r="N1065" s="2">
        <f t="shared" si="365"/>
        <v>0.55382877861268909</v>
      </c>
      <c r="O1065" s="5">
        <f t="shared" si="366"/>
        <v>1616.444872758296</v>
      </c>
    </row>
    <row r="1066" spans="1:15" x14ac:dyDescent="0.35">
      <c r="A1066" t="s">
        <v>34</v>
      </c>
      <c r="B1066" t="s">
        <v>26</v>
      </c>
      <c r="C1066">
        <v>2010</v>
      </c>
      <c r="D1066" t="s">
        <v>18</v>
      </c>
      <c r="E1066" s="3">
        <v>862042</v>
      </c>
      <c r="F1066" s="3">
        <v>1045122</v>
      </c>
      <c r="G1066" s="1">
        <f t="shared" si="373"/>
        <v>1907164</v>
      </c>
      <c r="H1066" s="2">
        <f t="shared" si="374"/>
        <v>0.45200203023966473</v>
      </c>
      <c r="I1066" s="2">
        <f t="shared" si="375"/>
        <v>0.54799796976033521</v>
      </c>
      <c r="J1066" s="3">
        <v>1471025.31</v>
      </c>
      <c r="K1066" s="3">
        <v>1854656.28</v>
      </c>
      <c r="L1066" s="1">
        <f t="shared" si="363"/>
        <v>3325681.59</v>
      </c>
      <c r="M1066" s="2">
        <f t="shared" si="364"/>
        <v>0.44232295551781919</v>
      </c>
      <c r="N1066" s="2">
        <f t="shared" si="365"/>
        <v>0.55767704448218092</v>
      </c>
      <c r="O1066" s="5">
        <f t="shared" si="366"/>
        <v>1743.7837490640554</v>
      </c>
    </row>
    <row r="1067" spans="1:15" x14ac:dyDescent="0.35">
      <c r="A1067" t="s">
        <v>34</v>
      </c>
      <c r="B1067" t="s">
        <v>27</v>
      </c>
      <c r="C1067">
        <v>2010</v>
      </c>
      <c r="D1067" t="s">
        <v>18</v>
      </c>
      <c r="E1067" s="3">
        <v>858579</v>
      </c>
      <c r="F1067" s="3">
        <v>1049290</v>
      </c>
      <c r="G1067" s="1">
        <f t="shared" si="373"/>
        <v>1907869</v>
      </c>
      <c r="H1067" s="2">
        <f t="shared" si="374"/>
        <v>0.45001989130280956</v>
      </c>
      <c r="I1067" s="2">
        <f t="shared" si="375"/>
        <v>0.54998010869719038</v>
      </c>
      <c r="J1067" s="3">
        <v>1152044.23</v>
      </c>
      <c r="K1067" s="3">
        <v>1479614.28</v>
      </c>
      <c r="L1067" s="1">
        <f t="shared" si="363"/>
        <v>2631658.5099999998</v>
      </c>
      <c r="M1067" s="2">
        <f t="shared" si="364"/>
        <v>0.43776357214371253</v>
      </c>
      <c r="N1067" s="2">
        <f t="shared" si="365"/>
        <v>0.56223642785628758</v>
      </c>
      <c r="O1067" s="5">
        <f t="shared" si="366"/>
        <v>1379.3706538551651</v>
      </c>
    </row>
    <row r="1068" spans="1:15" x14ac:dyDescent="0.35">
      <c r="A1068" t="s">
        <v>34</v>
      </c>
      <c r="B1068" t="s">
        <v>28</v>
      </c>
      <c r="C1068">
        <v>2010</v>
      </c>
      <c r="D1068" t="s">
        <v>18</v>
      </c>
      <c r="E1068" s="3">
        <v>853517</v>
      </c>
      <c r="F1068" s="3">
        <v>1052159</v>
      </c>
      <c r="G1068" s="1">
        <f t="shared" si="373"/>
        <v>1905676</v>
      </c>
      <c r="H1068" s="2">
        <f t="shared" si="374"/>
        <v>0.44788148667454486</v>
      </c>
      <c r="I1068" s="2">
        <f t="shared" si="375"/>
        <v>0.55211851332545514</v>
      </c>
      <c r="J1068" s="3">
        <v>784709.21</v>
      </c>
      <c r="K1068" s="3">
        <v>1036272.91</v>
      </c>
      <c r="L1068" s="1">
        <f t="shared" si="363"/>
        <v>1820982.12</v>
      </c>
      <c r="M1068" s="2">
        <f t="shared" si="364"/>
        <v>0.43092636736048784</v>
      </c>
      <c r="N1068" s="2">
        <f t="shared" si="365"/>
        <v>0.56907363263951216</v>
      </c>
      <c r="O1068" s="5">
        <f t="shared" si="366"/>
        <v>955.55704117593962</v>
      </c>
    </row>
    <row r="1069" spans="1:15" x14ac:dyDescent="0.35">
      <c r="A1069" t="s">
        <v>34</v>
      </c>
      <c r="B1069" t="s">
        <v>29</v>
      </c>
      <c r="C1069">
        <v>2010</v>
      </c>
      <c r="D1069" t="s">
        <v>18</v>
      </c>
      <c r="E1069" s="3">
        <v>849965</v>
      </c>
      <c r="F1069" s="3">
        <v>1057387</v>
      </c>
      <c r="G1069" s="1">
        <f t="shared" si="373"/>
        <v>1907352</v>
      </c>
      <c r="H1069" s="2">
        <f t="shared" si="374"/>
        <v>0.44562566322314917</v>
      </c>
      <c r="I1069" s="2">
        <f t="shared" si="375"/>
        <v>0.55437433677685088</v>
      </c>
      <c r="J1069" s="3">
        <v>676263.06</v>
      </c>
      <c r="K1069" s="3">
        <v>908084.72</v>
      </c>
      <c r="L1069" s="1">
        <f t="shared" si="363"/>
        <v>1584347.78</v>
      </c>
      <c r="M1069" s="2">
        <f t="shared" si="364"/>
        <v>0.42684003382136215</v>
      </c>
      <c r="N1069" s="2">
        <f t="shared" si="365"/>
        <v>0.57315996617863785</v>
      </c>
      <c r="O1069" s="5">
        <f t="shared" si="366"/>
        <v>830.65306246565922</v>
      </c>
    </row>
    <row r="1070" spans="1:15" x14ac:dyDescent="0.35">
      <c r="A1070" t="s">
        <v>34</v>
      </c>
      <c r="B1070" t="s">
        <v>17</v>
      </c>
      <c r="C1070">
        <v>2011</v>
      </c>
      <c r="D1070" t="s">
        <v>18</v>
      </c>
      <c r="E1070" s="8">
        <v>847623</v>
      </c>
      <c r="F1070" s="3">
        <v>1064114</v>
      </c>
      <c r="G1070" s="1">
        <f>SUM(E1070:F1070)</f>
        <v>1911737</v>
      </c>
      <c r="H1070" s="2">
        <f>SUM(E1070)/G1070</f>
        <v>0.44337845634624429</v>
      </c>
      <c r="I1070" s="2">
        <f>SUM(F1070/G1070)</f>
        <v>0.55662154365375571</v>
      </c>
      <c r="J1070" s="3">
        <v>780900.9</v>
      </c>
      <c r="K1070" s="3">
        <v>1055923.6000000001</v>
      </c>
      <c r="L1070" s="1">
        <f t="shared" si="363"/>
        <v>1836824.5</v>
      </c>
      <c r="M1070" s="2">
        <f t="shared" si="364"/>
        <v>0.42513636986004927</v>
      </c>
      <c r="N1070" s="2">
        <f t="shared" si="365"/>
        <v>0.57486363013995079</v>
      </c>
      <c r="O1070" s="5">
        <f t="shared" si="366"/>
        <v>960.81443211069302</v>
      </c>
    </row>
    <row r="1071" spans="1:15" x14ac:dyDescent="0.35">
      <c r="A1071" t="s">
        <v>34</v>
      </c>
      <c r="B1071" t="s">
        <v>19</v>
      </c>
      <c r="C1071">
        <v>2011</v>
      </c>
      <c r="D1071" t="s">
        <v>18</v>
      </c>
      <c r="E1071" s="8">
        <v>846632</v>
      </c>
      <c r="F1071" s="3">
        <v>1065716</v>
      </c>
      <c r="G1071" s="1">
        <f t="shared" ref="G1071:G1081" si="376">SUM(E1071:F1071)</f>
        <v>1912348</v>
      </c>
      <c r="H1071" s="2">
        <f t="shared" ref="H1071:H1081" si="377">SUM(E1071)/G1071</f>
        <v>0.44271858469274422</v>
      </c>
      <c r="I1071" s="2">
        <f t="shared" ref="I1071:I1081" si="378">SUM(F1071/G1071)</f>
        <v>0.55728141530725583</v>
      </c>
      <c r="J1071" s="3">
        <v>805688.66</v>
      </c>
      <c r="K1071" s="3">
        <v>1095224.72</v>
      </c>
      <c r="L1071" s="1">
        <f t="shared" si="363"/>
        <v>1900913.38</v>
      </c>
      <c r="M1071" s="2">
        <f t="shared" si="364"/>
        <v>0.42384291071695235</v>
      </c>
      <c r="N1071" s="2">
        <f t="shared" si="365"/>
        <v>0.57615708928304776</v>
      </c>
      <c r="O1071" s="5">
        <f t="shared" si="366"/>
        <v>994.02063850303398</v>
      </c>
    </row>
    <row r="1072" spans="1:15" x14ac:dyDescent="0.35">
      <c r="A1072" t="s">
        <v>34</v>
      </c>
      <c r="B1072" t="s">
        <v>20</v>
      </c>
      <c r="C1072">
        <v>2011</v>
      </c>
      <c r="D1072" t="s">
        <v>18</v>
      </c>
      <c r="E1072" s="8">
        <v>846094</v>
      </c>
      <c r="F1072" s="3">
        <v>1073966</v>
      </c>
      <c r="G1072" s="1">
        <f t="shared" si="376"/>
        <v>1920060</v>
      </c>
      <c r="H1072" s="2">
        <f t="shared" si="377"/>
        <v>0.44066018770246762</v>
      </c>
      <c r="I1072" s="2">
        <f t="shared" si="378"/>
        <v>0.55933981229753238</v>
      </c>
      <c r="J1072" s="3">
        <v>673194.56</v>
      </c>
      <c r="K1072" s="3">
        <v>920546.08</v>
      </c>
      <c r="L1072" s="1">
        <f t="shared" si="363"/>
        <v>1593740.6400000001</v>
      </c>
      <c r="M1072" s="2">
        <f t="shared" si="364"/>
        <v>0.42239906739154243</v>
      </c>
      <c r="N1072" s="2">
        <f t="shared" si="365"/>
        <v>0.57760093260845746</v>
      </c>
      <c r="O1072" s="5">
        <f t="shared" si="366"/>
        <v>830.04731102153073</v>
      </c>
    </row>
    <row r="1073" spans="1:15" x14ac:dyDescent="0.35">
      <c r="A1073" t="s">
        <v>34</v>
      </c>
      <c r="B1073" t="s">
        <v>21</v>
      </c>
      <c r="C1073">
        <v>2011</v>
      </c>
      <c r="D1073" t="s">
        <v>18</v>
      </c>
      <c r="E1073" s="8">
        <v>843456</v>
      </c>
      <c r="F1073" s="3">
        <v>1082374</v>
      </c>
      <c r="G1073" s="1">
        <f t="shared" si="376"/>
        <v>1925830</v>
      </c>
      <c r="H1073" s="2">
        <f t="shared" si="377"/>
        <v>0.43797012197338292</v>
      </c>
      <c r="I1073" s="2">
        <f t="shared" si="378"/>
        <v>0.56202987802661708</v>
      </c>
      <c r="J1073" s="3">
        <f>604806.5+980.4</f>
        <v>605786.9</v>
      </c>
      <c r="K1073" s="3">
        <v>833100.17</v>
      </c>
      <c r="L1073" s="1">
        <f t="shared" si="363"/>
        <v>1438887.07</v>
      </c>
      <c r="M1073" s="2">
        <f t="shared" si="364"/>
        <v>0.42101073296877983</v>
      </c>
      <c r="N1073" s="2">
        <f t="shared" si="365"/>
        <v>0.57898926703122022</v>
      </c>
      <c r="O1073" s="5">
        <f t="shared" si="366"/>
        <v>747.15165409200188</v>
      </c>
    </row>
    <row r="1074" spans="1:15" x14ac:dyDescent="0.35">
      <c r="A1074" t="s">
        <v>34</v>
      </c>
      <c r="B1074" t="s">
        <v>22</v>
      </c>
      <c r="C1074">
        <v>2011</v>
      </c>
      <c r="D1074" t="s">
        <v>18</v>
      </c>
      <c r="E1074" s="8">
        <v>841092</v>
      </c>
      <c r="F1074" s="3">
        <v>1086794</v>
      </c>
      <c r="G1074" s="1">
        <f t="shared" si="376"/>
        <v>1927886</v>
      </c>
      <c r="H1074" s="2">
        <f t="shared" si="377"/>
        <v>0.4362768337961892</v>
      </c>
      <c r="I1074" s="2">
        <f t="shared" si="378"/>
        <v>0.5637231662038108</v>
      </c>
      <c r="J1074" s="3">
        <f>839116.9+1213.9</f>
        <v>840330.8</v>
      </c>
      <c r="K1074" s="3">
        <v>1156072.1599999999</v>
      </c>
      <c r="L1074" s="1">
        <f t="shared" si="363"/>
        <v>1996402.96</v>
      </c>
      <c r="M1074" s="2">
        <f t="shared" si="364"/>
        <v>0.42092243742215252</v>
      </c>
      <c r="N1074" s="2">
        <f t="shared" si="365"/>
        <v>0.57907756257784748</v>
      </c>
      <c r="O1074" s="5">
        <f t="shared" si="366"/>
        <v>1035.5399437518608</v>
      </c>
    </row>
    <row r="1075" spans="1:15" x14ac:dyDescent="0.35">
      <c r="A1075" t="s">
        <v>34</v>
      </c>
      <c r="B1075" t="s">
        <v>23</v>
      </c>
      <c r="C1075">
        <v>2011</v>
      </c>
      <c r="D1075" t="s">
        <v>18</v>
      </c>
      <c r="E1075" s="8">
        <v>841260</v>
      </c>
      <c r="F1075" s="3">
        <v>1095993</v>
      </c>
      <c r="G1075" s="1">
        <f t="shared" si="376"/>
        <v>1937253</v>
      </c>
      <c r="H1075" s="2">
        <f t="shared" si="377"/>
        <v>0.43425407006725503</v>
      </c>
      <c r="I1075" s="2">
        <f t="shared" si="378"/>
        <v>0.56574592993274497</v>
      </c>
      <c r="J1075" s="3">
        <f>1101619.6+1327.3</f>
        <v>1102946.9000000001</v>
      </c>
      <c r="K1075" s="3">
        <v>1500411.91</v>
      </c>
      <c r="L1075" s="1">
        <f t="shared" si="363"/>
        <v>2603358.81</v>
      </c>
      <c r="M1075" s="2">
        <f t="shared" si="364"/>
        <v>0.42366303705942099</v>
      </c>
      <c r="N1075" s="2">
        <f t="shared" si="365"/>
        <v>0.57633696294057901</v>
      </c>
      <c r="O1075" s="5">
        <f t="shared" si="366"/>
        <v>1343.8403811995645</v>
      </c>
    </row>
    <row r="1076" spans="1:15" x14ac:dyDescent="0.35">
      <c r="A1076" t="s">
        <v>34</v>
      </c>
      <c r="B1076" t="s">
        <v>24</v>
      </c>
      <c r="C1076">
        <v>2011</v>
      </c>
      <c r="D1076" t="s">
        <v>18</v>
      </c>
      <c r="E1076" s="8">
        <v>840414</v>
      </c>
      <c r="F1076" s="3">
        <v>1103379</v>
      </c>
      <c r="G1076" s="1">
        <f t="shared" si="376"/>
        <v>1943793</v>
      </c>
      <c r="H1076" s="2">
        <f t="shared" si="377"/>
        <v>0.43235776649056767</v>
      </c>
      <c r="I1076" s="2">
        <f t="shared" si="378"/>
        <v>0.56764223350943233</v>
      </c>
      <c r="J1076" s="3">
        <f>1481866.6+1546.5</f>
        <v>1483413.1</v>
      </c>
      <c r="K1076" s="11">
        <v>1993764.23</v>
      </c>
      <c r="L1076" s="1">
        <f t="shared" si="363"/>
        <v>3477177.33</v>
      </c>
      <c r="M1076" s="2">
        <f t="shared" si="364"/>
        <v>0.42661416408118596</v>
      </c>
      <c r="N1076" s="2">
        <f t="shared" si="365"/>
        <v>0.57338583591881409</v>
      </c>
      <c r="O1076" s="5">
        <f t="shared" si="366"/>
        <v>1788.8619467196352</v>
      </c>
    </row>
    <row r="1077" spans="1:15" x14ac:dyDescent="0.35">
      <c r="A1077" t="s">
        <v>34</v>
      </c>
      <c r="B1077" t="s">
        <v>25</v>
      </c>
      <c r="C1077">
        <v>2011</v>
      </c>
      <c r="D1077" t="s">
        <v>18</v>
      </c>
      <c r="E1077" s="7">
        <v>839385</v>
      </c>
      <c r="F1077" s="7">
        <v>1109641</v>
      </c>
      <c r="G1077" s="1">
        <f t="shared" si="376"/>
        <v>1949026</v>
      </c>
      <c r="H1077" s="2">
        <f t="shared" si="377"/>
        <v>0.4306689597778583</v>
      </c>
      <c r="I1077" s="2">
        <f t="shared" si="378"/>
        <v>0.56933104022214176</v>
      </c>
      <c r="J1077" s="3">
        <f>1512635.7+1486.1</f>
        <v>1514121.8</v>
      </c>
      <c r="K1077" s="7">
        <v>2038937.34</v>
      </c>
      <c r="L1077" s="1">
        <f t="shared" si="363"/>
        <v>3553059.14</v>
      </c>
      <c r="M1077" s="2">
        <f t="shared" si="364"/>
        <v>0.42614596052009424</v>
      </c>
      <c r="N1077" s="2">
        <f t="shared" si="365"/>
        <v>0.57385403947990576</v>
      </c>
      <c r="O1077" s="5">
        <f t="shared" si="366"/>
        <v>1822.9921714743673</v>
      </c>
    </row>
    <row r="1078" spans="1:15" x14ac:dyDescent="0.35">
      <c r="A1078" t="s">
        <v>34</v>
      </c>
      <c r="B1078" t="s">
        <v>26</v>
      </c>
      <c r="C1078">
        <v>2011</v>
      </c>
      <c r="D1078" t="s">
        <v>18</v>
      </c>
      <c r="E1078" s="8">
        <v>839129</v>
      </c>
      <c r="F1078" s="7">
        <v>1108247</v>
      </c>
      <c r="G1078" s="1">
        <f t="shared" si="376"/>
        <v>1947376</v>
      </c>
      <c r="H1078" s="2">
        <f t="shared" si="377"/>
        <v>0.43090240405550856</v>
      </c>
      <c r="I1078" s="2">
        <f t="shared" si="378"/>
        <v>0.5690975959444915</v>
      </c>
      <c r="J1078" s="3">
        <f>1580444.2+1456.9</f>
        <v>1581901.0999999999</v>
      </c>
      <c r="K1078" s="3">
        <v>2139781.19</v>
      </c>
      <c r="L1078" s="1">
        <f t="shared" si="363"/>
        <v>3721682.29</v>
      </c>
      <c r="M1078" s="2">
        <f t="shared" si="364"/>
        <v>0.42505001145597515</v>
      </c>
      <c r="N1078" s="2">
        <f t="shared" si="365"/>
        <v>0.57494998854402479</v>
      </c>
      <c r="O1078" s="5">
        <f t="shared" si="366"/>
        <v>1911.126711020368</v>
      </c>
    </row>
    <row r="1079" spans="1:15" x14ac:dyDescent="0.35">
      <c r="A1079" t="s">
        <v>34</v>
      </c>
      <c r="B1079" t="s">
        <v>27</v>
      </c>
      <c r="C1079">
        <v>2011</v>
      </c>
      <c r="D1079" t="s">
        <v>18</v>
      </c>
      <c r="E1079" s="8">
        <v>839523</v>
      </c>
      <c r="F1079" s="7">
        <v>1112464</v>
      </c>
      <c r="G1079" s="1">
        <f t="shared" si="376"/>
        <v>1951987</v>
      </c>
      <c r="H1079" s="2">
        <f t="shared" si="377"/>
        <v>0.43008636840306824</v>
      </c>
      <c r="I1079" s="2">
        <f t="shared" si="378"/>
        <v>0.56991363159693176</v>
      </c>
      <c r="J1079" s="3">
        <v>1219460.51</v>
      </c>
      <c r="K1079" s="3">
        <v>1654339.34</v>
      </c>
      <c r="L1079" s="1">
        <f t="shared" si="363"/>
        <v>2873799.85</v>
      </c>
      <c r="M1079" s="2">
        <f t="shared" si="364"/>
        <v>0.42433731423571475</v>
      </c>
      <c r="N1079" s="2">
        <f t="shared" si="365"/>
        <v>0.57566268576428525</v>
      </c>
      <c r="O1079" s="5">
        <f t="shared" si="366"/>
        <v>1472.2433346123719</v>
      </c>
    </row>
    <row r="1080" spans="1:15" x14ac:dyDescent="0.35">
      <c r="A1080" t="s">
        <v>34</v>
      </c>
      <c r="B1080" t="s">
        <v>28</v>
      </c>
      <c r="C1080">
        <v>2011</v>
      </c>
      <c r="D1080" t="s">
        <v>18</v>
      </c>
      <c r="E1080" s="8">
        <v>835344</v>
      </c>
      <c r="F1080" s="7">
        <v>1110941</v>
      </c>
      <c r="G1080" s="1">
        <f t="shared" si="376"/>
        <v>1946285</v>
      </c>
      <c r="H1080" s="2">
        <f t="shared" si="377"/>
        <v>0.42919921799736421</v>
      </c>
      <c r="I1080" s="2">
        <f t="shared" si="378"/>
        <v>0.57080078200263584</v>
      </c>
      <c r="J1080" s="3">
        <v>792052.34</v>
      </c>
      <c r="K1080" s="3">
        <v>1100866.5</v>
      </c>
      <c r="L1080" s="1">
        <f t="shared" si="363"/>
        <v>1892918.8399999999</v>
      </c>
      <c r="M1080" s="2">
        <f t="shared" si="364"/>
        <v>0.41842910708205538</v>
      </c>
      <c r="N1080" s="2">
        <f t="shared" si="365"/>
        <v>0.58157089291794473</v>
      </c>
      <c r="O1080" s="5">
        <f t="shared" si="366"/>
        <v>972.58050080024236</v>
      </c>
    </row>
    <row r="1081" spans="1:15" x14ac:dyDescent="0.35">
      <c r="A1081" t="s">
        <v>34</v>
      </c>
      <c r="B1081" t="s">
        <v>29</v>
      </c>
      <c r="C1081">
        <v>2011</v>
      </c>
      <c r="D1081" t="s">
        <v>18</v>
      </c>
      <c r="E1081" s="8">
        <v>832320</v>
      </c>
      <c r="F1081" s="7">
        <v>1113148</v>
      </c>
      <c r="G1081" s="1">
        <f t="shared" si="376"/>
        <v>1945468</v>
      </c>
      <c r="H1081" s="2">
        <f t="shared" si="377"/>
        <v>0.42782507859291441</v>
      </c>
      <c r="I1081" s="2">
        <f t="shared" si="378"/>
        <v>0.57217492140708559</v>
      </c>
      <c r="J1081" s="3">
        <v>677145.64</v>
      </c>
      <c r="K1081" s="3">
        <v>961953.74</v>
      </c>
      <c r="L1081" s="1">
        <f t="shared" si="363"/>
        <v>1639099.38</v>
      </c>
      <c r="M1081" s="2">
        <f t="shared" si="364"/>
        <v>0.41312055160438171</v>
      </c>
      <c r="N1081" s="2">
        <f t="shared" si="365"/>
        <v>0.58687944839561834</v>
      </c>
      <c r="O1081" s="5">
        <f t="shared" si="366"/>
        <v>842.52189190467277</v>
      </c>
    </row>
    <row r="1082" spans="1:15" x14ac:dyDescent="0.35">
      <c r="A1082" t="s">
        <v>34</v>
      </c>
      <c r="B1082" t="s">
        <v>17</v>
      </c>
      <c r="C1082">
        <v>2012</v>
      </c>
      <c r="D1082" t="s">
        <v>18</v>
      </c>
      <c r="E1082" s="3">
        <v>829711</v>
      </c>
      <c r="F1082" s="7">
        <v>1116986</v>
      </c>
      <c r="G1082" s="1">
        <f>SUM(E1082:F1082)</f>
        <v>1946697</v>
      </c>
      <c r="H1082" s="2">
        <f>SUM(E1082)/G1082</f>
        <v>0.42621476274941605</v>
      </c>
      <c r="I1082" s="2">
        <f>SUM(F1082/G1082)</f>
        <v>0.57378523725058395</v>
      </c>
      <c r="J1082" s="3">
        <v>768221.76</v>
      </c>
      <c r="K1082" s="3">
        <v>1094380.5900000001</v>
      </c>
      <c r="L1082" s="1">
        <f t="shared" si="363"/>
        <v>1862602.35</v>
      </c>
      <c r="M1082" s="2">
        <f t="shared" si="364"/>
        <v>0.41244539394036517</v>
      </c>
      <c r="N1082" s="2">
        <f t="shared" si="365"/>
        <v>0.58755460605963483</v>
      </c>
      <c r="O1082" s="5">
        <f t="shared" si="366"/>
        <v>956.80136662254063</v>
      </c>
    </row>
    <row r="1083" spans="1:15" x14ac:dyDescent="0.35">
      <c r="A1083" t="s">
        <v>34</v>
      </c>
      <c r="B1083" t="s">
        <v>19</v>
      </c>
      <c r="C1083">
        <v>2012</v>
      </c>
      <c r="D1083" t="s">
        <v>18</v>
      </c>
      <c r="E1083" s="8">
        <v>827498</v>
      </c>
      <c r="F1083" s="7">
        <v>1121340</v>
      </c>
      <c r="G1083" s="1">
        <f t="shared" ref="G1083:G1093" si="379">SUM(E1083:F1083)</f>
        <v>1948838</v>
      </c>
      <c r="H1083" s="2">
        <f t="shared" ref="H1083:H1093" si="380">SUM(E1083)/G1083</f>
        <v>0.42461097330819697</v>
      </c>
      <c r="I1083" s="2">
        <f t="shared" ref="I1083:I1093" si="381">SUM(F1083/G1083)</f>
        <v>0.57538902669180303</v>
      </c>
      <c r="J1083" s="3">
        <v>633764.84</v>
      </c>
      <c r="K1083" s="3">
        <v>905120.75</v>
      </c>
      <c r="L1083" s="1">
        <f t="shared" si="363"/>
        <v>1538885.5899999999</v>
      </c>
      <c r="M1083" s="2">
        <f t="shared" si="364"/>
        <v>0.41183363085490976</v>
      </c>
      <c r="N1083" s="2">
        <f t="shared" si="365"/>
        <v>0.58816636914509035</v>
      </c>
      <c r="O1083" s="5">
        <f t="shared" si="366"/>
        <v>789.6426434624118</v>
      </c>
    </row>
    <row r="1084" spans="1:15" x14ac:dyDescent="0.35">
      <c r="A1084" t="s">
        <v>34</v>
      </c>
      <c r="B1084" t="s">
        <v>20</v>
      </c>
      <c r="C1084">
        <v>2012</v>
      </c>
      <c r="D1084" t="s">
        <v>18</v>
      </c>
      <c r="E1084" s="8">
        <v>824809</v>
      </c>
      <c r="F1084" s="7">
        <v>1128582</v>
      </c>
      <c r="G1084" s="1">
        <f t="shared" si="379"/>
        <v>1953391</v>
      </c>
      <c r="H1084" s="2">
        <f t="shared" si="380"/>
        <v>0.42224470164959294</v>
      </c>
      <c r="I1084" s="2">
        <f t="shared" si="381"/>
        <v>0.57775529835040706</v>
      </c>
      <c r="J1084" s="3">
        <v>589350.98</v>
      </c>
      <c r="K1084" s="3">
        <v>854107.54</v>
      </c>
      <c r="L1084" s="1">
        <f t="shared" si="363"/>
        <v>1443458.52</v>
      </c>
      <c r="M1084" s="2">
        <f t="shared" si="364"/>
        <v>0.40829090121689121</v>
      </c>
      <c r="N1084" s="2">
        <f t="shared" si="365"/>
        <v>0.59170909878310884</v>
      </c>
      <c r="O1084" s="5">
        <f t="shared" si="366"/>
        <v>738.95012314482869</v>
      </c>
    </row>
    <row r="1085" spans="1:15" x14ac:dyDescent="0.35">
      <c r="A1085" t="s">
        <v>34</v>
      </c>
      <c r="B1085" t="s">
        <v>21</v>
      </c>
      <c r="C1085">
        <v>2012</v>
      </c>
      <c r="D1085" t="s">
        <v>18</v>
      </c>
      <c r="E1085" s="8">
        <v>821257</v>
      </c>
      <c r="F1085" s="7">
        <v>1135558</v>
      </c>
      <c r="G1085" s="1">
        <f t="shared" si="379"/>
        <v>1956815</v>
      </c>
      <c r="H1085" s="2">
        <f t="shared" si="380"/>
        <v>0.4196906708094531</v>
      </c>
      <c r="I1085" s="2">
        <f t="shared" si="381"/>
        <v>0.5803093291905469</v>
      </c>
      <c r="J1085" s="3">
        <v>671901.18</v>
      </c>
      <c r="K1085" s="3">
        <v>986971.5</v>
      </c>
      <c r="L1085" s="1">
        <f t="shared" si="363"/>
        <v>1658872.6800000002</v>
      </c>
      <c r="M1085" s="2">
        <f t="shared" si="364"/>
        <v>0.4050348095430687</v>
      </c>
      <c r="N1085" s="2">
        <f t="shared" si="365"/>
        <v>0.59496519045693119</v>
      </c>
      <c r="O1085" s="5">
        <f t="shared" si="366"/>
        <v>847.74119168138031</v>
      </c>
    </row>
    <row r="1086" spans="1:15" x14ac:dyDescent="0.35">
      <c r="A1086" t="s">
        <v>34</v>
      </c>
      <c r="B1086" t="s">
        <v>22</v>
      </c>
      <c r="C1086">
        <v>2012</v>
      </c>
      <c r="D1086" t="s">
        <v>18</v>
      </c>
      <c r="E1086" s="8">
        <v>818515</v>
      </c>
      <c r="F1086" s="7">
        <v>1144361</v>
      </c>
      <c r="G1086" s="1">
        <f t="shared" si="379"/>
        <v>1962876</v>
      </c>
      <c r="H1086" s="2">
        <f t="shared" si="380"/>
        <v>0.41699781341256403</v>
      </c>
      <c r="I1086" s="2">
        <f t="shared" si="381"/>
        <v>0.58300218658743597</v>
      </c>
      <c r="J1086" s="3">
        <v>803246.54</v>
      </c>
      <c r="K1086" s="3">
        <v>1184135.82</v>
      </c>
      <c r="L1086" s="1">
        <f t="shared" si="363"/>
        <v>1987382.36</v>
      </c>
      <c r="M1086" s="2">
        <f t="shared" si="364"/>
        <v>0.40417312549760176</v>
      </c>
      <c r="N1086" s="2">
        <f t="shared" si="365"/>
        <v>0.59582687450239824</v>
      </c>
      <c r="O1086" s="5">
        <f t="shared" si="366"/>
        <v>1012.4849251812137</v>
      </c>
    </row>
    <row r="1087" spans="1:15" x14ac:dyDescent="0.35">
      <c r="A1087" t="s">
        <v>34</v>
      </c>
      <c r="B1087" t="s">
        <v>23</v>
      </c>
      <c r="C1087">
        <v>2012</v>
      </c>
      <c r="D1087" t="s">
        <v>18</v>
      </c>
      <c r="E1087" s="8">
        <v>816140</v>
      </c>
      <c r="F1087" s="7">
        <v>1153284</v>
      </c>
      <c r="G1087" s="1">
        <f t="shared" si="379"/>
        <v>1969424</v>
      </c>
      <c r="H1087" s="2">
        <f t="shared" si="380"/>
        <v>0.41440543021715992</v>
      </c>
      <c r="I1087" s="2">
        <f t="shared" si="381"/>
        <v>0.58559456978284008</v>
      </c>
      <c r="J1087" s="3">
        <v>1057305.1399999999</v>
      </c>
      <c r="K1087" s="3">
        <v>1554955.23</v>
      </c>
      <c r="L1087" s="1">
        <f t="shared" si="363"/>
        <v>2612260.37</v>
      </c>
      <c r="M1087" s="2">
        <f t="shared" si="364"/>
        <v>0.4047472266326958</v>
      </c>
      <c r="N1087" s="2">
        <f t="shared" si="365"/>
        <v>0.59525277336730409</v>
      </c>
      <c r="O1087" s="5">
        <f t="shared" si="366"/>
        <v>1326.4083153246838</v>
      </c>
    </row>
    <row r="1088" spans="1:15" x14ac:dyDescent="0.35">
      <c r="A1088" t="s">
        <v>34</v>
      </c>
      <c r="B1088" t="s">
        <v>24</v>
      </c>
      <c r="C1088">
        <v>2012</v>
      </c>
      <c r="D1088" t="s">
        <v>18</v>
      </c>
      <c r="E1088" s="8">
        <v>812346</v>
      </c>
      <c r="F1088" s="7">
        <v>1166351</v>
      </c>
      <c r="G1088" s="1">
        <f t="shared" si="379"/>
        <v>1978697</v>
      </c>
      <c r="H1088" s="2">
        <f t="shared" si="380"/>
        <v>0.41054592997310857</v>
      </c>
      <c r="I1088" s="2">
        <f t="shared" si="381"/>
        <v>0.58945407002689143</v>
      </c>
      <c r="J1088" s="3">
        <v>1278446.31</v>
      </c>
      <c r="K1088" s="3">
        <v>1883150.52</v>
      </c>
      <c r="L1088" s="1">
        <f t="shared" si="363"/>
        <v>3161596.83</v>
      </c>
      <c r="M1088" s="2">
        <f t="shared" si="364"/>
        <v>0.40436727980904513</v>
      </c>
      <c r="N1088" s="2">
        <f t="shared" si="365"/>
        <v>0.59563272019095492</v>
      </c>
      <c r="O1088" s="5">
        <f t="shared" si="366"/>
        <v>1597.81756883444</v>
      </c>
    </row>
    <row r="1089" spans="1:15" x14ac:dyDescent="0.35">
      <c r="A1089" t="s">
        <v>34</v>
      </c>
      <c r="B1089" t="s">
        <v>25</v>
      </c>
      <c r="C1089">
        <v>2012</v>
      </c>
      <c r="D1089" t="s">
        <v>18</v>
      </c>
      <c r="E1089" s="3">
        <v>811114</v>
      </c>
      <c r="F1089" s="3">
        <v>1176508</v>
      </c>
      <c r="G1089" s="1">
        <f t="shared" si="379"/>
        <v>1987622</v>
      </c>
      <c r="H1089" s="2">
        <f t="shared" si="380"/>
        <v>0.40808262335594997</v>
      </c>
      <c r="I1089" s="2">
        <f t="shared" si="381"/>
        <v>0.59191737664404998</v>
      </c>
      <c r="J1089" s="3">
        <v>1273029.52</v>
      </c>
      <c r="K1089" s="3">
        <v>1881384.12</v>
      </c>
      <c r="L1089" s="1">
        <f t="shared" si="363"/>
        <v>3154413.64</v>
      </c>
      <c r="M1089" s="2">
        <f t="shared" si="364"/>
        <v>0.40357088996102614</v>
      </c>
      <c r="N1089" s="2">
        <f t="shared" si="365"/>
        <v>0.59642911003897381</v>
      </c>
      <c r="O1089" s="5">
        <f t="shared" si="366"/>
        <v>1587.0289421227981</v>
      </c>
    </row>
    <row r="1090" spans="1:15" x14ac:dyDescent="0.35">
      <c r="A1090" t="s">
        <v>34</v>
      </c>
      <c r="B1090" t="s">
        <v>26</v>
      </c>
      <c r="C1090">
        <v>2012</v>
      </c>
      <c r="D1090" t="s">
        <v>18</v>
      </c>
      <c r="E1090" s="8">
        <v>810758</v>
      </c>
      <c r="F1090" s="3">
        <v>1175273</v>
      </c>
      <c r="G1090" s="1">
        <f t="shared" si="379"/>
        <v>1986031</v>
      </c>
      <c r="H1090" s="2">
        <f t="shared" si="380"/>
        <v>0.40823028442154224</v>
      </c>
      <c r="I1090" s="2">
        <f t="shared" si="381"/>
        <v>0.5917697155784577</v>
      </c>
      <c r="J1090" s="3">
        <v>1396442.08</v>
      </c>
      <c r="K1090" s="3">
        <v>2059300.28</v>
      </c>
      <c r="L1090" s="1">
        <f t="shared" si="363"/>
        <v>3455742.3600000003</v>
      </c>
      <c r="M1090" s="2">
        <f t="shared" si="364"/>
        <v>0.40409322644064238</v>
      </c>
      <c r="N1090" s="2">
        <f t="shared" si="365"/>
        <v>0.59590677355935751</v>
      </c>
      <c r="O1090" s="5">
        <f t="shared" si="366"/>
        <v>1740.0243802840946</v>
      </c>
    </row>
    <row r="1091" spans="1:15" x14ac:dyDescent="0.35">
      <c r="A1091" t="s">
        <v>34</v>
      </c>
      <c r="B1091" t="s">
        <v>27</v>
      </c>
      <c r="C1091">
        <v>2012</v>
      </c>
      <c r="D1091" t="s">
        <v>18</v>
      </c>
      <c r="E1091" s="8">
        <v>806655</v>
      </c>
      <c r="F1091" s="3">
        <v>1172095</v>
      </c>
      <c r="G1091" s="1">
        <f t="shared" si="379"/>
        <v>1978750</v>
      </c>
      <c r="H1091" s="2">
        <f t="shared" si="380"/>
        <v>0.40765887555274793</v>
      </c>
      <c r="I1091" s="2">
        <f t="shared" si="381"/>
        <v>0.59234112444725207</v>
      </c>
      <c r="J1091" s="3">
        <v>1080375.81</v>
      </c>
      <c r="K1091" s="3">
        <v>1617626.48</v>
      </c>
      <c r="L1091" s="1">
        <f t="shared" ref="L1091:L1154" si="382">SUM(J1091:K1091)</f>
        <v>2698002.29</v>
      </c>
      <c r="M1091" s="2">
        <f t="shared" ref="M1091:M1154" si="383">SUM(J1091)/L1091</f>
        <v>0.40043546812556635</v>
      </c>
      <c r="N1091" s="2">
        <f t="shared" ref="N1091:N1154" si="384">SUM(K1091/L1091)</f>
        <v>0.59956453187443359</v>
      </c>
      <c r="O1091" s="5">
        <f t="shared" ref="O1091:O1153" si="385">SUM(1000*L1091)/G1091</f>
        <v>1363.4882072015162</v>
      </c>
    </row>
    <row r="1092" spans="1:15" x14ac:dyDescent="0.35">
      <c r="A1092" t="s">
        <v>34</v>
      </c>
      <c r="B1092" t="s">
        <v>28</v>
      </c>
      <c r="C1092">
        <v>2012</v>
      </c>
      <c r="D1092" t="s">
        <v>18</v>
      </c>
      <c r="E1092" s="8">
        <v>801902</v>
      </c>
      <c r="F1092" s="3">
        <v>1176099</v>
      </c>
      <c r="G1092" s="1">
        <f t="shared" si="379"/>
        <v>1978001</v>
      </c>
      <c r="H1092" s="2">
        <f t="shared" si="380"/>
        <v>0.40541031071268419</v>
      </c>
      <c r="I1092" s="2">
        <f t="shared" si="381"/>
        <v>0.59458968928731581</v>
      </c>
      <c r="J1092" s="3">
        <v>770897.05</v>
      </c>
      <c r="K1092" s="3">
        <v>1182837.8400000001</v>
      </c>
      <c r="L1092" s="1">
        <f t="shared" si="382"/>
        <v>1953734.8900000001</v>
      </c>
      <c r="M1092" s="2">
        <f t="shared" si="383"/>
        <v>0.39457607782189935</v>
      </c>
      <c r="N1092" s="2">
        <f t="shared" si="384"/>
        <v>0.60542392217810059</v>
      </c>
      <c r="O1092" s="5">
        <f t="shared" si="385"/>
        <v>987.73200316885595</v>
      </c>
    </row>
    <row r="1093" spans="1:15" x14ac:dyDescent="0.35">
      <c r="A1093" t="s">
        <v>34</v>
      </c>
      <c r="B1093" t="s">
        <v>29</v>
      </c>
      <c r="C1093">
        <v>2012</v>
      </c>
      <c r="D1093" t="s">
        <v>18</v>
      </c>
      <c r="E1093" s="8">
        <v>799016</v>
      </c>
      <c r="F1093" s="3">
        <v>1179711</v>
      </c>
      <c r="G1093" s="1">
        <f t="shared" si="379"/>
        <v>1978727</v>
      </c>
      <c r="H1093" s="2">
        <f t="shared" si="380"/>
        <v>0.40380305115359522</v>
      </c>
      <c r="I1093" s="2">
        <f t="shared" si="381"/>
        <v>0.59619694884640484</v>
      </c>
      <c r="J1093" s="3">
        <v>642869.86</v>
      </c>
      <c r="K1093" s="3">
        <v>1008347.26</v>
      </c>
      <c r="L1093" s="1">
        <f t="shared" si="382"/>
        <v>1651217.12</v>
      </c>
      <c r="M1093" s="2">
        <f t="shared" si="383"/>
        <v>0.38933090761558958</v>
      </c>
      <c r="N1093" s="2">
        <f t="shared" si="384"/>
        <v>0.61066909238441036</v>
      </c>
      <c r="O1093" s="5">
        <f t="shared" si="385"/>
        <v>834.484554968927</v>
      </c>
    </row>
    <row r="1094" spans="1:15" x14ac:dyDescent="0.35">
      <c r="A1094" t="s">
        <v>34</v>
      </c>
      <c r="B1094" t="s">
        <v>17</v>
      </c>
      <c r="C1094">
        <v>2013</v>
      </c>
      <c r="D1094" t="s">
        <v>18</v>
      </c>
      <c r="E1094" s="8">
        <v>795533</v>
      </c>
      <c r="F1094" s="3">
        <v>1189037</v>
      </c>
      <c r="G1094" s="1">
        <f>SUM(E1094:F1094)</f>
        <v>1984570</v>
      </c>
      <c r="H1094" s="2">
        <f>SUM(E1094)/G1094</f>
        <v>0.40085912817386132</v>
      </c>
      <c r="I1094" s="2">
        <f>SUM(F1094/G1094)</f>
        <v>0.59914087182613862</v>
      </c>
      <c r="J1094" s="3">
        <v>745539.64</v>
      </c>
      <c r="K1094" s="3">
        <v>1183386.01</v>
      </c>
      <c r="L1094" s="1">
        <f t="shared" si="382"/>
        <v>1928925.65</v>
      </c>
      <c r="M1094" s="2">
        <f t="shared" si="383"/>
        <v>0.38650512009107246</v>
      </c>
      <c r="N1094" s="2">
        <f t="shared" si="384"/>
        <v>0.61349487990892759</v>
      </c>
      <c r="O1094" s="5">
        <f t="shared" si="385"/>
        <v>971.96150803448609</v>
      </c>
    </row>
    <row r="1095" spans="1:15" x14ac:dyDescent="0.35">
      <c r="A1095" t="s">
        <v>34</v>
      </c>
      <c r="B1095" t="s">
        <v>19</v>
      </c>
      <c r="C1095">
        <v>2013</v>
      </c>
      <c r="D1095" t="s">
        <v>18</v>
      </c>
      <c r="E1095" s="8">
        <v>792584</v>
      </c>
      <c r="F1095" s="3">
        <v>1191232</v>
      </c>
      <c r="G1095" s="1">
        <f t="shared" ref="G1095:G1105" si="386">SUM(E1095:F1095)</f>
        <v>1983816</v>
      </c>
      <c r="H1095" s="2">
        <f t="shared" ref="H1095:H1105" si="387">SUM(E1095)/G1095</f>
        <v>0.39952495594349474</v>
      </c>
      <c r="I1095" s="2">
        <f t="shared" ref="I1095:I1105" si="388">SUM(F1095/G1095)</f>
        <v>0.6004750440565052</v>
      </c>
      <c r="J1095" s="3">
        <v>665447.38</v>
      </c>
      <c r="K1095" s="3">
        <v>1058642.8700000001</v>
      </c>
      <c r="L1095" s="1">
        <f t="shared" si="382"/>
        <v>1724090.25</v>
      </c>
      <c r="M1095" s="2">
        <f t="shared" si="383"/>
        <v>0.38597015440462007</v>
      </c>
      <c r="N1095" s="2">
        <f t="shared" si="384"/>
        <v>0.61402984559537999</v>
      </c>
      <c r="O1095" s="5">
        <f t="shared" si="385"/>
        <v>869.07770176266342</v>
      </c>
    </row>
    <row r="1096" spans="1:15" x14ac:dyDescent="0.35">
      <c r="A1096" t="s">
        <v>34</v>
      </c>
      <c r="B1096" t="s">
        <v>20</v>
      </c>
      <c r="C1096">
        <v>2013</v>
      </c>
      <c r="D1096" t="s">
        <v>18</v>
      </c>
      <c r="E1096" s="8">
        <v>789908</v>
      </c>
      <c r="F1096" s="3">
        <v>1199647</v>
      </c>
      <c r="G1096" s="1">
        <f t="shared" si="386"/>
        <v>1989555</v>
      </c>
      <c r="H1096" s="2">
        <f t="shared" si="387"/>
        <v>0.3970274759933754</v>
      </c>
      <c r="I1096" s="2">
        <f t="shared" si="388"/>
        <v>0.6029725240066246</v>
      </c>
      <c r="J1096" s="3">
        <v>537080.12</v>
      </c>
      <c r="K1096" s="3">
        <v>863502.79</v>
      </c>
      <c r="L1096" s="1">
        <f t="shared" si="382"/>
        <v>1400582.9100000001</v>
      </c>
      <c r="M1096" s="2">
        <f t="shared" si="383"/>
        <v>0.38346899434893145</v>
      </c>
      <c r="N1096" s="2">
        <f t="shared" si="384"/>
        <v>0.61653100565106844</v>
      </c>
      <c r="O1096" s="5">
        <f t="shared" si="385"/>
        <v>703.96792750137604</v>
      </c>
    </row>
    <row r="1097" spans="1:15" x14ac:dyDescent="0.35">
      <c r="A1097" t="s">
        <v>34</v>
      </c>
      <c r="B1097" t="s">
        <v>21</v>
      </c>
      <c r="C1097">
        <v>2013</v>
      </c>
      <c r="D1097" t="s">
        <v>18</v>
      </c>
      <c r="E1097" s="8">
        <v>787404</v>
      </c>
      <c r="F1097" s="3">
        <v>1208769</v>
      </c>
      <c r="G1097" s="1">
        <f t="shared" si="386"/>
        <v>1996173</v>
      </c>
      <c r="H1097" s="2">
        <f t="shared" si="387"/>
        <v>0.39445679307354625</v>
      </c>
      <c r="I1097" s="2">
        <f t="shared" si="388"/>
        <v>0.6055432069264538</v>
      </c>
      <c r="J1097" s="3">
        <v>570436.63</v>
      </c>
      <c r="K1097" s="3">
        <v>932406.54</v>
      </c>
      <c r="L1097" s="1">
        <f t="shared" si="382"/>
        <v>1502843.17</v>
      </c>
      <c r="M1097" s="2">
        <f t="shared" si="383"/>
        <v>0.37957162888792984</v>
      </c>
      <c r="N1097" s="2">
        <f t="shared" si="384"/>
        <v>0.62042837111207028</v>
      </c>
      <c r="O1097" s="5">
        <f t="shared" si="385"/>
        <v>752.86218679443118</v>
      </c>
    </row>
    <row r="1098" spans="1:15" x14ac:dyDescent="0.35">
      <c r="A1098" t="s">
        <v>34</v>
      </c>
      <c r="B1098" t="s">
        <v>22</v>
      </c>
      <c r="C1098">
        <v>2013</v>
      </c>
      <c r="D1098" t="s">
        <v>18</v>
      </c>
      <c r="E1098" s="8">
        <v>785220</v>
      </c>
      <c r="F1098" s="3">
        <v>1213278</v>
      </c>
      <c r="G1098" s="1">
        <f t="shared" si="386"/>
        <v>1998498</v>
      </c>
      <c r="H1098" s="2">
        <f t="shared" si="387"/>
        <v>0.39290507170885336</v>
      </c>
      <c r="I1098" s="2">
        <f t="shared" si="388"/>
        <v>0.60709492829114664</v>
      </c>
      <c r="J1098" s="3">
        <v>597929.35</v>
      </c>
      <c r="K1098" s="3">
        <v>987030.48</v>
      </c>
      <c r="L1098" s="1">
        <f t="shared" si="382"/>
        <v>1584959.83</v>
      </c>
      <c r="M1098" s="2">
        <f t="shared" si="383"/>
        <v>0.3772520531324759</v>
      </c>
      <c r="N1098" s="2">
        <f t="shared" si="384"/>
        <v>0.62274794686752399</v>
      </c>
      <c r="O1098" s="5">
        <f t="shared" si="385"/>
        <v>793.07551471154841</v>
      </c>
    </row>
    <row r="1099" spans="1:15" x14ac:dyDescent="0.35">
      <c r="A1099" t="s">
        <v>34</v>
      </c>
      <c r="B1099" t="s">
        <v>23</v>
      </c>
      <c r="C1099">
        <v>2013</v>
      </c>
      <c r="D1099" t="s">
        <v>18</v>
      </c>
      <c r="E1099" s="8">
        <v>784092</v>
      </c>
      <c r="F1099" s="3">
        <v>1224139</v>
      </c>
      <c r="G1099" s="1">
        <f t="shared" si="386"/>
        <v>2008231</v>
      </c>
      <c r="H1099" s="2">
        <f t="shared" si="387"/>
        <v>0.39043914768769128</v>
      </c>
      <c r="I1099" s="2">
        <f t="shared" si="388"/>
        <v>0.60956085231230872</v>
      </c>
      <c r="J1099" s="3">
        <v>918003.98</v>
      </c>
      <c r="K1099" s="3">
        <v>1505536.06</v>
      </c>
      <c r="L1099" s="1">
        <f t="shared" si="382"/>
        <v>2423540.04</v>
      </c>
      <c r="M1099" s="2">
        <f t="shared" si="383"/>
        <v>0.37878638885619564</v>
      </c>
      <c r="N1099" s="2">
        <f t="shared" si="384"/>
        <v>0.62121361114380436</v>
      </c>
      <c r="O1099" s="5">
        <f t="shared" si="385"/>
        <v>1206.8034205228382</v>
      </c>
    </row>
    <row r="1100" spans="1:15" x14ac:dyDescent="0.35">
      <c r="A1100" t="s">
        <v>34</v>
      </c>
      <c r="B1100" t="s">
        <v>24</v>
      </c>
      <c r="C1100">
        <v>2013</v>
      </c>
      <c r="D1100" t="s">
        <v>18</v>
      </c>
      <c r="E1100" s="3">
        <f>783227+496</f>
        <v>783723</v>
      </c>
      <c r="F1100" s="3">
        <v>1234636</v>
      </c>
      <c r="G1100" s="1">
        <f t="shared" si="386"/>
        <v>2018359</v>
      </c>
      <c r="H1100" s="2">
        <f t="shared" si="387"/>
        <v>0.38829712652704501</v>
      </c>
      <c r="I1100" s="2">
        <f t="shared" si="388"/>
        <v>0.61170287347295504</v>
      </c>
      <c r="J1100" s="3">
        <v>1276596.69</v>
      </c>
      <c r="K1100" s="3">
        <v>2064210.21</v>
      </c>
      <c r="L1100" s="1">
        <f t="shared" si="382"/>
        <v>3340806.9</v>
      </c>
      <c r="M1100" s="2">
        <f t="shared" si="383"/>
        <v>0.38212226213972439</v>
      </c>
      <c r="N1100" s="2">
        <f t="shared" si="384"/>
        <v>0.61787773786027567</v>
      </c>
      <c r="O1100" s="5">
        <f t="shared" si="385"/>
        <v>1655.2094548095754</v>
      </c>
    </row>
    <row r="1101" spans="1:15" x14ac:dyDescent="0.35">
      <c r="A1101" t="s">
        <v>34</v>
      </c>
      <c r="B1101" t="s">
        <v>25</v>
      </c>
      <c r="C1101">
        <v>2013</v>
      </c>
      <c r="D1101" t="s">
        <v>18</v>
      </c>
      <c r="E1101" s="3">
        <f>782953+489</f>
        <v>783442</v>
      </c>
      <c r="F1101" s="3">
        <v>1240083</v>
      </c>
      <c r="G1101" s="1">
        <f t="shared" si="386"/>
        <v>2023525</v>
      </c>
      <c r="H1101" s="2">
        <f t="shared" si="387"/>
        <v>0.3871669487651499</v>
      </c>
      <c r="I1101" s="2">
        <f t="shared" si="388"/>
        <v>0.6128330512348501</v>
      </c>
      <c r="J1101" s="3">
        <v>1284646.3700000001</v>
      </c>
      <c r="K1101" s="3">
        <v>2076531.17</v>
      </c>
      <c r="L1101" s="1">
        <f t="shared" si="382"/>
        <v>3361177.54</v>
      </c>
      <c r="M1101" s="2">
        <f t="shared" si="383"/>
        <v>0.38220128354183874</v>
      </c>
      <c r="N1101" s="2">
        <f t="shared" si="384"/>
        <v>0.6177987164581612</v>
      </c>
      <c r="O1101" s="5">
        <f t="shared" si="385"/>
        <v>1661.0506615930121</v>
      </c>
    </row>
    <row r="1102" spans="1:15" x14ac:dyDescent="0.35">
      <c r="A1102" t="s">
        <v>34</v>
      </c>
      <c r="B1102" t="s">
        <v>26</v>
      </c>
      <c r="C1102">
        <v>2013</v>
      </c>
      <c r="D1102" t="s">
        <v>18</v>
      </c>
      <c r="E1102" s="3">
        <f>781446+491</f>
        <v>781937</v>
      </c>
      <c r="F1102" s="3">
        <v>1240887</v>
      </c>
      <c r="G1102" s="1">
        <f t="shared" si="386"/>
        <v>2022824</v>
      </c>
      <c r="H1102" s="2">
        <f t="shared" si="387"/>
        <v>0.3865571102577387</v>
      </c>
      <c r="I1102" s="2">
        <f t="shared" si="388"/>
        <v>0.61344288974226135</v>
      </c>
      <c r="J1102" s="3">
        <v>1300022.2</v>
      </c>
      <c r="K1102" s="3">
        <v>2109036.2999999998</v>
      </c>
      <c r="L1102" s="1">
        <f t="shared" si="382"/>
        <v>3409058.5</v>
      </c>
      <c r="M1102" s="2">
        <f t="shared" si="383"/>
        <v>0.3813434706385942</v>
      </c>
      <c r="N1102" s="2">
        <f t="shared" si="384"/>
        <v>0.61865652936140569</v>
      </c>
      <c r="O1102" s="5">
        <f t="shared" si="385"/>
        <v>1685.2966446907888</v>
      </c>
    </row>
    <row r="1103" spans="1:15" x14ac:dyDescent="0.35">
      <c r="A1103" t="s">
        <v>34</v>
      </c>
      <c r="B1103" t="s">
        <v>27</v>
      </c>
      <c r="C1103">
        <v>2013</v>
      </c>
      <c r="D1103" t="s">
        <v>18</v>
      </c>
      <c r="E1103" s="3">
        <v>780753</v>
      </c>
      <c r="F1103" s="3">
        <v>1239625</v>
      </c>
      <c r="G1103" s="1">
        <f t="shared" si="386"/>
        <v>2020378</v>
      </c>
      <c r="H1103" s="2">
        <f t="shared" si="387"/>
        <v>0.38643907229241259</v>
      </c>
      <c r="I1103" s="2">
        <f t="shared" si="388"/>
        <v>0.61356092770758741</v>
      </c>
      <c r="J1103" s="3">
        <v>1119302.8500000001</v>
      </c>
      <c r="K1103" s="3">
        <v>1835975.81</v>
      </c>
      <c r="L1103" s="1">
        <f t="shared" si="382"/>
        <v>2955278.66</v>
      </c>
      <c r="M1103" s="2">
        <f t="shared" si="383"/>
        <v>0.37874697406707497</v>
      </c>
      <c r="N1103" s="2">
        <f t="shared" si="384"/>
        <v>0.62125302593292508</v>
      </c>
      <c r="O1103" s="5">
        <f t="shared" si="385"/>
        <v>1462.7355178090436</v>
      </c>
    </row>
    <row r="1104" spans="1:15" x14ac:dyDescent="0.35">
      <c r="A1104" t="s">
        <v>34</v>
      </c>
      <c r="B1104" t="s">
        <v>28</v>
      </c>
      <c r="C1104">
        <v>2013</v>
      </c>
      <c r="D1104" t="s">
        <v>18</v>
      </c>
      <c r="E1104" s="3">
        <v>778362</v>
      </c>
      <c r="F1104" s="3">
        <v>1243543</v>
      </c>
      <c r="G1104" s="1">
        <f t="shared" si="386"/>
        <v>2021905</v>
      </c>
      <c r="H1104" s="2">
        <f t="shared" si="387"/>
        <v>0.38496467440359461</v>
      </c>
      <c r="I1104" s="2">
        <f t="shared" si="388"/>
        <v>0.61503532559640539</v>
      </c>
      <c r="J1104" s="3">
        <v>705653.81</v>
      </c>
      <c r="K1104" s="3">
        <v>1184798.99</v>
      </c>
      <c r="L1104" s="1">
        <f t="shared" si="382"/>
        <v>1890452.8</v>
      </c>
      <c r="M1104" s="2">
        <f t="shared" si="383"/>
        <v>0.37327237686124726</v>
      </c>
      <c r="N1104" s="2">
        <f t="shared" si="384"/>
        <v>0.62672762313875274</v>
      </c>
      <c r="O1104" s="5">
        <f t="shared" si="385"/>
        <v>934.9859662051382</v>
      </c>
    </row>
    <row r="1105" spans="1:15" x14ac:dyDescent="0.35">
      <c r="A1105" t="s">
        <v>34</v>
      </c>
      <c r="B1105" t="s">
        <v>29</v>
      </c>
      <c r="C1105">
        <v>2013</v>
      </c>
      <c r="D1105" t="s">
        <v>18</v>
      </c>
      <c r="E1105" s="3">
        <v>777067</v>
      </c>
      <c r="F1105" s="3">
        <v>1241987</v>
      </c>
      <c r="G1105" s="1">
        <f t="shared" si="386"/>
        <v>2019054</v>
      </c>
      <c r="H1105" s="2">
        <f t="shared" si="387"/>
        <v>0.38486687329808911</v>
      </c>
      <c r="I1105" s="2">
        <f t="shared" si="388"/>
        <v>0.61513312670191089</v>
      </c>
      <c r="J1105" s="3">
        <v>646135.81000000006</v>
      </c>
      <c r="K1105" s="3">
        <v>1111155.1000000001</v>
      </c>
      <c r="L1105" s="1">
        <f t="shared" si="382"/>
        <v>1757290.9100000001</v>
      </c>
      <c r="M1105" s="2">
        <f t="shared" si="383"/>
        <v>0.36768858606341964</v>
      </c>
      <c r="N1105" s="2">
        <f t="shared" si="384"/>
        <v>0.63231141393658041</v>
      </c>
      <c r="O1105" s="5">
        <f t="shared" si="385"/>
        <v>870.35359628816275</v>
      </c>
    </row>
    <row r="1106" spans="1:15" x14ac:dyDescent="0.35">
      <c r="A1106" t="s">
        <v>34</v>
      </c>
      <c r="B1106" t="s">
        <v>17</v>
      </c>
      <c r="C1106">
        <v>2014</v>
      </c>
      <c r="D1106" t="s">
        <v>18</v>
      </c>
      <c r="E1106" s="3">
        <v>776718</v>
      </c>
      <c r="F1106" s="3">
        <v>1243271</v>
      </c>
      <c r="G1106" s="1">
        <f>SUM(E1106:F1106)</f>
        <v>2019989</v>
      </c>
      <c r="H1106" s="2">
        <f>SUM(E1106)/G1106</f>
        <v>0.38451595528490501</v>
      </c>
      <c r="I1106" s="2">
        <f>SUM(F1106/G1106)</f>
        <v>0.61548404471509499</v>
      </c>
      <c r="J1106" s="3">
        <v>829381.86</v>
      </c>
      <c r="K1106" s="3">
        <v>1426030.89</v>
      </c>
      <c r="L1106" s="1">
        <f t="shared" si="382"/>
        <v>2255412.75</v>
      </c>
      <c r="M1106" s="2">
        <f t="shared" si="383"/>
        <v>0.36772952533854392</v>
      </c>
      <c r="N1106" s="2">
        <f t="shared" si="384"/>
        <v>0.63227047466145603</v>
      </c>
      <c r="O1106" s="5">
        <f t="shared" si="385"/>
        <v>1116.5470455532184</v>
      </c>
    </row>
    <row r="1107" spans="1:15" x14ac:dyDescent="0.35">
      <c r="A1107" t="s">
        <v>34</v>
      </c>
      <c r="B1107" t="s">
        <v>19</v>
      </c>
      <c r="C1107">
        <v>2014</v>
      </c>
      <c r="D1107" t="s">
        <v>18</v>
      </c>
      <c r="E1107" s="3">
        <v>776511</v>
      </c>
      <c r="F1107" s="3">
        <v>1248596</v>
      </c>
      <c r="G1107" s="1">
        <f t="shared" ref="G1107:G1117" si="389">SUM(E1107:F1107)</f>
        <v>2025107</v>
      </c>
      <c r="H1107" s="2">
        <f t="shared" ref="H1107:H1117" si="390">SUM(E1107)/G1107</f>
        <v>0.38344196133833913</v>
      </c>
      <c r="I1107" s="2">
        <f t="shared" ref="I1107:I1117" si="391">SUM(F1107/G1107)</f>
        <v>0.61655803866166081</v>
      </c>
      <c r="J1107" s="3">
        <v>721467.8</v>
      </c>
      <c r="K1107" s="3">
        <v>1244116.51</v>
      </c>
      <c r="L1107" s="1">
        <f t="shared" si="382"/>
        <v>1965584.31</v>
      </c>
      <c r="M1107" s="2">
        <f t="shared" si="383"/>
        <v>0.36705004019898796</v>
      </c>
      <c r="N1107" s="2">
        <f t="shared" si="384"/>
        <v>0.63294995980101199</v>
      </c>
      <c r="O1107" s="5">
        <f t="shared" si="385"/>
        <v>970.60763209055131</v>
      </c>
    </row>
    <row r="1108" spans="1:15" x14ac:dyDescent="0.35">
      <c r="A1108" t="s">
        <v>34</v>
      </c>
      <c r="B1108" t="s">
        <v>20</v>
      </c>
      <c r="C1108">
        <v>2014</v>
      </c>
      <c r="D1108" t="s">
        <v>18</v>
      </c>
      <c r="E1108" s="3">
        <v>776840</v>
      </c>
      <c r="F1108" s="3">
        <v>1256498</v>
      </c>
      <c r="G1108" s="1">
        <f t="shared" si="389"/>
        <v>2033338</v>
      </c>
      <c r="H1108" s="2">
        <f t="shared" si="390"/>
        <v>0.38205158217669666</v>
      </c>
      <c r="I1108" s="2">
        <f t="shared" si="391"/>
        <v>0.61794841782330334</v>
      </c>
      <c r="J1108" s="3">
        <v>643538.04</v>
      </c>
      <c r="K1108" s="3">
        <v>1120118.01</v>
      </c>
      <c r="L1108" s="1">
        <f t="shared" si="382"/>
        <v>1763656.05</v>
      </c>
      <c r="M1108" s="2">
        <f t="shared" si="383"/>
        <v>0.36488863007047206</v>
      </c>
      <c r="N1108" s="2">
        <f t="shared" si="384"/>
        <v>0.63511136992952788</v>
      </c>
      <c r="O1108" s="5">
        <f t="shared" si="385"/>
        <v>867.36983718398028</v>
      </c>
    </row>
    <row r="1109" spans="1:15" x14ac:dyDescent="0.35">
      <c r="A1109" t="s">
        <v>34</v>
      </c>
      <c r="B1109" t="s">
        <v>21</v>
      </c>
      <c r="C1109">
        <v>2014</v>
      </c>
      <c r="D1109" t="s">
        <v>18</v>
      </c>
      <c r="E1109" s="3">
        <v>775568</v>
      </c>
      <c r="F1109" s="3">
        <v>1267006</v>
      </c>
      <c r="G1109" s="1">
        <f t="shared" si="389"/>
        <v>2042574</v>
      </c>
      <c r="H1109" s="2">
        <f t="shared" si="390"/>
        <v>0.37970129845968859</v>
      </c>
      <c r="I1109" s="2">
        <f t="shared" si="391"/>
        <v>0.62029870154031141</v>
      </c>
      <c r="J1109" s="3">
        <v>539122.44999999995</v>
      </c>
      <c r="K1109" s="3">
        <v>942524.28</v>
      </c>
      <c r="L1109" s="1">
        <f t="shared" si="382"/>
        <v>1481646.73</v>
      </c>
      <c r="M1109" s="2">
        <f t="shared" si="383"/>
        <v>0.36386706701671051</v>
      </c>
      <c r="N1109" s="2">
        <f t="shared" si="384"/>
        <v>0.63613293298328955</v>
      </c>
      <c r="O1109" s="5">
        <f t="shared" si="385"/>
        <v>725.38215506512859</v>
      </c>
    </row>
    <row r="1110" spans="1:15" x14ac:dyDescent="0.35">
      <c r="A1110" t="s">
        <v>34</v>
      </c>
      <c r="B1110" t="s">
        <v>22</v>
      </c>
      <c r="C1110">
        <v>2014</v>
      </c>
      <c r="D1110" t="s">
        <v>18</v>
      </c>
      <c r="E1110" s="3">
        <v>774183</v>
      </c>
      <c r="F1110" s="3">
        <v>1270390</v>
      </c>
      <c r="G1110" s="1">
        <f t="shared" si="389"/>
        <v>2044573</v>
      </c>
      <c r="H1110" s="2">
        <f t="shared" si="390"/>
        <v>0.37865265754756616</v>
      </c>
      <c r="I1110" s="2">
        <f t="shared" si="391"/>
        <v>0.62134734245243384</v>
      </c>
      <c r="J1110" s="3">
        <v>639218.56000000006</v>
      </c>
      <c r="K1110" s="3">
        <v>1128701.03</v>
      </c>
      <c r="L1110" s="1">
        <f t="shared" si="382"/>
        <v>1767919.59</v>
      </c>
      <c r="M1110" s="2">
        <f t="shared" si="383"/>
        <v>0.36156540354869876</v>
      </c>
      <c r="N1110" s="2">
        <f t="shared" si="384"/>
        <v>0.63843459645130129</v>
      </c>
      <c r="O1110" s="5">
        <f t="shared" si="385"/>
        <v>864.68890570304904</v>
      </c>
    </row>
    <row r="1111" spans="1:15" x14ac:dyDescent="0.35">
      <c r="A1111" t="s">
        <v>34</v>
      </c>
      <c r="B1111" t="s">
        <v>23</v>
      </c>
      <c r="C1111">
        <v>2014</v>
      </c>
      <c r="D1111" t="s">
        <v>18</v>
      </c>
      <c r="E1111" s="3">
        <v>773797</v>
      </c>
      <c r="F1111" s="3">
        <v>1283148</v>
      </c>
      <c r="G1111" s="1">
        <f t="shared" si="389"/>
        <v>2056945</v>
      </c>
      <c r="H1111" s="2">
        <f t="shared" si="390"/>
        <v>0.37618750136731899</v>
      </c>
      <c r="I1111" s="2">
        <f t="shared" si="391"/>
        <v>0.62381249863268096</v>
      </c>
      <c r="J1111" s="3">
        <v>848906.42</v>
      </c>
      <c r="K1111" s="3">
        <v>1482107.11</v>
      </c>
      <c r="L1111" s="1">
        <f t="shared" si="382"/>
        <v>2331013.5300000003</v>
      </c>
      <c r="M1111" s="2">
        <f t="shared" si="383"/>
        <v>0.36417910452883556</v>
      </c>
      <c r="N1111" s="2">
        <f t="shared" si="384"/>
        <v>0.63582089547116438</v>
      </c>
      <c r="O1111" s="5">
        <f t="shared" si="385"/>
        <v>1133.2405727912028</v>
      </c>
    </row>
    <row r="1112" spans="1:15" x14ac:dyDescent="0.35">
      <c r="A1112" t="s">
        <v>34</v>
      </c>
      <c r="B1112" t="s">
        <v>24</v>
      </c>
      <c r="C1112">
        <v>2014</v>
      </c>
      <c r="D1112" t="s">
        <v>18</v>
      </c>
      <c r="E1112" s="3">
        <v>772678</v>
      </c>
      <c r="F1112" s="3">
        <v>1295304</v>
      </c>
      <c r="G1112" s="1">
        <f t="shared" si="389"/>
        <v>2067982</v>
      </c>
      <c r="H1112" s="2">
        <f t="shared" si="390"/>
        <v>0.37363864869230001</v>
      </c>
      <c r="I1112" s="2">
        <f t="shared" si="391"/>
        <v>0.62636135130769999</v>
      </c>
      <c r="J1112" s="3">
        <v>1137124.21</v>
      </c>
      <c r="K1112" s="3">
        <v>1969728.96</v>
      </c>
      <c r="L1112" s="1">
        <f t="shared" si="382"/>
        <v>3106853.17</v>
      </c>
      <c r="M1112" s="2">
        <f t="shared" si="383"/>
        <v>0.366005133741161</v>
      </c>
      <c r="N1112" s="2">
        <f t="shared" si="384"/>
        <v>0.63399486625883905</v>
      </c>
      <c r="O1112" s="5">
        <f t="shared" si="385"/>
        <v>1502.359870637172</v>
      </c>
    </row>
    <row r="1113" spans="1:15" x14ac:dyDescent="0.35">
      <c r="A1113" t="s">
        <v>34</v>
      </c>
      <c r="B1113" t="s">
        <v>25</v>
      </c>
      <c r="C1113">
        <v>2014</v>
      </c>
      <c r="D1113" t="s">
        <v>18</v>
      </c>
      <c r="E1113" s="3">
        <v>770797</v>
      </c>
      <c r="F1113" s="3">
        <v>1295049</v>
      </c>
      <c r="G1113" s="1">
        <f t="shared" si="389"/>
        <v>2065846</v>
      </c>
      <c r="H1113" s="2">
        <f t="shared" si="390"/>
        <v>0.37311445286821959</v>
      </c>
      <c r="I1113" s="2">
        <f t="shared" si="391"/>
        <v>0.62688554713178035</v>
      </c>
      <c r="J1113" s="3">
        <v>1205182.44</v>
      </c>
      <c r="K1113" s="3">
        <v>2085385.51</v>
      </c>
      <c r="L1113" s="1">
        <f t="shared" si="382"/>
        <v>3290567.95</v>
      </c>
      <c r="M1113" s="2">
        <f t="shared" si="383"/>
        <v>0.36625362500111869</v>
      </c>
      <c r="N1113" s="2">
        <f t="shared" si="384"/>
        <v>0.6337463749988812</v>
      </c>
      <c r="O1113" s="5">
        <f t="shared" si="385"/>
        <v>1592.8428111291935</v>
      </c>
    </row>
    <row r="1114" spans="1:15" x14ac:dyDescent="0.35">
      <c r="A1114" t="s">
        <v>34</v>
      </c>
      <c r="B1114" t="s">
        <v>26</v>
      </c>
      <c r="C1114">
        <v>2014</v>
      </c>
      <c r="D1114" t="s">
        <v>18</v>
      </c>
      <c r="E1114" s="3">
        <v>770318</v>
      </c>
      <c r="F1114" s="3">
        <v>1296332</v>
      </c>
      <c r="G1114" s="1">
        <f t="shared" si="389"/>
        <v>2066650</v>
      </c>
      <c r="H1114" s="2">
        <f t="shared" si="390"/>
        <v>0.37273752207679095</v>
      </c>
      <c r="I1114" s="2">
        <f t="shared" si="391"/>
        <v>0.62726247792320911</v>
      </c>
      <c r="J1114" s="3">
        <v>1257092.1499999999</v>
      </c>
      <c r="K1114" s="3">
        <v>2188599.5499999998</v>
      </c>
      <c r="L1114" s="1">
        <f t="shared" si="382"/>
        <v>3445691.6999999997</v>
      </c>
      <c r="M1114" s="2">
        <f t="shared" si="383"/>
        <v>0.36483012975304785</v>
      </c>
      <c r="N1114" s="2">
        <f t="shared" si="384"/>
        <v>0.63516987024695215</v>
      </c>
      <c r="O1114" s="5">
        <f t="shared" si="385"/>
        <v>1667.283623255026</v>
      </c>
    </row>
    <row r="1115" spans="1:15" x14ac:dyDescent="0.35">
      <c r="A1115" t="s">
        <v>34</v>
      </c>
      <c r="B1115" t="s">
        <v>27</v>
      </c>
      <c r="C1115">
        <v>2014</v>
      </c>
      <c r="D1115" t="s">
        <v>18</v>
      </c>
      <c r="E1115" s="3">
        <v>769388</v>
      </c>
      <c r="F1115" s="3">
        <v>1299824</v>
      </c>
      <c r="G1115" s="1">
        <f t="shared" si="389"/>
        <v>2069212</v>
      </c>
      <c r="H1115" s="2">
        <f t="shared" si="390"/>
        <v>0.37182656972799305</v>
      </c>
      <c r="I1115" s="2">
        <f t="shared" si="391"/>
        <v>0.62817343027200689</v>
      </c>
      <c r="J1115" s="3">
        <v>995872.06</v>
      </c>
      <c r="K1115" s="3">
        <v>1756130.35</v>
      </c>
      <c r="L1115" s="1">
        <f t="shared" si="382"/>
        <v>2752002.41</v>
      </c>
      <c r="M1115" s="2">
        <f t="shared" si="383"/>
        <v>0.36187179792476998</v>
      </c>
      <c r="N1115" s="2">
        <f t="shared" si="384"/>
        <v>0.63812820207523002</v>
      </c>
      <c r="O1115" s="5">
        <f t="shared" si="385"/>
        <v>1329.9760536861374</v>
      </c>
    </row>
    <row r="1116" spans="1:15" x14ac:dyDescent="0.35">
      <c r="A1116" t="s">
        <v>34</v>
      </c>
      <c r="B1116" t="s">
        <v>28</v>
      </c>
      <c r="C1116">
        <v>2014</v>
      </c>
      <c r="D1116" t="s">
        <v>18</v>
      </c>
      <c r="E1116" s="3">
        <v>766072</v>
      </c>
      <c r="F1116" s="3">
        <v>1300507</v>
      </c>
      <c r="G1116" s="1">
        <f t="shared" si="389"/>
        <v>2066579</v>
      </c>
      <c r="H1116" s="2">
        <f t="shared" si="390"/>
        <v>0.37069572467348211</v>
      </c>
      <c r="I1116" s="2">
        <f t="shared" si="391"/>
        <v>0.62930427532651789</v>
      </c>
      <c r="J1116" s="3">
        <v>706940.35</v>
      </c>
      <c r="K1116" s="3">
        <v>1276997.8700000001</v>
      </c>
      <c r="L1116" s="1">
        <f t="shared" si="382"/>
        <v>1983938.2200000002</v>
      </c>
      <c r="M1116" s="2">
        <f t="shared" si="383"/>
        <v>0.35633183678471597</v>
      </c>
      <c r="N1116" s="2">
        <f t="shared" si="384"/>
        <v>0.64366816321528397</v>
      </c>
      <c r="O1116" s="5">
        <f t="shared" si="385"/>
        <v>960.01082949163822</v>
      </c>
    </row>
    <row r="1117" spans="1:15" x14ac:dyDescent="0.35">
      <c r="A1117" t="s">
        <v>34</v>
      </c>
      <c r="B1117" t="s">
        <v>29</v>
      </c>
      <c r="C1117">
        <v>2014</v>
      </c>
      <c r="D1117" t="s">
        <v>18</v>
      </c>
      <c r="E1117" s="3">
        <v>763468</v>
      </c>
      <c r="F1117" s="3">
        <v>1304843</v>
      </c>
      <c r="G1117" s="1">
        <f t="shared" si="389"/>
        <v>2068311</v>
      </c>
      <c r="H1117" s="2">
        <f t="shared" si="390"/>
        <v>0.36912630644037575</v>
      </c>
      <c r="I1117" s="2">
        <f t="shared" si="391"/>
        <v>0.6308736935596243</v>
      </c>
      <c r="J1117" s="3">
        <v>602207.14</v>
      </c>
      <c r="K1117" s="3">
        <v>1113402.69</v>
      </c>
      <c r="L1117" s="1">
        <f t="shared" si="382"/>
        <v>1715609.83</v>
      </c>
      <c r="M1117" s="2">
        <f t="shared" si="383"/>
        <v>0.35101637299431887</v>
      </c>
      <c r="N1117" s="2">
        <f t="shared" si="384"/>
        <v>0.64898362700568102</v>
      </c>
      <c r="O1117" s="5">
        <f t="shared" si="385"/>
        <v>829.47382187688413</v>
      </c>
    </row>
    <row r="1118" spans="1:15" x14ac:dyDescent="0.35">
      <c r="A1118" t="s">
        <v>34</v>
      </c>
      <c r="B1118" t="s">
        <v>17</v>
      </c>
      <c r="C1118">
        <v>2015</v>
      </c>
      <c r="D1118" t="s">
        <v>18</v>
      </c>
      <c r="E1118" s="3">
        <v>761997</v>
      </c>
      <c r="F1118" s="3">
        <v>1309630</v>
      </c>
      <c r="G1118" s="1">
        <f>SUM(E1118:F1118)</f>
        <v>2071627</v>
      </c>
      <c r="H1118" s="2">
        <f>SUM(E1118)/G1118</f>
        <v>0.36782538555444583</v>
      </c>
      <c r="I1118" s="2">
        <f>SUM(F1118/G1118)</f>
        <v>0.63217461444555412</v>
      </c>
      <c r="J1118" s="3">
        <v>694715.79</v>
      </c>
      <c r="K1118" s="3">
        <v>1292742.54</v>
      </c>
      <c r="L1118" s="1">
        <f t="shared" si="382"/>
        <v>1987458.33</v>
      </c>
      <c r="M1118" s="2">
        <f t="shared" si="383"/>
        <v>0.34954986452470682</v>
      </c>
      <c r="N1118" s="2">
        <f t="shared" si="384"/>
        <v>0.65045013547529318</v>
      </c>
      <c r="O1118" s="5">
        <f t="shared" si="385"/>
        <v>959.37074096833067</v>
      </c>
    </row>
    <row r="1119" spans="1:15" x14ac:dyDescent="0.35">
      <c r="A1119" t="s">
        <v>34</v>
      </c>
      <c r="B1119" t="s">
        <v>19</v>
      </c>
      <c r="C1119">
        <v>2015</v>
      </c>
      <c r="D1119" t="s">
        <v>18</v>
      </c>
      <c r="E1119" s="3">
        <v>760051</v>
      </c>
      <c r="F1119" s="3">
        <v>1316321</v>
      </c>
      <c r="G1119" s="1">
        <f t="shared" ref="G1119:G1129" si="392">SUM(E1119:F1119)</f>
        <v>2076372</v>
      </c>
      <c r="H1119" s="2">
        <f t="shared" ref="H1119:H1129" si="393">SUM(E1119)/G1119</f>
        <v>0.3660476061129701</v>
      </c>
      <c r="I1119" s="2">
        <f t="shared" ref="I1119:I1129" si="394">SUM(F1119/G1119)</f>
        <v>0.63395239388702984</v>
      </c>
      <c r="J1119" s="3">
        <v>682865.43</v>
      </c>
      <c r="K1119" s="3">
        <v>1277830.7</v>
      </c>
      <c r="L1119" s="1">
        <f t="shared" si="382"/>
        <v>1960696.13</v>
      </c>
      <c r="M1119" s="2">
        <f t="shared" si="383"/>
        <v>0.34827703260678139</v>
      </c>
      <c r="N1119" s="2">
        <f t="shared" si="384"/>
        <v>0.65172296739321867</v>
      </c>
      <c r="O1119" s="5">
        <f t="shared" si="385"/>
        <v>944.28942886920072</v>
      </c>
    </row>
    <row r="1120" spans="1:15" x14ac:dyDescent="0.35">
      <c r="A1120" t="s">
        <v>34</v>
      </c>
      <c r="B1120" t="s">
        <v>20</v>
      </c>
      <c r="C1120">
        <v>2015</v>
      </c>
      <c r="D1120" t="s">
        <v>18</v>
      </c>
      <c r="E1120" s="3">
        <v>759340</v>
      </c>
      <c r="F1120" s="3">
        <v>1325403</v>
      </c>
      <c r="G1120" s="1">
        <f t="shared" si="392"/>
        <v>2084743</v>
      </c>
      <c r="H1120" s="2">
        <f t="shared" si="393"/>
        <v>0.36423674285031776</v>
      </c>
      <c r="I1120" s="2">
        <f t="shared" si="394"/>
        <v>0.63576325714968229</v>
      </c>
      <c r="J1120" s="3">
        <v>594043.81999999995</v>
      </c>
      <c r="K1120" s="3">
        <v>1126151.6399999999</v>
      </c>
      <c r="L1120" s="1">
        <f t="shared" si="382"/>
        <v>1720195.46</v>
      </c>
      <c r="M1120" s="2">
        <f t="shared" si="383"/>
        <v>0.3453350702367276</v>
      </c>
      <c r="N1120" s="2">
        <f t="shared" si="384"/>
        <v>0.65466492976327229</v>
      </c>
      <c r="O1120" s="5">
        <f t="shared" si="385"/>
        <v>825.13550111452582</v>
      </c>
    </row>
    <row r="1121" spans="1:15" x14ac:dyDescent="0.35">
      <c r="A1121" t="s">
        <v>34</v>
      </c>
      <c r="B1121" t="s">
        <v>21</v>
      </c>
      <c r="C1121">
        <v>2015</v>
      </c>
      <c r="D1121" t="s">
        <v>18</v>
      </c>
      <c r="E1121" s="8">
        <v>758557</v>
      </c>
      <c r="F1121" s="3">
        <v>1331444</v>
      </c>
      <c r="G1121" s="1">
        <f t="shared" si="392"/>
        <v>2090001</v>
      </c>
      <c r="H1121" s="2">
        <f t="shared" si="393"/>
        <v>0.36294575935609602</v>
      </c>
      <c r="I1121" s="2">
        <f t="shared" si="394"/>
        <v>0.63705424064390404</v>
      </c>
      <c r="J1121" s="3">
        <v>577216.79</v>
      </c>
      <c r="K1121" s="3">
        <v>1099651.55</v>
      </c>
      <c r="L1121" s="1">
        <f t="shared" si="382"/>
        <v>1676868.34</v>
      </c>
      <c r="M1121" s="2">
        <f t="shared" si="383"/>
        <v>0.34422308313126121</v>
      </c>
      <c r="N1121" s="2">
        <f t="shared" si="384"/>
        <v>0.65577691686873874</v>
      </c>
      <c r="O1121" s="5">
        <f t="shared" si="385"/>
        <v>802.32896539283956</v>
      </c>
    </row>
    <row r="1122" spans="1:15" x14ac:dyDescent="0.35">
      <c r="A1122" t="s">
        <v>34</v>
      </c>
      <c r="B1122" t="s">
        <v>22</v>
      </c>
      <c r="C1122">
        <v>2015</v>
      </c>
      <c r="D1122" t="s">
        <v>18</v>
      </c>
      <c r="E1122" s="3">
        <v>757178</v>
      </c>
      <c r="F1122" s="3">
        <v>1335916</v>
      </c>
      <c r="G1122" s="1">
        <f t="shared" si="392"/>
        <v>2093094</v>
      </c>
      <c r="H1122" s="2">
        <f t="shared" si="393"/>
        <v>0.36175059505210944</v>
      </c>
      <c r="I1122" s="2">
        <f t="shared" si="394"/>
        <v>0.63824940494789051</v>
      </c>
      <c r="J1122" s="3">
        <v>657021.32999999996</v>
      </c>
      <c r="K1122" s="3">
        <v>1254190.3</v>
      </c>
      <c r="L1122" s="1">
        <f t="shared" si="382"/>
        <v>1911211.63</v>
      </c>
      <c r="M1122" s="2">
        <f t="shared" si="383"/>
        <v>0.34377214939823281</v>
      </c>
      <c r="N1122" s="2">
        <f t="shared" si="384"/>
        <v>0.65622785060176725</v>
      </c>
      <c r="O1122" s="5">
        <f t="shared" si="385"/>
        <v>913.10358254335449</v>
      </c>
    </row>
    <row r="1123" spans="1:15" x14ac:dyDescent="0.35">
      <c r="A1123" t="s">
        <v>34</v>
      </c>
      <c r="B1123" t="s">
        <v>23</v>
      </c>
      <c r="C1123">
        <v>2015</v>
      </c>
      <c r="D1123" t="s">
        <v>18</v>
      </c>
      <c r="E1123" s="3">
        <v>757426</v>
      </c>
      <c r="F1123" s="3">
        <v>1346070</v>
      </c>
      <c r="G1123" s="1">
        <f t="shared" si="392"/>
        <v>2103496</v>
      </c>
      <c r="H1123" s="2">
        <f t="shared" si="393"/>
        <v>0.36007960081692575</v>
      </c>
      <c r="I1123" s="2">
        <f t="shared" si="394"/>
        <v>0.63992039918307431</v>
      </c>
      <c r="J1123" s="3">
        <v>881369.91</v>
      </c>
      <c r="K1123" s="3">
        <v>1666417.04</v>
      </c>
      <c r="L1123" s="1">
        <f t="shared" si="382"/>
        <v>2547786.9500000002</v>
      </c>
      <c r="M1123" s="2">
        <f t="shared" si="383"/>
        <v>0.34593548334172919</v>
      </c>
      <c r="N1123" s="2">
        <f t="shared" si="384"/>
        <v>0.65406451665827081</v>
      </c>
      <c r="O1123" s="5">
        <f t="shared" si="385"/>
        <v>1211.2154955369538</v>
      </c>
    </row>
    <row r="1124" spans="1:15" x14ac:dyDescent="0.35">
      <c r="A1124" t="s">
        <v>34</v>
      </c>
      <c r="B1124" t="s">
        <v>24</v>
      </c>
      <c r="C1124">
        <v>2015</v>
      </c>
      <c r="D1124" t="s">
        <v>18</v>
      </c>
      <c r="E1124" s="3">
        <v>756125</v>
      </c>
      <c r="F1124" s="3">
        <v>1355225</v>
      </c>
      <c r="G1124" s="1">
        <f t="shared" si="392"/>
        <v>2111350</v>
      </c>
      <c r="H1124" s="2">
        <f t="shared" si="393"/>
        <v>0.35812394913207191</v>
      </c>
      <c r="I1124" s="2">
        <f t="shared" si="394"/>
        <v>0.64187605086792809</v>
      </c>
      <c r="J1124" s="3">
        <v>1117320.18</v>
      </c>
      <c r="K1124" s="3">
        <v>2089226.85</v>
      </c>
      <c r="L1124" s="1">
        <f t="shared" si="382"/>
        <v>3206547.0300000003</v>
      </c>
      <c r="M1124" s="2">
        <f t="shared" si="383"/>
        <v>0.34844964678406726</v>
      </c>
      <c r="N1124" s="2">
        <f t="shared" si="384"/>
        <v>0.65155035321593269</v>
      </c>
      <c r="O1124" s="5">
        <f t="shared" si="385"/>
        <v>1518.7188433940373</v>
      </c>
    </row>
    <row r="1125" spans="1:15" x14ac:dyDescent="0.35">
      <c r="A1125" t="s">
        <v>34</v>
      </c>
      <c r="B1125" t="s">
        <v>25</v>
      </c>
      <c r="C1125">
        <v>2015</v>
      </c>
      <c r="D1125" t="s">
        <v>18</v>
      </c>
      <c r="E1125" s="3">
        <v>753948</v>
      </c>
      <c r="F1125" s="3">
        <v>1360863</v>
      </c>
      <c r="G1125" s="1">
        <f t="shared" si="392"/>
        <v>2114811</v>
      </c>
      <c r="H1125" s="2">
        <f t="shared" si="393"/>
        <v>0.35650845394694847</v>
      </c>
      <c r="I1125" s="2">
        <f t="shared" si="394"/>
        <v>0.64349154605305159</v>
      </c>
      <c r="J1125" s="3">
        <v>1324870.8500000001</v>
      </c>
      <c r="K1125" s="3">
        <v>2460702.9</v>
      </c>
      <c r="L1125" s="1">
        <f t="shared" si="382"/>
        <v>3785573.75</v>
      </c>
      <c r="M1125" s="2">
        <f t="shared" si="383"/>
        <v>0.34997887704604885</v>
      </c>
      <c r="N1125" s="2">
        <f t="shared" si="384"/>
        <v>0.65002112295395109</v>
      </c>
      <c r="O1125" s="5">
        <f t="shared" si="385"/>
        <v>1790.0293454119542</v>
      </c>
    </row>
    <row r="1126" spans="1:15" x14ac:dyDescent="0.35">
      <c r="A1126" t="s">
        <v>34</v>
      </c>
      <c r="B1126" t="s">
        <v>26</v>
      </c>
      <c r="C1126">
        <v>2015</v>
      </c>
      <c r="D1126" t="s">
        <v>18</v>
      </c>
      <c r="E1126" s="3">
        <v>751162</v>
      </c>
      <c r="F1126" s="3">
        <v>1364706</v>
      </c>
      <c r="G1126" s="1">
        <f t="shared" si="392"/>
        <v>2115868</v>
      </c>
      <c r="H1126" s="2">
        <f t="shared" si="393"/>
        <v>0.35501363979227435</v>
      </c>
      <c r="I1126" s="2">
        <f t="shared" si="394"/>
        <v>0.6449863602077256</v>
      </c>
      <c r="J1126" s="3">
        <v>1203808.6200000001</v>
      </c>
      <c r="K1126" s="3">
        <v>2258721.67</v>
      </c>
      <c r="L1126" s="1">
        <f t="shared" si="382"/>
        <v>3462530.29</v>
      </c>
      <c r="M1126" s="2">
        <f t="shared" si="383"/>
        <v>0.34766731816806723</v>
      </c>
      <c r="N1126" s="2">
        <f t="shared" si="384"/>
        <v>0.65233268183193271</v>
      </c>
      <c r="O1126" s="5">
        <f t="shared" si="385"/>
        <v>1636.4585550705431</v>
      </c>
    </row>
    <row r="1127" spans="1:15" x14ac:dyDescent="0.35">
      <c r="A1127" t="s">
        <v>34</v>
      </c>
      <c r="B1127" t="s">
        <v>27</v>
      </c>
      <c r="C1127">
        <v>2015</v>
      </c>
      <c r="D1127" t="s">
        <v>18</v>
      </c>
      <c r="E1127" s="3">
        <v>748952</v>
      </c>
      <c r="F1127" s="3">
        <v>1365490</v>
      </c>
      <c r="G1127" s="1">
        <f t="shared" si="392"/>
        <v>2114442</v>
      </c>
      <c r="H1127" s="2">
        <f t="shared" si="393"/>
        <v>0.35420787139112825</v>
      </c>
      <c r="I1127" s="2">
        <f t="shared" si="394"/>
        <v>0.6457921286088717</v>
      </c>
      <c r="J1127" s="3">
        <v>967549.15</v>
      </c>
      <c r="K1127" s="3">
        <v>1851576.88</v>
      </c>
      <c r="L1127" s="1">
        <f t="shared" si="382"/>
        <v>2819126.03</v>
      </c>
      <c r="M1127" s="2">
        <f t="shared" si="383"/>
        <v>0.34320890222846834</v>
      </c>
      <c r="N1127" s="2">
        <f t="shared" si="384"/>
        <v>0.65679109777153166</v>
      </c>
      <c r="O1127" s="5">
        <f t="shared" si="385"/>
        <v>1333.2718655796659</v>
      </c>
    </row>
    <row r="1128" spans="1:15" x14ac:dyDescent="0.35">
      <c r="A1128" t="s">
        <v>34</v>
      </c>
      <c r="B1128" t="s">
        <v>28</v>
      </c>
      <c r="C1128">
        <v>2015</v>
      </c>
      <c r="D1128" t="s">
        <v>18</v>
      </c>
      <c r="E1128" s="3">
        <v>747182</v>
      </c>
      <c r="F1128" s="3">
        <v>1364843</v>
      </c>
      <c r="G1128" s="1">
        <f t="shared" si="392"/>
        <v>2112025</v>
      </c>
      <c r="H1128" s="2">
        <f t="shared" si="393"/>
        <v>0.3537751683810561</v>
      </c>
      <c r="I1128" s="2">
        <f t="shared" si="394"/>
        <v>0.64622483161894395</v>
      </c>
      <c r="J1128" s="3">
        <v>711583.51</v>
      </c>
      <c r="K1128" s="3">
        <v>1388797.66</v>
      </c>
      <c r="L1128" s="1">
        <f t="shared" si="382"/>
        <v>2100381.17</v>
      </c>
      <c r="M1128" s="2">
        <f t="shared" si="383"/>
        <v>0.33878779726443653</v>
      </c>
      <c r="N1128" s="2">
        <f t="shared" si="384"/>
        <v>0.66121220273556347</v>
      </c>
      <c r="O1128" s="5">
        <f t="shared" si="385"/>
        <v>994.48688817603954</v>
      </c>
    </row>
    <row r="1129" spans="1:15" x14ac:dyDescent="0.35">
      <c r="A1129" t="s">
        <v>34</v>
      </c>
      <c r="B1129" t="s">
        <v>29</v>
      </c>
      <c r="C1129">
        <v>2015</v>
      </c>
      <c r="D1129" t="s">
        <v>18</v>
      </c>
      <c r="E1129" s="3">
        <v>748041</v>
      </c>
      <c r="F1129" s="3">
        <v>1368433</v>
      </c>
      <c r="G1129" s="1">
        <f t="shared" si="392"/>
        <v>2116474</v>
      </c>
      <c r="H1129" s="2">
        <f t="shared" si="393"/>
        <v>0.35343736799979586</v>
      </c>
      <c r="I1129" s="2">
        <f t="shared" si="394"/>
        <v>0.64656263200020414</v>
      </c>
      <c r="J1129" s="3">
        <v>579678.59</v>
      </c>
      <c r="K1129" s="3">
        <v>1152229.79</v>
      </c>
      <c r="L1129" s="1">
        <f t="shared" si="382"/>
        <v>1731908.38</v>
      </c>
      <c r="M1129" s="2">
        <f t="shared" si="383"/>
        <v>0.33470511298063005</v>
      </c>
      <c r="N1129" s="2">
        <f t="shared" si="384"/>
        <v>0.66529488701937001</v>
      </c>
      <c r="O1129" s="5">
        <f t="shared" si="385"/>
        <v>818.29891602731709</v>
      </c>
    </row>
    <row r="1130" spans="1:15" x14ac:dyDescent="0.35">
      <c r="A1130" t="s">
        <v>34</v>
      </c>
      <c r="B1130" t="s">
        <v>17</v>
      </c>
      <c r="C1130">
        <v>2016</v>
      </c>
      <c r="D1130" t="s">
        <v>18</v>
      </c>
      <c r="E1130" s="3">
        <v>749253</v>
      </c>
      <c r="F1130" s="3">
        <v>1371318</v>
      </c>
      <c r="G1130" s="1">
        <f>SUM(E1130:F1130)</f>
        <v>2120571</v>
      </c>
      <c r="H1130" s="2">
        <f>SUM(E1130)/G1130</f>
        <v>0.35332606170696479</v>
      </c>
      <c r="I1130" s="2">
        <f>SUM(F1130/G1130)</f>
        <v>0.64667393829303521</v>
      </c>
      <c r="J1130" s="3">
        <v>673501.17</v>
      </c>
      <c r="K1130" s="3">
        <v>1344151.29</v>
      </c>
      <c r="L1130" s="1">
        <f t="shared" si="382"/>
        <v>2017652.46</v>
      </c>
      <c r="M1130" s="2">
        <f t="shared" si="383"/>
        <v>0.33380435102287143</v>
      </c>
      <c r="N1130" s="2">
        <f t="shared" si="384"/>
        <v>0.66619564897712857</v>
      </c>
      <c r="O1130" s="5">
        <f t="shared" si="385"/>
        <v>951.46659083803377</v>
      </c>
    </row>
    <row r="1131" spans="1:15" x14ac:dyDescent="0.35">
      <c r="A1131" t="s">
        <v>34</v>
      </c>
      <c r="B1131" t="s">
        <v>19</v>
      </c>
      <c r="C1131">
        <v>2016</v>
      </c>
      <c r="D1131" t="s">
        <v>18</v>
      </c>
      <c r="E1131" s="3">
        <v>750109</v>
      </c>
      <c r="F1131" s="3">
        <v>1375477</v>
      </c>
      <c r="G1131" s="1">
        <f t="shared" ref="G1131:G1141" si="395">SUM(E1131:F1131)</f>
        <v>2125586</v>
      </c>
      <c r="H1131" s="2">
        <f t="shared" ref="H1131:H1141" si="396">SUM(E1131)/G1131</f>
        <v>0.35289515455973081</v>
      </c>
      <c r="I1131" s="2">
        <f t="shared" ref="I1131:I1141" si="397">SUM(F1131/G1131)</f>
        <v>0.64710484544026914</v>
      </c>
      <c r="J1131" s="3">
        <v>600676.29</v>
      </c>
      <c r="K1131" s="3">
        <v>1194527.27</v>
      </c>
      <c r="L1131" s="1">
        <f t="shared" si="382"/>
        <v>1795203.56</v>
      </c>
      <c r="M1131" s="2">
        <f t="shared" si="383"/>
        <v>0.33460065665199551</v>
      </c>
      <c r="N1131" s="2">
        <f t="shared" si="384"/>
        <v>0.66539934334800455</v>
      </c>
      <c r="O1131" s="5">
        <f t="shared" si="385"/>
        <v>844.56877303482429</v>
      </c>
    </row>
    <row r="1132" spans="1:15" x14ac:dyDescent="0.35">
      <c r="A1132" t="s">
        <v>34</v>
      </c>
      <c r="B1132" t="s">
        <v>20</v>
      </c>
      <c r="C1132">
        <v>2016</v>
      </c>
      <c r="D1132" t="s">
        <v>18</v>
      </c>
      <c r="E1132" s="3">
        <v>749472</v>
      </c>
      <c r="F1132" s="3">
        <v>1383418</v>
      </c>
      <c r="G1132" s="1">
        <f t="shared" si="395"/>
        <v>2132890</v>
      </c>
      <c r="H1132" s="2">
        <f t="shared" si="396"/>
        <v>0.35138802282349302</v>
      </c>
      <c r="I1132" s="2">
        <f t="shared" si="397"/>
        <v>0.64861197717650698</v>
      </c>
      <c r="J1132" s="3">
        <v>504902.74</v>
      </c>
      <c r="K1132" s="3">
        <v>1015656.97</v>
      </c>
      <c r="L1132" s="1">
        <f t="shared" si="382"/>
        <v>1520559.71</v>
      </c>
      <c r="M1132" s="2">
        <f t="shared" si="383"/>
        <v>0.33205058418916017</v>
      </c>
      <c r="N1132" s="2">
        <f t="shared" si="384"/>
        <v>0.66794941581083977</v>
      </c>
      <c r="O1132" s="5">
        <f t="shared" si="385"/>
        <v>712.91051577906035</v>
      </c>
    </row>
    <row r="1133" spans="1:15" x14ac:dyDescent="0.35">
      <c r="A1133" t="s">
        <v>34</v>
      </c>
      <c r="B1133" t="s">
        <v>21</v>
      </c>
      <c r="C1133">
        <v>2016</v>
      </c>
      <c r="D1133" t="s">
        <v>18</v>
      </c>
      <c r="E1133" s="3">
        <v>748216</v>
      </c>
      <c r="F1133" s="3">
        <v>1392042</v>
      </c>
      <c r="G1133" s="1">
        <f t="shared" si="395"/>
        <v>2140258</v>
      </c>
      <c r="H1133" s="2">
        <f t="shared" si="396"/>
        <v>0.3495914978474558</v>
      </c>
      <c r="I1133" s="2">
        <f t="shared" si="397"/>
        <v>0.6504085021525442</v>
      </c>
      <c r="J1133" s="3">
        <v>542475.64</v>
      </c>
      <c r="K1133" s="3">
        <v>1097278.25</v>
      </c>
      <c r="L1133" s="1">
        <f t="shared" si="382"/>
        <v>1639753.8900000001</v>
      </c>
      <c r="M1133" s="2">
        <f t="shared" si="383"/>
        <v>0.33082747557927733</v>
      </c>
      <c r="N1133" s="2">
        <f t="shared" si="384"/>
        <v>0.66917252442072261</v>
      </c>
      <c r="O1133" s="5">
        <f t="shared" si="385"/>
        <v>766.14776816626795</v>
      </c>
    </row>
    <row r="1134" spans="1:15" x14ac:dyDescent="0.35">
      <c r="A1134" t="s">
        <v>34</v>
      </c>
      <c r="B1134" t="s">
        <v>22</v>
      </c>
      <c r="C1134">
        <v>2016</v>
      </c>
      <c r="D1134" t="s">
        <v>18</v>
      </c>
      <c r="E1134" s="3">
        <v>747703</v>
      </c>
      <c r="F1134" s="3">
        <v>1398029</v>
      </c>
      <c r="G1134" s="1">
        <f t="shared" si="395"/>
        <v>2145732</v>
      </c>
      <c r="H1134" s="2">
        <f t="shared" si="396"/>
        <v>0.3484605719633207</v>
      </c>
      <c r="I1134" s="2">
        <f t="shared" si="397"/>
        <v>0.6515394280366793</v>
      </c>
      <c r="J1134" s="3">
        <v>634502.82999999996</v>
      </c>
      <c r="K1134" s="3">
        <v>1285948.3799999999</v>
      </c>
      <c r="L1134" s="1">
        <f t="shared" si="382"/>
        <v>1920451.21</v>
      </c>
      <c r="M1134" s="2">
        <f t="shared" si="383"/>
        <v>0.33039257998124305</v>
      </c>
      <c r="N1134" s="2">
        <f t="shared" si="384"/>
        <v>0.66960742001875695</v>
      </c>
      <c r="O1134" s="5">
        <f t="shared" si="385"/>
        <v>895.00981949283505</v>
      </c>
    </row>
    <row r="1135" spans="1:15" x14ac:dyDescent="0.35">
      <c r="A1135" t="s">
        <v>34</v>
      </c>
      <c r="B1135" t="s">
        <v>23</v>
      </c>
      <c r="C1135">
        <v>2016</v>
      </c>
      <c r="D1135" t="s">
        <v>18</v>
      </c>
      <c r="E1135" s="3">
        <v>748916</v>
      </c>
      <c r="F1135" s="3">
        <v>1404620</v>
      </c>
      <c r="G1135" s="1">
        <f t="shared" si="395"/>
        <v>2153536</v>
      </c>
      <c r="H1135" s="2">
        <f t="shared" si="396"/>
        <v>0.34776107759517372</v>
      </c>
      <c r="I1135" s="2">
        <f t="shared" si="397"/>
        <v>0.65223892240482628</v>
      </c>
      <c r="J1135" s="3">
        <v>834012.99</v>
      </c>
      <c r="K1135" s="3">
        <v>1669012.63</v>
      </c>
      <c r="L1135" s="1">
        <f t="shared" si="382"/>
        <v>2503025.62</v>
      </c>
      <c r="M1135" s="2">
        <f t="shared" si="383"/>
        <v>0.33320193901970524</v>
      </c>
      <c r="N1135" s="2">
        <f t="shared" si="384"/>
        <v>0.66679806098029459</v>
      </c>
      <c r="O1135" s="5">
        <f t="shared" si="385"/>
        <v>1162.2864070997653</v>
      </c>
    </row>
    <row r="1136" spans="1:15" x14ac:dyDescent="0.35">
      <c r="A1136" t="s">
        <v>34</v>
      </c>
      <c r="B1136" t="s">
        <v>24</v>
      </c>
      <c r="C1136">
        <v>2016</v>
      </c>
      <c r="D1136" t="s">
        <v>18</v>
      </c>
      <c r="E1136" s="3">
        <v>748631</v>
      </c>
      <c r="F1136" s="3">
        <v>1409476</v>
      </c>
      <c r="G1136" s="1">
        <f t="shared" si="395"/>
        <v>2158107</v>
      </c>
      <c r="H1136" s="2">
        <f t="shared" si="396"/>
        <v>0.34689243860475871</v>
      </c>
      <c r="I1136" s="2">
        <f t="shared" si="397"/>
        <v>0.65310756139524129</v>
      </c>
      <c r="J1136" s="3">
        <v>1170380.77</v>
      </c>
      <c r="K1136" s="3">
        <v>2299485.83</v>
      </c>
      <c r="L1136" s="1">
        <f t="shared" si="382"/>
        <v>3469866.6</v>
      </c>
      <c r="M1136" s="2">
        <f t="shared" si="383"/>
        <v>0.3372984915327869</v>
      </c>
      <c r="N1136" s="2">
        <f t="shared" si="384"/>
        <v>0.6627015084672131</v>
      </c>
      <c r="O1136" s="5">
        <f t="shared" si="385"/>
        <v>1607.8288055226178</v>
      </c>
    </row>
    <row r="1137" spans="1:15" x14ac:dyDescent="0.35">
      <c r="A1137" t="s">
        <v>34</v>
      </c>
      <c r="B1137" t="s">
        <v>25</v>
      </c>
      <c r="C1137">
        <v>2016</v>
      </c>
      <c r="D1137" t="s">
        <v>18</v>
      </c>
      <c r="E1137" s="3">
        <v>750614</v>
      </c>
      <c r="F1137" s="3">
        <v>1416232</v>
      </c>
      <c r="G1137" s="1">
        <f t="shared" si="395"/>
        <v>2166846</v>
      </c>
      <c r="H1137" s="2">
        <f t="shared" si="396"/>
        <v>0.34640855879928706</v>
      </c>
      <c r="I1137" s="2">
        <f t="shared" si="397"/>
        <v>0.65359144120071289</v>
      </c>
      <c r="J1137" s="3">
        <v>1305347.18</v>
      </c>
      <c r="K1137" s="3">
        <v>2537350.7599999998</v>
      </c>
      <c r="L1137" s="1">
        <f t="shared" si="382"/>
        <v>3842697.9399999995</v>
      </c>
      <c r="M1137" s="2">
        <f t="shared" si="383"/>
        <v>0.33969549529568283</v>
      </c>
      <c r="N1137" s="2">
        <f t="shared" si="384"/>
        <v>0.66030450470431723</v>
      </c>
      <c r="O1137" s="5">
        <f t="shared" si="385"/>
        <v>1773.4061119248897</v>
      </c>
    </row>
    <row r="1138" spans="1:15" x14ac:dyDescent="0.35">
      <c r="A1138" t="s">
        <v>34</v>
      </c>
      <c r="B1138" t="s">
        <v>26</v>
      </c>
      <c r="C1138">
        <v>2016</v>
      </c>
      <c r="D1138" t="s">
        <v>18</v>
      </c>
      <c r="E1138" s="3">
        <v>752326</v>
      </c>
      <c r="F1138" s="3">
        <v>1413789</v>
      </c>
      <c r="G1138" s="1">
        <f t="shared" si="395"/>
        <v>2166115</v>
      </c>
      <c r="H1138" s="2">
        <f t="shared" si="396"/>
        <v>0.34731581656560245</v>
      </c>
      <c r="I1138" s="2">
        <f t="shared" si="397"/>
        <v>0.65268418343439749</v>
      </c>
      <c r="J1138" s="3">
        <v>1162529.98</v>
      </c>
      <c r="K1138" s="3">
        <v>2263649.27</v>
      </c>
      <c r="L1138" s="1">
        <f t="shared" si="382"/>
        <v>3426179.25</v>
      </c>
      <c r="M1138" s="2">
        <f t="shared" si="383"/>
        <v>0.3393079857103215</v>
      </c>
      <c r="N1138" s="2">
        <f t="shared" si="384"/>
        <v>0.6606920142896785</v>
      </c>
      <c r="O1138" s="5">
        <f t="shared" si="385"/>
        <v>1581.7162292860721</v>
      </c>
    </row>
    <row r="1139" spans="1:15" x14ac:dyDescent="0.35">
      <c r="A1139" t="s">
        <v>34</v>
      </c>
      <c r="B1139" t="s">
        <v>27</v>
      </c>
      <c r="C1139">
        <v>2016</v>
      </c>
      <c r="D1139" t="s">
        <v>18</v>
      </c>
      <c r="E1139" s="3">
        <v>752079</v>
      </c>
      <c r="F1139" s="3">
        <v>1411123</v>
      </c>
      <c r="G1139" s="1">
        <f t="shared" si="395"/>
        <v>2163202</v>
      </c>
      <c r="H1139" s="2">
        <f t="shared" si="396"/>
        <v>0.34766933462524535</v>
      </c>
      <c r="I1139" s="2">
        <f t="shared" si="397"/>
        <v>0.65233066537475459</v>
      </c>
      <c r="J1139" s="3">
        <v>1066585.45</v>
      </c>
      <c r="K1139" s="3">
        <v>2083939.3</v>
      </c>
      <c r="L1139" s="1">
        <f t="shared" si="382"/>
        <v>3150524.75</v>
      </c>
      <c r="M1139" s="2">
        <f t="shared" si="383"/>
        <v>0.33854215873085902</v>
      </c>
      <c r="N1139" s="2">
        <f t="shared" si="384"/>
        <v>0.66145784126914098</v>
      </c>
      <c r="O1139" s="5">
        <f t="shared" si="385"/>
        <v>1456.4172693997139</v>
      </c>
    </row>
    <row r="1140" spans="1:15" x14ac:dyDescent="0.35">
      <c r="A1140" t="s">
        <v>34</v>
      </c>
      <c r="B1140" t="s">
        <v>28</v>
      </c>
      <c r="C1140">
        <v>2016</v>
      </c>
      <c r="D1140" t="s">
        <v>18</v>
      </c>
      <c r="E1140" s="3">
        <v>751661</v>
      </c>
      <c r="F1140" s="3">
        <v>1414012</v>
      </c>
      <c r="G1140" s="1">
        <f t="shared" si="395"/>
        <v>2165673</v>
      </c>
      <c r="H1140" s="2">
        <f t="shared" si="396"/>
        <v>0.34707963759995158</v>
      </c>
      <c r="I1140" s="2">
        <f t="shared" si="397"/>
        <v>0.65292036240004836</v>
      </c>
      <c r="J1140" s="3">
        <v>797776.62</v>
      </c>
      <c r="K1140" s="3">
        <v>1582057.95</v>
      </c>
      <c r="L1140" s="1">
        <f t="shared" si="382"/>
        <v>2379834.5699999998</v>
      </c>
      <c r="M1140" s="2">
        <f t="shared" si="383"/>
        <v>0.33522356135872083</v>
      </c>
      <c r="N1140" s="2">
        <f t="shared" si="384"/>
        <v>0.66477643864127922</v>
      </c>
      <c r="O1140" s="5">
        <f t="shared" si="385"/>
        <v>1098.8891536256858</v>
      </c>
    </row>
    <row r="1141" spans="1:15" x14ac:dyDescent="0.35">
      <c r="A1141" t="s">
        <v>34</v>
      </c>
      <c r="B1141" t="s">
        <v>29</v>
      </c>
      <c r="C1141">
        <v>2016</v>
      </c>
      <c r="D1141" t="s">
        <v>18</v>
      </c>
      <c r="E1141" s="3">
        <v>751583</v>
      </c>
      <c r="F1141" s="3">
        <v>1419167</v>
      </c>
      <c r="G1141" s="1">
        <f t="shared" si="395"/>
        <v>2170750</v>
      </c>
      <c r="H1141" s="2">
        <f t="shared" si="396"/>
        <v>0.3462319474835886</v>
      </c>
      <c r="I1141" s="2">
        <f t="shared" si="397"/>
        <v>0.65376805251641135</v>
      </c>
      <c r="J1141" s="3">
        <v>602363.49</v>
      </c>
      <c r="K1141" s="3">
        <v>1220710.55</v>
      </c>
      <c r="L1141" s="1">
        <f t="shared" si="382"/>
        <v>1823074.04</v>
      </c>
      <c r="M1141" s="2">
        <f t="shared" si="383"/>
        <v>0.33041087568774768</v>
      </c>
      <c r="N1141" s="2">
        <f t="shared" si="384"/>
        <v>0.66958912431225226</v>
      </c>
      <c r="O1141" s="5">
        <f t="shared" si="385"/>
        <v>839.83601980882179</v>
      </c>
    </row>
    <row r="1142" spans="1:15" x14ac:dyDescent="0.35">
      <c r="A1142" t="s">
        <v>34</v>
      </c>
      <c r="B1142" t="s">
        <v>17</v>
      </c>
      <c r="C1142">
        <v>2017</v>
      </c>
      <c r="D1142" t="s">
        <v>18</v>
      </c>
      <c r="E1142" s="3">
        <v>751572</v>
      </c>
      <c r="F1142" s="3">
        <v>1422183</v>
      </c>
      <c r="G1142" s="1">
        <f>SUM(E1142:F1142)</f>
        <v>2173755</v>
      </c>
      <c r="H1142" s="2">
        <f>SUM(E1142)/G1142</f>
        <v>0.34574825589820379</v>
      </c>
      <c r="I1142" s="2">
        <f>SUM(F1142/G1142)</f>
        <v>0.65425174410179621</v>
      </c>
      <c r="J1142" s="3">
        <v>684136.58</v>
      </c>
      <c r="K1142" s="3">
        <v>1406603.3</v>
      </c>
      <c r="L1142" s="1">
        <f t="shared" si="382"/>
        <v>2090739.88</v>
      </c>
      <c r="M1142" s="2">
        <f t="shared" si="383"/>
        <v>0.32722223675190049</v>
      </c>
      <c r="N1142" s="2">
        <f t="shared" si="384"/>
        <v>0.67277776324809957</v>
      </c>
      <c r="O1142" s="5">
        <f t="shared" si="385"/>
        <v>961.81026840651316</v>
      </c>
    </row>
    <row r="1143" spans="1:15" x14ac:dyDescent="0.35">
      <c r="A1143" t="s">
        <v>34</v>
      </c>
      <c r="B1143" t="s">
        <v>19</v>
      </c>
      <c r="C1143">
        <v>2017</v>
      </c>
      <c r="D1143" t="s">
        <v>18</v>
      </c>
      <c r="E1143" s="3">
        <v>753111</v>
      </c>
      <c r="F1143" s="3">
        <v>1425854</v>
      </c>
      <c r="G1143" s="1">
        <f t="shared" ref="G1143:G1206" si="398">SUM(E1143:F1143)</f>
        <v>2178965</v>
      </c>
      <c r="H1143" s="2">
        <f t="shared" ref="H1143:H1206" si="399">SUM(E1143)/G1143</f>
        <v>0.34562785542677371</v>
      </c>
      <c r="I1143" s="2">
        <f t="shared" ref="I1143:I1206" si="400">SUM(F1143/G1143)</f>
        <v>0.65437214457322623</v>
      </c>
      <c r="J1143" s="3">
        <v>568455.19999999995</v>
      </c>
      <c r="K1143" s="3">
        <v>1159990.4099999999</v>
      </c>
      <c r="L1143" s="1">
        <f t="shared" si="382"/>
        <v>1728445.6099999999</v>
      </c>
      <c r="M1143" s="2">
        <f t="shared" si="383"/>
        <v>0.32888231872103862</v>
      </c>
      <c r="N1143" s="2">
        <f t="shared" si="384"/>
        <v>0.67111768127896143</v>
      </c>
      <c r="O1143" s="5">
        <f t="shared" si="385"/>
        <v>793.24156652355578</v>
      </c>
    </row>
    <row r="1144" spans="1:15" x14ac:dyDescent="0.35">
      <c r="A1144" t="s">
        <v>34</v>
      </c>
      <c r="B1144" t="s">
        <v>20</v>
      </c>
      <c r="C1144">
        <v>2017</v>
      </c>
      <c r="D1144" t="s">
        <v>18</v>
      </c>
      <c r="E1144" s="3">
        <v>753172</v>
      </c>
      <c r="F1144" s="3">
        <v>1430254</v>
      </c>
      <c r="G1144" s="1">
        <f t="shared" si="398"/>
        <v>2183426</v>
      </c>
      <c r="H1144" s="2">
        <f t="shared" si="399"/>
        <v>0.3449496341987317</v>
      </c>
      <c r="I1144" s="2">
        <f t="shared" si="400"/>
        <v>0.6550503658012683</v>
      </c>
      <c r="J1144" s="3">
        <v>523992.75</v>
      </c>
      <c r="K1144" s="3">
        <v>1070604.2</v>
      </c>
      <c r="L1144" s="1">
        <f t="shared" si="382"/>
        <v>1594596.95</v>
      </c>
      <c r="M1144" s="2">
        <f t="shared" si="383"/>
        <v>0.3286051374925808</v>
      </c>
      <c r="N1144" s="2">
        <f t="shared" si="384"/>
        <v>0.6713948625074192</v>
      </c>
      <c r="O1144" s="5">
        <f t="shared" si="385"/>
        <v>730.31875135681264</v>
      </c>
    </row>
    <row r="1145" spans="1:15" x14ac:dyDescent="0.35">
      <c r="A1145" t="s">
        <v>34</v>
      </c>
      <c r="B1145" t="s">
        <v>21</v>
      </c>
      <c r="C1145">
        <v>2017</v>
      </c>
      <c r="D1145" t="s">
        <v>18</v>
      </c>
      <c r="E1145" s="3">
        <v>726416</v>
      </c>
      <c r="F1145" s="3">
        <v>1370053</v>
      </c>
      <c r="G1145" s="1">
        <f t="shared" si="398"/>
        <v>2096469</v>
      </c>
      <c r="H1145" s="2">
        <f t="shared" si="399"/>
        <v>0.34649498752426106</v>
      </c>
      <c r="I1145" s="2">
        <f t="shared" si="400"/>
        <v>0.653505012475739</v>
      </c>
      <c r="J1145" s="3">
        <v>576949.12</v>
      </c>
      <c r="K1145" s="3">
        <v>1178575.83</v>
      </c>
      <c r="L1145" s="1">
        <f t="shared" si="382"/>
        <v>1755524.9500000002</v>
      </c>
      <c r="M1145" s="2">
        <f t="shared" si="383"/>
        <v>0.32864763329054364</v>
      </c>
      <c r="N1145" s="2">
        <f t="shared" si="384"/>
        <v>0.67135236670945631</v>
      </c>
      <c r="O1145" s="5">
        <f t="shared" si="385"/>
        <v>837.37224351993768</v>
      </c>
    </row>
    <row r="1146" spans="1:15" x14ac:dyDescent="0.35">
      <c r="A1146" t="s">
        <v>34</v>
      </c>
      <c r="B1146" t="s">
        <v>22</v>
      </c>
      <c r="C1146">
        <v>2017</v>
      </c>
      <c r="D1146" t="s">
        <v>18</v>
      </c>
      <c r="E1146" s="3">
        <v>723381</v>
      </c>
      <c r="F1146" s="3">
        <v>1372363</v>
      </c>
      <c r="G1146" s="1">
        <f t="shared" si="398"/>
        <v>2095744</v>
      </c>
      <c r="H1146" s="2">
        <f t="shared" si="399"/>
        <v>0.3451666806632871</v>
      </c>
      <c r="I1146" s="2">
        <f t="shared" si="400"/>
        <v>0.65483331933671285</v>
      </c>
      <c r="J1146" s="3">
        <v>682344.06</v>
      </c>
      <c r="K1146" s="3">
        <v>1390828.97</v>
      </c>
      <c r="L1146" s="1">
        <f t="shared" si="382"/>
        <v>2073173.03</v>
      </c>
      <c r="M1146" s="2">
        <f t="shared" si="383"/>
        <v>0.3291302993653164</v>
      </c>
      <c r="N1146" s="2">
        <f t="shared" si="384"/>
        <v>0.67086970063468365</v>
      </c>
      <c r="O1146" s="5">
        <f t="shared" si="385"/>
        <v>989.23009203414153</v>
      </c>
    </row>
    <row r="1147" spans="1:15" x14ac:dyDescent="0.35">
      <c r="A1147" t="s">
        <v>34</v>
      </c>
      <c r="B1147" t="s">
        <v>23</v>
      </c>
      <c r="C1147">
        <v>2017</v>
      </c>
      <c r="D1147" t="s">
        <v>18</v>
      </c>
      <c r="E1147" s="3">
        <v>717640</v>
      </c>
      <c r="F1147" s="3">
        <v>1367835</v>
      </c>
      <c r="G1147" s="1">
        <f t="shared" si="398"/>
        <v>2085475</v>
      </c>
      <c r="H1147" s="2">
        <f t="shared" si="399"/>
        <v>0.34411345137198962</v>
      </c>
      <c r="I1147" s="2">
        <f t="shared" si="400"/>
        <v>0.65588654862801044</v>
      </c>
      <c r="J1147" s="3">
        <v>859540.97</v>
      </c>
      <c r="K1147" s="3">
        <v>1739331.81</v>
      </c>
      <c r="L1147" s="1">
        <f t="shared" si="382"/>
        <v>2598872.7800000003</v>
      </c>
      <c r="M1147" s="2">
        <f t="shared" si="383"/>
        <v>0.3307360701203696</v>
      </c>
      <c r="N1147" s="2">
        <f t="shared" si="384"/>
        <v>0.66926392987963035</v>
      </c>
      <c r="O1147" s="5">
        <f t="shared" si="385"/>
        <v>1246.1778635562644</v>
      </c>
    </row>
    <row r="1148" spans="1:15" x14ac:dyDescent="0.35">
      <c r="A1148" t="s">
        <v>34</v>
      </c>
      <c r="B1148" t="s">
        <v>24</v>
      </c>
      <c r="C1148">
        <v>2017</v>
      </c>
      <c r="D1148" t="s">
        <v>18</v>
      </c>
      <c r="E1148" s="3">
        <v>714646</v>
      </c>
      <c r="F1148" s="3">
        <v>1378977</v>
      </c>
      <c r="G1148" s="1">
        <f t="shared" si="398"/>
        <v>2093623</v>
      </c>
      <c r="H1148" s="2">
        <f t="shared" si="399"/>
        <v>0.34134416750293628</v>
      </c>
      <c r="I1148" s="2">
        <f t="shared" si="400"/>
        <v>0.65865583249706372</v>
      </c>
      <c r="J1148" s="3">
        <v>1103074.0900000001</v>
      </c>
      <c r="K1148" s="3">
        <v>2232661.4500000002</v>
      </c>
      <c r="L1148" s="1">
        <f t="shared" si="382"/>
        <v>3335735.54</v>
      </c>
      <c r="M1148" s="2">
        <f t="shared" si="383"/>
        <v>0.3306839156679669</v>
      </c>
      <c r="N1148" s="2">
        <f t="shared" si="384"/>
        <v>0.66931608433203316</v>
      </c>
      <c r="O1148" s="5">
        <f t="shared" si="385"/>
        <v>1593.2837669437142</v>
      </c>
    </row>
    <row r="1149" spans="1:15" x14ac:dyDescent="0.35">
      <c r="A1149" t="s">
        <v>34</v>
      </c>
      <c r="B1149" t="s">
        <v>25</v>
      </c>
      <c r="C1149">
        <v>2017</v>
      </c>
      <c r="D1149" t="s">
        <v>18</v>
      </c>
      <c r="E1149" s="3">
        <v>711169</v>
      </c>
      <c r="F1149" s="3">
        <v>1385545</v>
      </c>
      <c r="G1149" s="1">
        <f t="shared" si="398"/>
        <v>2096714</v>
      </c>
      <c r="H1149" s="2">
        <f t="shared" si="399"/>
        <v>0.33918264484331195</v>
      </c>
      <c r="I1149" s="2">
        <f t="shared" si="400"/>
        <v>0.66081735515668805</v>
      </c>
      <c r="J1149" s="3">
        <v>1178233.3500000001</v>
      </c>
      <c r="K1149" s="3">
        <v>2381366.75</v>
      </c>
      <c r="L1149" s="1">
        <f t="shared" si="382"/>
        <v>3559600.1</v>
      </c>
      <c r="M1149" s="2">
        <f t="shared" si="383"/>
        <v>0.33100160605119661</v>
      </c>
      <c r="N1149" s="2">
        <f t="shared" si="384"/>
        <v>0.66899839394880334</v>
      </c>
      <c r="O1149" s="5">
        <f t="shared" si="385"/>
        <v>1697.7041694766192</v>
      </c>
    </row>
    <row r="1150" spans="1:15" x14ac:dyDescent="0.35">
      <c r="A1150" t="s">
        <v>34</v>
      </c>
      <c r="B1150" t="s">
        <v>26</v>
      </c>
      <c r="C1150">
        <v>2017</v>
      </c>
      <c r="D1150" t="s">
        <v>18</v>
      </c>
      <c r="E1150" s="3">
        <v>704813</v>
      </c>
      <c r="F1150" s="3">
        <v>1388739</v>
      </c>
      <c r="G1150" s="1">
        <f t="shared" si="398"/>
        <v>2093552</v>
      </c>
      <c r="H1150" s="2">
        <f t="shared" si="399"/>
        <v>0.33665894135899183</v>
      </c>
      <c r="I1150" s="2">
        <f t="shared" si="400"/>
        <v>0.66334105864100823</v>
      </c>
      <c r="J1150" s="3">
        <v>1126041.6000000001</v>
      </c>
      <c r="K1150" s="3">
        <v>2298301.67</v>
      </c>
      <c r="L1150" s="1">
        <f t="shared" si="382"/>
        <v>3424343.27</v>
      </c>
      <c r="M1150" s="2">
        <f t="shared" si="383"/>
        <v>0.32883432273423924</v>
      </c>
      <c r="N1150" s="2">
        <f t="shared" si="384"/>
        <v>0.67116567726576082</v>
      </c>
      <c r="O1150" s="5">
        <f t="shared" si="385"/>
        <v>1635.6619133415363</v>
      </c>
    </row>
    <row r="1151" spans="1:15" x14ac:dyDescent="0.35">
      <c r="A1151" t="s">
        <v>34</v>
      </c>
      <c r="B1151" t="s">
        <v>27</v>
      </c>
      <c r="C1151">
        <v>2017</v>
      </c>
      <c r="D1151" t="s">
        <v>18</v>
      </c>
      <c r="E1151" s="3">
        <v>708399</v>
      </c>
      <c r="F1151" s="3">
        <v>1396042</v>
      </c>
      <c r="G1151" s="1">
        <f t="shared" si="398"/>
        <v>2104441</v>
      </c>
      <c r="H1151" s="2">
        <f t="shared" si="399"/>
        <v>0.33662098390974138</v>
      </c>
      <c r="I1151" s="2">
        <f t="shared" si="400"/>
        <v>0.66337901609025862</v>
      </c>
      <c r="J1151" s="3">
        <v>947753.18</v>
      </c>
      <c r="K1151" s="3">
        <v>1960418.27</v>
      </c>
      <c r="L1151" s="1">
        <f t="shared" si="382"/>
        <v>2908171.45</v>
      </c>
      <c r="M1151" s="2">
        <f t="shared" si="383"/>
        <v>0.32589315874069252</v>
      </c>
      <c r="N1151" s="2">
        <f t="shared" si="384"/>
        <v>0.67410684125930742</v>
      </c>
      <c r="O1151" s="5">
        <f t="shared" si="385"/>
        <v>1381.9211134928469</v>
      </c>
    </row>
    <row r="1152" spans="1:15" x14ac:dyDescent="0.35">
      <c r="A1152" t="s">
        <v>34</v>
      </c>
      <c r="B1152" t="s">
        <v>28</v>
      </c>
      <c r="C1152">
        <v>2017</v>
      </c>
      <c r="D1152" t="s">
        <v>18</v>
      </c>
      <c r="E1152" s="3">
        <v>709544</v>
      </c>
      <c r="F1152" s="3">
        <v>1403648</v>
      </c>
      <c r="G1152" s="1">
        <f t="shared" si="398"/>
        <v>2113192</v>
      </c>
      <c r="H1152" s="2">
        <f t="shared" si="399"/>
        <v>0.33576882744208764</v>
      </c>
      <c r="I1152" s="2">
        <f t="shared" si="400"/>
        <v>0.66423117255791242</v>
      </c>
      <c r="J1152" s="3">
        <v>720462.39</v>
      </c>
      <c r="K1152" s="3">
        <v>1504187.89</v>
      </c>
      <c r="L1152" s="1">
        <f t="shared" si="382"/>
        <v>2224650.2799999998</v>
      </c>
      <c r="M1152" s="2">
        <f t="shared" si="383"/>
        <v>0.32385422395469732</v>
      </c>
      <c r="N1152" s="2">
        <f t="shared" si="384"/>
        <v>0.67614577604530279</v>
      </c>
      <c r="O1152" s="5">
        <f t="shared" si="385"/>
        <v>1052.7440384025683</v>
      </c>
    </row>
    <row r="1153" spans="1:16" x14ac:dyDescent="0.35">
      <c r="A1153" t="s">
        <v>34</v>
      </c>
      <c r="B1153" t="s">
        <v>29</v>
      </c>
      <c r="C1153">
        <v>2017</v>
      </c>
      <c r="D1153" t="s">
        <v>18</v>
      </c>
      <c r="E1153" s="3">
        <v>706916</v>
      </c>
      <c r="F1153" s="3">
        <v>1412652</v>
      </c>
      <c r="G1153" s="1">
        <f t="shared" si="398"/>
        <v>2119568</v>
      </c>
      <c r="H1153" s="2">
        <f t="shared" si="399"/>
        <v>0.33351890573928272</v>
      </c>
      <c r="I1153" s="2">
        <f t="shared" si="400"/>
        <v>0.66648109426071733</v>
      </c>
      <c r="J1153" s="3">
        <v>578779.06000000006</v>
      </c>
      <c r="K1153" s="3">
        <v>1246420.8999999999</v>
      </c>
      <c r="L1153" s="1">
        <f t="shared" si="382"/>
        <v>1825199.96</v>
      </c>
      <c r="M1153" s="2">
        <f t="shared" si="383"/>
        <v>0.31710446673470233</v>
      </c>
      <c r="N1153" s="2">
        <f t="shared" si="384"/>
        <v>0.68289553326529762</v>
      </c>
      <c r="O1153" s="5">
        <f t="shared" si="385"/>
        <v>861.11885063371403</v>
      </c>
    </row>
    <row r="1154" spans="1:16" x14ac:dyDescent="0.35">
      <c r="A1154" t="s">
        <v>34</v>
      </c>
      <c r="B1154" t="s">
        <v>17</v>
      </c>
      <c r="C1154">
        <v>2002</v>
      </c>
      <c r="D1154" t="s">
        <v>30</v>
      </c>
      <c r="E1154" s="8">
        <v>197397</v>
      </c>
      <c r="F1154" s="8">
        <v>1651</v>
      </c>
      <c r="G1154" s="1">
        <f t="shared" si="398"/>
        <v>199048</v>
      </c>
      <c r="H1154" s="2">
        <f t="shared" si="399"/>
        <v>0.99170551826695064</v>
      </c>
      <c r="I1154" s="2">
        <f t="shared" si="400"/>
        <v>8.2944817330493151E-3</v>
      </c>
      <c r="J1154" s="3">
        <v>1438233.97</v>
      </c>
      <c r="K1154" s="3">
        <v>135195.85</v>
      </c>
      <c r="L1154" s="1">
        <f t="shared" si="382"/>
        <v>1573429.82</v>
      </c>
      <c r="M1154" s="2">
        <f t="shared" si="383"/>
        <v>0.91407570373872782</v>
      </c>
      <c r="N1154" s="2">
        <f t="shared" si="384"/>
        <v>8.5924296261272085E-2</v>
      </c>
      <c r="P1154" s="5">
        <f>SUM(1000*L1154)/G1154</f>
        <v>7904.7758329649132</v>
      </c>
    </row>
    <row r="1155" spans="1:16" x14ac:dyDescent="0.35">
      <c r="A1155" t="s">
        <v>34</v>
      </c>
      <c r="B1155" t="s">
        <v>19</v>
      </c>
      <c r="C1155">
        <v>2002</v>
      </c>
      <c r="D1155" t="s">
        <v>30</v>
      </c>
      <c r="E1155" s="8">
        <v>197397</v>
      </c>
      <c r="F1155" s="8">
        <v>7836</v>
      </c>
      <c r="G1155" s="1">
        <f t="shared" si="398"/>
        <v>205233</v>
      </c>
      <c r="H1155" s="2">
        <f t="shared" si="399"/>
        <v>0.96181900571545509</v>
      </c>
      <c r="I1155" s="2">
        <f t="shared" si="400"/>
        <v>3.8180994284544884E-2</v>
      </c>
      <c r="J1155" s="3">
        <v>1438233.97</v>
      </c>
      <c r="K1155" s="3">
        <v>272787.23</v>
      </c>
      <c r="L1155" s="1">
        <f t="shared" ref="L1155:L1218" si="401">SUM(J1155:K1155)</f>
        <v>1711021.2</v>
      </c>
      <c r="M1155" s="2">
        <f t="shared" ref="M1155:M1218" si="402">SUM(J1155)/L1155</f>
        <v>0.8405705142636456</v>
      </c>
      <c r="N1155" s="2">
        <f t="shared" ref="N1155:N1218" si="403">SUM(K1155/L1155)</f>
        <v>0.1594294857363544</v>
      </c>
      <c r="P1155" s="5">
        <f>SUM(1000*L1155)/G1155</f>
        <v>8336.9692008595102</v>
      </c>
    </row>
    <row r="1156" spans="1:16" x14ac:dyDescent="0.35">
      <c r="A1156" t="s">
        <v>34</v>
      </c>
      <c r="B1156" t="s">
        <v>20</v>
      </c>
      <c r="C1156">
        <v>2002</v>
      </c>
      <c r="D1156" t="s">
        <v>30</v>
      </c>
      <c r="E1156" s="8">
        <v>197397</v>
      </c>
      <c r="F1156" s="8">
        <v>11000</v>
      </c>
      <c r="G1156" s="1">
        <f t="shared" si="398"/>
        <v>208397</v>
      </c>
      <c r="H1156" s="2">
        <f t="shared" si="399"/>
        <v>0.94721613075044264</v>
      </c>
      <c r="I1156" s="2">
        <f t="shared" si="400"/>
        <v>5.2783869249557337E-2</v>
      </c>
      <c r="J1156" s="3">
        <v>1438233.97</v>
      </c>
      <c r="K1156" s="3">
        <v>514454.21</v>
      </c>
      <c r="L1156" s="1">
        <f t="shared" si="401"/>
        <v>1952688.18</v>
      </c>
      <c r="M1156" s="2">
        <f t="shared" si="402"/>
        <v>0.73654052128281944</v>
      </c>
      <c r="N1156" s="2">
        <f t="shared" si="403"/>
        <v>0.26345947871718056</v>
      </c>
      <c r="P1156" s="5">
        <f t="shared" ref="P1156:P1219" si="404">SUM(1000*L1156)/G1156</f>
        <v>9370.0397798432805</v>
      </c>
    </row>
    <row r="1157" spans="1:16" x14ac:dyDescent="0.35">
      <c r="A1157" t="s">
        <v>34</v>
      </c>
      <c r="B1157" t="s">
        <v>21</v>
      </c>
      <c r="C1157">
        <v>2002</v>
      </c>
      <c r="D1157" t="s">
        <v>30</v>
      </c>
      <c r="E1157" s="8">
        <v>196525</v>
      </c>
      <c r="F1157" s="8">
        <v>11874</v>
      </c>
      <c r="G1157" s="1">
        <f t="shared" si="398"/>
        <v>208399</v>
      </c>
      <c r="H1157" s="2">
        <f t="shared" si="399"/>
        <v>0.94302275922629186</v>
      </c>
      <c r="I1157" s="2">
        <f t="shared" si="400"/>
        <v>5.6977240773708124E-2</v>
      </c>
      <c r="J1157" s="3">
        <v>1501168</v>
      </c>
      <c r="K1157" s="3">
        <v>517017.9</v>
      </c>
      <c r="L1157" s="1">
        <f t="shared" si="401"/>
        <v>2018185.9</v>
      </c>
      <c r="M1157" s="2">
        <f t="shared" si="402"/>
        <v>0.74382047758831338</v>
      </c>
      <c r="N1157" s="2">
        <f t="shared" si="403"/>
        <v>0.25617952241168668</v>
      </c>
      <c r="P1157" s="5">
        <f t="shared" si="404"/>
        <v>9684.2398476000362</v>
      </c>
    </row>
    <row r="1158" spans="1:16" x14ac:dyDescent="0.35">
      <c r="A1158" t="s">
        <v>34</v>
      </c>
      <c r="B1158" t="s">
        <v>22</v>
      </c>
      <c r="C1158">
        <v>2002</v>
      </c>
      <c r="D1158" t="s">
        <v>30</v>
      </c>
      <c r="E1158" s="8">
        <v>195772</v>
      </c>
      <c r="F1158" s="8">
        <v>13534</v>
      </c>
      <c r="G1158" s="1">
        <f t="shared" si="398"/>
        <v>209306</v>
      </c>
      <c r="H1158" s="2">
        <f t="shared" si="399"/>
        <v>0.93533869072076292</v>
      </c>
      <c r="I1158" s="2">
        <f t="shared" si="400"/>
        <v>6.4661309279237092E-2</v>
      </c>
      <c r="J1158" s="3">
        <v>1634894.48</v>
      </c>
      <c r="K1158" s="3">
        <v>600493.93999999994</v>
      </c>
      <c r="L1158" s="1">
        <f t="shared" si="401"/>
        <v>2235388.42</v>
      </c>
      <c r="M1158" s="2">
        <f t="shared" si="402"/>
        <v>0.73136930717391835</v>
      </c>
      <c r="N1158" s="2">
        <f t="shared" si="403"/>
        <v>0.26863069282608165</v>
      </c>
      <c r="P1158" s="5">
        <f t="shared" si="404"/>
        <v>10680.001624415927</v>
      </c>
    </row>
    <row r="1159" spans="1:16" x14ac:dyDescent="0.35">
      <c r="A1159" t="s">
        <v>34</v>
      </c>
      <c r="B1159" t="s">
        <v>23</v>
      </c>
      <c r="C1159">
        <v>2002</v>
      </c>
      <c r="D1159" t="s">
        <v>30</v>
      </c>
      <c r="E1159" s="8">
        <v>198414</v>
      </c>
      <c r="F1159" s="8">
        <v>14906</v>
      </c>
      <c r="G1159" s="1">
        <f t="shared" si="398"/>
        <v>213320</v>
      </c>
      <c r="H1159" s="2">
        <f t="shared" si="399"/>
        <v>0.93012375773485845</v>
      </c>
      <c r="I1159" s="2">
        <f t="shared" si="400"/>
        <v>6.9876242265141567E-2</v>
      </c>
      <c r="J1159" s="3">
        <v>1717947.58</v>
      </c>
      <c r="K1159" s="3">
        <v>653060.42000000004</v>
      </c>
      <c r="L1159" s="1">
        <f t="shared" si="401"/>
        <v>2371008</v>
      </c>
      <c r="M1159" s="2">
        <f t="shared" si="402"/>
        <v>0.72456422753529304</v>
      </c>
      <c r="N1159" s="2">
        <f t="shared" si="403"/>
        <v>0.27543577246470702</v>
      </c>
      <c r="P1159" s="5">
        <f t="shared" si="404"/>
        <v>11114.794674667166</v>
      </c>
    </row>
    <row r="1160" spans="1:16" x14ac:dyDescent="0.35">
      <c r="A1160" t="s">
        <v>34</v>
      </c>
      <c r="B1160" t="s">
        <v>24</v>
      </c>
      <c r="C1160">
        <v>2002</v>
      </c>
      <c r="D1160" t="s">
        <v>30</v>
      </c>
      <c r="E1160" s="8">
        <v>199150</v>
      </c>
      <c r="F1160" s="8">
        <v>15401</v>
      </c>
      <c r="G1160" s="1">
        <f t="shared" si="398"/>
        <v>214551</v>
      </c>
      <c r="H1160" s="2">
        <f t="shared" si="399"/>
        <v>0.9282175333603665</v>
      </c>
      <c r="I1160" s="2">
        <f t="shared" si="400"/>
        <v>7.178246663963346E-2</v>
      </c>
      <c r="J1160" s="3">
        <v>1769219.2</v>
      </c>
      <c r="K1160" s="3">
        <v>716934.8</v>
      </c>
      <c r="L1160" s="1">
        <f t="shared" si="401"/>
        <v>2486154</v>
      </c>
      <c r="M1160" s="2">
        <f t="shared" si="402"/>
        <v>0.71162896586454416</v>
      </c>
      <c r="N1160" s="2">
        <f t="shared" si="403"/>
        <v>0.28837103413545584</v>
      </c>
      <c r="P1160" s="5">
        <f t="shared" si="404"/>
        <v>11587.706419452717</v>
      </c>
    </row>
    <row r="1161" spans="1:16" x14ac:dyDescent="0.35">
      <c r="A1161" t="s">
        <v>34</v>
      </c>
      <c r="B1161" t="s">
        <v>25</v>
      </c>
      <c r="C1161">
        <v>2002</v>
      </c>
      <c r="D1161" t="s">
        <v>30</v>
      </c>
      <c r="E1161" s="8">
        <v>195742</v>
      </c>
      <c r="F1161" s="8">
        <v>19973</v>
      </c>
      <c r="G1161" s="1">
        <f t="shared" si="398"/>
        <v>215715</v>
      </c>
      <c r="H1161" s="2">
        <f t="shared" si="399"/>
        <v>0.90741024036344253</v>
      </c>
      <c r="I1161" s="2">
        <f t="shared" si="400"/>
        <v>9.2589759636557495E-2</v>
      </c>
      <c r="J1161" s="3">
        <v>1827023.91</v>
      </c>
      <c r="K1161" s="3">
        <v>755676.65</v>
      </c>
      <c r="L1161" s="1">
        <f t="shared" si="401"/>
        <v>2582700.56</v>
      </c>
      <c r="M1161" s="2">
        <f t="shared" si="402"/>
        <v>0.70740833772847433</v>
      </c>
      <c r="N1161" s="2">
        <f t="shared" si="403"/>
        <v>0.29259166227152561</v>
      </c>
      <c r="P1161" s="5">
        <f t="shared" si="404"/>
        <v>11972.744408131099</v>
      </c>
    </row>
    <row r="1162" spans="1:16" x14ac:dyDescent="0.35">
      <c r="A1162" t="s">
        <v>34</v>
      </c>
      <c r="B1162" t="s">
        <v>26</v>
      </c>
      <c r="C1162">
        <v>2002</v>
      </c>
      <c r="D1162" t="s">
        <v>30</v>
      </c>
      <c r="E1162" s="8">
        <v>196575</v>
      </c>
      <c r="F1162" s="8">
        <v>20652</v>
      </c>
      <c r="G1162" s="1">
        <f t="shared" si="398"/>
        <v>217227</v>
      </c>
      <c r="H1162" s="2">
        <f t="shared" si="399"/>
        <v>0.90492894529685541</v>
      </c>
      <c r="I1162" s="2">
        <f t="shared" si="400"/>
        <v>9.5071054703144642E-2</v>
      </c>
      <c r="J1162" s="3">
        <v>1815417.74</v>
      </c>
      <c r="K1162" s="3">
        <v>793675.19</v>
      </c>
      <c r="L1162" s="1">
        <f t="shared" si="401"/>
        <v>2609092.9299999997</v>
      </c>
      <c r="M1162" s="2">
        <f t="shared" si="402"/>
        <v>0.69580416976562054</v>
      </c>
      <c r="N1162" s="2">
        <f t="shared" si="403"/>
        <v>0.30419583023437957</v>
      </c>
      <c r="P1162" s="5">
        <f t="shared" si="404"/>
        <v>12010.905320241036</v>
      </c>
    </row>
    <row r="1163" spans="1:16" x14ac:dyDescent="0.35">
      <c r="A1163" t="s">
        <v>34</v>
      </c>
      <c r="B1163" t="s">
        <v>27</v>
      </c>
      <c r="C1163">
        <v>2002</v>
      </c>
      <c r="D1163" t="s">
        <v>30</v>
      </c>
      <c r="E1163" s="8">
        <v>196051</v>
      </c>
      <c r="F1163" s="8">
        <v>22261</v>
      </c>
      <c r="G1163" s="1">
        <f t="shared" si="398"/>
        <v>218312</v>
      </c>
      <c r="H1163" s="2">
        <f t="shared" si="399"/>
        <v>0.89803125801605044</v>
      </c>
      <c r="I1163" s="2">
        <f t="shared" si="400"/>
        <v>0.10196874198394958</v>
      </c>
      <c r="J1163" s="3">
        <v>1680582.5</v>
      </c>
      <c r="K1163" s="3">
        <v>813137.82799999975</v>
      </c>
      <c r="L1163" s="1">
        <f t="shared" si="401"/>
        <v>2493720.3279999997</v>
      </c>
      <c r="M1163" s="2">
        <f t="shared" si="402"/>
        <v>0.67392581322375145</v>
      </c>
      <c r="N1163" s="2">
        <f t="shared" si="403"/>
        <v>0.32607418677624855</v>
      </c>
      <c r="P1163" s="5">
        <f t="shared" si="404"/>
        <v>11422.735937557256</v>
      </c>
    </row>
    <row r="1164" spans="1:16" x14ac:dyDescent="0.35">
      <c r="A1164" t="s">
        <v>34</v>
      </c>
      <c r="B1164" t="s">
        <v>28</v>
      </c>
      <c r="C1164">
        <v>2002</v>
      </c>
      <c r="D1164" t="s">
        <v>30</v>
      </c>
      <c r="E1164" s="8">
        <v>195894</v>
      </c>
      <c r="F1164" s="8">
        <v>23280</v>
      </c>
      <c r="G1164" s="1">
        <f t="shared" si="398"/>
        <v>219174</v>
      </c>
      <c r="H1164" s="2">
        <f t="shared" si="399"/>
        <v>0.89378302170877932</v>
      </c>
      <c r="I1164" s="2">
        <f t="shared" si="400"/>
        <v>0.10621697829122068</v>
      </c>
      <c r="J1164" s="3">
        <v>1436114.801</v>
      </c>
      <c r="K1164" s="3">
        <v>710162.13199999975</v>
      </c>
      <c r="L1164" s="1">
        <f t="shared" si="401"/>
        <v>2146276.9329999997</v>
      </c>
      <c r="M1164" s="2">
        <f t="shared" si="402"/>
        <v>0.66911905864479615</v>
      </c>
      <c r="N1164" s="2">
        <f t="shared" si="403"/>
        <v>0.33088094135520385</v>
      </c>
      <c r="P1164" s="5">
        <f t="shared" si="404"/>
        <v>9792.5708934453887</v>
      </c>
    </row>
    <row r="1165" spans="1:16" x14ac:dyDescent="0.35">
      <c r="A1165" t="s">
        <v>34</v>
      </c>
      <c r="B1165" t="s">
        <v>29</v>
      </c>
      <c r="C1165">
        <v>2002</v>
      </c>
      <c r="D1165" t="s">
        <v>30</v>
      </c>
      <c r="E1165" s="8">
        <v>195505</v>
      </c>
      <c r="F1165" s="8">
        <v>24224</v>
      </c>
      <c r="G1165" s="1">
        <f t="shared" si="398"/>
        <v>219729</v>
      </c>
      <c r="H1165" s="2">
        <f t="shared" si="399"/>
        <v>0.88975510742778607</v>
      </c>
      <c r="I1165" s="2">
        <f t="shared" si="400"/>
        <v>0.11024489257221395</v>
      </c>
      <c r="J1165" s="3">
        <v>1336871.3040000002</v>
      </c>
      <c r="K1165" s="3">
        <v>698641.44699999946</v>
      </c>
      <c r="L1165" s="1">
        <f t="shared" si="401"/>
        <v>2035512.7509999997</v>
      </c>
      <c r="M1165" s="2">
        <f t="shared" si="402"/>
        <v>0.65677373101358694</v>
      </c>
      <c r="N1165" s="2">
        <f t="shared" si="403"/>
        <v>0.34322626898641301</v>
      </c>
      <c r="P1165" s="5">
        <f t="shared" si="404"/>
        <v>9263.7419321072757</v>
      </c>
    </row>
    <row r="1166" spans="1:16" x14ac:dyDescent="0.35">
      <c r="A1166" t="s">
        <v>34</v>
      </c>
      <c r="B1166" t="s">
        <v>17</v>
      </c>
      <c r="C1166">
        <v>2003</v>
      </c>
      <c r="D1166" t="s">
        <v>30</v>
      </c>
      <c r="E1166" s="8">
        <v>186010</v>
      </c>
      <c r="F1166" s="8">
        <v>24196</v>
      </c>
      <c r="G1166" s="1">
        <f t="shared" si="398"/>
        <v>210206</v>
      </c>
      <c r="H1166" s="2">
        <f t="shared" si="399"/>
        <v>0.88489386601714504</v>
      </c>
      <c r="I1166" s="2">
        <f t="shared" si="400"/>
        <v>0.11510613398285491</v>
      </c>
      <c r="J1166" s="3">
        <v>1392767</v>
      </c>
      <c r="K1166" s="3">
        <v>739866</v>
      </c>
      <c r="L1166" s="1">
        <f t="shared" si="401"/>
        <v>2132633</v>
      </c>
      <c r="M1166" s="2">
        <f t="shared" si="402"/>
        <v>0.65307392317384194</v>
      </c>
      <c r="N1166" s="2">
        <f t="shared" si="403"/>
        <v>0.34692607682615811</v>
      </c>
      <c r="P1166" s="5">
        <f t="shared" si="404"/>
        <v>10145.443041587776</v>
      </c>
    </row>
    <row r="1167" spans="1:16" x14ac:dyDescent="0.35">
      <c r="A1167" t="s">
        <v>34</v>
      </c>
      <c r="B1167" t="s">
        <v>19</v>
      </c>
      <c r="C1167">
        <v>2003</v>
      </c>
      <c r="D1167" t="s">
        <v>30</v>
      </c>
      <c r="E1167" s="8">
        <v>186270</v>
      </c>
      <c r="F1167" s="8">
        <v>25915</v>
      </c>
      <c r="G1167" s="1">
        <f t="shared" si="398"/>
        <v>212185</v>
      </c>
      <c r="H1167" s="2">
        <f t="shared" si="399"/>
        <v>0.87786601314890311</v>
      </c>
      <c r="I1167" s="2">
        <f t="shared" si="400"/>
        <v>0.12213398685109692</v>
      </c>
      <c r="J1167" s="3">
        <v>1350244</v>
      </c>
      <c r="K1167" s="3">
        <v>766511</v>
      </c>
      <c r="L1167" s="1">
        <f t="shared" si="401"/>
        <v>2116755</v>
      </c>
      <c r="M1167" s="2">
        <f t="shared" si="402"/>
        <v>0.63788393082808359</v>
      </c>
      <c r="N1167" s="2">
        <f t="shared" si="403"/>
        <v>0.36211606917191647</v>
      </c>
      <c r="P1167" s="5">
        <f t="shared" si="404"/>
        <v>9975.9879350566716</v>
      </c>
    </row>
    <row r="1168" spans="1:16" x14ac:dyDescent="0.35">
      <c r="A1168" t="s">
        <v>34</v>
      </c>
      <c r="B1168" t="s">
        <v>20</v>
      </c>
      <c r="C1168">
        <v>2003</v>
      </c>
      <c r="D1168" t="s">
        <v>30</v>
      </c>
      <c r="E1168" s="8">
        <v>186476</v>
      </c>
      <c r="F1168" s="8">
        <v>27743</v>
      </c>
      <c r="G1168" s="1">
        <f t="shared" si="398"/>
        <v>214219</v>
      </c>
      <c r="H1168" s="2">
        <f t="shared" si="399"/>
        <v>0.87049234661724684</v>
      </c>
      <c r="I1168" s="2">
        <f t="shared" si="400"/>
        <v>0.12950765338275316</v>
      </c>
      <c r="J1168" s="3">
        <v>1301568</v>
      </c>
      <c r="K1168" s="3">
        <v>774330</v>
      </c>
      <c r="L1168" s="1">
        <f t="shared" si="401"/>
        <v>2075898</v>
      </c>
      <c r="M1168" s="2">
        <f t="shared" si="402"/>
        <v>0.62699034345618132</v>
      </c>
      <c r="N1168" s="2">
        <f t="shared" si="403"/>
        <v>0.37300965654381862</v>
      </c>
      <c r="P1168" s="5">
        <f t="shared" si="404"/>
        <v>9690.5409884277306</v>
      </c>
    </row>
    <row r="1169" spans="1:16" x14ac:dyDescent="0.35">
      <c r="A1169" t="s">
        <v>34</v>
      </c>
      <c r="B1169" t="s">
        <v>21</v>
      </c>
      <c r="C1169">
        <v>2003</v>
      </c>
      <c r="D1169" t="s">
        <v>30</v>
      </c>
      <c r="E1169" s="3">
        <v>188881</v>
      </c>
      <c r="F1169" s="3">
        <v>27771</v>
      </c>
      <c r="G1169" s="1">
        <f t="shared" si="398"/>
        <v>216652</v>
      </c>
      <c r="H1169" s="2">
        <f t="shared" si="399"/>
        <v>0.87181747687535771</v>
      </c>
      <c r="I1169" s="2">
        <f t="shared" si="400"/>
        <v>0.12818252312464229</v>
      </c>
      <c r="J1169" s="3">
        <v>1253043.92</v>
      </c>
      <c r="K1169" s="3">
        <v>714085.31</v>
      </c>
      <c r="L1169" s="1">
        <f t="shared" si="401"/>
        <v>1967129.23</v>
      </c>
      <c r="M1169" s="2">
        <f t="shared" si="402"/>
        <v>0.63699115487191449</v>
      </c>
      <c r="N1169" s="2">
        <f t="shared" si="403"/>
        <v>0.36300884512808551</v>
      </c>
      <c r="P1169" s="5">
        <f t="shared" si="404"/>
        <v>9079.6726086073522</v>
      </c>
    </row>
    <row r="1170" spans="1:16" x14ac:dyDescent="0.35">
      <c r="A1170" t="s">
        <v>34</v>
      </c>
      <c r="B1170" t="s">
        <v>22</v>
      </c>
      <c r="C1170">
        <v>2003</v>
      </c>
      <c r="D1170" t="s">
        <v>30</v>
      </c>
      <c r="E1170" s="3">
        <v>188688</v>
      </c>
      <c r="F1170" s="3">
        <v>28161</v>
      </c>
      <c r="G1170" s="1">
        <f t="shared" si="398"/>
        <v>216849</v>
      </c>
      <c r="H1170" s="2">
        <f t="shared" si="399"/>
        <v>0.87013543986829545</v>
      </c>
      <c r="I1170" s="2">
        <f t="shared" si="400"/>
        <v>0.12986456013170455</v>
      </c>
      <c r="J1170" s="3">
        <v>1425357.11</v>
      </c>
      <c r="K1170" s="3">
        <v>800343.11</v>
      </c>
      <c r="L1170" s="1">
        <f t="shared" si="401"/>
        <v>2225700.2200000002</v>
      </c>
      <c r="M1170" s="2">
        <f t="shared" si="402"/>
        <v>0.64040839695832885</v>
      </c>
      <c r="N1170" s="2">
        <f t="shared" si="403"/>
        <v>0.35959160304167104</v>
      </c>
      <c r="P1170" s="5">
        <f t="shared" si="404"/>
        <v>10263.825150219738</v>
      </c>
    </row>
    <row r="1171" spans="1:16" x14ac:dyDescent="0.35">
      <c r="A1171" t="s">
        <v>34</v>
      </c>
      <c r="B1171" t="s">
        <v>23</v>
      </c>
      <c r="C1171">
        <v>2003</v>
      </c>
      <c r="D1171" t="s">
        <v>30</v>
      </c>
      <c r="E1171" s="3">
        <v>190265</v>
      </c>
      <c r="F1171" s="3">
        <v>28958</v>
      </c>
      <c r="G1171" s="1">
        <f t="shared" si="398"/>
        <v>219223</v>
      </c>
      <c r="H1171" s="2">
        <f t="shared" si="399"/>
        <v>0.86790619597396257</v>
      </c>
      <c r="I1171" s="2">
        <f t="shared" si="400"/>
        <v>0.1320938040260374</v>
      </c>
      <c r="J1171" s="3">
        <v>1593592.4849999996</v>
      </c>
      <c r="K1171" s="3">
        <v>904926.3</v>
      </c>
      <c r="L1171" s="1">
        <f t="shared" si="401"/>
        <v>2498518.7849999997</v>
      </c>
      <c r="M1171" s="2">
        <f t="shared" si="402"/>
        <v>0.63781489039314943</v>
      </c>
      <c r="N1171" s="2">
        <f t="shared" si="403"/>
        <v>0.36218510960685057</v>
      </c>
      <c r="P1171" s="5">
        <f t="shared" si="404"/>
        <v>11397.156251853134</v>
      </c>
    </row>
    <row r="1172" spans="1:16" x14ac:dyDescent="0.35">
      <c r="A1172" t="s">
        <v>34</v>
      </c>
      <c r="B1172" t="s">
        <v>24</v>
      </c>
      <c r="C1172">
        <v>2003</v>
      </c>
      <c r="D1172" t="s">
        <v>30</v>
      </c>
      <c r="E1172" s="3">
        <v>190058</v>
      </c>
      <c r="F1172" s="3">
        <v>30030</v>
      </c>
      <c r="G1172" s="1">
        <f t="shared" si="398"/>
        <v>220088</v>
      </c>
      <c r="H1172" s="2">
        <f t="shared" si="399"/>
        <v>0.86355457816873249</v>
      </c>
      <c r="I1172" s="2">
        <f t="shared" si="400"/>
        <v>0.13644542183126748</v>
      </c>
      <c r="J1172" s="3">
        <v>1639232.16</v>
      </c>
      <c r="K1172" s="3">
        <v>938482.25</v>
      </c>
      <c r="L1172" s="1">
        <f t="shared" si="401"/>
        <v>2577714.41</v>
      </c>
      <c r="M1172" s="2">
        <f t="shared" si="402"/>
        <v>0.63592466009452142</v>
      </c>
      <c r="N1172" s="2">
        <f t="shared" si="403"/>
        <v>0.36407533990547847</v>
      </c>
      <c r="P1172" s="5">
        <f t="shared" si="404"/>
        <v>11712.198802297264</v>
      </c>
    </row>
    <row r="1173" spans="1:16" x14ac:dyDescent="0.35">
      <c r="A1173" t="s">
        <v>34</v>
      </c>
      <c r="B1173" t="s">
        <v>25</v>
      </c>
      <c r="C1173">
        <v>2003</v>
      </c>
      <c r="D1173" t="s">
        <v>30</v>
      </c>
      <c r="E1173" s="3">
        <v>188506</v>
      </c>
      <c r="F1173" s="3">
        <v>31488</v>
      </c>
      <c r="G1173" s="1">
        <f t="shared" si="398"/>
        <v>219994</v>
      </c>
      <c r="H1173" s="2">
        <f t="shared" si="399"/>
        <v>0.85686882369519168</v>
      </c>
      <c r="I1173" s="2">
        <f t="shared" si="400"/>
        <v>0.14313117630480832</v>
      </c>
      <c r="J1173" s="3">
        <v>1624578.38</v>
      </c>
      <c r="K1173" s="3">
        <v>969363.72</v>
      </c>
      <c r="L1173" s="1">
        <f t="shared" si="401"/>
        <v>2593942.0999999996</v>
      </c>
      <c r="M1173" s="2">
        <f t="shared" si="402"/>
        <v>0.62629708658493188</v>
      </c>
      <c r="N1173" s="2">
        <f t="shared" si="403"/>
        <v>0.37370291341506817</v>
      </c>
      <c r="P1173" s="5">
        <f t="shared" si="404"/>
        <v>11790.967480931296</v>
      </c>
    </row>
    <row r="1174" spans="1:16" x14ac:dyDescent="0.35">
      <c r="A1174" t="s">
        <v>34</v>
      </c>
      <c r="B1174" t="s">
        <v>26</v>
      </c>
      <c r="C1174">
        <v>2003</v>
      </c>
      <c r="D1174" t="s">
        <v>30</v>
      </c>
      <c r="E1174" s="3">
        <v>188370</v>
      </c>
      <c r="F1174" s="3">
        <v>31159</v>
      </c>
      <c r="G1174" s="1">
        <f t="shared" si="398"/>
        <v>219529</v>
      </c>
      <c r="H1174" s="2">
        <f t="shared" si="399"/>
        <v>0.85806431041001419</v>
      </c>
      <c r="I1174" s="2">
        <f t="shared" si="400"/>
        <v>0.14193568958998584</v>
      </c>
      <c r="J1174" s="3">
        <v>1659276.8</v>
      </c>
      <c r="K1174" s="3">
        <v>1001122.03</v>
      </c>
      <c r="L1174" s="1">
        <f t="shared" si="401"/>
        <v>2660398.83</v>
      </c>
      <c r="M1174" s="2">
        <f t="shared" si="402"/>
        <v>0.62369475632343441</v>
      </c>
      <c r="N1174" s="2">
        <f t="shared" si="403"/>
        <v>0.37630524367656559</v>
      </c>
      <c r="P1174" s="5">
        <f t="shared" si="404"/>
        <v>12118.666918721445</v>
      </c>
    </row>
    <row r="1175" spans="1:16" x14ac:dyDescent="0.35">
      <c r="A1175" t="s">
        <v>34</v>
      </c>
      <c r="B1175" t="s">
        <v>27</v>
      </c>
      <c r="C1175">
        <v>2003</v>
      </c>
      <c r="D1175" t="s">
        <v>30</v>
      </c>
      <c r="E1175" s="3">
        <v>187406</v>
      </c>
      <c r="F1175" s="3">
        <v>32197</v>
      </c>
      <c r="G1175" s="1">
        <f t="shared" si="398"/>
        <v>219603</v>
      </c>
      <c r="H1175" s="2">
        <f t="shared" si="399"/>
        <v>0.85338542733933509</v>
      </c>
      <c r="I1175" s="2">
        <f t="shared" si="400"/>
        <v>0.14661457266066494</v>
      </c>
      <c r="J1175" s="3">
        <v>1473836.2</v>
      </c>
      <c r="K1175" s="3">
        <v>923203.39</v>
      </c>
      <c r="L1175" s="1">
        <f t="shared" si="401"/>
        <v>2397039.59</v>
      </c>
      <c r="M1175" s="2">
        <f t="shared" si="402"/>
        <v>0.61485684514705907</v>
      </c>
      <c r="N1175" s="2">
        <f t="shared" si="403"/>
        <v>0.38514315485294093</v>
      </c>
      <c r="P1175" s="5">
        <f t="shared" si="404"/>
        <v>10915.331712226154</v>
      </c>
    </row>
    <row r="1176" spans="1:16" x14ac:dyDescent="0.35">
      <c r="A1176" t="s">
        <v>34</v>
      </c>
      <c r="B1176" t="s">
        <v>28</v>
      </c>
      <c r="C1176">
        <v>2003</v>
      </c>
      <c r="D1176" t="s">
        <v>30</v>
      </c>
      <c r="E1176" s="3">
        <v>185396</v>
      </c>
      <c r="F1176" s="3">
        <v>34467</v>
      </c>
      <c r="G1176" s="1">
        <f t="shared" si="398"/>
        <v>219863</v>
      </c>
      <c r="H1176" s="2">
        <f t="shared" si="399"/>
        <v>0.84323419584013681</v>
      </c>
      <c r="I1176" s="2">
        <f t="shared" si="400"/>
        <v>0.15676580415986319</v>
      </c>
      <c r="J1176" s="3">
        <v>1351820.34</v>
      </c>
      <c r="K1176" s="3">
        <v>923882.95</v>
      </c>
      <c r="L1176" s="1">
        <f t="shared" si="401"/>
        <v>2275703.29</v>
      </c>
      <c r="M1176" s="2">
        <f t="shared" si="402"/>
        <v>0.59402310746758202</v>
      </c>
      <c r="N1176" s="2">
        <f t="shared" si="403"/>
        <v>0.40597689253241792</v>
      </c>
      <c r="P1176" s="5">
        <f t="shared" si="404"/>
        <v>10350.55143430227</v>
      </c>
    </row>
    <row r="1177" spans="1:16" x14ac:dyDescent="0.35">
      <c r="A1177" t="s">
        <v>34</v>
      </c>
      <c r="B1177" t="s">
        <v>29</v>
      </c>
      <c r="C1177">
        <v>2003</v>
      </c>
      <c r="D1177" t="s">
        <v>30</v>
      </c>
      <c r="E1177" s="3">
        <v>183058</v>
      </c>
      <c r="F1177" s="3">
        <v>37481</v>
      </c>
      <c r="G1177" s="1">
        <f t="shared" si="398"/>
        <v>220539</v>
      </c>
      <c r="H1177" s="2">
        <f t="shared" si="399"/>
        <v>0.83004820009159375</v>
      </c>
      <c r="I1177" s="2">
        <f t="shared" si="400"/>
        <v>0.16995179990840623</v>
      </c>
      <c r="J1177" s="3">
        <v>1254656.44</v>
      </c>
      <c r="K1177" s="3">
        <v>870316.27</v>
      </c>
      <c r="L1177" s="1">
        <f t="shared" si="401"/>
        <v>2124972.71</v>
      </c>
      <c r="M1177" s="2">
        <f t="shared" si="402"/>
        <v>0.59043414256364735</v>
      </c>
      <c r="N1177" s="2">
        <f t="shared" si="403"/>
        <v>0.40956585743635271</v>
      </c>
      <c r="P1177" s="5">
        <f t="shared" si="404"/>
        <v>9635.3602310702408</v>
      </c>
    </row>
    <row r="1178" spans="1:16" x14ac:dyDescent="0.35">
      <c r="A1178" t="s">
        <v>34</v>
      </c>
      <c r="B1178" t="s">
        <v>17</v>
      </c>
      <c r="C1178">
        <v>2004</v>
      </c>
      <c r="D1178" t="s">
        <v>30</v>
      </c>
      <c r="E1178" s="3">
        <v>179785</v>
      </c>
      <c r="F1178" s="3">
        <v>40358</v>
      </c>
      <c r="G1178" s="1">
        <f t="shared" si="398"/>
        <v>220143</v>
      </c>
      <c r="H1178" s="2">
        <f t="shared" si="399"/>
        <v>0.81667370754464141</v>
      </c>
      <c r="I1178" s="2">
        <f t="shared" si="400"/>
        <v>0.18332629245535856</v>
      </c>
      <c r="J1178" s="3">
        <v>1226931.51</v>
      </c>
      <c r="K1178" s="3">
        <v>885288.28</v>
      </c>
      <c r="L1178" s="1">
        <f t="shared" si="401"/>
        <v>2112219.79</v>
      </c>
      <c r="M1178" s="2">
        <f t="shared" si="402"/>
        <v>0.58087303026357873</v>
      </c>
      <c r="N1178" s="2">
        <f t="shared" si="403"/>
        <v>0.41912696973642122</v>
      </c>
      <c r="P1178" s="5">
        <f t="shared" si="404"/>
        <v>9594.7624498621353</v>
      </c>
    </row>
    <row r="1179" spans="1:16" x14ac:dyDescent="0.35">
      <c r="A1179" t="s">
        <v>34</v>
      </c>
      <c r="B1179" t="s">
        <v>19</v>
      </c>
      <c r="C1179">
        <v>2004</v>
      </c>
      <c r="D1179" t="s">
        <v>30</v>
      </c>
      <c r="E1179" s="3">
        <v>178311</v>
      </c>
      <c r="F1179" s="3">
        <v>41877</v>
      </c>
      <c r="G1179" s="1">
        <f t="shared" si="398"/>
        <v>220188</v>
      </c>
      <c r="H1179" s="2">
        <f t="shared" si="399"/>
        <v>0.80981252384326119</v>
      </c>
      <c r="I1179" s="2">
        <f t="shared" si="400"/>
        <v>0.19018747615673878</v>
      </c>
      <c r="J1179" s="3">
        <v>1197788.6599999999</v>
      </c>
      <c r="K1179" s="3">
        <v>865967.13</v>
      </c>
      <c r="L1179" s="1">
        <f t="shared" si="401"/>
        <v>2063755.79</v>
      </c>
      <c r="M1179" s="2">
        <f t="shared" si="402"/>
        <v>0.58039263453744194</v>
      </c>
      <c r="N1179" s="2">
        <f t="shared" si="403"/>
        <v>0.41960736546255795</v>
      </c>
      <c r="P1179" s="5">
        <f t="shared" si="404"/>
        <v>9372.6987392591782</v>
      </c>
    </row>
    <row r="1180" spans="1:16" x14ac:dyDescent="0.35">
      <c r="A1180" t="s">
        <v>34</v>
      </c>
      <c r="B1180" t="s">
        <v>20</v>
      </c>
      <c r="C1180">
        <v>2004</v>
      </c>
      <c r="D1180" t="s">
        <v>30</v>
      </c>
      <c r="E1180" s="3">
        <v>176637</v>
      </c>
      <c r="F1180" s="3">
        <v>43229</v>
      </c>
      <c r="G1180" s="1">
        <f t="shared" si="398"/>
        <v>219866</v>
      </c>
      <c r="H1180" s="2">
        <f t="shared" si="399"/>
        <v>0.80338478891688569</v>
      </c>
      <c r="I1180" s="2">
        <f t="shared" si="400"/>
        <v>0.19661521108311425</v>
      </c>
      <c r="J1180" s="3">
        <v>1162178.08</v>
      </c>
      <c r="K1180" s="3">
        <v>859793.26</v>
      </c>
      <c r="L1180" s="1">
        <f t="shared" si="401"/>
        <v>2021971.34</v>
      </c>
      <c r="M1180" s="2">
        <f t="shared" si="402"/>
        <v>0.57477475422574487</v>
      </c>
      <c r="N1180" s="2">
        <f t="shared" si="403"/>
        <v>0.42522524577425513</v>
      </c>
      <c r="P1180" s="5">
        <f t="shared" si="404"/>
        <v>9196.3802497885081</v>
      </c>
    </row>
    <row r="1181" spans="1:16" x14ac:dyDescent="0.35">
      <c r="A1181" t="s">
        <v>34</v>
      </c>
      <c r="B1181" t="s">
        <v>21</v>
      </c>
      <c r="C1181">
        <v>2004</v>
      </c>
      <c r="D1181" t="s">
        <v>30</v>
      </c>
      <c r="E1181" s="3">
        <v>176037</v>
      </c>
      <c r="F1181" s="3">
        <v>44699</v>
      </c>
      <c r="G1181" s="1">
        <f t="shared" si="398"/>
        <v>220736</v>
      </c>
      <c r="H1181" s="2">
        <f t="shared" si="399"/>
        <v>0.79750018121194555</v>
      </c>
      <c r="I1181" s="2">
        <f t="shared" si="400"/>
        <v>0.20249981878805451</v>
      </c>
      <c r="J1181" s="3">
        <v>1186716.81</v>
      </c>
      <c r="K1181" s="3">
        <v>936816.48</v>
      </c>
      <c r="L1181" s="1">
        <f t="shared" si="401"/>
        <v>2123533.29</v>
      </c>
      <c r="M1181" s="2">
        <f t="shared" si="402"/>
        <v>0.55884069046075568</v>
      </c>
      <c r="N1181" s="2">
        <f t="shared" si="403"/>
        <v>0.44115930953924437</v>
      </c>
      <c r="P1181" s="5">
        <f t="shared" si="404"/>
        <v>9620.2399699188172</v>
      </c>
    </row>
    <row r="1182" spans="1:16" x14ac:dyDescent="0.35">
      <c r="A1182" t="s">
        <v>34</v>
      </c>
      <c r="B1182" t="s">
        <v>22</v>
      </c>
      <c r="C1182">
        <v>2004</v>
      </c>
      <c r="D1182" t="s">
        <v>30</v>
      </c>
      <c r="E1182" s="3">
        <v>175455</v>
      </c>
      <c r="F1182" s="3">
        <v>46035</v>
      </c>
      <c r="G1182" s="1">
        <f t="shared" si="398"/>
        <v>221490</v>
      </c>
      <c r="H1182" s="2">
        <f t="shared" si="399"/>
        <v>0.79215765948801298</v>
      </c>
      <c r="I1182" s="2">
        <f t="shared" si="400"/>
        <v>0.20784234051198699</v>
      </c>
      <c r="J1182" s="3">
        <v>1196346.8500000001</v>
      </c>
      <c r="K1182" s="3">
        <v>941711.9</v>
      </c>
      <c r="L1182" s="1">
        <f t="shared" si="401"/>
        <v>2138058.75</v>
      </c>
      <c r="M1182" s="2">
        <f t="shared" si="402"/>
        <v>0.55954816489490766</v>
      </c>
      <c r="N1182" s="2">
        <f t="shared" si="403"/>
        <v>0.44045183510509245</v>
      </c>
      <c r="P1182" s="5">
        <f t="shared" si="404"/>
        <v>9653.0712447514561</v>
      </c>
    </row>
    <row r="1183" spans="1:16" x14ac:dyDescent="0.35">
      <c r="A1183" t="s">
        <v>34</v>
      </c>
      <c r="B1183" t="s">
        <v>23</v>
      </c>
      <c r="C1183">
        <v>2004</v>
      </c>
      <c r="D1183" t="s">
        <v>30</v>
      </c>
      <c r="E1183" s="3">
        <v>174523</v>
      </c>
      <c r="F1183" s="3">
        <v>48029</v>
      </c>
      <c r="G1183" s="1">
        <f t="shared" si="398"/>
        <v>222552</v>
      </c>
      <c r="H1183" s="2">
        <f t="shared" si="399"/>
        <v>0.7841897623926094</v>
      </c>
      <c r="I1183" s="2">
        <f t="shared" si="400"/>
        <v>0.21581023760739063</v>
      </c>
      <c r="J1183" s="3">
        <v>1275198.5</v>
      </c>
      <c r="K1183" s="3">
        <v>1111449.03</v>
      </c>
      <c r="L1183" s="1">
        <f t="shared" si="401"/>
        <v>2386647.5300000003</v>
      </c>
      <c r="M1183" s="2">
        <f t="shared" si="402"/>
        <v>0.5343053316297609</v>
      </c>
      <c r="N1183" s="2">
        <f t="shared" si="403"/>
        <v>0.46569466837023893</v>
      </c>
      <c r="P1183" s="5">
        <f t="shared" si="404"/>
        <v>10723.999469786839</v>
      </c>
    </row>
    <row r="1184" spans="1:16" x14ac:dyDescent="0.35">
      <c r="A1184" t="s">
        <v>34</v>
      </c>
      <c r="B1184" t="s">
        <v>24</v>
      </c>
      <c r="C1184">
        <v>2004</v>
      </c>
      <c r="D1184" t="s">
        <v>30</v>
      </c>
      <c r="E1184" s="3">
        <v>172650</v>
      </c>
      <c r="F1184" s="3">
        <v>50747</v>
      </c>
      <c r="G1184" s="1">
        <f t="shared" si="398"/>
        <v>223397</v>
      </c>
      <c r="H1184" s="2">
        <f t="shared" si="399"/>
        <v>0.77283938459334722</v>
      </c>
      <c r="I1184" s="2">
        <f t="shared" si="400"/>
        <v>0.22716061540665272</v>
      </c>
      <c r="J1184" s="3">
        <v>1365569.55</v>
      </c>
      <c r="K1184" s="3">
        <v>1213272.8700000001</v>
      </c>
      <c r="L1184" s="1">
        <f t="shared" si="401"/>
        <v>2578842.42</v>
      </c>
      <c r="M1184" s="2">
        <f t="shared" si="402"/>
        <v>0.5295281089722419</v>
      </c>
      <c r="N1184" s="2">
        <f t="shared" si="403"/>
        <v>0.47047189102775816</v>
      </c>
      <c r="P1184" s="5">
        <f t="shared" si="404"/>
        <v>11543.764777503726</v>
      </c>
    </row>
    <row r="1185" spans="1:16" x14ac:dyDescent="0.35">
      <c r="A1185" t="s">
        <v>34</v>
      </c>
      <c r="B1185" t="s">
        <v>25</v>
      </c>
      <c r="C1185">
        <v>2004</v>
      </c>
      <c r="D1185" t="s">
        <v>30</v>
      </c>
      <c r="E1185" s="3">
        <v>170635</v>
      </c>
      <c r="F1185" s="3">
        <v>53353</v>
      </c>
      <c r="G1185" s="1">
        <f t="shared" si="398"/>
        <v>223988</v>
      </c>
      <c r="H1185" s="2">
        <f t="shared" si="399"/>
        <v>0.76180420379663194</v>
      </c>
      <c r="I1185" s="2">
        <f t="shared" si="400"/>
        <v>0.23819579620336803</v>
      </c>
      <c r="J1185" s="3">
        <v>1364606.24</v>
      </c>
      <c r="K1185" s="3">
        <v>1265158.1399999999</v>
      </c>
      <c r="L1185" s="1">
        <f t="shared" si="401"/>
        <v>2629764.38</v>
      </c>
      <c r="M1185" s="2">
        <f t="shared" si="402"/>
        <v>0.51890817686107682</v>
      </c>
      <c r="N1185" s="2">
        <f t="shared" si="403"/>
        <v>0.48109182313892318</v>
      </c>
      <c r="P1185" s="5">
        <f t="shared" si="404"/>
        <v>11740.648516884834</v>
      </c>
    </row>
    <row r="1186" spans="1:16" x14ac:dyDescent="0.35">
      <c r="A1186" t="s">
        <v>34</v>
      </c>
      <c r="B1186" t="s">
        <v>26</v>
      </c>
      <c r="C1186">
        <v>2004</v>
      </c>
      <c r="D1186" t="s">
        <v>30</v>
      </c>
      <c r="E1186" s="3">
        <v>168684</v>
      </c>
      <c r="F1186" s="3">
        <v>55629</v>
      </c>
      <c r="G1186" s="1">
        <f t="shared" si="398"/>
        <v>224313</v>
      </c>
      <c r="H1186" s="2">
        <f t="shared" si="399"/>
        <v>0.75200278182717895</v>
      </c>
      <c r="I1186" s="2">
        <f t="shared" si="400"/>
        <v>0.24799721817282103</v>
      </c>
      <c r="J1186" s="3">
        <v>1347444.96</v>
      </c>
      <c r="K1186" s="3">
        <v>1318348.04</v>
      </c>
      <c r="L1186" s="1">
        <f t="shared" si="401"/>
        <v>2665793</v>
      </c>
      <c r="M1186" s="2">
        <f t="shared" si="402"/>
        <v>0.50545746050049645</v>
      </c>
      <c r="N1186" s="2">
        <f t="shared" si="403"/>
        <v>0.49454253949950355</v>
      </c>
      <c r="P1186" s="5">
        <f t="shared" si="404"/>
        <v>11884.25548229483</v>
      </c>
    </row>
    <row r="1187" spans="1:16" x14ac:dyDescent="0.35">
      <c r="A1187" t="s">
        <v>34</v>
      </c>
      <c r="B1187" t="s">
        <v>27</v>
      </c>
      <c r="C1187">
        <v>2004</v>
      </c>
      <c r="D1187" t="s">
        <v>30</v>
      </c>
      <c r="E1187" s="3">
        <v>167002</v>
      </c>
      <c r="F1187" s="3">
        <v>58071</v>
      </c>
      <c r="G1187" s="1">
        <f t="shared" si="398"/>
        <v>225073</v>
      </c>
      <c r="H1187" s="2">
        <f t="shared" si="399"/>
        <v>0.74199037645563881</v>
      </c>
      <c r="I1187" s="2">
        <f t="shared" si="400"/>
        <v>0.25800962354436119</v>
      </c>
      <c r="J1187" s="3">
        <v>1295206.5419999999</v>
      </c>
      <c r="K1187" s="3">
        <v>1309475.7719999999</v>
      </c>
      <c r="L1187" s="1">
        <f t="shared" si="401"/>
        <v>2604682.3139999998</v>
      </c>
      <c r="M1187" s="2">
        <f t="shared" si="402"/>
        <v>0.49726085021514838</v>
      </c>
      <c r="N1187" s="2">
        <f t="shared" si="403"/>
        <v>0.50273914978485168</v>
      </c>
      <c r="P1187" s="5">
        <f t="shared" si="404"/>
        <v>11572.611170597984</v>
      </c>
    </row>
    <row r="1188" spans="1:16" x14ac:dyDescent="0.35">
      <c r="A1188" t="s">
        <v>34</v>
      </c>
      <c r="B1188" t="s">
        <v>28</v>
      </c>
      <c r="C1188">
        <v>2004</v>
      </c>
      <c r="D1188" t="s">
        <v>30</v>
      </c>
      <c r="E1188" s="3">
        <v>165424</v>
      </c>
      <c r="F1188" s="3">
        <v>59963</v>
      </c>
      <c r="G1188" s="1">
        <f t="shared" si="398"/>
        <v>225387</v>
      </c>
      <c r="H1188" s="2">
        <f t="shared" si="399"/>
        <v>0.73395537453358006</v>
      </c>
      <c r="I1188" s="2">
        <f t="shared" si="400"/>
        <v>0.26604462546641999</v>
      </c>
      <c r="J1188" s="3">
        <v>1172291.547</v>
      </c>
      <c r="K1188" s="3">
        <v>1214735.24</v>
      </c>
      <c r="L1188" s="1">
        <f t="shared" si="401"/>
        <v>2387026.787</v>
      </c>
      <c r="M1188" s="2">
        <f t="shared" si="402"/>
        <v>0.49110950634673378</v>
      </c>
      <c r="N1188" s="2">
        <f t="shared" si="403"/>
        <v>0.50889049365326622</v>
      </c>
      <c r="P1188" s="5">
        <f t="shared" si="404"/>
        <v>10590.791780360003</v>
      </c>
    </row>
    <row r="1189" spans="1:16" x14ac:dyDescent="0.35">
      <c r="A1189" t="s">
        <v>34</v>
      </c>
      <c r="B1189" t="s">
        <v>29</v>
      </c>
      <c r="C1189">
        <v>2004</v>
      </c>
      <c r="D1189" t="s">
        <v>30</v>
      </c>
      <c r="E1189" s="3">
        <v>163216</v>
      </c>
      <c r="F1189" s="3">
        <v>61798</v>
      </c>
      <c r="G1189" s="1">
        <f t="shared" si="398"/>
        <v>225014</v>
      </c>
      <c r="H1189" s="2">
        <f t="shared" si="399"/>
        <v>0.72535931097620587</v>
      </c>
      <c r="I1189" s="2">
        <f t="shared" si="400"/>
        <v>0.27464068902379407</v>
      </c>
      <c r="J1189" s="3">
        <v>1070240.24</v>
      </c>
      <c r="K1189" s="3">
        <v>1107364.3020000001</v>
      </c>
      <c r="L1189" s="1">
        <f t="shared" si="401"/>
        <v>2177604.5420000004</v>
      </c>
      <c r="M1189" s="2">
        <f t="shared" si="402"/>
        <v>0.49147594035464676</v>
      </c>
      <c r="N1189" s="2">
        <f t="shared" si="403"/>
        <v>0.50852405964535319</v>
      </c>
      <c r="P1189" s="5">
        <f t="shared" si="404"/>
        <v>9677.6402446070042</v>
      </c>
    </row>
    <row r="1190" spans="1:16" x14ac:dyDescent="0.35">
      <c r="A1190" t="s">
        <v>34</v>
      </c>
      <c r="B1190" t="s">
        <v>17</v>
      </c>
      <c r="C1190">
        <v>2005</v>
      </c>
      <c r="D1190" t="s">
        <v>30</v>
      </c>
      <c r="E1190" s="3">
        <f>102889+58500</f>
        <v>161389</v>
      </c>
      <c r="F1190" s="3">
        <v>61798</v>
      </c>
      <c r="G1190" s="1">
        <f t="shared" si="398"/>
        <v>223187</v>
      </c>
      <c r="H1190" s="2">
        <f t="shared" si="399"/>
        <v>0.72311111310246567</v>
      </c>
      <c r="I1190" s="2">
        <f t="shared" si="400"/>
        <v>0.27688888689753438</v>
      </c>
      <c r="J1190" s="3">
        <f>68235.85+1022226.27</f>
        <v>1090462.1200000001</v>
      </c>
      <c r="K1190" s="3">
        <f>23885+1121205.72</f>
        <v>1145090.72</v>
      </c>
      <c r="L1190" s="1">
        <f t="shared" si="401"/>
        <v>2235552.84</v>
      </c>
      <c r="M1190" s="2">
        <f t="shared" si="402"/>
        <v>0.48778185891593606</v>
      </c>
      <c r="N1190" s="2">
        <f t="shared" si="403"/>
        <v>0.51221814108406405</v>
      </c>
      <c r="P1190" s="5">
        <f t="shared" si="404"/>
        <v>10016.50114029939</v>
      </c>
    </row>
    <row r="1191" spans="1:16" x14ac:dyDescent="0.35">
      <c r="A1191" t="s">
        <v>34</v>
      </c>
      <c r="B1191" t="s">
        <v>19</v>
      </c>
      <c r="C1191">
        <v>2005</v>
      </c>
      <c r="D1191" t="s">
        <v>30</v>
      </c>
      <c r="E1191" s="3">
        <f>101449+57627</f>
        <v>159076</v>
      </c>
      <c r="F1191" s="3">
        <v>61798</v>
      </c>
      <c r="G1191" s="1">
        <f t="shared" si="398"/>
        <v>220874</v>
      </c>
      <c r="H1191" s="2">
        <f t="shared" si="399"/>
        <v>0.7202115233119335</v>
      </c>
      <c r="I1191" s="2">
        <f t="shared" si="400"/>
        <v>0.2797884766880665</v>
      </c>
      <c r="J1191" s="3">
        <f>63976.21+922085.1</f>
        <v>986061.30999999994</v>
      </c>
      <c r="K1191" s="3">
        <f>23056.08+1071371.79</f>
        <v>1094427.8700000001</v>
      </c>
      <c r="L1191" s="1">
        <f t="shared" si="401"/>
        <v>2080489.1800000002</v>
      </c>
      <c r="M1191" s="2">
        <f t="shared" si="402"/>
        <v>0.4739564711410803</v>
      </c>
      <c r="N1191" s="2">
        <f t="shared" si="403"/>
        <v>0.52604352885891958</v>
      </c>
      <c r="P1191" s="5">
        <f t="shared" si="404"/>
        <v>9419.3484973333216</v>
      </c>
    </row>
    <row r="1192" spans="1:16" x14ac:dyDescent="0.35">
      <c r="A1192" t="s">
        <v>34</v>
      </c>
      <c r="B1192" t="s">
        <v>20</v>
      </c>
      <c r="C1192">
        <v>2005</v>
      </c>
      <c r="D1192" t="s">
        <v>30</v>
      </c>
      <c r="E1192" s="3">
        <f>100645+56681</f>
        <v>157326</v>
      </c>
      <c r="F1192" s="3">
        <v>61798</v>
      </c>
      <c r="G1192" s="1">
        <f t="shared" si="398"/>
        <v>219124</v>
      </c>
      <c r="H1192" s="2">
        <f t="shared" si="399"/>
        <v>0.71797703583359196</v>
      </c>
      <c r="I1192" s="2">
        <f t="shared" si="400"/>
        <v>0.28202296416640804</v>
      </c>
      <c r="J1192" s="3">
        <f>58471.37+848908.79</f>
        <v>907380.16</v>
      </c>
      <c r="K1192" s="3">
        <f>21921.09+1084144.45</f>
        <v>1106065.54</v>
      </c>
      <c r="L1192" s="1">
        <f t="shared" si="401"/>
        <v>2013445.7000000002</v>
      </c>
      <c r="M1192" s="2">
        <f t="shared" si="402"/>
        <v>0.45066035801213805</v>
      </c>
      <c r="N1192" s="2">
        <f t="shared" si="403"/>
        <v>0.54933964198786189</v>
      </c>
      <c r="P1192" s="5">
        <f t="shared" si="404"/>
        <v>9188.613296580932</v>
      </c>
    </row>
    <row r="1193" spans="1:16" x14ac:dyDescent="0.35">
      <c r="A1193" t="s">
        <v>34</v>
      </c>
      <c r="B1193" t="s">
        <v>21</v>
      </c>
      <c r="C1193">
        <v>2005</v>
      </c>
      <c r="D1193" t="s">
        <v>30</v>
      </c>
      <c r="E1193" s="9">
        <f>100527+56180</f>
        <v>156707</v>
      </c>
      <c r="F1193" s="9">
        <f>32645+36839</f>
        <v>69484</v>
      </c>
      <c r="G1193" s="1">
        <f t="shared" si="398"/>
        <v>226191</v>
      </c>
      <c r="H1193" s="2">
        <f t="shared" si="399"/>
        <v>0.69280829033869606</v>
      </c>
      <c r="I1193" s="2">
        <f t="shared" si="400"/>
        <v>0.30719170966130394</v>
      </c>
      <c r="J1193" s="3">
        <f>56985.68+893227.33</f>
        <v>950213.01</v>
      </c>
      <c r="K1193" s="3">
        <f>22201.38+1173061.08</f>
        <v>1195262.46</v>
      </c>
      <c r="L1193" s="1">
        <f t="shared" si="401"/>
        <v>2145475.4699999997</v>
      </c>
      <c r="M1193" s="2">
        <f t="shared" si="402"/>
        <v>0.44289157498500792</v>
      </c>
      <c r="N1193" s="2">
        <f t="shared" si="403"/>
        <v>0.55710842501499214</v>
      </c>
      <c r="P1193" s="5">
        <f t="shared" si="404"/>
        <v>9485.2380068172461</v>
      </c>
    </row>
    <row r="1194" spans="1:16" x14ac:dyDescent="0.35">
      <c r="A1194" t="s">
        <v>34</v>
      </c>
      <c r="B1194" t="s">
        <v>22</v>
      </c>
      <c r="C1194">
        <v>2005</v>
      </c>
      <c r="D1194" t="s">
        <v>30</v>
      </c>
      <c r="E1194" s="9">
        <f>101114+55392</f>
        <v>156506</v>
      </c>
      <c r="F1194" s="9">
        <f>33410+37604</f>
        <v>71014</v>
      </c>
      <c r="G1194" s="1">
        <f t="shared" si="398"/>
        <v>227520</v>
      </c>
      <c r="H1194" s="2">
        <f t="shared" si="399"/>
        <v>0.68787798874824191</v>
      </c>
      <c r="I1194" s="2">
        <f t="shared" si="400"/>
        <v>0.31212201125175809</v>
      </c>
      <c r="J1194" s="3">
        <f>884979.71+56111.27</f>
        <v>941090.98</v>
      </c>
      <c r="K1194" s="3">
        <f>21986.53+1214336.74</f>
        <v>1236323.27</v>
      </c>
      <c r="L1194" s="1">
        <f t="shared" si="401"/>
        <v>2177414.25</v>
      </c>
      <c r="M1194" s="2">
        <f t="shared" si="402"/>
        <v>0.43220575965276242</v>
      </c>
      <c r="N1194" s="2">
        <f t="shared" si="403"/>
        <v>0.56779424034723758</v>
      </c>
      <c r="P1194" s="5">
        <f t="shared" si="404"/>
        <v>9570.210311181434</v>
      </c>
    </row>
    <row r="1195" spans="1:16" x14ac:dyDescent="0.35">
      <c r="A1195" t="s">
        <v>34</v>
      </c>
      <c r="B1195" t="s">
        <v>23</v>
      </c>
      <c r="C1195">
        <v>2005</v>
      </c>
      <c r="D1195" t="s">
        <v>30</v>
      </c>
      <c r="E1195" s="9">
        <f>100343+54771</f>
        <v>155114</v>
      </c>
      <c r="F1195" s="9">
        <f>34576+38571</f>
        <v>73147</v>
      </c>
      <c r="G1195" s="1">
        <f t="shared" si="398"/>
        <v>228261</v>
      </c>
      <c r="H1195" s="2">
        <f t="shared" si="399"/>
        <v>0.67954665930667091</v>
      </c>
      <c r="I1195" s="2">
        <f t="shared" si="400"/>
        <v>0.32045334069332915</v>
      </c>
      <c r="J1195" s="3">
        <f>986900.89+62280.1</f>
        <v>1049180.99</v>
      </c>
      <c r="K1195" s="3">
        <f>24340.93+1390773.25</f>
        <v>1415114.18</v>
      </c>
      <c r="L1195" s="1">
        <f t="shared" si="401"/>
        <v>2464295.17</v>
      </c>
      <c r="M1195" s="2">
        <f t="shared" si="402"/>
        <v>0.42575297098033921</v>
      </c>
      <c r="N1195" s="2">
        <f t="shared" si="403"/>
        <v>0.57424702901966085</v>
      </c>
      <c r="P1195" s="5">
        <f t="shared" si="404"/>
        <v>10795.953623264597</v>
      </c>
    </row>
    <row r="1196" spans="1:16" x14ac:dyDescent="0.35">
      <c r="A1196" t="s">
        <v>34</v>
      </c>
      <c r="B1196" t="s">
        <v>24</v>
      </c>
      <c r="C1196">
        <v>2005</v>
      </c>
      <c r="D1196" t="s">
        <v>30</v>
      </c>
      <c r="E1196" s="9">
        <f>99737+54722</f>
        <v>154459</v>
      </c>
      <c r="F1196" s="9">
        <f>35407+39341</f>
        <v>74748</v>
      </c>
      <c r="G1196" s="1">
        <f t="shared" si="398"/>
        <v>229207</v>
      </c>
      <c r="H1196" s="2">
        <f t="shared" si="399"/>
        <v>0.67388430545314937</v>
      </c>
      <c r="I1196" s="2">
        <f t="shared" si="400"/>
        <v>0.32611569454685069</v>
      </c>
      <c r="J1196" s="3">
        <f>71613.15+1107796.67</f>
        <v>1179409.8199999998</v>
      </c>
      <c r="K1196" s="3">
        <f>28400+1582831.33</f>
        <v>1611231.33</v>
      </c>
      <c r="L1196" s="1">
        <f t="shared" si="401"/>
        <v>2790641.15</v>
      </c>
      <c r="M1196" s="2">
        <f t="shared" si="402"/>
        <v>0.42263041236957316</v>
      </c>
      <c r="N1196" s="2">
        <f t="shared" si="403"/>
        <v>0.57736958763042678</v>
      </c>
      <c r="P1196" s="5">
        <f t="shared" si="404"/>
        <v>12175.200364735807</v>
      </c>
    </row>
    <row r="1197" spans="1:16" x14ac:dyDescent="0.35">
      <c r="A1197" t="s">
        <v>34</v>
      </c>
      <c r="B1197" t="s">
        <v>25</v>
      </c>
      <c r="C1197">
        <v>2005</v>
      </c>
      <c r="D1197" t="s">
        <v>30</v>
      </c>
      <c r="E1197" s="9">
        <f>98775+54172</f>
        <v>152947</v>
      </c>
      <c r="F1197" s="9">
        <f>37039+40169</f>
        <v>77208</v>
      </c>
      <c r="G1197" s="1">
        <f t="shared" si="398"/>
        <v>230155</v>
      </c>
      <c r="H1197" s="2">
        <f t="shared" si="399"/>
        <v>0.66453911494427664</v>
      </c>
      <c r="I1197" s="2">
        <f t="shared" si="400"/>
        <v>0.3354608850557233</v>
      </c>
      <c r="J1197" s="3">
        <f>69235.67+1028873.05</f>
        <v>1098108.72</v>
      </c>
      <c r="K1197" s="3">
        <f>28898.74+1577510.1</f>
        <v>1606408.84</v>
      </c>
      <c r="L1197" s="1">
        <f t="shared" si="401"/>
        <v>2704517.56</v>
      </c>
      <c r="M1197" s="2">
        <f t="shared" si="402"/>
        <v>0.40602758001689587</v>
      </c>
      <c r="N1197" s="2">
        <f t="shared" si="403"/>
        <v>0.59397241998310413</v>
      </c>
      <c r="P1197" s="5">
        <f t="shared" si="404"/>
        <v>11750.852946927071</v>
      </c>
    </row>
    <row r="1198" spans="1:16" x14ac:dyDescent="0.35">
      <c r="A1198" t="s">
        <v>34</v>
      </c>
      <c r="B1198" t="s">
        <v>26</v>
      </c>
      <c r="C1198">
        <v>2005</v>
      </c>
      <c r="D1198" t="s">
        <v>30</v>
      </c>
      <c r="E1198" s="9">
        <f>97128+53709</f>
        <v>150837</v>
      </c>
      <c r="F1198" s="9">
        <f>38534+40902</f>
        <v>79436</v>
      </c>
      <c r="G1198" s="1">
        <f t="shared" si="398"/>
        <v>230273</v>
      </c>
      <c r="H1198" s="2">
        <f t="shared" si="399"/>
        <v>0.65503554476642945</v>
      </c>
      <c r="I1198" s="2">
        <f t="shared" si="400"/>
        <v>0.34496445523357061</v>
      </c>
      <c r="J1198" s="3">
        <f>65706.72+1032702.19</f>
        <v>1098408.9099999999</v>
      </c>
      <c r="K1198" s="3">
        <f>30951.22+1665707.16</f>
        <v>1696658.38</v>
      </c>
      <c r="L1198" s="1">
        <f t="shared" si="401"/>
        <v>2795067.29</v>
      </c>
      <c r="M1198" s="2">
        <f t="shared" si="402"/>
        <v>0.39298120439883932</v>
      </c>
      <c r="N1198" s="2">
        <f t="shared" si="403"/>
        <v>0.60701879560116057</v>
      </c>
      <c r="P1198" s="5">
        <f t="shared" si="404"/>
        <v>12138.05912981548</v>
      </c>
    </row>
    <row r="1199" spans="1:16" x14ac:dyDescent="0.35">
      <c r="A1199" t="s">
        <v>34</v>
      </c>
      <c r="B1199" t="s">
        <v>27</v>
      </c>
      <c r="C1199">
        <v>2005</v>
      </c>
      <c r="D1199" t="s">
        <v>30</v>
      </c>
      <c r="E1199" s="9">
        <f>96517+52899</f>
        <v>149416</v>
      </c>
      <c r="F1199" s="9">
        <f>39327+41392</f>
        <v>80719</v>
      </c>
      <c r="G1199" s="1">
        <f t="shared" si="398"/>
        <v>230135</v>
      </c>
      <c r="H1199" s="2">
        <f t="shared" si="399"/>
        <v>0.64925369891585372</v>
      </c>
      <c r="I1199" s="2">
        <f t="shared" si="400"/>
        <v>0.35074630108414628</v>
      </c>
      <c r="J1199" s="3">
        <f>66697+0.59+1019265.2</f>
        <v>1085962.79</v>
      </c>
      <c r="K1199" s="3">
        <f>31659.96+1622379.57</f>
        <v>1654039.53</v>
      </c>
      <c r="L1199" s="1">
        <f t="shared" si="401"/>
        <v>2740002.3200000003</v>
      </c>
      <c r="M1199" s="2">
        <f t="shared" si="402"/>
        <v>0.39633644908738613</v>
      </c>
      <c r="N1199" s="2">
        <f t="shared" si="403"/>
        <v>0.60366355091261381</v>
      </c>
      <c r="P1199" s="5">
        <f t="shared" si="404"/>
        <v>11906.065222586745</v>
      </c>
    </row>
    <row r="1200" spans="1:16" x14ac:dyDescent="0.35">
      <c r="A1200" t="s">
        <v>34</v>
      </c>
      <c r="B1200" t="s">
        <v>28</v>
      </c>
      <c r="C1200">
        <v>2005</v>
      </c>
      <c r="D1200" t="s">
        <v>30</v>
      </c>
      <c r="E1200" s="9">
        <f>96637+53098</f>
        <v>149735</v>
      </c>
      <c r="F1200" s="9">
        <f>39986+41608</f>
        <v>81594</v>
      </c>
      <c r="G1200" s="1">
        <f t="shared" si="398"/>
        <v>231329</v>
      </c>
      <c r="H1200" s="2">
        <f t="shared" si="399"/>
        <v>0.64728157732061264</v>
      </c>
      <c r="I1200" s="2">
        <f t="shared" si="400"/>
        <v>0.35271842267938736</v>
      </c>
      <c r="J1200" s="3">
        <f>53931.72+867343</f>
        <v>921274.72</v>
      </c>
      <c r="K1200" s="3">
        <f>27545.8+1390689.97</f>
        <v>1418235.77</v>
      </c>
      <c r="L1200" s="1">
        <f t="shared" si="401"/>
        <v>2339510.4900000002</v>
      </c>
      <c r="M1200" s="2">
        <f t="shared" si="402"/>
        <v>0.39378952303821468</v>
      </c>
      <c r="N1200" s="2">
        <f t="shared" si="403"/>
        <v>0.60621047696178521</v>
      </c>
      <c r="P1200" s="5">
        <f t="shared" si="404"/>
        <v>10113.347180854973</v>
      </c>
    </row>
    <row r="1201" spans="1:16" x14ac:dyDescent="0.35">
      <c r="A1201" t="s">
        <v>34</v>
      </c>
      <c r="B1201" t="s">
        <v>29</v>
      </c>
      <c r="C1201">
        <v>2005</v>
      </c>
      <c r="D1201" t="s">
        <v>30</v>
      </c>
      <c r="E1201" s="9">
        <f>96664+53467</f>
        <v>150131</v>
      </c>
      <c r="F1201" s="9">
        <f>41168+43880</f>
        <v>85048</v>
      </c>
      <c r="G1201" s="1">
        <f t="shared" si="398"/>
        <v>235179</v>
      </c>
      <c r="H1201" s="2">
        <f t="shared" si="399"/>
        <v>0.63836907206850957</v>
      </c>
      <c r="I1201" s="2">
        <f t="shared" si="400"/>
        <v>0.36163092793149049</v>
      </c>
      <c r="J1201" s="3">
        <f>64990.39+854571.43</f>
        <v>919561.82000000007</v>
      </c>
      <c r="K1201" s="3">
        <f>28850.47+1343725.24</f>
        <v>1372575.71</v>
      </c>
      <c r="L1201" s="1">
        <f t="shared" si="401"/>
        <v>2292137.5300000003</v>
      </c>
      <c r="M1201" s="2">
        <f t="shared" si="402"/>
        <v>0.4011809099430434</v>
      </c>
      <c r="N1201" s="2">
        <f t="shared" si="403"/>
        <v>0.59881909005695644</v>
      </c>
      <c r="P1201" s="5">
        <f t="shared" si="404"/>
        <v>9746.352905659096</v>
      </c>
    </row>
    <row r="1202" spans="1:16" x14ac:dyDescent="0.35">
      <c r="A1202" t="s">
        <v>34</v>
      </c>
      <c r="B1202" t="s">
        <v>17</v>
      </c>
      <c r="C1202">
        <v>2006</v>
      </c>
      <c r="D1202" t="s">
        <v>30</v>
      </c>
      <c r="E1202" s="9">
        <f>96497+53855</f>
        <v>150352</v>
      </c>
      <c r="F1202" s="9">
        <f>41076+42729</f>
        <v>83805</v>
      </c>
      <c r="G1202" s="1">
        <f t="shared" si="398"/>
        <v>234157</v>
      </c>
      <c r="H1202" s="2">
        <f t="shared" si="399"/>
        <v>0.64209910444701634</v>
      </c>
      <c r="I1202" s="2">
        <f t="shared" si="400"/>
        <v>0.35790089555298366</v>
      </c>
      <c r="J1202" s="3">
        <f>50866.29+849788.99</f>
        <v>900655.28</v>
      </c>
      <c r="K1202" s="3">
        <f>30732+1294872</f>
        <v>1325604</v>
      </c>
      <c r="L1202" s="1">
        <f t="shared" si="401"/>
        <v>2226259.2800000003</v>
      </c>
      <c r="M1202" s="2">
        <f t="shared" si="402"/>
        <v>0.40455992169968624</v>
      </c>
      <c r="N1202" s="2">
        <f t="shared" si="403"/>
        <v>0.59544007830031365</v>
      </c>
      <c r="P1202" s="5">
        <f t="shared" si="404"/>
        <v>9507.5495500881916</v>
      </c>
    </row>
    <row r="1203" spans="1:16" x14ac:dyDescent="0.35">
      <c r="A1203" t="s">
        <v>34</v>
      </c>
      <c r="B1203" t="s">
        <v>19</v>
      </c>
      <c r="C1203">
        <v>2006</v>
      </c>
      <c r="D1203" t="s">
        <v>30</v>
      </c>
      <c r="E1203" s="9">
        <f>93350+54124</f>
        <v>147474</v>
      </c>
      <c r="F1203" s="9">
        <f>40279+41826</f>
        <v>82105</v>
      </c>
      <c r="G1203" s="1">
        <f t="shared" si="398"/>
        <v>229579</v>
      </c>
      <c r="H1203" s="2">
        <f t="shared" si="399"/>
        <v>0.64236711545916658</v>
      </c>
      <c r="I1203" s="2">
        <f t="shared" si="400"/>
        <v>0.35763288454083342</v>
      </c>
      <c r="J1203" s="3">
        <f>51452.31+801453.77</f>
        <v>852906.08000000007</v>
      </c>
      <c r="K1203" s="3">
        <f>26755+1220865</f>
        <v>1247620</v>
      </c>
      <c r="L1203" s="1">
        <f t="shared" si="401"/>
        <v>2100526.0800000001</v>
      </c>
      <c r="M1203" s="2">
        <f t="shared" si="402"/>
        <v>0.40604403255016958</v>
      </c>
      <c r="N1203" s="2">
        <f t="shared" si="403"/>
        <v>0.59395596744983048</v>
      </c>
      <c r="P1203" s="5">
        <f t="shared" si="404"/>
        <v>9149.4695943444312</v>
      </c>
    </row>
    <row r="1204" spans="1:16" x14ac:dyDescent="0.35">
      <c r="A1204" t="s">
        <v>34</v>
      </c>
      <c r="B1204" t="s">
        <v>20</v>
      </c>
      <c r="C1204">
        <v>2006</v>
      </c>
      <c r="D1204" t="s">
        <v>30</v>
      </c>
      <c r="E1204" s="9">
        <f>96495+54160</f>
        <v>150655</v>
      </c>
      <c r="F1204" s="9">
        <f>40334+41696</f>
        <v>82030</v>
      </c>
      <c r="G1204" s="1">
        <f t="shared" si="398"/>
        <v>232685</v>
      </c>
      <c r="H1204" s="2">
        <f t="shared" si="399"/>
        <v>0.64746330876506863</v>
      </c>
      <c r="I1204" s="2">
        <f t="shared" si="400"/>
        <v>0.35253669123493137</v>
      </c>
      <c r="J1204" s="3">
        <f>51859.89+812887.74</f>
        <v>864747.63</v>
      </c>
      <c r="K1204" s="3">
        <f>26586+1238504</f>
        <v>1265090</v>
      </c>
      <c r="L1204" s="1">
        <f t="shared" si="401"/>
        <v>2129837.63</v>
      </c>
      <c r="M1204" s="2">
        <f t="shared" si="402"/>
        <v>0.40601575341684615</v>
      </c>
      <c r="N1204" s="2">
        <f t="shared" si="403"/>
        <v>0.59398424658315385</v>
      </c>
      <c r="P1204" s="5">
        <f t="shared" si="404"/>
        <v>9153.308679115542</v>
      </c>
    </row>
    <row r="1205" spans="1:16" x14ac:dyDescent="0.35">
      <c r="A1205" t="s">
        <v>34</v>
      </c>
      <c r="B1205" t="s">
        <v>21</v>
      </c>
      <c r="C1205">
        <v>2006</v>
      </c>
      <c r="D1205" t="s">
        <v>30</v>
      </c>
      <c r="E1205" s="9">
        <f>96752+53944</f>
        <v>150696</v>
      </c>
      <c r="F1205" s="9">
        <f>41740+40695</f>
        <v>82435</v>
      </c>
      <c r="G1205" s="1">
        <f t="shared" si="398"/>
        <v>233131</v>
      </c>
      <c r="H1205" s="2">
        <f t="shared" si="399"/>
        <v>0.64640052159515471</v>
      </c>
      <c r="I1205" s="2">
        <f t="shared" si="400"/>
        <v>0.35359947840484535</v>
      </c>
      <c r="J1205" s="3">
        <f>50763+860991</f>
        <v>911754</v>
      </c>
      <c r="K1205" s="3">
        <f>27695+1299140</f>
        <v>1326835</v>
      </c>
      <c r="L1205" s="1">
        <f t="shared" si="401"/>
        <v>2238589</v>
      </c>
      <c r="M1205" s="2">
        <f t="shared" si="402"/>
        <v>0.40728959179197255</v>
      </c>
      <c r="N1205" s="2">
        <f t="shared" si="403"/>
        <v>0.59271040820802745</v>
      </c>
      <c r="P1205" s="5">
        <f t="shared" si="404"/>
        <v>9602.2794051413148</v>
      </c>
    </row>
    <row r="1206" spans="1:16" x14ac:dyDescent="0.35">
      <c r="A1206" t="s">
        <v>34</v>
      </c>
      <c r="B1206" t="s">
        <v>22</v>
      </c>
      <c r="C1206">
        <v>2006</v>
      </c>
      <c r="D1206" t="s">
        <v>30</v>
      </c>
      <c r="E1206" s="9">
        <f>96343+53680</f>
        <v>150023</v>
      </c>
      <c r="F1206" s="9">
        <f>41700+42327</f>
        <v>84027</v>
      </c>
      <c r="G1206" s="1">
        <f t="shared" si="398"/>
        <v>234050</v>
      </c>
      <c r="H1206" s="2">
        <f t="shared" si="399"/>
        <v>0.64098696859645377</v>
      </c>
      <c r="I1206" s="2">
        <f t="shared" si="400"/>
        <v>0.35901303140354623</v>
      </c>
      <c r="J1206" s="3">
        <f>55089.84+936073.05</f>
        <v>991162.89</v>
      </c>
      <c r="K1206" s="3">
        <f>29569+1397378</f>
        <v>1426947</v>
      </c>
      <c r="L1206" s="1">
        <f t="shared" si="401"/>
        <v>2418109.89</v>
      </c>
      <c r="M1206" s="2">
        <f t="shared" si="402"/>
        <v>0.40989158271876552</v>
      </c>
      <c r="N1206" s="2">
        <f t="shared" si="403"/>
        <v>0.59010841728123442</v>
      </c>
      <c r="P1206" s="5">
        <f t="shared" si="404"/>
        <v>10331.595342875455</v>
      </c>
    </row>
    <row r="1207" spans="1:16" x14ac:dyDescent="0.35">
      <c r="A1207" t="s">
        <v>34</v>
      </c>
      <c r="B1207" t="s">
        <v>23</v>
      </c>
      <c r="C1207">
        <v>2006</v>
      </c>
      <c r="D1207" t="s">
        <v>30</v>
      </c>
      <c r="E1207" s="9">
        <f>96174+53293</f>
        <v>149467</v>
      </c>
      <c r="F1207" s="9">
        <f>42677+42831</f>
        <v>85508</v>
      </c>
      <c r="G1207" s="1">
        <f t="shared" ref="G1207:G1270" si="405">SUM(E1207:F1207)</f>
        <v>234975</v>
      </c>
      <c r="H1207" s="2">
        <f t="shared" ref="H1207:H1270" si="406">SUM(E1207)/G1207</f>
        <v>0.6360974571762954</v>
      </c>
      <c r="I1207" s="2">
        <f t="shared" ref="I1207:I1270" si="407">SUM(F1207/G1207)</f>
        <v>0.36390254282370466</v>
      </c>
      <c r="J1207" s="3">
        <f>57043.06+1008791.88</f>
        <v>1065834.94</v>
      </c>
      <c r="K1207" s="3">
        <f>31328+1522034</f>
        <v>1553362</v>
      </c>
      <c r="L1207" s="1">
        <f t="shared" si="401"/>
        <v>2619196.94</v>
      </c>
      <c r="M1207" s="2">
        <f t="shared" si="402"/>
        <v>0.40693195831238255</v>
      </c>
      <c r="N1207" s="2">
        <f t="shared" si="403"/>
        <v>0.5930680416876174</v>
      </c>
      <c r="P1207" s="5">
        <f t="shared" si="404"/>
        <v>11146.704713267369</v>
      </c>
    </row>
    <row r="1208" spans="1:16" x14ac:dyDescent="0.35">
      <c r="A1208" t="s">
        <v>34</v>
      </c>
      <c r="B1208" t="s">
        <v>24</v>
      </c>
      <c r="C1208">
        <v>2006</v>
      </c>
      <c r="D1208" t="s">
        <v>30</v>
      </c>
      <c r="E1208" s="9">
        <f>95789+53031</f>
        <v>148820</v>
      </c>
      <c r="F1208" s="9">
        <f>43409+43433</f>
        <v>86842</v>
      </c>
      <c r="G1208" s="1">
        <f t="shared" si="405"/>
        <v>235662</v>
      </c>
      <c r="H1208" s="2">
        <f t="shared" si="406"/>
        <v>0.63149765341887953</v>
      </c>
      <c r="I1208" s="2">
        <f t="shared" si="407"/>
        <v>0.36850234658112041</v>
      </c>
      <c r="J1208" s="3">
        <f>61737.83+1030461.08</f>
        <v>1092198.9099999999</v>
      </c>
      <c r="K1208" s="3">
        <f>33756+1579019</f>
        <v>1612775</v>
      </c>
      <c r="L1208" s="1">
        <f t="shared" si="401"/>
        <v>2704973.91</v>
      </c>
      <c r="M1208" s="2">
        <f t="shared" si="402"/>
        <v>0.40377428631095369</v>
      </c>
      <c r="N1208" s="2">
        <f t="shared" si="403"/>
        <v>0.5962257136890462</v>
      </c>
      <c r="P1208" s="5">
        <f t="shared" si="404"/>
        <v>11478.192962802657</v>
      </c>
    </row>
    <row r="1209" spans="1:16" x14ac:dyDescent="0.35">
      <c r="A1209" t="s">
        <v>34</v>
      </c>
      <c r="B1209" t="s">
        <v>25</v>
      </c>
      <c r="C1209">
        <v>2006</v>
      </c>
      <c r="D1209" t="s">
        <v>30</v>
      </c>
      <c r="E1209" s="9">
        <f>95252+52702</f>
        <v>147954</v>
      </c>
      <c r="F1209" s="9">
        <f>43669+43654</f>
        <v>87323</v>
      </c>
      <c r="G1209" s="1">
        <f t="shared" si="405"/>
        <v>235277</v>
      </c>
      <c r="H1209" s="2">
        <f t="shared" si="406"/>
        <v>0.62885024885560425</v>
      </c>
      <c r="I1209" s="2">
        <f t="shared" si="407"/>
        <v>0.37114975114439575</v>
      </c>
      <c r="J1209" s="3">
        <f>62600.48+1069741.13</f>
        <v>1132341.6099999999</v>
      </c>
      <c r="K1209" s="3">
        <f>34806+1585518</f>
        <v>1620324</v>
      </c>
      <c r="L1209" s="1">
        <f t="shared" si="401"/>
        <v>2752665.61</v>
      </c>
      <c r="M1209" s="2">
        <f t="shared" si="402"/>
        <v>0.4113618471805589</v>
      </c>
      <c r="N1209" s="2">
        <f t="shared" si="403"/>
        <v>0.5886381528194411</v>
      </c>
      <c r="P1209" s="5">
        <f t="shared" si="404"/>
        <v>11699.679994219579</v>
      </c>
    </row>
    <row r="1210" spans="1:16" x14ac:dyDescent="0.35">
      <c r="A1210" t="s">
        <v>34</v>
      </c>
      <c r="B1210" t="s">
        <v>26</v>
      </c>
      <c r="C1210">
        <v>2006</v>
      </c>
      <c r="D1210" t="s">
        <v>30</v>
      </c>
      <c r="E1210" s="9">
        <f>94812+51959</f>
        <v>146771</v>
      </c>
      <c r="F1210" s="9">
        <f>44158+44126</f>
        <v>88284</v>
      </c>
      <c r="G1210" s="1">
        <f t="shared" si="405"/>
        <v>235055</v>
      </c>
      <c r="H1210" s="2">
        <f t="shared" si="406"/>
        <v>0.6244113079917466</v>
      </c>
      <c r="I1210" s="2">
        <f t="shared" si="407"/>
        <v>0.3755886920082534</v>
      </c>
      <c r="J1210" s="3">
        <f>62521.17+1098451.26</f>
        <v>1160972.43</v>
      </c>
      <c r="K1210" s="3">
        <f>35799+1673743</f>
        <v>1709542</v>
      </c>
      <c r="L1210" s="1">
        <f t="shared" si="401"/>
        <v>2870514.4299999997</v>
      </c>
      <c r="M1210" s="2">
        <f t="shared" si="402"/>
        <v>0.40444751570191551</v>
      </c>
      <c r="N1210" s="2">
        <f t="shared" si="403"/>
        <v>0.59555248429808461</v>
      </c>
      <c r="P1210" s="5">
        <f t="shared" si="404"/>
        <v>12212.096870945095</v>
      </c>
    </row>
    <row r="1211" spans="1:16" x14ac:dyDescent="0.35">
      <c r="A1211" t="s">
        <v>34</v>
      </c>
      <c r="B1211" t="s">
        <v>27</v>
      </c>
      <c r="C1211">
        <v>2006</v>
      </c>
      <c r="D1211" t="s">
        <v>30</v>
      </c>
      <c r="E1211" s="9">
        <f>94493+51174</f>
        <v>145667</v>
      </c>
      <c r="F1211" s="9">
        <f>45077+44983</f>
        <v>90060</v>
      </c>
      <c r="G1211" s="1">
        <f t="shared" si="405"/>
        <v>235727</v>
      </c>
      <c r="H1211" s="2">
        <f t="shared" si="406"/>
        <v>0.61794788038705795</v>
      </c>
      <c r="I1211" s="2">
        <f t="shared" si="407"/>
        <v>0.38205211961294211</v>
      </c>
      <c r="J1211" s="3">
        <f>59294.07+1003587.59</f>
        <v>1062881.6599999999</v>
      </c>
      <c r="K1211" s="3">
        <f>35911.75+1551056.88</f>
        <v>1586968.63</v>
      </c>
      <c r="L1211" s="1">
        <f t="shared" si="401"/>
        <v>2649850.29</v>
      </c>
      <c r="M1211" s="2">
        <f t="shared" si="402"/>
        <v>0.40111007931697151</v>
      </c>
      <c r="N1211" s="2">
        <f t="shared" si="403"/>
        <v>0.59888992068302838</v>
      </c>
      <c r="P1211" s="5">
        <f t="shared" si="404"/>
        <v>11241.182766505322</v>
      </c>
    </row>
    <row r="1212" spans="1:16" x14ac:dyDescent="0.35">
      <c r="A1212" t="s">
        <v>34</v>
      </c>
      <c r="B1212" t="s">
        <v>28</v>
      </c>
      <c r="C1212">
        <v>2006</v>
      </c>
      <c r="D1212" t="s">
        <v>30</v>
      </c>
      <c r="E1212" s="9">
        <f>93756+50482</f>
        <v>144238</v>
      </c>
      <c r="F1212" s="9">
        <f>46461+46285</f>
        <v>92746</v>
      </c>
      <c r="G1212" s="1">
        <f t="shared" si="405"/>
        <v>236984</v>
      </c>
      <c r="H1212" s="2">
        <f t="shared" si="406"/>
        <v>0.60864024575498765</v>
      </c>
      <c r="I1212" s="2">
        <f t="shared" si="407"/>
        <v>0.39135975424501235</v>
      </c>
      <c r="J1212" s="3">
        <f>50774.39+883026.65</f>
        <v>933801.04</v>
      </c>
      <c r="K1212" s="3">
        <f>33598.74+1399032.67</f>
        <v>1432631.41</v>
      </c>
      <c r="L1212" s="1">
        <f t="shared" si="401"/>
        <v>2366432.4500000002</v>
      </c>
      <c r="M1212" s="2">
        <f t="shared" si="402"/>
        <v>0.39460287150812184</v>
      </c>
      <c r="N1212" s="2">
        <f t="shared" si="403"/>
        <v>0.6053971284918781</v>
      </c>
      <c r="P1212" s="5">
        <f t="shared" si="404"/>
        <v>9985.621181176788</v>
      </c>
    </row>
    <row r="1213" spans="1:16" x14ac:dyDescent="0.35">
      <c r="A1213" t="s">
        <v>34</v>
      </c>
      <c r="B1213" t="s">
        <v>29</v>
      </c>
      <c r="C1213">
        <v>2006</v>
      </c>
      <c r="D1213" t="s">
        <v>30</v>
      </c>
      <c r="E1213" s="9">
        <f>91995+49322</f>
        <v>141317</v>
      </c>
      <c r="F1213" s="9">
        <f>47476+47035</f>
        <v>94511</v>
      </c>
      <c r="G1213" s="1">
        <f t="shared" si="405"/>
        <v>235828</v>
      </c>
      <c r="H1213" s="2">
        <f t="shared" si="406"/>
        <v>0.59923757993113624</v>
      </c>
      <c r="I1213" s="2">
        <f t="shared" si="407"/>
        <v>0.40076242006886376</v>
      </c>
      <c r="J1213" s="3">
        <f>49946.96+837790.4</f>
        <v>887737.36</v>
      </c>
      <c r="K1213" s="3">
        <f>34839.85+1361913.06</f>
        <v>1396752.9100000001</v>
      </c>
      <c r="L1213" s="1">
        <f t="shared" si="401"/>
        <v>2284490.27</v>
      </c>
      <c r="M1213" s="2">
        <f t="shared" si="402"/>
        <v>0.38859318932446141</v>
      </c>
      <c r="N1213" s="2">
        <f t="shared" si="403"/>
        <v>0.61140681067553859</v>
      </c>
      <c r="P1213" s="5">
        <f t="shared" si="404"/>
        <v>9687.1036094102474</v>
      </c>
    </row>
    <row r="1214" spans="1:16" x14ac:dyDescent="0.35">
      <c r="A1214" t="s">
        <v>34</v>
      </c>
      <c r="B1214" t="s">
        <v>17</v>
      </c>
      <c r="C1214">
        <v>2007</v>
      </c>
      <c r="D1214" t="s">
        <v>30</v>
      </c>
      <c r="E1214" s="9">
        <f>90520+48629</f>
        <v>139149</v>
      </c>
      <c r="F1214" s="9">
        <f>48075+47794</f>
        <v>95869</v>
      </c>
      <c r="G1214" s="1">
        <f t="shared" si="405"/>
        <v>235018</v>
      </c>
      <c r="H1214" s="2">
        <f t="shared" si="406"/>
        <v>0.59207805359589483</v>
      </c>
      <c r="I1214" s="2">
        <f t="shared" si="407"/>
        <v>0.40792194640410523</v>
      </c>
      <c r="J1214" s="3">
        <f>55327.75+831579.86</f>
        <v>886907.61</v>
      </c>
      <c r="K1214" s="3">
        <f>38406+1329344</f>
        <v>1367750</v>
      </c>
      <c r="L1214" s="1">
        <f t="shared" si="401"/>
        <v>2254657.61</v>
      </c>
      <c r="M1214" s="2">
        <f t="shared" si="402"/>
        <v>0.3933668713450465</v>
      </c>
      <c r="N1214" s="2">
        <f t="shared" si="403"/>
        <v>0.60663312865495356</v>
      </c>
      <c r="P1214" s="5">
        <f t="shared" si="404"/>
        <v>9593.5528768009262</v>
      </c>
    </row>
    <row r="1215" spans="1:16" x14ac:dyDescent="0.35">
      <c r="A1215" t="s">
        <v>34</v>
      </c>
      <c r="B1215" t="s">
        <v>19</v>
      </c>
      <c r="C1215">
        <v>2007</v>
      </c>
      <c r="D1215" t="s">
        <v>30</v>
      </c>
      <c r="E1215" s="9">
        <f>89153+48302</f>
        <v>137455</v>
      </c>
      <c r="F1215" s="9">
        <f>49788+48574</f>
        <v>98362</v>
      </c>
      <c r="G1215" s="1">
        <f t="shared" si="405"/>
        <v>235817</v>
      </c>
      <c r="H1215" s="2">
        <f t="shared" si="406"/>
        <v>0.58288842619488845</v>
      </c>
      <c r="I1215" s="2">
        <f t="shared" si="407"/>
        <v>0.4171115738051116</v>
      </c>
      <c r="J1215" s="3">
        <f>55453.51+846222.75</f>
        <v>901676.26</v>
      </c>
      <c r="K1215" s="3">
        <f>37918+1344764</f>
        <v>1382682</v>
      </c>
      <c r="L1215" s="1">
        <f t="shared" si="401"/>
        <v>2284358.2599999998</v>
      </c>
      <c r="M1215" s="2">
        <f t="shared" si="402"/>
        <v>0.39471753436783602</v>
      </c>
      <c r="N1215" s="2">
        <f t="shared" si="403"/>
        <v>0.60528246563216404</v>
      </c>
      <c r="P1215" s="5">
        <f t="shared" si="404"/>
        <v>9686.9956788526688</v>
      </c>
    </row>
    <row r="1216" spans="1:16" x14ac:dyDescent="0.35">
      <c r="A1216" t="s">
        <v>34</v>
      </c>
      <c r="B1216" t="s">
        <v>20</v>
      </c>
      <c r="C1216">
        <v>2007</v>
      </c>
      <c r="D1216" t="s">
        <v>30</v>
      </c>
      <c r="E1216" s="9">
        <f>87982+48075</f>
        <v>136057</v>
      </c>
      <c r="F1216" s="9">
        <f>51127+49219</f>
        <v>100346</v>
      </c>
      <c r="G1216" s="1">
        <f t="shared" si="405"/>
        <v>236403</v>
      </c>
      <c r="H1216" s="2">
        <f t="shared" si="406"/>
        <v>0.57552992136309611</v>
      </c>
      <c r="I1216" s="2">
        <f t="shared" si="407"/>
        <v>0.42447007863690395</v>
      </c>
      <c r="J1216" s="3">
        <f>48733.12+797321.64</f>
        <v>846054.76</v>
      </c>
      <c r="K1216" s="3">
        <f>34302+1290918</f>
        <v>1325220</v>
      </c>
      <c r="L1216" s="1">
        <f t="shared" si="401"/>
        <v>2171274.7599999998</v>
      </c>
      <c r="M1216" s="2">
        <f t="shared" si="402"/>
        <v>0.38965808270161079</v>
      </c>
      <c r="N1216" s="2">
        <f t="shared" si="403"/>
        <v>0.61034191729838938</v>
      </c>
      <c r="P1216" s="5">
        <f t="shared" si="404"/>
        <v>9184.632851528957</v>
      </c>
    </row>
    <row r="1217" spans="1:16" x14ac:dyDescent="0.35">
      <c r="A1217" t="s">
        <v>34</v>
      </c>
      <c r="B1217" t="s">
        <v>21</v>
      </c>
      <c r="C1217">
        <v>2007</v>
      </c>
      <c r="D1217" t="s">
        <v>30</v>
      </c>
      <c r="E1217" s="9">
        <f>87792+47531</f>
        <v>135323</v>
      </c>
      <c r="F1217" s="9">
        <f>51913+49750</f>
        <v>101663</v>
      </c>
      <c r="G1217" s="1">
        <f t="shared" si="405"/>
        <v>236986</v>
      </c>
      <c r="H1217" s="2">
        <f t="shared" si="406"/>
        <v>0.57101685331622964</v>
      </c>
      <c r="I1217" s="2">
        <f t="shared" si="407"/>
        <v>0.42898314668377036</v>
      </c>
      <c r="J1217" s="3">
        <f>45953+821062</f>
        <v>867015</v>
      </c>
      <c r="K1217" s="3">
        <f>34542+1330794</f>
        <v>1365336</v>
      </c>
      <c r="L1217" s="1">
        <f t="shared" si="401"/>
        <v>2232351</v>
      </c>
      <c r="M1217" s="2">
        <f t="shared" si="402"/>
        <v>0.3883865037352997</v>
      </c>
      <c r="N1217" s="2">
        <f t="shared" si="403"/>
        <v>0.6116134962647003</v>
      </c>
      <c r="P1217" s="5">
        <f t="shared" si="404"/>
        <v>9419.758973103897</v>
      </c>
    </row>
    <row r="1218" spans="1:16" x14ac:dyDescent="0.35">
      <c r="A1218" t="s">
        <v>34</v>
      </c>
      <c r="B1218" t="s">
        <v>22</v>
      </c>
      <c r="C1218">
        <v>2007</v>
      </c>
      <c r="D1218" t="s">
        <v>30</v>
      </c>
      <c r="E1218" s="9">
        <f>87660+47061</f>
        <v>134721</v>
      </c>
      <c r="F1218" s="9">
        <f>52596+50315</f>
        <v>102911</v>
      </c>
      <c r="G1218" s="1">
        <f t="shared" si="405"/>
        <v>237632</v>
      </c>
      <c r="H1218" s="2">
        <f t="shared" si="406"/>
        <v>0.56693122138432539</v>
      </c>
      <c r="I1218" s="2">
        <f t="shared" si="407"/>
        <v>0.43306877861567467</v>
      </c>
      <c r="J1218" s="3">
        <f>46617+857855</f>
        <v>904472</v>
      </c>
      <c r="K1218" s="3">
        <f>1391801+34411</f>
        <v>1426212</v>
      </c>
      <c r="L1218" s="1">
        <f t="shared" si="401"/>
        <v>2330684</v>
      </c>
      <c r="M1218" s="2">
        <f t="shared" si="402"/>
        <v>0.38807148459422214</v>
      </c>
      <c r="N1218" s="2">
        <f t="shared" si="403"/>
        <v>0.61192851540577786</v>
      </c>
      <c r="P1218" s="5">
        <f t="shared" si="404"/>
        <v>9807.9551575545374</v>
      </c>
    </row>
    <row r="1219" spans="1:16" x14ac:dyDescent="0.35">
      <c r="A1219" t="s">
        <v>34</v>
      </c>
      <c r="B1219" t="s">
        <v>23</v>
      </c>
      <c r="C1219">
        <v>2007</v>
      </c>
      <c r="D1219" t="s">
        <v>30</v>
      </c>
      <c r="E1219" s="9">
        <f>87267+46859</f>
        <v>134126</v>
      </c>
      <c r="F1219" s="9">
        <f>53263+50743</f>
        <v>104006</v>
      </c>
      <c r="G1219" s="1">
        <f t="shared" si="405"/>
        <v>238132</v>
      </c>
      <c r="H1219" s="2">
        <f t="shared" si="406"/>
        <v>0.56324223539885443</v>
      </c>
      <c r="I1219" s="2">
        <f t="shared" si="407"/>
        <v>0.43675776460114557</v>
      </c>
      <c r="J1219" s="3">
        <f>49749+957843</f>
        <v>1007592</v>
      </c>
      <c r="K1219" s="3">
        <f>37331+1512515</f>
        <v>1549846</v>
      </c>
      <c r="L1219" s="1">
        <f t="shared" ref="L1219:L1282" si="408">SUM(J1219:K1219)</f>
        <v>2557438</v>
      </c>
      <c r="M1219" s="2">
        <f t="shared" ref="M1219:M1282" si="409">SUM(J1219)/L1219</f>
        <v>0.39398491771843541</v>
      </c>
      <c r="N1219" s="2">
        <f t="shared" ref="N1219:N1282" si="410">SUM(K1219/L1219)</f>
        <v>0.60601508228156464</v>
      </c>
      <c r="P1219" s="5">
        <f t="shared" si="404"/>
        <v>10739.581408630507</v>
      </c>
    </row>
    <row r="1220" spans="1:16" x14ac:dyDescent="0.35">
      <c r="A1220" t="s">
        <v>34</v>
      </c>
      <c r="B1220" t="s">
        <v>24</v>
      </c>
      <c r="C1220">
        <v>2007</v>
      </c>
      <c r="D1220" t="s">
        <v>30</v>
      </c>
      <c r="E1220" s="9">
        <f>86300+46758</f>
        <v>133058</v>
      </c>
      <c r="F1220" s="9">
        <f>54332+51456</f>
        <v>105788</v>
      </c>
      <c r="G1220" s="1">
        <f t="shared" si="405"/>
        <v>238846</v>
      </c>
      <c r="H1220" s="2">
        <f t="shared" si="406"/>
        <v>0.55708699329274936</v>
      </c>
      <c r="I1220" s="2">
        <f t="shared" si="407"/>
        <v>0.4429130067072507</v>
      </c>
      <c r="J1220" s="3">
        <f>56194.48+1045211.03</f>
        <v>1101405.51</v>
      </c>
      <c r="K1220" s="3">
        <f>41668.62+1621337.27</f>
        <v>1663005.8900000001</v>
      </c>
      <c r="L1220" s="1">
        <f t="shared" si="408"/>
        <v>2764411.4000000004</v>
      </c>
      <c r="M1220" s="2">
        <f t="shared" si="409"/>
        <v>0.39842315438288234</v>
      </c>
      <c r="N1220" s="2">
        <f t="shared" si="410"/>
        <v>0.60157684561711755</v>
      </c>
      <c r="P1220" s="5">
        <f t="shared" ref="P1220:P1283" si="411">SUM(1000*L1220)/G1220</f>
        <v>11574.032640278676</v>
      </c>
    </row>
    <row r="1221" spans="1:16" x14ac:dyDescent="0.35">
      <c r="A1221" t="s">
        <v>34</v>
      </c>
      <c r="B1221" t="s">
        <v>25</v>
      </c>
      <c r="C1221">
        <v>2007</v>
      </c>
      <c r="D1221" t="s">
        <v>30</v>
      </c>
      <c r="E1221" s="9">
        <f>85216+46405</f>
        <v>131621</v>
      </c>
      <c r="F1221" s="9">
        <f>54653+51518</f>
        <v>106171</v>
      </c>
      <c r="G1221" s="1">
        <f t="shared" si="405"/>
        <v>237792</v>
      </c>
      <c r="H1221" s="2">
        <f t="shared" si="406"/>
        <v>0.55351315435338444</v>
      </c>
      <c r="I1221" s="2">
        <f t="shared" si="407"/>
        <v>0.4464868456466155</v>
      </c>
      <c r="J1221" s="3">
        <f>54033.97+1042546.03</f>
        <v>1096580</v>
      </c>
      <c r="K1221" s="3">
        <f>41270.81+1591584.998</f>
        <v>1632855.808</v>
      </c>
      <c r="L1221" s="1">
        <f t="shared" si="408"/>
        <v>2729435.8080000002</v>
      </c>
      <c r="M1221" s="2">
        <f t="shared" si="409"/>
        <v>0.40176068504191031</v>
      </c>
      <c r="N1221" s="2">
        <f t="shared" si="410"/>
        <v>0.59823931495808957</v>
      </c>
      <c r="P1221" s="5">
        <f t="shared" si="411"/>
        <v>11478.249091643116</v>
      </c>
    </row>
    <row r="1222" spans="1:16" x14ac:dyDescent="0.35">
      <c r="A1222" t="s">
        <v>34</v>
      </c>
      <c r="B1222" t="s">
        <v>26</v>
      </c>
      <c r="C1222">
        <v>2007</v>
      </c>
      <c r="D1222" t="s">
        <v>30</v>
      </c>
      <c r="E1222" s="9">
        <f>84769+46094</f>
        <v>130863</v>
      </c>
      <c r="F1222" s="9">
        <f>55827+52021</f>
        <v>107848</v>
      </c>
      <c r="G1222" s="1">
        <f t="shared" si="405"/>
        <v>238711</v>
      </c>
      <c r="H1222" s="2">
        <f t="shared" si="406"/>
        <v>0.54820682750271243</v>
      </c>
      <c r="I1222" s="2">
        <f t="shared" si="407"/>
        <v>0.45179317249728751</v>
      </c>
      <c r="J1222" s="3">
        <f>58176.51+1103815.08</f>
        <v>1161991.5900000001</v>
      </c>
      <c r="K1222" s="3">
        <f>1676460.9+45233.78</f>
        <v>1721694.68</v>
      </c>
      <c r="L1222" s="1">
        <f t="shared" si="408"/>
        <v>2883686.27</v>
      </c>
      <c r="M1222" s="2">
        <f t="shared" si="409"/>
        <v>0.40295353974133952</v>
      </c>
      <c r="N1222" s="2">
        <f t="shared" si="410"/>
        <v>0.59704646025866048</v>
      </c>
      <c r="P1222" s="5">
        <f t="shared" si="411"/>
        <v>12080.240416235532</v>
      </c>
    </row>
    <row r="1223" spans="1:16" x14ac:dyDescent="0.35">
      <c r="A1223" t="s">
        <v>34</v>
      </c>
      <c r="B1223" t="s">
        <v>27</v>
      </c>
      <c r="C1223">
        <v>2007</v>
      </c>
      <c r="D1223" t="s">
        <v>30</v>
      </c>
      <c r="E1223" s="9">
        <f>84676+45762</f>
        <v>130438</v>
      </c>
      <c r="F1223" s="9">
        <f>56681+52608</f>
        <v>109289</v>
      </c>
      <c r="G1223" s="1">
        <f t="shared" si="405"/>
        <v>239727</v>
      </c>
      <c r="H1223" s="2">
        <f t="shared" si="406"/>
        <v>0.54411059246559623</v>
      </c>
      <c r="I1223" s="2">
        <f t="shared" si="407"/>
        <v>0.45588940753440371</v>
      </c>
      <c r="J1223" s="3">
        <f>59661.97+1055171.51</f>
        <v>1114833.48</v>
      </c>
      <c r="K1223" s="3">
        <f>44598+1625809.09</f>
        <v>1670407.09</v>
      </c>
      <c r="L1223" s="1">
        <f t="shared" si="408"/>
        <v>2785240.5700000003</v>
      </c>
      <c r="M1223" s="2">
        <f t="shared" si="409"/>
        <v>0.40026469957674066</v>
      </c>
      <c r="N1223" s="2">
        <f t="shared" si="410"/>
        <v>0.59973530042325929</v>
      </c>
      <c r="P1223" s="5">
        <f t="shared" si="411"/>
        <v>11618.384954552472</v>
      </c>
    </row>
    <row r="1224" spans="1:16" x14ac:dyDescent="0.35">
      <c r="A1224" t="s">
        <v>34</v>
      </c>
      <c r="B1224" t="s">
        <v>28</v>
      </c>
      <c r="C1224">
        <v>2007</v>
      </c>
      <c r="D1224" t="s">
        <v>30</v>
      </c>
      <c r="E1224" s="9">
        <f>74266+45331</f>
        <v>119597</v>
      </c>
      <c r="F1224" s="9">
        <f>57401+53061</f>
        <v>110462</v>
      </c>
      <c r="G1224" s="1">
        <f t="shared" si="405"/>
        <v>230059</v>
      </c>
      <c r="H1224" s="2">
        <f t="shared" si="406"/>
        <v>0.51985360277146297</v>
      </c>
      <c r="I1224" s="2">
        <f t="shared" si="407"/>
        <v>0.48014639722853703</v>
      </c>
      <c r="J1224" s="3">
        <f>43981.14+949560.63</f>
        <v>993541.77</v>
      </c>
      <c r="K1224" s="3">
        <f>40671.26+1469229.82</f>
        <v>1509901.08</v>
      </c>
      <c r="L1224" s="1">
        <f t="shared" si="408"/>
        <v>2503442.85</v>
      </c>
      <c r="M1224" s="2">
        <f t="shared" si="409"/>
        <v>0.39687016222479377</v>
      </c>
      <c r="N1224" s="2">
        <f t="shared" si="410"/>
        <v>0.60312983777520623</v>
      </c>
      <c r="P1224" s="5">
        <f t="shared" si="411"/>
        <v>10881.742726865717</v>
      </c>
    </row>
    <row r="1225" spans="1:16" x14ac:dyDescent="0.35">
      <c r="A1225" t="s">
        <v>34</v>
      </c>
      <c r="B1225" t="s">
        <v>29</v>
      </c>
      <c r="C1225">
        <v>2007</v>
      </c>
      <c r="D1225" t="s">
        <v>30</v>
      </c>
      <c r="E1225" s="9">
        <f>83205+44975</f>
        <v>128180</v>
      </c>
      <c r="F1225" s="9">
        <f>58073+53539</f>
        <v>111612</v>
      </c>
      <c r="G1225" s="1">
        <f t="shared" si="405"/>
        <v>239792</v>
      </c>
      <c r="H1225" s="2">
        <f t="shared" si="406"/>
        <v>0.53454660705945156</v>
      </c>
      <c r="I1225" s="2">
        <f t="shared" si="407"/>
        <v>0.46545339294054849</v>
      </c>
      <c r="J1225" s="3">
        <f>46844.38+890847.39</f>
        <v>937691.77</v>
      </c>
      <c r="K1225" s="3">
        <f>42016.84+1386936.62</f>
        <v>1428953.4600000002</v>
      </c>
      <c r="L1225" s="1">
        <f t="shared" si="408"/>
        <v>2366645.2300000004</v>
      </c>
      <c r="M1225" s="2">
        <f t="shared" si="409"/>
        <v>0.39621137892306735</v>
      </c>
      <c r="N1225" s="2">
        <f t="shared" si="410"/>
        <v>0.60378862107693254</v>
      </c>
      <c r="P1225" s="5">
        <f t="shared" si="411"/>
        <v>9869.5754237005422</v>
      </c>
    </row>
    <row r="1226" spans="1:16" x14ac:dyDescent="0.35">
      <c r="A1226" t="s">
        <v>34</v>
      </c>
      <c r="B1226" t="s">
        <v>17</v>
      </c>
      <c r="C1226">
        <v>2008</v>
      </c>
      <c r="D1226" t="s">
        <v>30</v>
      </c>
      <c r="E1226" s="9">
        <f>82569+45029</f>
        <v>127598</v>
      </c>
      <c r="F1226" s="9">
        <f>58159+53995</f>
        <v>112154</v>
      </c>
      <c r="G1226" s="1">
        <f t="shared" si="405"/>
        <v>239752</v>
      </c>
      <c r="H1226" s="2">
        <f t="shared" si="406"/>
        <v>0.53220828189128766</v>
      </c>
      <c r="I1226" s="2">
        <f t="shared" si="407"/>
        <v>0.46779171810871234</v>
      </c>
      <c r="J1226" s="3">
        <f>50384.42+872209.87</f>
        <v>922594.29</v>
      </c>
      <c r="K1226" s="3">
        <f>45465.65+1359513.5</f>
        <v>1404979.15</v>
      </c>
      <c r="L1226" s="1">
        <f t="shared" si="408"/>
        <v>2327573.44</v>
      </c>
      <c r="M1226" s="2">
        <f t="shared" si="409"/>
        <v>0.39637601724824634</v>
      </c>
      <c r="N1226" s="2">
        <f t="shared" si="410"/>
        <v>0.60362398275175366</v>
      </c>
      <c r="P1226" s="5">
        <f t="shared" si="411"/>
        <v>9708.2545296806693</v>
      </c>
    </row>
    <row r="1227" spans="1:16" x14ac:dyDescent="0.35">
      <c r="A1227" t="s">
        <v>34</v>
      </c>
      <c r="B1227" t="s">
        <v>19</v>
      </c>
      <c r="C1227">
        <v>2008</v>
      </c>
      <c r="D1227" t="s">
        <v>30</v>
      </c>
      <c r="E1227" s="9">
        <f>81565+44879</f>
        <v>126444</v>
      </c>
      <c r="F1227" s="9">
        <f>58830+54455</f>
        <v>113285</v>
      </c>
      <c r="G1227" s="1">
        <f t="shared" si="405"/>
        <v>239729</v>
      </c>
      <c r="H1227" s="2">
        <f t="shared" si="406"/>
        <v>0.52744557396059721</v>
      </c>
      <c r="I1227" s="2">
        <f t="shared" si="407"/>
        <v>0.47255442603940284</v>
      </c>
      <c r="J1227" s="3">
        <f>854255.29+47510.92</f>
        <v>901766.21000000008</v>
      </c>
      <c r="K1227" s="3">
        <f>42330.82+1315400.93</f>
        <v>1357731.75</v>
      </c>
      <c r="L1227" s="1">
        <f t="shared" si="408"/>
        <v>2259497.96</v>
      </c>
      <c r="M1227" s="2">
        <f t="shared" si="409"/>
        <v>0.399100254111316</v>
      </c>
      <c r="N1227" s="2">
        <f t="shared" si="410"/>
        <v>0.60089974588868411</v>
      </c>
      <c r="P1227" s="5">
        <f t="shared" si="411"/>
        <v>9425.2174747318841</v>
      </c>
    </row>
    <row r="1228" spans="1:16" x14ac:dyDescent="0.35">
      <c r="A1228" t="s">
        <v>34</v>
      </c>
      <c r="B1228" t="s">
        <v>20</v>
      </c>
      <c r="C1228">
        <v>2008</v>
      </c>
      <c r="D1228" t="s">
        <v>30</v>
      </c>
      <c r="E1228" s="9">
        <f>81699+44623</f>
        <v>126322</v>
      </c>
      <c r="F1228" s="9">
        <f>59228+54872</f>
        <v>114100</v>
      </c>
      <c r="G1228" s="1">
        <f t="shared" si="405"/>
        <v>240422</v>
      </c>
      <c r="H1228" s="2">
        <f t="shared" si="406"/>
        <v>0.52541780702265184</v>
      </c>
      <c r="I1228" s="2">
        <f t="shared" si="407"/>
        <v>0.47458219297734816</v>
      </c>
      <c r="J1228" s="3">
        <f>42879.61+811724.31</f>
        <v>854603.92</v>
      </c>
      <c r="K1228" s="3">
        <f>1286629.81+38978.05</f>
        <v>1325607.8600000001</v>
      </c>
      <c r="L1228" s="1">
        <f t="shared" si="408"/>
        <v>2180211.7800000003</v>
      </c>
      <c r="M1228" s="2">
        <f t="shared" si="409"/>
        <v>0.39198206698984073</v>
      </c>
      <c r="N1228" s="2">
        <f t="shared" si="410"/>
        <v>0.60801793301015916</v>
      </c>
      <c r="P1228" s="5">
        <f t="shared" si="411"/>
        <v>9068.2707073395959</v>
      </c>
    </row>
    <row r="1229" spans="1:16" x14ac:dyDescent="0.35">
      <c r="A1229" t="s">
        <v>34</v>
      </c>
      <c r="B1229" t="s">
        <v>21</v>
      </c>
      <c r="C1229">
        <v>2008</v>
      </c>
      <c r="D1229" t="s">
        <v>30</v>
      </c>
      <c r="E1229" s="9">
        <f>81714+44461</f>
        <v>126175</v>
      </c>
      <c r="F1229" s="9">
        <f>60123+55246</f>
        <v>115369</v>
      </c>
      <c r="G1229" s="1">
        <f t="shared" si="405"/>
        <v>241544</v>
      </c>
      <c r="H1229" s="2">
        <f t="shared" si="406"/>
        <v>0.52236859536978775</v>
      </c>
      <c r="I1229" s="2">
        <f t="shared" si="407"/>
        <v>0.47763140463021231</v>
      </c>
      <c r="J1229" s="3">
        <f>43816.1+859451.28</f>
        <v>903267.38</v>
      </c>
      <c r="K1229" s="3">
        <f>41478.12+1373448.08</f>
        <v>1414926.2000000002</v>
      </c>
      <c r="L1229" s="1">
        <f t="shared" si="408"/>
        <v>2318193.58</v>
      </c>
      <c r="M1229" s="2">
        <f t="shared" si="409"/>
        <v>0.38964277521638208</v>
      </c>
      <c r="N1229" s="2">
        <f t="shared" si="410"/>
        <v>0.61035722478361798</v>
      </c>
      <c r="P1229" s="5">
        <f t="shared" si="411"/>
        <v>9597.3966647898524</v>
      </c>
    </row>
    <row r="1230" spans="1:16" x14ac:dyDescent="0.35">
      <c r="A1230" t="s">
        <v>34</v>
      </c>
      <c r="B1230" t="s">
        <v>22</v>
      </c>
      <c r="C1230">
        <v>2008</v>
      </c>
      <c r="D1230" t="s">
        <v>30</v>
      </c>
      <c r="E1230" s="9">
        <f>81826+44415</f>
        <v>126241</v>
      </c>
      <c r="F1230" s="9">
        <f>60389+55529</f>
        <v>115918</v>
      </c>
      <c r="G1230" s="1">
        <f t="shared" si="405"/>
        <v>242159</v>
      </c>
      <c r="H1230" s="2">
        <f t="shared" si="406"/>
        <v>0.52131450823632408</v>
      </c>
      <c r="I1230" s="2">
        <f t="shared" si="407"/>
        <v>0.47868549176367592</v>
      </c>
      <c r="J1230" s="3">
        <f>42207+0.1+888274.47</f>
        <v>930481.57</v>
      </c>
      <c r="K1230" s="3">
        <f>1411918.51+39684.2</f>
        <v>1451602.71</v>
      </c>
      <c r="L1230" s="1">
        <f t="shared" si="408"/>
        <v>2382084.2799999998</v>
      </c>
      <c r="M1230" s="2">
        <f t="shared" si="409"/>
        <v>0.39061656122427374</v>
      </c>
      <c r="N1230" s="2">
        <f t="shared" si="410"/>
        <v>0.60938343877572632</v>
      </c>
      <c r="P1230" s="5">
        <f t="shared" si="411"/>
        <v>9836.8604098959768</v>
      </c>
    </row>
    <row r="1231" spans="1:16" x14ac:dyDescent="0.35">
      <c r="A1231" t="s">
        <v>34</v>
      </c>
      <c r="B1231" t="s">
        <v>23</v>
      </c>
      <c r="C1231">
        <v>2008</v>
      </c>
      <c r="D1231" t="s">
        <v>30</v>
      </c>
      <c r="E1231" s="9">
        <f>81561+44235</f>
        <v>125796</v>
      </c>
      <c r="F1231" s="9">
        <f>61443+55795</f>
        <v>117238</v>
      </c>
      <c r="G1231" s="1">
        <f t="shared" si="405"/>
        <v>243034</v>
      </c>
      <c r="H1231" s="2">
        <f t="shared" si="406"/>
        <v>0.51760659002444098</v>
      </c>
      <c r="I1231" s="2">
        <f t="shared" si="407"/>
        <v>0.48239340997555896</v>
      </c>
      <c r="J1231" s="3">
        <f>1007957.08+48291.64</f>
        <v>1056248.72</v>
      </c>
      <c r="K1231" s="3">
        <f>44431.85+1611280.41</f>
        <v>1655712.26</v>
      </c>
      <c r="L1231" s="1">
        <f t="shared" si="408"/>
        <v>2711960.98</v>
      </c>
      <c r="M1231" s="2">
        <f t="shared" si="409"/>
        <v>0.38947784565838406</v>
      </c>
      <c r="N1231" s="2">
        <f t="shared" si="410"/>
        <v>0.61052215434161594</v>
      </c>
      <c r="P1231" s="5">
        <f t="shared" si="411"/>
        <v>11158.771941374458</v>
      </c>
    </row>
    <row r="1232" spans="1:16" x14ac:dyDescent="0.35">
      <c r="A1232" t="s">
        <v>34</v>
      </c>
      <c r="B1232" t="s">
        <v>24</v>
      </c>
      <c r="C1232">
        <v>2008</v>
      </c>
      <c r="D1232" t="s">
        <v>30</v>
      </c>
      <c r="E1232" s="9">
        <f>81561+44247</f>
        <v>125808</v>
      </c>
      <c r="F1232" s="9">
        <f>60907+56035</f>
        <v>116942</v>
      </c>
      <c r="G1232" s="1">
        <f t="shared" si="405"/>
        <v>242750</v>
      </c>
      <c r="H1232" s="2">
        <f t="shared" si="406"/>
        <v>0.51826158599382077</v>
      </c>
      <c r="I1232" s="2">
        <f t="shared" si="407"/>
        <v>0.48173841400617917</v>
      </c>
      <c r="J1232" s="3">
        <f>53202.02+1062740.35</f>
        <v>1115942.3700000001</v>
      </c>
      <c r="K1232" s="3">
        <f>47172.45+1693656.02</f>
        <v>1740828.47</v>
      </c>
      <c r="L1232" s="1">
        <f t="shared" si="408"/>
        <v>2856770.84</v>
      </c>
      <c r="M1232" s="2">
        <f t="shared" si="409"/>
        <v>0.39063069195987737</v>
      </c>
      <c r="N1232" s="2">
        <f t="shared" si="410"/>
        <v>0.60936930804012268</v>
      </c>
      <c r="P1232" s="5">
        <f t="shared" si="411"/>
        <v>11768.365973223481</v>
      </c>
    </row>
    <row r="1233" spans="1:16" x14ac:dyDescent="0.35">
      <c r="A1233" t="s">
        <v>34</v>
      </c>
      <c r="B1233" t="s">
        <v>25</v>
      </c>
      <c r="C1233">
        <v>2008</v>
      </c>
      <c r="D1233" t="s">
        <v>30</v>
      </c>
      <c r="E1233" s="9">
        <f>77784+44375</f>
        <v>122159</v>
      </c>
      <c r="F1233" s="9">
        <f>65287+56291</f>
        <v>121578</v>
      </c>
      <c r="G1233" s="1">
        <f t="shared" si="405"/>
        <v>243737</v>
      </c>
      <c r="H1233" s="2">
        <f t="shared" si="406"/>
        <v>0.50119185843757819</v>
      </c>
      <c r="I1233" s="2">
        <f t="shared" si="407"/>
        <v>0.49880814156242181</v>
      </c>
      <c r="J1233" s="3">
        <f>52574.13+1085149.52</f>
        <v>1137723.6499999999</v>
      </c>
      <c r="K1233" s="3">
        <f>49452.48+1723505.03</f>
        <v>1772957.51</v>
      </c>
      <c r="L1233" s="1">
        <f t="shared" si="408"/>
        <v>2910681.16</v>
      </c>
      <c r="M1233" s="2">
        <f t="shared" si="409"/>
        <v>0.39087883126298856</v>
      </c>
      <c r="N1233" s="2">
        <f t="shared" si="410"/>
        <v>0.60912116873701139</v>
      </c>
      <c r="P1233" s="5">
        <f t="shared" si="411"/>
        <v>11941.892941982547</v>
      </c>
    </row>
    <row r="1234" spans="1:16" x14ac:dyDescent="0.35">
      <c r="A1234" t="s">
        <v>34</v>
      </c>
      <c r="B1234" t="s">
        <v>26</v>
      </c>
      <c r="C1234">
        <v>2008</v>
      </c>
      <c r="D1234" t="s">
        <v>30</v>
      </c>
      <c r="E1234" s="9">
        <f>72830+43918</f>
        <v>116748</v>
      </c>
      <c r="F1234" s="9">
        <f>69248+55794</f>
        <v>125042</v>
      </c>
      <c r="G1234" s="1">
        <f t="shared" si="405"/>
        <v>241790</v>
      </c>
      <c r="H1234" s="2">
        <f t="shared" si="406"/>
        <v>0.4828487530501675</v>
      </c>
      <c r="I1234" s="2">
        <f t="shared" si="407"/>
        <v>0.5171512469498325</v>
      </c>
      <c r="J1234" s="3">
        <f>1060969.99+49857.55</f>
        <v>1110827.54</v>
      </c>
      <c r="K1234" s="3">
        <f>1696859.4+50245.37</f>
        <v>1747104.77</v>
      </c>
      <c r="L1234" s="1">
        <f t="shared" si="408"/>
        <v>2857932.31</v>
      </c>
      <c r="M1234" s="2">
        <f t="shared" si="409"/>
        <v>0.3886822427925174</v>
      </c>
      <c r="N1234" s="2">
        <f t="shared" si="410"/>
        <v>0.6113177572074826</v>
      </c>
      <c r="P1234" s="5">
        <f t="shared" si="411"/>
        <v>11819.894577939534</v>
      </c>
    </row>
    <row r="1235" spans="1:16" x14ac:dyDescent="0.35">
      <c r="A1235" t="s">
        <v>34</v>
      </c>
      <c r="B1235" t="s">
        <v>27</v>
      </c>
      <c r="C1235">
        <v>2008</v>
      </c>
      <c r="D1235" t="s">
        <v>30</v>
      </c>
      <c r="E1235" s="9">
        <f>73047+43169</f>
        <v>116216</v>
      </c>
      <c r="F1235" s="9">
        <f>69185+55371</f>
        <v>124556</v>
      </c>
      <c r="G1235" s="1">
        <f t="shared" si="405"/>
        <v>240772</v>
      </c>
      <c r="H1235" s="2">
        <f t="shared" si="406"/>
        <v>0.48268071038160582</v>
      </c>
      <c r="I1235" s="2">
        <f t="shared" si="407"/>
        <v>0.51731928961839413</v>
      </c>
      <c r="J1235" s="3">
        <f>23470.92+632734.69</f>
        <v>656205.61</v>
      </c>
      <c r="K1235" s="3">
        <f>23008.72+960896.31</f>
        <v>983905.03</v>
      </c>
      <c r="L1235" s="1">
        <f t="shared" si="408"/>
        <v>1640110.6400000001</v>
      </c>
      <c r="M1235" s="2">
        <f t="shared" si="409"/>
        <v>0.40009837994831859</v>
      </c>
      <c r="N1235" s="2">
        <f t="shared" si="410"/>
        <v>0.59990162005168135</v>
      </c>
      <c r="P1235" s="5">
        <f t="shared" si="411"/>
        <v>6811.8827770671014</v>
      </c>
    </row>
    <row r="1236" spans="1:16" x14ac:dyDescent="0.35">
      <c r="A1236" t="s">
        <v>34</v>
      </c>
      <c r="B1236" t="s">
        <v>28</v>
      </c>
      <c r="C1236">
        <v>2008</v>
      </c>
      <c r="D1236" t="s">
        <v>30</v>
      </c>
      <c r="E1236" s="9">
        <f>70031+40305</f>
        <v>110336</v>
      </c>
      <c r="F1236" s="9">
        <f>67012+51511</f>
        <v>118523</v>
      </c>
      <c r="G1236" s="1">
        <f t="shared" si="405"/>
        <v>228859</v>
      </c>
      <c r="H1236" s="2">
        <f t="shared" si="406"/>
        <v>0.48211344102700787</v>
      </c>
      <c r="I1236" s="2">
        <f t="shared" si="407"/>
        <v>0.51788655897299207</v>
      </c>
      <c r="J1236" s="3">
        <f>51860.43+974369.77</f>
        <v>1026230.2000000001</v>
      </c>
      <c r="K1236" s="3">
        <f>55892.09+1588427.37</f>
        <v>1644319.4600000002</v>
      </c>
      <c r="L1236" s="1">
        <f t="shared" si="408"/>
        <v>2670549.66</v>
      </c>
      <c r="M1236" s="2">
        <f t="shared" si="409"/>
        <v>0.38427677094759588</v>
      </c>
      <c r="N1236" s="2">
        <f t="shared" si="410"/>
        <v>0.61572322905240418</v>
      </c>
      <c r="P1236" s="5">
        <f t="shared" si="411"/>
        <v>11668.973734919755</v>
      </c>
    </row>
    <row r="1237" spans="1:16" x14ac:dyDescent="0.35">
      <c r="A1237" t="s">
        <v>34</v>
      </c>
      <c r="B1237" t="s">
        <v>29</v>
      </c>
      <c r="C1237">
        <v>2008</v>
      </c>
      <c r="D1237" t="s">
        <v>30</v>
      </c>
      <c r="E1237" s="9">
        <f>71650+41620</f>
        <v>113270</v>
      </c>
      <c r="F1237" s="9">
        <f>68986+54266</f>
        <v>123252</v>
      </c>
      <c r="G1237" s="1">
        <f t="shared" si="405"/>
        <v>236522</v>
      </c>
      <c r="H1237" s="2">
        <f t="shared" si="406"/>
        <v>0.47889836886209319</v>
      </c>
      <c r="I1237" s="2">
        <f t="shared" si="407"/>
        <v>0.52110163113790686</v>
      </c>
      <c r="J1237" s="3">
        <f>43003.6+869603.53</f>
        <v>912607.13</v>
      </c>
      <c r="K1237" s="3">
        <f>48793.68+1417179.96</f>
        <v>1465973.64</v>
      </c>
      <c r="L1237" s="1">
        <f t="shared" si="408"/>
        <v>2378580.77</v>
      </c>
      <c r="M1237" s="2">
        <f t="shared" si="409"/>
        <v>0.38367716644745259</v>
      </c>
      <c r="N1237" s="2">
        <f t="shared" si="410"/>
        <v>0.61632283355254736</v>
      </c>
      <c r="P1237" s="5">
        <f t="shared" si="411"/>
        <v>10056.488487328874</v>
      </c>
    </row>
    <row r="1238" spans="1:16" x14ac:dyDescent="0.35">
      <c r="A1238" t="s">
        <v>34</v>
      </c>
      <c r="B1238" t="s">
        <v>17</v>
      </c>
      <c r="C1238">
        <v>2009</v>
      </c>
      <c r="D1238" t="s">
        <v>30</v>
      </c>
      <c r="E1238" s="3">
        <f>71347+42498</f>
        <v>113845</v>
      </c>
      <c r="F1238" s="3">
        <f>70414+56810</f>
        <v>127224</v>
      </c>
      <c r="G1238" s="1">
        <f t="shared" si="405"/>
        <v>241069</v>
      </c>
      <c r="H1238" s="2">
        <f t="shared" si="406"/>
        <v>0.47225068341429216</v>
      </c>
      <c r="I1238" s="2">
        <f t="shared" si="407"/>
        <v>0.52774931658570778</v>
      </c>
      <c r="J1238" s="3">
        <f>47089.61+922843.21</f>
        <v>969932.82</v>
      </c>
      <c r="K1238" s="3">
        <f>52793.75+1510233.19</f>
        <v>1563026.94</v>
      </c>
      <c r="L1238" s="1">
        <f t="shared" si="408"/>
        <v>2532959.7599999998</v>
      </c>
      <c r="M1238" s="2">
        <f t="shared" si="409"/>
        <v>0.38292468570444249</v>
      </c>
      <c r="N1238" s="2">
        <f t="shared" si="410"/>
        <v>0.61707531429555762</v>
      </c>
      <c r="P1238" s="5">
        <f t="shared" si="411"/>
        <v>10507.198188070635</v>
      </c>
    </row>
    <row r="1239" spans="1:16" x14ac:dyDescent="0.35">
      <c r="A1239" t="s">
        <v>34</v>
      </c>
      <c r="B1239" t="s">
        <v>19</v>
      </c>
      <c r="C1239">
        <v>2009</v>
      </c>
      <c r="D1239" t="s">
        <v>30</v>
      </c>
      <c r="E1239" s="3">
        <f>70840+42321</f>
        <v>113161</v>
      </c>
      <c r="F1239" s="3">
        <f>71006+57983</f>
        <v>128989</v>
      </c>
      <c r="G1239" s="1">
        <f t="shared" si="405"/>
        <v>242150</v>
      </c>
      <c r="H1239" s="2">
        <f t="shared" si="406"/>
        <v>0.46731777823663018</v>
      </c>
      <c r="I1239" s="2">
        <f t="shared" si="407"/>
        <v>0.53268222176336977</v>
      </c>
      <c r="J1239" s="3">
        <f>39403.19+780799.48</f>
        <v>820202.66999999993</v>
      </c>
      <c r="K1239" s="3">
        <f>44564.92+1301397.61</f>
        <v>1345962.53</v>
      </c>
      <c r="L1239" s="1">
        <f t="shared" si="408"/>
        <v>2166165.2000000002</v>
      </c>
      <c r="M1239" s="2">
        <f t="shared" si="409"/>
        <v>0.37864271386134346</v>
      </c>
      <c r="N1239" s="2">
        <f t="shared" si="410"/>
        <v>0.62135728613865637</v>
      </c>
      <c r="P1239" s="5">
        <f t="shared" si="411"/>
        <v>8945.5511046871779</v>
      </c>
    </row>
    <row r="1240" spans="1:16" x14ac:dyDescent="0.35">
      <c r="A1240" t="s">
        <v>34</v>
      </c>
      <c r="B1240" t="s">
        <v>20</v>
      </c>
      <c r="C1240">
        <v>2009</v>
      </c>
      <c r="D1240" t="s">
        <v>30</v>
      </c>
      <c r="E1240" s="3">
        <f>70064+41545</f>
        <v>111609</v>
      </c>
      <c r="F1240" s="3">
        <f>71623+58345</f>
        <v>129968</v>
      </c>
      <c r="G1240" s="1">
        <f t="shared" si="405"/>
        <v>241577</v>
      </c>
      <c r="H1240" s="2">
        <f t="shared" si="406"/>
        <v>0.46200176341290766</v>
      </c>
      <c r="I1240" s="2">
        <f t="shared" si="407"/>
        <v>0.53799823658709234</v>
      </c>
      <c r="J1240" s="3">
        <f>35752.67+752208.73</f>
        <v>787961.4</v>
      </c>
      <c r="K1240" s="3">
        <f>43607.97+1314452.65</f>
        <v>1358060.6199999999</v>
      </c>
      <c r="L1240" s="1">
        <f t="shared" si="408"/>
        <v>2146022.02</v>
      </c>
      <c r="M1240" s="2">
        <f t="shared" si="409"/>
        <v>0.36717302649112615</v>
      </c>
      <c r="N1240" s="2">
        <f t="shared" si="410"/>
        <v>0.63282697350887385</v>
      </c>
      <c r="P1240" s="5">
        <f t="shared" si="411"/>
        <v>8883.3871602015097</v>
      </c>
    </row>
    <row r="1241" spans="1:16" x14ac:dyDescent="0.35">
      <c r="A1241" t="s">
        <v>34</v>
      </c>
      <c r="B1241" t="s">
        <v>21</v>
      </c>
      <c r="C1241">
        <v>2009</v>
      </c>
      <c r="D1241" t="s">
        <v>30</v>
      </c>
      <c r="E1241" s="3">
        <f>69225+41274</f>
        <v>110499</v>
      </c>
      <c r="F1241" s="3">
        <f>73031+59135</f>
        <v>132166</v>
      </c>
      <c r="G1241" s="1">
        <f t="shared" si="405"/>
        <v>242665</v>
      </c>
      <c r="H1241" s="2">
        <f t="shared" si="406"/>
        <v>0.45535614942410318</v>
      </c>
      <c r="I1241" s="2">
        <f t="shared" si="407"/>
        <v>0.54464385057589682</v>
      </c>
      <c r="J1241" s="3">
        <f>36830.59+760439.88</f>
        <v>797270.47</v>
      </c>
      <c r="K1241" s="3">
        <f>46262.6+1353367.57</f>
        <v>1399630.1700000002</v>
      </c>
      <c r="L1241" s="1">
        <f t="shared" si="408"/>
        <v>2196900.64</v>
      </c>
      <c r="M1241" s="2">
        <f t="shared" si="409"/>
        <v>0.3629069314668687</v>
      </c>
      <c r="N1241" s="2">
        <f t="shared" si="410"/>
        <v>0.6370930685331313</v>
      </c>
      <c r="P1241" s="5">
        <f t="shared" si="411"/>
        <v>9053.2241567593192</v>
      </c>
    </row>
    <row r="1242" spans="1:16" x14ac:dyDescent="0.35">
      <c r="A1242" t="s">
        <v>34</v>
      </c>
      <c r="B1242" t="s">
        <v>22</v>
      </c>
      <c r="C1242">
        <v>2009</v>
      </c>
      <c r="D1242" t="s">
        <v>30</v>
      </c>
      <c r="E1242" s="3">
        <f>68964+40788</f>
        <v>109752</v>
      </c>
      <c r="F1242" s="3">
        <f>74371+59906</f>
        <v>134277</v>
      </c>
      <c r="G1242" s="1">
        <f t="shared" si="405"/>
        <v>244029</v>
      </c>
      <c r="H1242" s="2">
        <f t="shared" si="406"/>
        <v>0.44974982481590303</v>
      </c>
      <c r="I1242" s="2">
        <f t="shared" si="407"/>
        <v>0.55025017518409702</v>
      </c>
      <c r="J1242" s="3">
        <f>37704.45+800578.33</f>
        <v>838282.77999999991</v>
      </c>
      <c r="K1242" s="3">
        <f>1478616.62+48054.01</f>
        <v>1526670.6300000001</v>
      </c>
      <c r="L1242" s="1">
        <f t="shared" si="408"/>
        <v>2364953.41</v>
      </c>
      <c r="M1242" s="2">
        <f t="shared" si="409"/>
        <v>0.35446058956400323</v>
      </c>
      <c r="N1242" s="2">
        <f t="shared" si="410"/>
        <v>0.64553941043599672</v>
      </c>
      <c r="P1242" s="5">
        <f t="shared" si="411"/>
        <v>9691.2801757168199</v>
      </c>
    </row>
    <row r="1243" spans="1:16" x14ac:dyDescent="0.35">
      <c r="A1243" t="s">
        <v>34</v>
      </c>
      <c r="B1243" t="s">
        <v>23</v>
      </c>
      <c r="C1243">
        <v>2009</v>
      </c>
      <c r="D1243" t="s">
        <v>30</v>
      </c>
      <c r="E1243" s="3">
        <f>67951+40186</f>
        <v>108137</v>
      </c>
      <c r="F1243" s="3">
        <f>74836+60757</f>
        <v>135593</v>
      </c>
      <c r="G1243" s="1">
        <f t="shared" si="405"/>
        <v>243730</v>
      </c>
      <c r="H1243" s="2">
        <f t="shared" si="406"/>
        <v>0.44367537849259425</v>
      </c>
      <c r="I1243" s="2">
        <f t="shared" si="407"/>
        <v>0.55632462150740569</v>
      </c>
      <c r="J1243" s="3">
        <f>42366.73+859647.66</f>
        <v>902014.39</v>
      </c>
      <c r="K1243" s="3">
        <f>50790.52+1664156.8</f>
        <v>1714947.32</v>
      </c>
      <c r="L1243" s="1">
        <f t="shared" si="408"/>
        <v>2616961.71</v>
      </c>
      <c r="M1243" s="2">
        <f t="shared" si="409"/>
        <v>0.34468001062193609</v>
      </c>
      <c r="N1243" s="2">
        <f t="shared" si="410"/>
        <v>0.65531998937806391</v>
      </c>
      <c r="P1243" s="5">
        <f t="shared" si="411"/>
        <v>10737.134164854551</v>
      </c>
    </row>
    <row r="1244" spans="1:16" x14ac:dyDescent="0.35">
      <c r="A1244" t="s">
        <v>34</v>
      </c>
      <c r="B1244" t="s">
        <v>24</v>
      </c>
      <c r="C1244">
        <v>2009</v>
      </c>
      <c r="D1244" t="s">
        <v>30</v>
      </c>
      <c r="E1244" s="3">
        <f>67085+38853</f>
        <v>105938</v>
      </c>
      <c r="F1244" s="3">
        <f>75189+61154</f>
        <v>136343</v>
      </c>
      <c r="G1244" s="1">
        <f t="shared" si="405"/>
        <v>242281</v>
      </c>
      <c r="H1244" s="2">
        <f t="shared" si="406"/>
        <v>0.43725261163690093</v>
      </c>
      <c r="I1244" s="2">
        <f t="shared" si="407"/>
        <v>0.56274738836309901</v>
      </c>
      <c r="J1244" s="3">
        <f>48466.61+887202.69</f>
        <v>935669.29999999993</v>
      </c>
      <c r="K1244" s="3">
        <f>58018.21+1847351.7</f>
        <v>1905369.91</v>
      </c>
      <c r="L1244" s="1">
        <f t="shared" si="408"/>
        <v>2841039.21</v>
      </c>
      <c r="M1244" s="2">
        <f t="shared" si="409"/>
        <v>0.32934050917234609</v>
      </c>
      <c r="N1244" s="2">
        <f t="shared" si="410"/>
        <v>0.67065949082765386</v>
      </c>
      <c r="P1244" s="5">
        <f t="shared" si="411"/>
        <v>11726.215468815137</v>
      </c>
    </row>
    <row r="1245" spans="1:16" x14ac:dyDescent="0.35">
      <c r="A1245" t="s">
        <v>34</v>
      </c>
      <c r="B1245" t="s">
        <v>25</v>
      </c>
      <c r="C1245">
        <v>2009</v>
      </c>
      <c r="D1245" t="s">
        <v>30</v>
      </c>
      <c r="E1245" s="3">
        <f>66727+38151</f>
        <v>104878</v>
      </c>
      <c r="F1245" s="3">
        <f>75920+62062</f>
        <v>137982</v>
      </c>
      <c r="G1245" s="1">
        <f t="shared" si="405"/>
        <v>242860</v>
      </c>
      <c r="H1245" s="2">
        <f t="shared" si="406"/>
        <v>0.43184550769990943</v>
      </c>
      <c r="I1245" s="2">
        <f t="shared" si="407"/>
        <v>0.56815449230009063</v>
      </c>
      <c r="J1245" s="3">
        <f>49683.81+881564.06</f>
        <v>931247.87000000011</v>
      </c>
      <c r="K1245" s="3">
        <f>61914.6+1956941.64</f>
        <v>2018856.24</v>
      </c>
      <c r="L1245" s="1">
        <f t="shared" si="408"/>
        <v>2950104.1100000003</v>
      </c>
      <c r="M1245" s="2">
        <f t="shared" si="409"/>
        <v>0.31566610372947146</v>
      </c>
      <c r="N1245" s="2">
        <f t="shared" si="410"/>
        <v>0.68433389627052854</v>
      </c>
      <c r="P1245" s="5">
        <f t="shared" si="411"/>
        <v>12147.344601828216</v>
      </c>
    </row>
    <row r="1246" spans="1:16" x14ac:dyDescent="0.35">
      <c r="A1246" t="s">
        <v>34</v>
      </c>
      <c r="B1246" t="s">
        <v>26</v>
      </c>
      <c r="C1246">
        <v>2009</v>
      </c>
      <c r="D1246" t="s">
        <v>30</v>
      </c>
      <c r="E1246" s="3">
        <f>66320+38103</f>
        <v>104423</v>
      </c>
      <c r="F1246" s="3">
        <f>77325+63919</f>
        <v>141244</v>
      </c>
      <c r="G1246" s="1">
        <f t="shared" si="405"/>
        <v>245667</v>
      </c>
      <c r="H1246" s="2">
        <f t="shared" si="406"/>
        <v>0.42505912475016994</v>
      </c>
      <c r="I1246" s="2">
        <f t="shared" si="407"/>
        <v>0.57494087524983006</v>
      </c>
      <c r="J1246" s="3">
        <f>48044.22+833737.29</f>
        <v>881781.51</v>
      </c>
      <c r="K1246" s="3">
        <f>60830.03+1975897.81</f>
        <v>2036727.84</v>
      </c>
      <c r="L1246" s="1">
        <f t="shared" si="408"/>
        <v>2918509.35</v>
      </c>
      <c r="M1246" s="2">
        <f t="shared" si="409"/>
        <v>0.3021342076563846</v>
      </c>
      <c r="N1246" s="2">
        <f t="shared" si="410"/>
        <v>0.69786579234361545</v>
      </c>
      <c r="P1246" s="5">
        <f t="shared" si="411"/>
        <v>11879.940529253014</v>
      </c>
    </row>
    <row r="1247" spans="1:16" x14ac:dyDescent="0.35">
      <c r="A1247" t="s">
        <v>34</v>
      </c>
      <c r="B1247" t="s">
        <v>27</v>
      </c>
      <c r="C1247">
        <v>2009</v>
      </c>
      <c r="D1247" t="s">
        <v>30</v>
      </c>
      <c r="E1247" s="3">
        <f>65468+37288</f>
        <v>102756</v>
      </c>
      <c r="F1247" s="3">
        <f>78102+64558</f>
        <v>142660</v>
      </c>
      <c r="G1247" s="1">
        <f t="shared" si="405"/>
        <v>245416</v>
      </c>
      <c r="H1247" s="2">
        <f t="shared" si="406"/>
        <v>0.41870130716823678</v>
      </c>
      <c r="I1247" s="2">
        <f t="shared" si="407"/>
        <v>0.58129869283176316</v>
      </c>
      <c r="J1247" s="3">
        <f>40803.14+738400.83</f>
        <v>779203.97</v>
      </c>
      <c r="K1247" s="3">
        <f>55237.05+1838222.06</f>
        <v>1893459.11</v>
      </c>
      <c r="L1247" s="1">
        <f t="shared" si="408"/>
        <v>2672663.08</v>
      </c>
      <c r="M1247" s="2">
        <f t="shared" si="409"/>
        <v>0.29154590259839258</v>
      </c>
      <c r="N1247" s="2">
        <f t="shared" si="410"/>
        <v>0.70845409740160736</v>
      </c>
      <c r="P1247" s="5">
        <f t="shared" si="411"/>
        <v>10890.337549304038</v>
      </c>
    </row>
    <row r="1248" spans="1:16" x14ac:dyDescent="0.35">
      <c r="A1248" t="s">
        <v>34</v>
      </c>
      <c r="B1248" t="s">
        <v>28</v>
      </c>
      <c r="C1248">
        <v>2009</v>
      </c>
      <c r="D1248" t="s">
        <v>30</v>
      </c>
      <c r="E1248" s="3">
        <f>64976+36676</f>
        <v>101652</v>
      </c>
      <c r="F1248" s="3">
        <f>78520+64774</f>
        <v>143294</v>
      </c>
      <c r="G1248" s="1">
        <f t="shared" si="405"/>
        <v>244946</v>
      </c>
      <c r="H1248" s="2">
        <f t="shared" si="406"/>
        <v>0.41499759130583885</v>
      </c>
      <c r="I1248" s="2">
        <f t="shared" si="407"/>
        <v>0.5850024086941612</v>
      </c>
      <c r="J1248" s="3">
        <f>36410.39+653820.82</f>
        <v>690231.21</v>
      </c>
      <c r="K1248" s="3">
        <f>50797.66+1651475.19</f>
        <v>1702272.8499999999</v>
      </c>
      <c r="L1248" s="1">
        <f t="shared" si="408"/>
        <v>2392504.0599999996</v>
      </c>
      <c r="M1248" s="2">
        <f t="shared" si="409"/>
        <v>0.28849740384557593</v>
      </c>
      <c r="N1248" s="2">
        <f t="shared" si="410"/>
        <v>0.71150259615442413</v>
      </c>
      <c r="P1248" s="5">
        <f t="shared" si="411"/>
        <v>9767.475525217802</v>
      </c>
    </row>
    <row r="1249" spans="1:16" x14ac:dyDescent="0.35">
      <c r="A1249" t="s">
        <v>34</v>
      </c>
      <c r="B1249" t="s">
        <v>29</v>
      </c>
      <c r="C1249">
        <v>2009</v>
      </c>
      <c r="D1249" t="s">
        <v>30</v>
      </c>
      <c r="E1249" s="3">
        <f>64556+36529</f>
        <v>101085</v>
      </c>
      <c r="F1249" s="3">
        <f>79048+65432</f>
        <v>144480</v>
      </c>
      <c r="G1249" s="1">
        <f t="shared" si="405"/>
        <v>245565</v>
      </c>
      <c r="H1249" s="2">
        <f t="shared" si="406"/>
        <v>0.41164253863539185</v>
      </c>
      <c r="I1249" s="2">
        <f t="shared" si="407"/>
        <v>0.5883574613646082</v>
      </c>
      <c r="J1249" s="3">
        <f>35491.76+610708.18</f>
        <v>646199.94000000006</v>
      </c>
      <c r="K1249" s="3">
        <f>53979.42+1559462.33</f>
        <v>1613441.75</v>
      </c>
      <c r="L1249" s="1">
        <f t="shared" si="408"/>
        <v>2259641.69</v>
      </c>
      <c r="M1249" s="2">
        <f t="shared" si="409"/>
        <v>0.28597451660577217</v>
      </c>
      <c r="N1249" s="2">
        <f t="shared" si="410"/>
        <v>0.71402548339422789</v>
      </c>
      <c r="P1249" s="5">
        <f t="shared" si="411"/>
        <v>9201.806812860139</v>
      </c>
    </row>
    <row r="1250" spans="1:16" x14ac:dyDescent="0.35">
      <c r="A1250" t="s">
        <v>34</v>
      </c>
      <c r="B1250" t="s">
        <v>17</v>
      </c>
      <c r="C1250">
        <v>2010</v>
      </c>
      <c r="D1250" t="s">
        <v>30</v>
      </c>
      <c r="E1250" s="3">
        <f>63982+36530</f>
        <v>100512</v>
      </c>
      <c r="F1250" s="3">
        <f>78866+66152</f>
        <v>145018</v>
      </c>
      <c r="G1250" s="1">
        <f t="shared" si="405"/>
        <v>245530</v>
      </c>
      <c r="H1250" s="2">
        <f t="shared" si="406"/>
        <v>0.40936749073432982</v>
      </c>
      <c r="I1250" s="2">
        <f t="shared" si="407"/>
        <v>0.59063250926567024</v>
      </c>
      <c r="J1250" s="3">
        <f>43351.55+654980.64</f>
        <v>698332.19000000006</v>
      </c>
      <c r="K1250" s="3">
        <f>61941.37+1631466.8</f>
        <v>1693408.1700000002</v>
      </c>
      <c r="L1250" s="1">
        <f t="shared" si="408"/>
        <v>2391740.3600000003</v>
      </c>
      <c r="M1250" s="2">
        <f t="shared" si="409"/>
        <v>0.29197658812765109</v>
      </c>
      <c r="N1250" s="2">
        <f t="shared" si="410"/>
        <v>0.70802341187234885</v>
      </c>
      <c r="P1250" s="5">
        <f t="shared" si="411"/>
        <v>9741.132896183768</v>
      </c>
    </row>
    <row r="1251" spans="1:16" x14ac:dyDescent="0.35">
      <c r="A1251" t="s">
        <v>34</v>
      </c>
      <c r="B1251" t="s">
        <v>19</v>
      </c>
      <c r="C1251">
        <v>2010</v>
      </c>
      <c r="D1251" t="s">
        <v>30</v>
      </c>
      <c r="E1251" s="3">
        <f>63437+36209</f>
        <v>99646</v>
      </c>
      <c r="F1251" s="3">
        <f>79231+66681</f>
        <v>145912</v>
      </c>
      <c r="G1251" s="1">
        <f t="shared" si="405"/>
        <v>245558</v>
      </c>
      <c r="H1251" s="2">
        <f t="shared" si="406"/>
        <v>0.40579415046547046</v>
      </c>
      <c r="I1251" s="2">
        <f t="shared" si="407"/>
        <v>0.59420584953452948</v>
      </c>
      <c r="J1251" s="3">
        <f>39468.04+583983.12</f>
        <v>623451.16</v>
      </c>
      <c r="K1251" s="3">
        <f>56182.12+1528781.24</f>
        <v>1584963.36</v>
      </c>
      <c r="L1251" s="1">
        <f t="shared" si="408"/>
        <v>2208414.52</v>
      </c>
      <c r="M1251" s="2">
        <f t="shared" si="409"/>
        <v>0.28230712773976874</v>
      </c>
      <c r="N1251" s="2">
        <f t="shared" si="410"/>
        <v>0.71769287226023137</v>
      </c>
      <c r="P1251" s="5">
        <f t="shared" si="411"/>
        <v>8993.4537665235912</v>
      </c>
    </row>
    <row r="1252" spans="1:16" x14ac:dyDescent="0.35">
      <c r="A1252" t="s">
        <v>34</v>
      </c>
      <c r="B1252" t="s">
        <v>20</v>
      </c>
      <c r="C1252">
        <v>2010</v>
      </c>
      <c r="D1252" t="s">
        <v>30</v>
      </c>
      <c r="E1252" s="3">
        <f>60855+36059</f>
        <v>96914</v>
      </c>
      <c r="F1252" s="3">
        <f>77548+66805</f>
        <v>144353</v>
      </c>
      <c r="G1252" s="1">
        <f t="shared" si="405"/>
        <v>241267</v>
      </c>
      <c r="H1252" s="2">
        <f t="shared" si="406"/>
        <v>0.40168775671766133</v>
      </c>
      <c r="I1252" s="2">
        <f t="shared" si="407"/>
        <v>0.59831224328233867</v>
      </c>
      <c r="J1252" s="3">
        <f>37150.37+575245.2</f>
        <v>612395.56999999995</v>
      </c>
      <c r="K1252" s="3">
        <f>55199.54+1559814.26</f>
        <v>1615013.8</v>
      </c>
      <c r="L1252" s="1">
        <f t="shared" si="408"/>
        <v>2227409.37</v>
      </c>
      <c r="M1252" s="2">
        <f t="shared" si="409"/>
        <v>0.27493624577865539</v>
      </c>
      <c r="N1252" s="2">
        <f t="shared" si="410"/>
        <v>0.72506375422134461</v>
      </c>
      <c r="P1252" s="5">
        <f t="shared" si="411"/>
        <v>9232.1343988195658</v>
      </c>
    </row>
    <row r="1253" spans="1:16" x14ac:dyDescent="0.35">
      <c r="A1253" t="s">
        <v>34</v>
      </c>
      <c r="B1253" t="s">
        <v>21</v>
      </c>
      <c r="C1253">
        <v>2010</v>
      </c>
      <c r="D1253" t="s">
        <v>30</v>
      </c>
      <c r="E1253" s="3">
        <f>62567+36394</f>
        <v>98961</v>
      </c>
      <c r="F1253" s="3">
        <f>79885+67769</f>
        <v>147654</v>
      </c>
      <c r="G1253" s="1">
        <f t="shared" si="405"/>
        <v>246615</v>
      </c>
      <c r="H1253" s="2">
        <f t="shared" si="406"/>
        <v>0.4012772945684569</v>
      </c>
      <c r="I1253" s="2">
        <f t="shared" si="407"/>
        <v>0.59872270543154305</v>
      </c>
      <c r="J1253" s="3">
        <f>32734.41+589615.97</f>
        <v>622350.38</v>
      </c>
      <c r="K1253" s="3">
        <f>51224.62+1593996.94</f>
        <v>1645221.56</v>
      </c>
      <c r="L1253" s="1">
        <f t="shared" si="408"/>
        <v>2267571.94</v>
      </c>
      <c r="M1253" s="2">
        <f t="shared" si="409"/>
        <v>0.27445673013575922</v>
      </c>
      <c r="N1253" s="2">
        <f t="shared" si="410"/>
        <v>0.72554326986424078</v>
      </c>
      <c r="P1253" s="5">
        <f t="shared" si="411"/>
        <v>9194.7851509437787</v>
      </c>
    </row>
    <row r="1254" spans="1:16" x14ac:dyDescent="0.35">
      <c r="A1254" t="s">
        <v>34</v>
      </c>
      <c r="B1254" t="s">
        <v>22</v>
      </c>
      <c r="C1254">
        <v>2010</v>
      </c>
      <c r="D1254" t="s">
        <v>30</v>
      </c>
      <c r="E1254" s="3">
        <f>62187+36218</f>
        <v>98405</v>
      </c>
      <c r="F1254" s="3">
        <f>80290+68289</f>
        <v>148579</v>
      </c>
      <c r="G1254" s="1">
        <f t="shared" si="405"/>
        <v>246984</v>
      </c>
      <c r="H1254" s="2">
        <f t="shared" si="406"/>
        <v>0.39842661872833868</v>
      </c>
      <c r="I1254" s="2">
        <f t="shared" si="407"/>
        <v>0.60157338127166127</v>
      </c>
      <c r="J1254" s="3">
        <f>30805.21+590214.9</f>
        <v>621020.11</v>
      </c>
      <c r="K1254" s="3">
        <f>49965.44+1619074.62</f>
        <v>1669040.06</v>
      </c>
      <c r="L1254" s="1">
        <f t="shared" si="408"/>
        <v>2290060.17</v>
      </c>
      <c r="M1254" s="2">
        <f t="shared" si="409"/>
        <v>0.27118069565831537</v>
      </c>
      <c r="N1254" s="2">
        <f t="shared" si="410"/>
        <v>0.72881930434168463</v>
      </c>
      <c r="P1254" s="5">
        <f t="shared" si="411"/>
        <v>9272.0992857836936</v>
      </c>
    </row>
    <row r="1255" spans="1:16" x14ac:dyDescent="0.35">
      <c r="A1255" t="s">
        <v>34</v>
      </c>
      <c r="B1255" t="s">
        <v>23</v>
      </c>
      <c r="C1255">
        <v>2010</v>
      </c>
      <c r="D1255" t="s">
        <v>30</v>
      </c>
      <c r="E1255" s="3">
        <f>61617+36292</f>
        <v>97909</v>
      </c>
      <c r="F1255" s="3">
        <f>80612+68793</f>
        <v>149405</v>
      </c>
      <c r="G1255" s="1">
        <f t="shared" si="405"/>
        <v>247314</v>
      </c>
      <c r="H1255" s="2">
        <f t="shared" si="406"/>
        <v>0.39588943610147426</v>
      </c>
      <c r="I1255" s="2">
        <f t="shared" si="407"/>
        <v>0.6041105638985258</v>
      </c>
      <c r="J1255" s="3">
        <f>37271.04+695379.09</f>
        <v>732650.13</v>
      </c>
      <c r="K1255" s="3">
        <f>57930.11+1912737.96</f>
        <v>1970668.07</v>
      </c>
      <c r="L1255" s="1">
        <f t="shared" si="408"/>
        <v>2703318.2</v>
      </c>
      <c r="M1255" s="2">
        <f t="shared" si="409"/>
        <v>0.27101882789824738</v>
      </c>
      <c r="N1255" s="2">
        <f t="shared" si="410"/>
        <v>0.72898117210175251</v>
      </c>
      <c r="P1255" s="5">
        <f t="shared" si="411"/>
        <v>10930.712373743499</v>
      </c>
    </row>
    <row r="1256" spans="1:16" x14ac:dyDescent="0.35">
      <c r="A1256" t="s">
        <v>34</v>
      </c>
      <c r="B1256" t="s">
        <v>24</v>
      </c>
      <c r="C1256">
        <v>2010</v>
      </c>
      <c r="D1256" t="s">
        <v>30</v>
      </c>
      <c r="E1256" s="3">
        <f>60475+36048</f>
        <v>96523</v>
      </c>
      <c r="F1256" s="3">
        <f>81162+69047</f>
        <v>150209</v>
      </c>
      <c r="G1256" s="1">
        <f t="shared" si="405"/>
        <v>246732</v>
      </c>
      <c r="H1256" s="2">
        <f t="shared" si="406"/>
        <v>0.39120584277677806</v>
      </c>
      <c r="I1256" s="2">
        <f t="shared" si="407"/>
        <v>0.60879415722322194</v>
      </c>
      <c r="J1256" s="3">
        <f>40139.32+737596.68</f>
        <v>777736</v>
      </c>
      <c r="K1256" s="3">
        <f>59871.13+2038896.24</f>
        <v>2098767.37</v>
      </c>
      <c r="L1256" s="1">
        <f t="shared" si="408"/>
        <v>2876503.37</v>
      </c>
      <c r="M1256" s="2">
        <f t="shared" si="409"/>
        <v>0.27037548716655946</v>
      </c>
      <c r="N1256" s="2">
        <f t="shared" si="410"/>
        <v>0.72962451283344054</v>
      </c>
      <c r="P1256" s="5">
        <f t="shared" si="411"/>
        <v>11658.412244864874</v>
      </c>
    </row>
    <row r="1257" spans="1:16" x14ac:dyDescent="0.35">
      <c r="A1257" t="s">
        <v>34</v>
      </c>
      <c r="B1257" t="s">
        <v>25</v>
      </c>
      <c r="C1257">
        <v>2010</v>
      </c>
      <c r="D1257" t="s">
        <v>30</v>
      </c>
      <c r="E1257" s="3">
        <f>59867+35985</f>
        <v>95852</v>
      </c>
      <c r="F1257" s="3">
        <f>81175+69748</f>
        <v>150923</v>
      </c>
      <c r="G1257" s="1">
        <f t="shared" si="405"/>
        <v>246775</v>
      </c>
      <c r="H1257" s="2">
        <f t="shared" si="406"/>
        <v>0.3884185999392159</v>
      </c>
      <c r="I1257" s="2">
        <f t="shared" si="407"/>
        <v>0.6115814000607841</v>
      </c>
      <c r="J1257" s="3">
        <f>39502.83+722708.21</f>
        <v>762211.03999999992</v>
      </c>
      <c r="K1257" s="3">
        <f>60190.03+2025670.51</f>
        <v>2085860.54</v>
      </c>
      <c r="L1257" s="1">
        <f t="shared" si="408"/>
        <v>2848071.58</v>
      </c>
      <c r="M1257" s="2">
        <f t="shared" si="409"/>
        <v>0.26762355460181231</v>
      </c>
      <c r="N1257" s="2">
        <f t="shared" si="410"/>
        <v>0.73237644539818758</v>
      </c>
      <c r="P1257" s="5">
        <f t="shared" si="411"/>
        <v>11541.167379191571</v>
      </c>
    </row>
    <row r="1258" spans="1:16" x14ac:dyDescent="0.35">
      <c r="A1258" t="s">
        <v>34</v>
      </c>
      <c r="B1258" t="s">
        <v>26</v>
      </c>
      <c r="C1258">
        <v>2010</v>
      </c>
      <c r="D1258" t="s">
        <v>30</v>
      </c>
      <c r="E1258" s="3">
        <f>59463+36005</f>
        <v>95468</v>
      </c>
      <c r="F1258" s="3">
        <f>81236+70030</f>
        <v>151266</v>
      </c>
      <c r="G1258" s="1">
        <f t="shared" si="405"/>
        <v>246734</v>
      </c>
      <c r="H1258" s="2">
        <f t="shared" si="406"/>
        <v>0.38692681187027322</v>
      </c>
      <c r="I1258" s="2">
        <f t="shared" si="407"/>
        <v>0.61307318812972678</v>
      </c>
      <c r="J1258" s="3">
        <f>40190.48+756660.97</f>
        <v>796851.45</v>
      </c>
      <c r="K1258" s="3">
        <f>62139.25+2137997.39</f>
        <v>2200136.64</v>
      </c>
      <c r="L1258" s="1">
        <f t="shared" si="408"/>
        <v>2996988.09</v>
      </c>
      <c r="M1258" s="2">
        <f t="shared" si="409"/>
        <v>0.2658840896494854</v>
      </c>
      <c r="N1258" s="2">
        <f t="shared" si="410"/>
        <v>0.73411591035051471</v>
      </c>
      <c r="P1258" s="5">
        <f t="shared" si="411"/>
        <v>12146.636012872163</v>
      </c>
    </row>
    <row r="1259" spans="1:16" x14ac:dyDescent="0.35">
      <c r="A1259" t="s">
        <v>34</v>
      </c>
      <c r="B1259" t="s">
        <v>27</v>
      </c>
      <c r="C1259">
        <v>2010</v>
      </c>
      <c r="D1259" t="s">
        <v>30</v>
      </c>
      <c r="E1259" s="3">
        <f>59144+35823</f>
        <v>94967</v>
      </c>
      <c r="F1259" s="3">
        <f>81460+70631</f>
        <v>152091</v>
      </c>
      <c r="G1259" s="1">
        <f t="shared" si="405"/>
        <v>247058</v>
      </c>
      <c r="H1259" s="2">
        <f t="shared" si="406"/>
        <v>0.38439151940030275</v>
      </c>
      <c r="I1259" s="2">
        <f t="shared" si="407"/>
        <v>0.61560848059969719</v>
      </c>
      <c r="J1259" s="3">
        <f>36847.62+689185.58</f>
        <v>726033.2</v>
      </c>
      <c r="K1259" s="3">
        <f>59288.7+1986640.45</f>
        <v>2045929.15</v>
      </c>
      <c r="L1259" s="1">
        <f t="shared" si="408"/>
        <v>2771962.3499999996</v>
      </c>
      <c r="M1259" s="2">
        <f t="shared" si="409"/>
        <v>0.26192029628396651</v>
      </c>
      <c r="N1259" s="2">
        <f t="shared" si="410"/>
        <v>0.7380797037160336</v>
      </c>
      <c r="P1259" s="5">
        <f t="shared" si="411"/>
        <v>11219.885006759545</v>
      </c>
    </row>
    <row r="1260" spans="1:16" x14ac:dyDescent="0.35">
      <c r="A1260" t="s">
        <v>34</v>
      </c>
      <c r="B1260" t="s">
        <v>28</v>
      </c>
      <c r="C1260">
        <v>2010</v>
      </c>
      <c r="D1260" t="s">
        <v>30</v>
      </c>
      <c r="E1260" s="3">
        <f>58739+35521</f>
        <v>94260</v>
      </c>
      <c r="F1260" s="3">
        <f>81843+71388</f>
        <v>153231</v>
      </c>
      <c r="G1260" s="1">
        <f t="shared" si="405"/>
        <v>247491</v>
      </c>
      <c r="H1260" s="2">
        <f t="shared" si="406"/>
        <v>0.38086233438791711</v>
      </c>
      <c r="I1260" s="2">
        <f t="shared" si="407"/>
        <v>0.61913766561208283</v>
      </c>
      <c r="J1260" s="3">
        <f>30816.26+591483.01</f>
        <v>622299.27</v>
      </c>
      <c r="K1260" s="3">
        <f>54180.87+1746766.25</f>
        <v>1800947.12</v>
      </c>
      <c r="L1260" s="1">
        <f t="shared" si="408"/>
        <v>2423246.39</v>
      </c>
      <c r="M1260" s="2">
        <f t="shared" si="409"/>
        <v>0.25680396040949016</v>
      </c>
      <c r="N1260" s="2">
        <f t="shared" si="410"/>
        <v>0.74319603959050984</v>
      </c>
      <c r="P1260" s="5">
        <f t="shared" si="411"/>
        <v>9791.2505505250701</v>
      </c>
    </row>
    <row r="1261" spans="1:16" x14ac:dyDescent="0.35">
      <c r="A1261" t="s">
        <v>34</v>
      </c>
      <c r="B1261" t="s">
        <v>29</v>
      </c>
      <c r="C1261">
        <v>2010</v>
      </c>
      <c r="D1261" t="s">
        <v>30</v>
      </c>
      <c r="E1261" s="3">
        <f>57954+35901</f>
        <v>93855</v>
      </c>
      <c r="F1261" s="3">
        <f>81331+72562</f>
        <v>153893</v>
      </c>
      <c r="G1261" s="1">
        <f t="shared" si="405"/>
        <v>247748</v>
      </c>
      <c r="H1261" s="2">
        <f t="shared" si="406"/>
        <v>0.37883252337052165</v>
      </c>
      <c r="I1261" s="2">
        <f t="shared" si="407"/>
        <v>0.62116747662947835</v>
      </c>
      <c r="J1261" s="3">
        <f>29982.74+563414.11</f>
        <v>593396.85</v>
      </c>
      <c r="K1261" s="3">
        <f>54577.42+1676940.26</f>
        <v>1731517.68</v>
      </c>
      <c r="L1261" s="1">
        <f t="shared" si="408"/>
        <v>2324914.5299999998</v>
      </c>
      <c r="M1261" s="2">
        <f t="shared" si="409"/>
        <v>0.25523383433798746</v>
      </c>
      <c r="N1261" s="2">
        <f t="shared" si="410"/>
        <v>0.74476616566201259</v>
      </c>
      <c r="P1261" s="5">
        <f t="shared" si="411"/>
        <v>9384.1909117328905</v>
      </c>
    </row>
    <row r="1262" spans="1:16" x14ac:dyDescent="0.35">
      <c r="A1262" t="s">
        <v>34</v>
      </c>
      <c r="B1262" t="s">
        <v>17</v>
      </c>
      <c r="C1262">
        <v>2011</v>
      </c>
      <c r="D1262" t="s">
        <v>30</v>
      </c>
      <c r="E1262" s="3">
        <f>56882+36359</f>
        <v>93241</v>
      </c>
      <c r="F1262" s="3">
        <f>81200+73599</f>
        <v>154799</v>
      </c>
      <c r="G1262" s="1">
        <f t="shared" si="405"/>
        <v>248040</v>
      </c>
      <c r="H1262" s="2">
        <f t="shared" si="406"/>
        <v>0.37591114336397358</v>
      </c>
      <c r="I1262" s="2">
        <f t="shared" si="407"/>
        <v>0.62408885663602642</v>
      </c>
      <c r="J1262" s="3">
        <f>32930.26+579646.19</f>
        <v>612576.44999999995</v>
      </c>
      <c r="K1262" s="3">
        <f>59915.22+1681124.54</f>
        <v>1741039.76</v>
      </c>
      <c r="L1262" s="1">
        <f t="shared" si="408"/>
        <v>2353616.21</v>
      </c>
      <c r="M1262" s="2">
        <f t="shared" si="409"/>
        <v>0.26027032249238291</v>
      </c>
      <c r="N1262" s="2">
        <f t="shared" si="410"/>
        <v>0.73972967750761709</v>
      </c>
      <c r="P1262" s="5">
        <f t="shared" si="411"/>
        <v>9488.857482664087</v>
      </c>
    </row>
    <row r="1263" spans="1:16" x14ac:dyDescent="0.35">
      <c r="A1263" t="s">
        <v>34</v>
      </c>
      <c r="B1263" t="s">
        <v>19</v>
      </c>
      <c r="C1263">
        <v>2011</v>
      </c>
      <c r="D1263" t="s">
        <v>30</v>
      </c>
      <c r="E1263" s="3">
        <f>55652+36619</f>
        <v>92271</v>
      </c>
      <c r="F1263" s="3">
        <f>80848+74543</f>
        <v>155391</v>
      </c>
      <c r="G1263" s="1">
        <f t="shared" si="405"/>
        <v>247662</v>
      </c>
      <c r="H1263" s="2">
        <f t="shared" si="406"/>
        <v>0.37256825835210894</v>
      </c>
      <c r="I1263" s="2">
        <f t="shared" si="407"/>
        <v>0.62743174164789106</v>
      </c>
      <c r="J1263" s="3">
        <f>31531.82+538093.13</f>
        <v>569624.94999999995</v>
      </c>
      <c r="K1263" s="3">
        <f>57297.64+1627529.83</f>
        <v>1684827.47</v>
      </c>
      <c r="L1263" s="1">
        <f t="shared" si="408"/>
        <v>2254452.42</v>
      </c>
      <c r="M1263" s="2">
        <f t="shared" si="409"/>
        <v>0.25266665419357132</v>
      </c>
      <c r="N1263" s="2">
        <f t="shared" si="410"/>
        <v>0.74733334580642874</v>
      </c>
      <c r="P1263" s="5">
        <f t="shared" si="411"/>
        <v>9102.9403784189744</v>
      </c>
    </row>
    <row r="1264" spans="1:16" x14ac:dyDescent="0.35">
      <c r="A1264" t="s">
        <v>34</v>
      </c>
      <c r="B1264" t="s">
        <v>20</v>
      </c>
      <c r="C1264">
        <v>2011</v>
      </c>
      <c r="D1264" t="s">
        <v>30</v>
      </c>
      <c r="E1264" s="3">
        <f>55261+36586</f>
        <v>91847</v>
      </c>
      <c r="F1264" s="3">
        <f>80854+75031</f>
        <v>155885</v>
      </c>
      <c r="G1264" s="1">
        <f t="shared" si="405"/>
        <v>247732</v>
      </c>
      <c r="H1264" s="2">
        <f t="shared" si="406"/>
        <v>0.37075145721989894</v>
      </c>
      <c r="I1264" s="2">
        <f t="shared" si="407"/>
        <v>0.62924854278010112</v>
      </c>
      <c r="J1264" s="3">
        <f>28606.95+528829.36</f>
        <v>557436.30999999994</v>
      </c>
      <c r="K1264" s="3">
        <f>52067.32+1650762.56</f>
        <v>1702829.8800000001</v>
      </c>
      <c r="L1264" s="1">
        <f t="shared" si="408"/>
        <v>2260266.19</v>
      </c>
      <c r="M1264" s="2">
        <f t="shared" si="409"/>
        <v>0.24662418633090288</v>
      </c>
      <c r="N1264" s="2">
        <f t="shared" si="410"/>
        <v>0.75337581366909712</v>
      </c>
      <c r="P1264" s="5">
        <f t="shared" si="411"/>
        <v>9123.8362020247696</v>
      </c>
    </row>
    <row r="1265" spans="1:16" x14ac:dyDescent="0.35">
      <c r="A1265" t="s">
        <v>34</v>
      </c>
      <c r="B1265" t="s">
        <v>21</v>
      </c>
      <c r="C1265">
        <v>2011</v>
      </c>
      <c r="D1265" t="s">
        <v>30</v>
      </c>
      <c r="E1265" s="3">
        <f>55443+36679</f>
        <v>92122</v>
      </c>
      <c r="F1265" s="3">
        <f>81684+75283</f>
        <v>156967</v>
      </c>
      <c r="G1265" s="1">
        <f t="shared" si="405"/>
        <v>249089</v>
      </c>
      <c r="H1265" s="2">
        <f t="shared" si="406"/>
        <v>0.36983568122237431</v>
      </c>
      <c r="I1265" s="2">
        <f t="shared" si="407"/>
        <v>0.63016431877762569</v>
      </c>
      <c r="J1265" s="3">
        <f>25459.17+549445.59</f>
        <v>574904.76</v>
      </c>
      <c r="K1265" s="3">
        <f>49156.45+1728699.86</f>
        <v>1777856.31</v>
      </c>
      <c r="L1265" s="1">
        <f t="shared" si="408"/>
        <v>2352761.0700000003</v>
      </c>
      <c r="M1265" s="2">
        <f t="shared" si="409"/>
        <v>0.24435322707885504</v>
      </c>
      <c r="N1265" s="2">
        <f t="shared" si="410"/>
        <v>0.7556467729211449</v>
      </c>
      <c r="P1265" s="5">
        <f t="shared" si="411"/>
        <v>9445.4635491731897</v>
      </c>
    </row>
    <row r="1266" spans="1:16" x14ac:dyDescent="0.35">
      <c r="A1266" t="s">
        <v>34</v>
      </c>
      <c r="B1266" t="s">
        <v>22</v>
      </c>
      <c r="C1266">
        <v>2011</v>
      </c>
      <c r="D1266" t="s">
        <v>30</v>
      </c>
      <c r="E1266" s="3">
        <f>55263+36966</f>
        <v>92229</v>
      </c>
      <c r="F1266" s="3">
        <f>81822+75895</f>
        <v>157717</v>
      </c>
      <c r="G1266" s="1">
        <f t="shared" si="405"/>
        <v>249946</v>
      </c>
      <c r="H1266" s="2">
        <f t="shared" si="406"/>
        <v>0.36899570307186352</v>
      </c>
      <c r="I1266" s="2">
        <f t="shared" si="407"/>
        <v>0.63100429692813653</v>
      </c>
      <c r="J1266" s="3">
        <f>27728.97+581544.52</f>
        <v>609273.49</v>
      </c>
      <c r="K1266" s="3">
        <f>52849.9+1884741.51</f>
        <v>1937591.41</v>
      </c>
      <c r="L1266" s="1">
        <f t="shared" si="408"/>
        <v>2546864.9</v>
      </c>
      <c r="M1266" s="2">
        <f t="shared" si="409"/>
        <v>0.23922489567467831</v>
      </c>
      <c r="N1266" s="2">
        <f t="shared" si="410"/>
        <v>0.76077510432532169</v>
      </c>
      <c r="P1266" s="5">
        <f t="shared" si="411"/>
        <v>10189.660566682403</v>
      </c>
    </row>
    <row r="1267" spans="1:16" x14ac:dyDescent="0.35">
      <c r="A1267" t="s">
        <v>34</v>
      </c>
      <c r="B1267" t="s">
        <v>23</v>
      </c>
      <c r="C1267">
        <v>2011</v>
      </c>
      <c r="D1267" t="s">
        <v>30</v>
      </c>
      <c r="E1267" s="3">
        <f>55071+37131</f>
        <v>92202</v>
      </c>
      <c r="F1267" s="3">
        <f>82029+76743</f>
        <v>158772</v>
      </c>
      <c r="G1267" s="1">
        <f t="shared" si="405"/>
        <v>250974</v>
      </c>
      <c r="H1267" s="2">
        <f t="shared" si="406"/>
        <v>0.36737670037533771</v>
      </c>
      <c r="I1267" s="2">
        <f t="shared" si="407"/>
        <v>0.63262329962466235</v>
      </c>
      <c r="J1267" s="3">
        <f>29881.21+616072.01</f>
        <v>645953.22</v>
      </c>
      <c r="K1267" s="3">
        <f>54380.7+2059279.86</f>
        <v>2113660.56</v>
      </c>
      <c r="L1267" s="1">
        <f t="shared" si="408"/>
        <v>2759613.7800000003</v>
      </c>
      <c r="M1267" s="2">
        <f t="shared" si="409"/>
        <v>0.23407377680220162</v>
      </c>
      <c r="N1267" s="2">
        <f t="shared" si="410"/>
        <v>0.76592622319779835</v>
      </c>
      <c r="P1267" s="5">
        <f t="shared" si="411"/>
        <v>10995.616199287577</v>
      </c>
    </row>
    <row r="1268" spans="1:16" x14ac:dyDescent="0.35">
      <c r="A1268" t="s">
        <v>34</v>
      </c>
      <c r="B1268" t="s">
        <v>24</v>
      </c>
      <c r="C1268">
        <v>2011</v>
      </c>
      <c r="D1268" t="s">
        <v>30</v>
      </c>
      <c r="E1268" s="3">
        <f>54941+37385</f>
        <v>92326</v>
      </c>
      <c r="F1268" s="3">
        <f>81808+76967</f>
        <v>158775</v>
      </c>
      <c r="G1268" s="1">
        <f t="shared" si="405"/>
        <v>251101</v>
      </c>
      <c r="H1268" s="2">
        <f t="shared" si="406"/>
        <v>0.3676847165084966</v>
      </c>
      <c r="I1268" s="2">
        <f t="shared" si="407"/>
        <v>0.63231528349150345</v>
      </c>
      <c r="J1268" s="3">
        <f>33681.31+702450.5</f>
        <v>736131.81</v>
      </c>
      <c r="K1268" s="3">
        <f>58292.15+2249612.91</f>
        <v>2307905.06</v>
      </c>
      <c r="L1268" s="1">
        <f t="shared" si="408"/>
        <v>3044036.87</v>
      </c>
      <c r="M1268" s="2">
        <f t="shared" si="409"/>
        <v>0.24182749468471451</v>
      </c>
      <c r="N1268" s="2">
        <f t="shared" si="410"/>
        <v>0.75817250531528546</v>
      </c>
      <c r="P1268" s="5">
        <f t="shared" si="411"/>
        <v>12122.758850024493</v>
      </c>
    </row>
    <row r="1269" spans="1:16" x14ac:dyDescent="0.35">
      <c r="A1269" t="s">
        <v>34</v>
      </c>
      <c r="B1269" t="s">
        <v>25</v>
      </c>
      <c r="C1269">
        <v>2011</v>
      </c>
      <c r="D1269" t="s">
        <v>30</v>
      </c>
      <c r="E1269" s="3">
        <f>55207+37562</f>
        <v>92769</v>
      </c>
      <c r="F1269" s="3">
        <f>81508+77155</f>
        <v>158663</v>
      </c>
      <c r="G1269" s="1">
        <f t="shared" si="405"/>
        <v>251432</v>
      </c>
      <c r="H1269" s="2">
        <f t="shared" si="406"/>
        <v>0.36896258232842277</v>
      </c>
      <c r="I1269" s="2">
        <f t="shared" si="407"/>
        <v>0.63103741767157717</v>
      </c>
      <c r="J1269" s="3">
        <f>34133.35+692392.57</f>
        <v>726525.91999999993</v>
      </c>
      <c r="K1269" s="3">
        <f>56977.11+2187421.11</f>
        <v>2244398.2199999997</v>
      </c>
      <c r="L1269" s="1">
        <f t="shared" si="408"/>
        <v>2970924.1399999997</v>
      </c>
      <c r="M1269" s="2">
        <f t="shared" si="409"/>
        <v>0.24454542955782102</v>
      </c>
      <c r="N1269" s="2">
        <f t="shared" si="410"/>
        <v>0.75545457044217901</v>
      </c>
      <c r="P1269" s="5">
        <f t="shared" si="411"/>
        <v>11816.014429348688</v>
      </c>
    </row>
    <row r="1270" spans="1:16" x14ac:dyDescent="0.35">
      <c r="A1270" t="s">
        <v>34</v>
      </c>
      <c r="B1270" t="s">
        <v>26</v>
      </c>
      <c r="C1270">
        <v>2011</v>
      </c>
      <c r="D1270" t="s">
        <v>30</v>
      </c>
      <c r="E1270" s="3">
        <f>55176+37809</f>
        <v>92985</v>
      </c>
      <c r="F1270" s="3">
        <f>81238+77656</f>
        <v>158894</v>
      </c>
      <c r="G1270" s="1">
        <f t="shared" si="405"/>
        <v>251879</v>
      </c>
      <c r="H1270" s="2">
        <f t="shared" si="406"/>
        <v>0.36916535320530891</v>
      </c>
      <c r="I1270" s="2">
        <f t="shared" si="407"/>
        <v>0.63083464679469115</v>
      </c>
      <c r="J1270" s="3">
        <f>35119.63+736558.98</f>
        <v>771678.61</v>
      </c>
      <c r="K1270" s="3">
        <f>58803.69+2333198.35</f>
        <v>2392002.04</v>
      </c>
      <c r="L1270" s="1">
        <f t="shared" si="408"/>
        <v>3163680.65</v>
      </c>
      <c r="M1270" s="2">
        <f t="shared" si="409"/>
        <v>0.24391798521130759</v>
      </c>
      <c r="N1270" s="2">
        <f t="shared" si="410"/>
        <v>0.75608201478869241</v>
      </c>
      <c r="P1270" s="5">
        <f t="shared" si="411"/>
        <v>12560.319240587742</v>
      </c>
    </row>
    <row r="1271" spans="1:16" x14ac:dyDescent="0.35">
      <c r="A1271" t="s">
        <v>34</v>
      </c>
      <c r="B1271" t="s">
        <v>27</v>
      </c>
      <c r="C1271">
        <v>2011</v>
      </c>
      <c r="D1271" t="s">
        <v>30</v>
      </c>
      <c r="E1271" s="3">
        <f>55100+37948</f>
        <v>93048</v>
      </c>
      <c r="F1271" s="3">
        <f>81269+78061</f>
        <v>159330</v>
      </c>
      <c r="G1271" s="1">
        <f t="shared" ref="G1271:G1334" si="412">SUM(E1271:F1271)</f>
        <v>252378</v>
      </c>
      <c r="H1271" s="2">
        <f t="shared" ref="H1271:H1334" si="413">SUM(E1271)/G1271</f>
        <v>0.36868506763664027</v>
      </c>
      <c r="I1271" s="2">
        <f t="shared" ref="I1271:I1334" si="414">SUM(F1271/G1271)</f>
        <v>0.63131493236335967</v>
      </c>
      <c r="J1271" s="3">
        <f>30985.98+676427.34</f>
        <v>707413.32</v>
      </c>
      <c r="K1271" s="3">
        <f>54635.35+2134526.99</f>
        <v>2189162.3400000003</v>
      </c>
      <c r="L1271" s="1">
        <f t="shared" si="408"/>
        <v>2896575.66</v>
      </c>
      <c r="M1271" s="2">
        <f t="shared" si="409"/>
        <v>0.24422400898031432</v>
      </c>
      <c r="N1271" s="2">
        <f t="shared" si="410"/>
        <v>0.75577599101968573</v>
      </c>
      <c r="P1271" s="5">
        <f t="shared" si="411"/>
        <v>11477.1321589045</v>
      </c>
    </row>
    <row r="1272" spans="1:16" x14ac:dyDescent="0.35">
      <c r="A1272" t="s">
        <v>34</v>
      </c>
      <c r="B1272" t="s">
        <v>28</v>
      </c>
      <c r="C1272">
        <v>2011</v>
      </c>
      <c r="D1272" t="s">
        <v>30</v>
      </c>
      <c r="E1272" s="3">
        <f>54926+37966</f>
        <v>92892</v>
      </c>
      <c r="F1272" s="3">
        <f>80940+78252</f>
        <v>159192</v>
      </c>
      <c r="G1272" s="1">
        <f t="shared" si="412"/>
        <v>252084</v>
      </c>
      <c r="H1272" s="2">
        <f t="shared" si="413"/>
        <v>0.36849621554719858</v>
      </c>
      <c r="I1272" s="2">
        <f t="shared" si="414"/>
        <v>0.63150378445280142</v>
      </c>
      <c r="J1272" s="3">
        <f>26451.95+577060.04</f>
        <v>603511.99</v>
      </c>
      <c r="K1272" s="3">
        <f>49745.3+1832957.85</f>
        <v>1882703.1500000001</v>
      </c>
      <c r="L1272" s="1">
        <f t="shared" si="408"/>
        <v>2486215.14</v>
      </c>
      <c r="M1272" s="2">
        <f t="shared" si="409"/>
        <v>0.24274326879048769</v>
      </c>
      <c r="N1272" s="2">
        <f t="shared" si="410"/>
        <v>0.75725673120951231</v>
      </c>
      <c r="P1272" s="5">
        <f t="shared" si="411"/>
        <v>9862.6455467225205</v>
      </c>
    </row>
    <row r="1273" spans="1:16" x14ac:dyDescent="0.35">
      <c r="A1273" t="s">
        <v>34</v>
      </c>
      <c r="B1273" t="s">
        <v>29</v>
      </c>
      <c r="C1273">
        <v>2011</v>
      </c>
      <c r="D1273" t="s">
        <v>30</v>
      </c>
      <c r="E1273" s="3">
        <f>54005+38533</f>
        <v>92538</v>
      </c>
      <c r="F1273" s="3">
        <f>80343+79264</f>
        <v>159607</v>
      </c>
      <c r="G1273" s="1">
        <f t="shared" si="412"/>
        <v>252145</v>
      </c>
      <c r="H1273" s="2">
        <f t="shared" si="413"/>
        <v>0.36700311328798907</v>
      </c>
      <c r="I1273" s="2">
        <f t="shared" si="414"/>
        <v>0.63299688671201093</v>
      </c>
      <c r="J1273" s="3">
        <f>25853.45+557950.86</f>
        <v>583804.30999999994</v>
      </c>
      <c r="K1273" s="3">
        <f>50597.26+1766992.73</f>
        <v>1817589.99</v>
      </c>
      <c r="L1273" s="1">
        <f t="shared" si="408"/>
        <v>2401394.2999999998</v>
      </c>
      <c r="M1273" s="2">
        <f t="shared" si="409"/>
        <v>0.2431105587283188</v>
      </c>
      <c r="N1273" s="2">
        <f t="shared" si="410"/>
        <v>0.75688944127168123</v>
      </c>
      <c r="P1273" s="5">
        <f t="shared" si="411"/>
        <v>9523.8624600924068</v>
      </c>
    </row>
    <row r="1274" spans="1:16" x14ac:dyDescent="0.35">
      <c r="A1274" t="s">
        <v>34</v>
      </c>
      <c r="B1274" t="s">
        <v>17</v>
      </c>
      <c r="C1274">
        <v>2012</v>
      </c>
      <c r="D1274" t="s">
        <v>30</v>
      </c>
      <c r="E1274" s="3">
        <f>53357+39342</f>
        <v>92699</v>
      </c>
      <c r="F1274" s="3">
        <f>80573+79119</f>
        <v>159692</v>
      </c>
      <c r="G1274" s="1">
        <f t="shared" si="412"/>
        <v>252391</v>
      </c>
      <c r="H1274" s="2">
        <f t="shared" si="413"/>
        <v>0.3672833024949384</v>
      </c>
      <c r="I1274" s="2">
        <f t="shared" si="414"/>
        <v>0.63271669750506154</v>
      </c>
      <c r="J1274" s="3">
        <f>28121.99+568226.3</f>
        <v>596348.29</v>
      </c>
      <c r="K1274" s="3">
        <f>54708.77+1760803.74</f>
        <v>1815512.51</v>
      </c>
      <c r="L1274" s="1">
        <f t="shared" si="408"/>
        <v>2411860.7999999998</v>
      </c>
      <c r="M1274" s="2">
        <f t="shared" si="409"/>
        <v>0.24725651248198074</v>
      </c>
      <c r="N1274" s="2">
        <f t="shared" si="410"/>
        <v>0.75274348751801934</v>
      </c>
      <c r="P1274" s="5">
        <f t="shared" si="411"/>
        <v>9556.0491459679615</v>
      </c>
    </row>
    <row r="1275" spans="1:16" x14ac:dyDescent="0.35">
      <c r="A1275" t="s">
        <v>34</v>
      </c>
      <c r="B1275" t="s">
        <v>19</v>
      </c>
      <c r="C1275">
        <v>2012</v>
      </c>
      <c r="D1275" t="s">
        <v>30</v>
      </c>
      <c r="E1275" s="3">
        <f>53426+39901</f>
        <v>93327</v>
      </c>
      <c r="F1275" s="3">
        <f>80376+78718</f>
        <v>159094</v>
      </c>
      <c r="G1275" s="1">
        <f t="shared" si="412"/>
        <v>252421</v>
      </c>
      <c r="H1275" s="2">
        <f t="shared" si="413"/>
        <v>0.36972755832517895</v>
      </c>
      <c r="I1275" s="2">
        <f t="shared" si="414"/>
        <v>0.63027244167482099</v>
      </c>
      <c r="J1275" s="3">
        <f>24894.77+536760.06</f>
        <v>561654.83000000007</v>
      </c>
      <c r="K1275" s="3">
        <f>46563.08+1653388.14</f>
        <v>1699951.22</v>
      </c>
      <c r="L1275" s="1">
        <f t="shared" si="408"/>
        <v>2261606.0499999998</v>
      </c>
      <c r="M1275" s="2">
        <f t="shared" si="409"/>
        <v>0.24834335316710004</v>
      </c>
      <c r="N1275" s="2">
        <f t="shared" si="410"/>
        <v>0.75165664683290001</v>
      </c>
      <c r="P1275" s="5">
        <f t="shared" si="411"/>
        <v>8959.6588635652352</v>
      </c>
    </row>
    <row r="1276" spans="1:16" x14ac:dyDescent="0.35">
      <c r="A1276" t="s">
        <v>34</v>
      </c>
      <c r="B1276" t="s">
        <v>20</v>
      </c>
      <c r="C1276">
        <v>2012</v>
      </c>
      <c r="D1276" t="s">
        <v>30</v>
      </c>
      <c r="E1276" s="3">
        <f>54445+40199</f>
        <v>94644</v>
      </c>
      <c r="F1276" s="3">
        <f>80607+77997</f>
        <v>158604</v>
      </c>
      <c r="G1276" s="1">
        <f t="shared" si="412"/>
        <v>253248</v>
      </c>
      <c r="H1276" s="2">
        <f t="shared" si="413"/>
        <v>0.37372062168309328</v>
      </c>
      <c r="I1276" s="2">
        <f t="shared" si="414"/>
        <v>0.62627937831690672</v>
      </c>
      <c r="J1276" s="3">
        <f>24021.94+535593.95</f>
        <v>559615.8899999999</v>
      </c>
      <c r="K1276" s="3">
        <f>43947.57+1656667.93</f>
        <v>1700615.5</v>
      </c>
      <c r="L1276" s="1">
        <f t="shared" si="408"/>
        <v>2260231.3899999997</v>
      </c>
      <c r="M1276" s="2">
        <f t="shared" si="409"/>
        <v>0.24759230071572449</v>
      </c>
      <c r="N1276" s="2">
        <f t="shared" si="410"/>
        <v>0.75240769928427564</v>
      </c>
      <c r="P1276" s="5">
        <f t="shared" si="411"/>
        <v>8924.9723196234499</v>
      </c>
    </row>
    <row r="1277" spans="1:16" x14ac:dyDescent="0.35">
      <c r="A1277" t="s">
        <v>34</v>
      </c>
      <c r="B1277" t="s">
        <v>21</v>
      </c>
      <c r="C1277">
        <v>2012</v>
      </c>
      <c r="D1277" t="s">
        <v>30</v>
      </c>
      <c r="E1277" s="3">
        <f>54779+40317</f>
        <v>95096</v>
      </c>
      <c r="F1277" s="3">
        <f>77914+80847</f>
        <v>158761</v>
      </c>
      <c r="G1277" s="1">
        <f t="shared" si="412"/>
        <v>253857</v>
      </c>
      <c r="H1277" s="2">
        <f t="shared" si="413"/>
        <v>0.37460460022768727</v>
      </c>
      <c r="I1277" s="2">
        <f t="shared" si="414"/>
        <v>0.62539539977231273</v>
      </c>
      <c r="J1277" s="3">
        <f>24369.69+580915.84</f>
        <v>605285.52999999991</v>
      </c>
      <c r="K1277" s="3">
        <f>43885.35+1799443.84</f>
        <v>1843329.1900000002</v>
      </c>
      <c r="L1277" s="1">
        <f t="shared" si="408"/>
        <v>2448614.7200000002</v>
      </c>
      <c r="M1277" s="2">
        <f t="shared" si="409"/>
        <v>0.24719508751462535</v>
      </c>
      <c r="N1277" s="2">
        <f t="shared" si="410"/>
        <v>0.75280491248537462</v>
      </c>
      <c r="P1277" s="5">
        <f t="shared" si="411"/>
        <v>9645.6458557376791</v>
      </c>
    </row>
    <row r="1278" spans="1:16" x14ac:dyDescent="0.35">
      <c r="A1278" t="s">
        <v>34</v>
      </c>
      <c r="B1278" t="s">
        <v>22</v>
      </c>
      <c r="C1278">
        <v>2012</v>
      </c>
      <c r="D1278" t="s">
        <v>30</v>
      </c>
      <c r="E1278" s="3">
        <f>55134+40597</f>
        <v>95731</v>
      </c>
      <c r="F1278" s="3">
        <f>81046+77878</f>
        <v>158924</v>
      </c>
      <c r="G1278" s="1">
        <f t="shared" si="412"/>
        <v>254655</v>
      </c>
      <c r="H1278" s="2">
        <f t="shared" si="413"/>
        <v>0.37592428972531466</v>
      </c>
      <c r="I1278" s="2">
        <f t="shared" si="414"/>
        <v>0.62407571027468534</v>
      </c>
      <c r="J1278" s="3">
        <f>25772.04+601944.96</f>
        <v>627717</v>
      </c>
      <c r="K1278" s="3">
        <f>43673.56+1858503.81</f>
        <v>1902177.37</v>
      </c>
      <c r="L1278" s="1">
        <f t="shared" si="408"/>
        <v>2529894.37</v>
      </c>
      <c r="M1278" s="2">
        <f t="shared" si="409"/>
        <v>0.24811984541473167</v>
      </c>
      <c r="N1278" s="2">
        <f t="shared" si="410"/>
        <v>0.75188015458526836</v>
      </c>
      <c r="P1278" s="5">
        <f t="shared" si="411"/>
        <v>9934.5953152304101</v>
      </c>
    </row>
    <row r="1279" spans="1:16" x14ac:dyDescent="0.35">
      <c r="A1279" t="s">
        <v>34</v>
      </c>
      <c r="B1279" t="s">
        <v>23</v>
      </c>
      <c r="C1279">
        <v>2012</v>
      </c>
      <c r="D1279" t="s">
        <v>30</v>
      </c>
      <c r="E1279" s="3">
        <f>55307+41045</f>
        <v>96352</v>
      </c>
      <c r="F1279" s="3">
        <f>81337+78252</f>
        <v>159589</v>
      </c>
      <c r="G1279" s="1">
        <f t="shared" si="412"/>
        <v>255941</v>
      </c>
      <c r="H1279" s="2">
        <f t="shared" si="413"/>
        <v>0.37646176267186576</v>
      </c>
      <c r="I1279" s="2">
        <f t="shared" si="414"/>
        <v>0.62353823732813418</v>
      </c>
      <c r="J1279" s="3">
        <f>28284.59+668488.7</f>
        <v>696773.28999999992</v>
      </c>
      <c r="K1279" s="3">
        <f>45072.13+2083631.78</f>
        <v>2128703.91</v>
      </c>
      <c r="L1279" s="1">
        <f t="shared" si="408"/>
        <v>2825477.2</v>
      </c>
      <c r="M1279" s="2">
        <f t="shared" si="409"/>
        <v>0.24660375599562434</v>
      </c>
      <c r="N1279" s="2">
        <f t="shared" si="410"/>
        <v>0.75339624400437566</v>
      </c>
      <c r="P1279" s="5">
        <f t="shared" si="411"/>
        <v>11039.564587150944</v>
      </c>
    </row>
    <row r="1280" spans="1:16" x14ac:dyDescent="0.35">
      <c r="A1280" t="s">
        <v>34</v>
      </c>
      <c r="B1280" t="s">
        <v>24</v>
      </c>
      <c r="C1280">
        <v>2012</v>
      </c>
      <c r="D1280" t="s">
        <v>30</v>
      </c>
      <c r="E1280" s="3">
        <f>60601+41086</f>
        <v>101687</v>
      </c>
      <c r="F1280" s="3">
        <f>78329+82402</f>
        <v>160731</v>
      </c>
      <c r="G1280" s="1">
        <f t="shared" si="412"/>
        <v>262418</v>
      </c>
      <c r="H1280" s="2">
        <f t="shared" si="413"/>
        <v>0.38750009526785512</v>
      </c>
      <c r="I1280" s="2">
        <f t="shared" si="414"/>
        <v>0.61249990473214488</v>
      </c>
      <c r="J1280" s="3">
        <f>29040.74+693859.13</f>
        <v>722899.87</v>
      </c>
      <c r="K1280" s="3">
        <f>45939.7+2168283.08</f>
        <v>2214222.7800000003</v>
      </c>
      <c r="L1280" s="1">
        <f t="shared" si="408"/>
        <v>2937122.6500000004</v>
      </c>
      <c r="M1280" s="2">
        <f t="shared" si="409"/>
        <v>0.24612518990311824</v>
      </c>
      <c r="N1280" s="2">
        <f t="shared" si="410"/>
        <v>0.75387481009688173</v>
      </c>
      <c r="P1280" s="5">
        <f t="shared" si="411"/>
        <v>11192.535001409966</v>
      </c>
    </row>
    <row r="1281" spans="1:16" x14ac:dyDescent="0.35">
      <c r="A1281" t="s">
        <v>34</v>
      </c>
      <c r="B1281" t="s">
        <v>25</v>
      </c>
      <c r="C1281">
        <v>2012</v>
      </c>
      <c r="D1281" t="s">
        <v>30</v>
      </c>
      <c r="E1281" s="3">
        <f>64927+41146</f>
        <v>106073</v>
      </c>
      <c r="F1281" s="3">
        <f>70938+82397</f>
        <v>153335</v>
      </c>
      <c r="G1281" s="1">
        <f t="shared" si="412"/>
        <v>259408</v>
      </c>
      <c r="H1281" s="2">
        <f t="shared" si="413"/>
        <v>0.40890412015049654</v>
      </c>
      <c r="I1281" s="2">
        <f t="shared" si="414"/>
        <v>0.59109587984950351</v>
      </c>
      <c r="J1281" s="3">
        <f>31283.97+692212.75</f>
        <v>723496.72</v>
      </c>
      <c r="K1281" s="3">
        <f>42809.65+2146003.61</f>
        <v>2188813.2599999998</v>
      </c>
      <c r="L1281" s="1">
        <f t="shared" si="408"/>
        <v>2912309.9799999995</v>
      </c>
      <c r="M1281" s="2">
        <f t="shared" si="409"/>
        <v>0.24842709909609281</v>
      </c>
      <c r="N1281" s="2">
        <f t="shared" si="410"/>
        <v>0.75157290090390727</v>
      </c>
      <c r="P1281" s="5">
        <f t="shared" si="411"/>
        <v>11226.754687596371</v>
      </c>
    </row>
    <row r="1282" spans="1:16" x14ac:dyDescent="0.35">
      <c r="A1282" t="s">
        <v>34</v>
      </c>
      <c r="B1282" t="s">
        <v>26</v>
      </c>
      <c r="C1282">
        <v>2012</v>
      </c>
      <c r="D1282" t="s">
        <v>30</v>
      </c>
      <c r="E1282" s="3">
        <f>65281+41287</f>
        <v>106568</v>
      </c>
      <c r="F1282" s="3">
        <f>72789+82805</f>
        <v>155594</v>
      </c>
      <c r="G1282" s="1">
        <f t="shared" si="412"/>
        <v>262162</v>
      </c>
      <c r="H1282" s="2">
        <f t="shared" si="413"/>
        <v>0.40649674628664717</v>
      </c>
      <c r="I1282" s="2">
        <f t="shared" si="414"/>
        <v>0.59350325371335277</v>
      </c>
      <c r="J1282" s="3">
        <f>33438.32+767849.41</f>
        <v>801287.73</v>
      </c>
      <c r="K1282" s="3">
        <f>44383.05+2270031.47</f>
        <v>2314414.52</v>
      </c>
      <c r="L1282" s="1">
        <f t="shared" si="408"/>
        <v>3115702.25</v>
      </c>
      <c r="M1282" s="2">
        <f t="shared" si="409"/>
        <v>0.25717724792219793</v>
      </c>
      <c r="N1282" s="2">
        <f t="shared" si="410"/>
        <v>0.74282275207780202</v>
      </c>
      <c r="P1282" s="5">
        <f t="shared" si="411"/>
        <v>11884.644799780288</v>
      </c>
    </row>
    <row r="1283" spans="1:16" x14ac:dyDescent="0.35">
      <c r="A1283" t="s">
        <v>34</v>
      </c>
      <c r="B1283" t="s">
        <v>27</v>
      </c>
      <c r="C1283">
        <v>2012</v>
      </c>
      <c r="D1283" t="s">
        <v>30</v>
      </c>
      <c r="E1283" s="3">
        <f>65422+40967</f>
        <v>106389</v>
      </c>
      <c r="F1283" s="3">
        <f>70246+82427</f>
        <v>152673</v>
      </c>
      <c r="G1283" s="1">
        <f t="shared" si="412"/>
        <v>259062</v>
      </c>
      <c r="H1283" s="2">
        <f t="shared" si="413"/>
        <v>0.41067003265627533</v>
      </c>
      <c r="I1283" s="2">
        <f t="shared" si="414"/>
        <v>0.58932996734372467</v>
      </c>
      <c r="J1283" s="3">
        <f>31416.43+700742.11</f>
        <v>732158.54</v>
      </c>
      <c r="K1283" s="3">
        <f>43208.59+2013739.56</f>
        <v>2056948.1500000001</v>
      </c>
      <c r="L1283" s="1">
        <f t="shared" ref="L1283:L1346" si="415">SUM(J1283:K1283)</f>
        <v>2789106.6900000004</v>
      </c>
      <c r="M1283" s="2">
        <f t="shared" ref="M1283:M1346" si="416">SUM(J1283)/L1283</f>
        <v>0.26250646582472609</v>
      </c>
      <c r="N1283" s="2">
        <f t="shared" ref="N1283:N1346" si="417">SUM(K1283/L1283)</f>
        <v>0.73749353417527386</v>
      </c>
      <c r="P1283" s="5">
        <f t="shared" si="411"/>
        <v>10766.174467887999</v>
      </c>
    </row>
    <row r="1284" spans="1:16" x14ac:dyDescent="0.35">
      <c r="A1284" t="s">
        <v>34</v>
      </c>
      <c r="B1284" t="s">
        <v>28</v>
      </c>
      <c r="C1284">
        <v>2012</v>
      </c>
      <c r="D1284" t="s">
        <v>30</v>
      </c>
      <c r="E1284" s="3">
        <f>65292+40749</f>
        <v>106041</v>
      </c>
      <c r="F1284" s="3">
        <f>69159+82544</f>
        <v>151703</v>
      </c>
      <c r="G1284" s="1">
        <f t="shared" si="412"/>
        <v>257744</v>
      </c>
      <c r="H1284" s="2">
        <f t="shared" si="413"/>
        <v>0.41141985846421253</v>
      </c>
      <c r="I1284" s="2">
        <f t="shared" si="414"/>
        <v>0.58858014153578742</v>
      </c>
      <c r="J1284" s="3">
        <f>28490.49+662885.01</f>
        <v>691375.5</v>
      </c>
      <c r="K1284" s="3">
        <f>40653+1867786.07</f>
        <v>1908439.07</v>
      </c>
      <c r="L1284" s="1">
        <f t="shared" si="415"/>
        <v>2599814.5700000003</v>
      </c>
      <c r="M1284" s="2">
        <f t="shared" si="416"/>
        <v>0.2659326199560455</v>
      </c>
      <c r="N1284" s="2">
        <f t="shared" si="417"/>
        <v>0.73406738004395433</v>
      </c>
      <c r="P1284" s="5">
        <f t="shared" ref="P1284:P1345" si="418">SUM(1000*L1284)/G1284</f>
        <v>10086.809275870633</v>
      </c>
    </row>
    <row r="1285" spans="1:16" x14ac:dyDescent="0.35">
      <c r="A1285" t="s">
        <v>34</v>
      </c>
      <c r="B1285" t="s">
        <v>29</v>
      </c>
      <c r="C1285">
        <v>2012</v>
      </c>
      <c r="D1285" t="s">
        <v>30</v>
      </c>
      <c r="E1285" s="3">
        <f>65206+40952</f>
        <v>106158</v>
      </c>
      <c r="F1285" s="3">
        <f>69114+83012</f>
        <v>152126</v>
      </c>
      <c r="G1285" s="1">
        <f t="shared" si="412"/>
        <v>258284</v>
      </c>
      <c r="H1285" s="2">
        <f t="shared" si="413"/>
        <v>0.41101268371250249</v>
      </c>
      <c r="I1285" s="2">
        <f t="shared" si="414"/>
        <v>0.58898731628749745</v>
      </c>
      <c r="J1285" s="3">
        <f>29117+623762.18</f>
        <v>652879.18000000005</v>
      </c>
      <c r="K1285" s="3">
        <f>42344.7+1756268.19</f>
        <v>1798612.89</v>
      </c>
      <c r="L1285" s="1">
        <f t="shared" si="415"/>
        <v>2451492.0699999998</v>
      </c>
      <c r="M1285" s="2">
        <f t="shared" si="416"/>
        <v>0.2663191074487139</v>
      </c>
      <c r="N1285" s="2">
        <f t="shared" si="417"/>
        <v>0.7336808925512861</v>
      </c>
      <c r="P1285" s="5">
        <f t="shared" si="418"/>
        <v>9491.4592851279995</v>
      </c>
    </row>
    <row r="1286" spans="1:16" x14ac:dyDescent="0.35">
      <c r="A1286" t="s">
        <v>34</v>
      </c>
      <c r="B1286" t="s">
        <v>17</v>
      </c>
      <c r="C1286">
        <v>2013</v>
      </c>
      <c r="D1286" t="s">
        <v>30</v>
      </c>
      <c r="E1286" s="3">
        <f>64721+41466</f>
        <v>106187</v>
      </c>
      <c r="F1286" s="3">
        <f>67915+84512</f>
        <v>152427</v>
      </c>
      <c r="G1286" s="1">
        <f t="shared" si="412"/>
        <v>258614</v>
      </c>
      <c r="H1286" s="2">
        <f t="shared" si="413"/>
        <v>0.41060035419582852</v>
      </c>
      <c r="I1286" s="2">
        <f t="shared" si="414"/>
        <v>0.58939964580417148</v>
      </c>
      <c r="J1286" s="3">
        <f>30841.41+609835.35</f>
        <v>640676.76</v>
      </c>
      <c r="K1286" s="3">
        <f>44617.97+1738247.95</f>
        <v>1782865.9199999999</v>
      </c>
      <c r="L1286" s="1">
        <f t="shared" si="415"/>
        <v>2423542.6799999997</v>
      </c>
      <c r="M1286" s="2">
        <f t="shared" si="416"/>
        <v>0.26435546825195588</v>
      </c>
      <c r="N1286" s="2">
        <f t="shared" si="417"/>
        <v>0.73564453174804423</v>
      </c>
      <c r="P1286" s="5">
        <f t="shared" si="418"/>
        <v>9371.2740996233752</v>
      </c>
    </row>
    <row r="1287" spans="1:16" x14ac:dyDescent="0.35">
      <c r="A1287" t="s">
        <v>34</v>
      </c>
      <c r="B1287" t="s">
        <v>19</v>
      </c>
      <c r="C1287">
        <v>2013</v>
      </c>
      <c r="D1287" t="s">
        <v>30</v>
      </c>
      <c r="E1287" s="3">
        <f>64545+41459</f>
        <v>106004</v>
      </c>
      <c r="F1287" s="3">
        <f>67627+84803</f>
        <v>152430</v>
      </c>
      <c r="G1287" s="1">
        <f t="shared" si="412"/>
        <v>258434</v>
      </c>
      <c r="H1287" s="2">
        <f t="shared" si="413"/>
        <v>0.41017822732303028</v>
      </c>
      <c r="I1287" s="2">
        <f t="shared" si="414"/>
        <v>0.58982177267696978</v>
      </c>
      <c r="J1287" s="3">
        <f>28470.48+567287.65</f>
        <v>595758.13</v>
      </c>
      <c r="K1287" s="3">
        <f>40413.16+1741199.31</f>
        <v>1781612.47</v>
      </c>
      <c r="L1287" s="1">
        <f t="shared" si="415"/>
        <v>2377370.6</v>
      </c>
      <c r="M1287" s="2">
        <f t="shared" si="416"/>
        <v>0.25059539728471447</v>
      </c>
      <c r="N1287" s="2">
        <f t="shared" si="417"/>
        <v>0.74940460271528553</v>
      </c>
      <c r="P1287" s="5">
        <f t="shared" si="418"/>
        <v>9199.1402060100445</v>
      </c>
    </row>
    <row r="1288" spans="1:16" x14ac:dyDescent="0.35">
      <c r="A1288" t="s">
        <v>34</v>
      </c>
      <c r="B1288" t="s">
        <v>20</v>
      </c>
      <c r="C1288">
        <v>2013</v>
      </c>
      <c r="D1288" t="s">
        <v>30</v>
      </c>
      <c r="E1288" s="3">
        <f>65174+41183</f>
        <v>106357</v>
      </c>
      <c r="F1288" s="3">
        <f>67784+84713</f>
        <v>152497</v>
      </c>
      <c r="G1288" s="1">
        <f t="shared" si="412"/>
        <v>258854</v>
      </c>
      <c r="H1288" s="2">
        <f t="shared" si="413"/>
        <v>0.41087640136911152</v>
      </c>
      <c r="I1288" s="2">
        <f t="shared" si="414"/>
        <v>0.58912359863088848</v>
      </c>
      <c r="J1288" s="3">
        <f>26592.96+526201.94</f>
        <v>552794.89999999991</v>
      </c>
      <c r="K1288" s="3">
        <f>37372.08+1623862.73</f>
        <v>1661234.81</v>
      </c>
      <c r="L1288" s="1">
        <f t="shared" si="415"/>
        <v>2214029.71</v>
      </c>
      <c r="M1288" s="2">
        <f t="shared" si="416"/>
        <v>0.24967817617948765</v>
      </c>
      <c r="N1288" s="2">
        <f t="shared" si="417"/>
        <v>0.75032182382051238</v>
      </c>
      <c r="P1288" s="5">
        <f t="shared" si="418"/>
        <v>8553.1987529649923</v>
      </c>
    </row>
    <row r="1289" spans="1:16" x14ac:dyDescent="0.35">
      <c r="A1289" t="s">
        <v>34</v>
      </c>
      <c r="B1289" t="s">
        <v>21</v>
      </c>
      <c r="C1289">
        <v>2013</v>
      </c>
      <c r="D1289" t="s">
        <v>30</v>
      </c>
      <c r="E1289" s="3">
        <f>65833+41106</f>
        <v>106939</v>
      </c>
      <c r="F1289" s="3">
        <f>68202+84980</f>
        <v>153182</v>
      </c>
      <c r="G1289" s="1">
        <f t="shared" si="412"/>
        <v>260121</v>
      </c>
      <c r="H1289" s="2">
        <f t="shared" si="413"/>
        <v>0.41111252071151505</v>
      </c>
      <c r="I1289" s="2">
        <f t="shared" si="414"/>
        <v>0.58888747928848495</v>
      </c>
      <c r="J1289" s="3">
        <f>27636.26+549099.9</f>
        <v>576736.16</v>
      </c>
      <c r="K1289" s="3">
        <f>37794.76+1714571.33</f>
        <v>1752366.09</v>
      </c>
      <c r="L1289" s="1">
        <f t="shared" si="415"/>
        <v>2329102.25</v>
      </c>
      <c r="M1289" s="2">
        <f t="shared" si="416"/>
        <v>0.24762165765800967</v>
      </c>
      <c r="N1289" s="2">
        <f t="shared" si="417"/>
        <v>0.75237834234199041</v>
      </c>
      <c r="P1289" s="5">
        <f t="shared" si="418"/>
        <v>8953.9185609773922</v>
      </c>
    </row>
    <row r="1290" spans="1:16" x14ac:dyDescent="0.35">
      <c r="A1290" t="s">
        <v>34</v>
      </c>
      <c r="B1290" t="s">
        <v>22</v>
      </c>
      <c r="C1290">
        <v>2013</v>
      </c>
      <c r="D1290" t="s">
        <v>30</v>
      </c>
      <c r="E1290" s="3">
        <f>66151+40951</f>
        <v>107102</v>
      </c>
      <c r="F1290" s="3">
        <f>68830+85090</f>
        <v>153920</v>
      </c>
      <c r="G1290" s="1">
        <f t="shared" si="412"/>
        <v>261022</v>
      </c>
      <c r="H1290" s="2">
        <f t="shared" si="413"/>
        <v>0.41031790423795694</v>
      </c>
      <c r="I1290" s="2">
        <f t="shared" si="414"/>
        <v>0.589682095762043</v>
      </c>
      <c r="J1290" s="3">
        <f>27245.71+578276.7</f>
        <v>605522.40999999992</v>
      </c>
      <c r="K1290" s="3">
        <f>36513.68+1811534.9</f>
        <v>1848048.5799999998</v>
      </c>
      <c r="L1290" s="1">
        <f t="shared" si="415"/>
        <v>2453570.9899999998</v>
      </c>
      <c r="M1290" s="2">
        <f t="shared" si="416"/>
        <v>0.24679229273084941</v>
      </c>
      <c r="N1290" s="2">
        <f t="shared" si="417"/>
        <v>0.75320770726915065</v>
      </c>
      <c r="P1290" s="5">
        <f t="shared" si="418"/>
        <v>9399.8628084988995</v>
      </c>
    </row>
    <row r="1291" spans="1:16" x14ac:dyDescent="0.35">
      <c r="A1291" t="s">
        <v>34</v>
      </c>
      <c r="B1291" t="s">
        <v>23</v>
      </c>
      <c r="C1291">
        <v>2013</v>
      </c>
      <c r="D1291" t="s">
        <v>30</v>
      </c>
      <c r="E1291" s="3">
        <f>66859+40835</f>
        <v>107694</v>
      </c>
      <c r="F1291" s="3">
        <f>70732+85747</f>
        <v>156479</v>
      </c>
      <c r="G1291" s="1">
        <f t="shared" si="412"/>
        <v>264173</v>
      </c>
      <c r="H1291" s="2">
        <f t="shared" si="413"/>
        <v>0.40766467428541148</v>
      </c>
      <c r="I1291" s="2">
        <f t="shared" si="414"/>
        <v>0.59233532571458858</v>
      </c>
      <c r="J1291" s="3">
        <f>30337.11+635712.51</f>
        <v>666049.62</v>
      </c>
      <c r="K1291" s="3">
        <f>40213.01+2046868.37</f>
        <v>2087081.3800000001</v>
      </c>
      <c r="L1291" s="1">
        <f t="shared" si="415"/>
        <v>2753131</v>
      </c>
      <c r="M1291" s="2">
        <f t="shared" si="416"/>
        <v>0.24192441986959573</v>
      </c>
      <c r="N1291" s="2">
        <f t="shared" si="417"/>
        <v>0.75807558013040433</v>
      </c>
      <c r="P1291" s="5">
        <f t="shared" si="418"/>
        <v>10421.697145431213</v>
      </c>
    </row>
    <row r="1292" spans="1:16" x14ac:dyDescent="0.35">
      <c r="A1292" t="s">
        <v>34</v>
      </c>
      <c r="B1292" t="s">
        <v>24</v>
      </c>
      <c r="C1292">
        <v>2013</v>
      </c>
      <c r="D1292" t="s">
        <v>30</v>
      </c>
      <c r="E1292" s="3">
        <f>67338+40611</f>
        <v>107949</v>
      </c>
      <c r="F1292" s="3">
        <f>68637+85774</f>
        <v>154411</v>
      </c>
      <c r="G1292" s="1">
        <f t="shared" si="412"/>
        <v>262360</v>
      </c>
      <c r="H1292" s="2">
        <f t="shared" si="413"/>
        <v>0.41145372770239363</v>
      </c>
      <c r="I1292" s="2">
        <f t="shared" si="414"/>
        <v>0.58854627229760637</v>
      </c>
      <c r="J1292" s="3">
        <f>33384.46+673086.44</f>
        <v>706470.89999999991</v>
      </c>
      <c r="K1292" s="3">
        <f>41968.77+2257395.61</f>
        <v>2299364.38</v>
      </c>
      <c r="L1292" s="1">
        <f t="shared" si="415"/>
        <v>3005835.28</v>
      </c>
      <c r="M1292" s="2">
        <f t="shared" si="416"/>
        <v>0.23503313860897926</v>
      </c>
      <c r="N1292" s="2">
        <f t="shared" si="417"/>
        <v>0.76496686139102077</v>
      </c>
      <c r="P1292" s="5">
        <f t="shared" si="418"/>
        <v>11456.911419423692</v>
      </c>
    </row>
    <row r="1293" spans="1:16" x14ac:dyDescent="0.35">
      <c r="A1293" t="s">
        <v>34</v>
      </c>
      <c r="B1293" t="s">
        <v>25</v>
      </c>
      <c r="C1293">
        <v>2013</v>
      </c>
      <c r="D1293" t="s">
        <v>30</v>
      </c>
      <c r="E1293" s="3">
        <f>67579+40314</f>
        <v>107893</v>
      </c>
      <c r="F1293" s="3">
        <f>68668+85659</f>
        <v>154327</v>
      </c>
      <c r="G1293" s="1">
        <f t="shared" si="412"/>
        <v>262220</v>
      </c>
      <c r="H1293" s="2">
        <f t="shared" si="413"/>
        <v>0.41145984288002441</v>
      </c>
      <c r="I1293" s="2">
        <f t="shared" si="414"/>
        <v>0.58854015711997554</v>
      </c>
      <c r="J1293" s="3">
        <f>33502.11+678014.23</f>
        <v>711516.34</v>
      </c>
      <c r="K1293" s="3">
        <f>42204.47+2291092.19</f>
        <v>2333296.66</v>
      </c>
      <c r="L1293" s="1">
        <f t="shared" si="415"/>
        <v>3044813</v>
      </c>
      <c r="M1293" s="2">
        <f t="shared" si="416"/>
        <v>0.23368145761332468</v>
      </c>
      <c r="N1293" s="2">
        <f t="shared" si="417"/>
        <v>0.76631854238667541</v>
      </c>
      <c r="P1293" s="5">
        <f t="shared" si="418"/>
        <v>11611.673404011899</v>
      </c>
    </row>
    <row r="1294" spans="1:16" x14ac:dyDescent="0.35">
      <c r="A1294" t="s">
        <v>34</v>
      </c>
      <c r="B1294" t="s">
        <v>26</v>
      </c>
      <c r="C1294">
        <v>2013</v>
      </c>
      <c r="D1294" t="s">
        <v>30</v>
      </c>
      <c r="E1294" s="3">
        <f>67269+40054</f>
        <v>107323</v>
      </c>
      <c r="F1294" s="3">
        <f>69312+85679</f>
        <v>154991</v>
      </c>
      <c r="G1294" s="1">
        <f t="shared" si="412"/>
        <v>262314</v>
      </c>
      <c r="H1294" s="2">
        <f t="shared" si="413"/>
        <v>0.40913942831873251</v>
      </c>
      <c r="I1294" s="2">
        <f t="shared" si="414"/>
        <v>0.59086057168126749</v>
      </c>
      <c r="J1294" s="3">
        <f>33856.33+689267.02</f>
        <v>723123.35</v>
      </c>
      <c r="K1294" s="3">
        <f>43935.94+2328964.94</f>
        <v>2372900.88</v>
      </c>
      <c r="L1294" s="1">
        <f t="shared" si="415"/>
        <v>3096024.23</v>
      </c>
      <c r="M1294" s="2">
        <f t="shared" si="416"/>
        <v>0.23356514558027214</v>
      </c>
      <c r="N1294" s="2">
        <f t="shared" si="417"/>
        <v>0.76643485441972781</v>
      </c>
      <c r="P1294" s="5">
        <f t="shared" si="418"/>
        <v>11802.741104172861</v>
      </c>
    </row>
    <row r="1295" spans="1:16" x14ac:dyDescent="0.35">
      <c r="A1295" t="s">
        <v>34</v>
      </c>
      <c r="B1295" t="s">
        <v>27</v>
      </c>
      <c r="C1295">
        <v>2013</v>
      </c>
      <c r="D1295" t="s">
        <v>30</v>
      </c>
      <c r="E1295" s="3">
        <f>67511+39868</f>
        <v>107379</v>
      </c>
      <c r="F1295" s="3">
        <f>69332+85789</f>
        <v>155121</v>
      </c>
      <c r="G1295" s="1">
        <f t="shared" si="412"/>
        <v>262500</v>
      </c>
      <c r="H1295" s="2">
        <f t="shared" si="413"/>
        <v>0.40906285714285712</v>
      </c>
      <c r="I1295" s="2">
        <f t="shared" si="414"/>
        <v>0.59093714285714283</v>
      </c>
      <c r="J1295" s="3">
        <f>33460.4+654026.1</f>
        <v>687486.5</v>
      </c>
      <c r="K1295" s="3">
        <f>43629+2220326.63</f>
        <v>2263955.63</v>
      </c>
      <c r="L1295" s="1">
        <f t="shared" si="415"/>
        <v>2951442.13</v>
      </c>
      <c r="M1295" s="2">
        <f t="shared" si="416"/>
        <v>0.23293240040589921</v>
      </c>
      <c r="N1295" s="2">
        <f t="shared" si="417"/>
        <v>0.76706759959410076</v>
      </c>
      <c r="P1295" s="5">
        <f t="shared" si="418"/>
        <v>11243.589066666667</v>
      </c>
    </row>
    <row r="1296" spans="1:16" x14ac:dyDescent="0.35">
      <c r="A1296" t="s">
        <v>34</v>
      </c>
      <c r="B1296" t="s">
        <v>28</v>
      </c>
      <c r="C1296">
        <v>2013</v>
      </c>
      <c r="D1296" t="s">
        <v>30</v>
      </c>
      <c r="E1296" s="3">
        <f>67420+39671</f>
        <v>107091</v>
      </c>
      <c r="F1296" s="3">
        <f>75346+90599</f>
        <v>165945</v>
      </c>
      <c r="G1296" s="1">
        <f t="shared" si="412"/>
        <v>273036</v>
      </c>
      <c r="H1296" s="2">
        <f t="shared" si="413"/>
        <v>0.39222300355997014</v>
      </c>
      <c r="I1296" s="2">
        <f t="shared" si="414"/>
        <v>0.60777699644002992</v>
      </c>
      <c r="J1296" s="3">
        <f>29099.87+574268.12</f>
        <v>603367.99</v>
      </c>
      <c r="K1296" s="3">
        <f>40428.63+1923653</f>
        <v>1964081.63</v>
      </c>
      <c r="L1296" s="1">
        <f t="shared" si="415"/>
        <v>2567449.62</v>
      </c>
      <c r="M1296" s="2">
        <f t="shared" si="416"/>
        <v>0.2350067496163761</v>
      </c>
      <c r="N1296" s="2">
        <f t="shared" si="417"/>
        <v>0.76499325038362376</v>
      </c>
      <c r="P1296" s="5">
        <f t="shared" si="418"/>
        <v>9403.3373621060964</v>
      </c>
    </row>
    <row r="1297" spans="1:16" x14ac:dyDescent="0.35">
      <c r="A1297" t="s">
        <v>34</v>
      </c>
      <c r="B1297" t="s">
        <v>29</v>
      </c>
      <c r="C1297">
        <v>2013</v>
      </c>
      <c r="D1297" t="s">
        <v>30</v>
      </c>
      <c r="E1297" s="3">
        <f>66924+40213</f>
        <v>107137</v>
      </c>
      <c r="F1297" s="3">
        <f>68936+88054</f>
        <v>156990</v>
      </c>
      <c r="G1297" s="1">
        <f t="shared" si="412"/>
        <v>264127</v>
      </c>
      <c r="H1297" s="2">
        <f t="shared" si="413"/>
        <v>0.40562683860415633</v>
      </c>
      <c r="I1297" s="2">
        <f t="shared" si="414"/>
        <v>0.59437316139584362</v>
      </c>
      <c r="J1297" s="3">
        <f>29491.31+538967.8</f>
        <v>568459.1100000001</v>
      </c>
      <c r="K1297" s="3">
        <f>41744.02+1830778.07</f>
        <v>1872522.09</v>
      </c>
      <c r="L1297" s="1">
        <f t="shared" si="415"/>
        <v>2440981.2000000002</v>
      </c>
      <c r="M1297" s="2">
        <f t="shared" si="416"/>
        <v>0.23288139621886481</v>
      </c>
      <c r="N1297" s="2">
        <f t="shared" si="417"/>
        <v>0.76711860378113517</v>
      </c>
      <c r="P1297" s="5">
        <f t="shared" si="418"/>
        <v>9241.6950936481317</v>
      </c>
    </row>
    <row r="1298" spans="1:16" x14ac:dyDescent="0.35">
      <c r="A1298" t="s">
        <v>34</v>
      </c>
      <c r="B1298" t="s">
        <v>17</v>
      </c>
      <c r="C1298">
        <v>2014</v>
      </c>
      <c r="D1298" t="s">
        <v>30</v>
      </c>
      <c r="E1298" s="3">
        <f>66573+40570</f>
        <v>107143</v>
      </c>
      <c r="F1298" s="3">
        <f>68267+88267</f>
        <v>156534</v>
      </c>
      <c r="G1298" s="1">
        <f t="shared" si="412"/>
        <v>263677</v>
      </c>
      <c r="H1298" s="2">
        <f t="shared" si="413"/>
        <v>0.40634185006655871</v>
      </c>
      <c r="I1298" s="2">
        <f t="shared" si="414"/>
        <v>0.59365814993344135</v>
      </c>
      <c r="J1298" s="3">
        <f>33300.24+579973.09</f>
        <v>613273.32999999996</v>
      </c>
      <c r="K1298" s="3">
        <f>46214.43+1936650.24</f>
        <v>1982864.67</v>
      </c>
      <c r="L1298" s="1">
        <f t="shared" si="415"/>
        <v>2596138</v>
      </c>
      <c r="M1298" s="2">
        <f t="shared" si="416"/>
        <v>0.23622524303407599</v>
      </c>
      <c r="N1298" s="2">
        <f t="shared" si="417"/>
        <v>0.76377475696592401</v>
      </c>
      <c r="P1298" s="5">
        <f t="shared" si="418"/>
        <v>9845.9023729790606</v>
      </c>
    </row>
    <row r="1299" spans="1:16" x14ac:dyDescent="0.35">
      <c r="A1299" t="s">
        <v>34</v>
      </c>
      <c r="B1299" t="s">
        <v>19</v>
      </c>
      <c r="C1299">
        <v>2014</v>
      </c>
      <c r="D1299" t="s">
        <v>30</v>
      </c>
      <c r="E1299" s="3">
        <f>62766+39862</f>
        <v>102628</v>
      </c>
      <c r="F1299" s="3">
        <f>71606+89162</f>
        <v>160768</v>
      </c>
      <c r="G1299" s="1">
        <f t="shared" si="412"/>
        <v>263396</v>
      </c>
      <c r="H1299" s="2">
        <f t="shared" si="413"/>
        <v>0.38963385928411975</v>
      </c>
      <c r="I1299" s="2">
        <f t="shared" si="414"/>
        <v>0.61036614071588025</v>
      </c>
      <c r="J1299" s="3">
        <f>27159.65+521292.36</f>
        <v>548452.01</v>
      </c>
      <c r="K1299" s="3">
        <f>43368.34+1881387.73</f>
        <v>1924756.07</v>
      </c>
      <c r="L1299" s="1">
        <f t="shared" si="415"/>
        <v>2473208.08</v>
      </c>
      <c r="M1299" s="2">
        <f t="shared" si="416"/>
        <v>0.22175732581303875</v>
      </c>
      <c r="N1299" s="2">
        <f t="shared" si="417"/>
        <v>0.77824267418696125</v>
      </c>
      <c r="P1299" s="5">
        <f t="shared" si="418"/>
        <v>9389.6949080471986</v>
      </c>
    </row>
    <row r="1300" spans="1:16" x14ac:dyDescent="0.35">
      <c r="A1300" t="s">
        <v>34</v>
      </c>
      <c r="B1300" t="s">
        <v>20</v>
      </c>
      <c r="C1300">
        <v>2014</v>
      </c>
      <c r="D1300" t="s">
        <v>30</v>
      </c>
      <c r="E1300" s="3">
        <f>60469+39350</f>
        <v>99819</v>
      </c>
      <c r="F1300" s="3">
        <f>74368+90149</f>
        <v>164517</v>
      </c>
      <c r="G1300" s="1">
        <f t="shared" si="412"/>
        <v>264336</v>
      </c>
      <c r="H1300" s="2">
        <f t="shared" si="413"/>
        <v>0.37762166333757036</v>
      </c>
      <c r="I1300" s="2">
        <f t="shared" si="414"/>
        <v>0.62237833666242959</v>
      </c>
      <c r="J1300" s="3">
        <f>24346.99+483984.81</f>
        <v>508331.8</v>
      </c>
      <c r="K1300" s="3">
        <f>42840.34+1831346.13</f>
        <v>1874186.47</v>
      </c>
      <c r="L1300" s="1">
        <f t="shared" si="415"/>
        <v>2382518.27</v>
      </c>
      <c r="M1300" s="2">
        <f t="shared" si="416"/>
        <v>0.21335903543774293</v>
      </c>
      <c r="N1300" s="2">
        <f t="shared" si="417"/>
        <v>0.78664096456225707</v>
      </c>
      <c r="P1300" s="5">
        <f t="shared" si="418"/>
        <v>9013.219046970522</v>
      </c>
    </row>
    <row r="1301" spans="1:16" x14ac:dyDescent="0.35">
      <c r="A1301" t="s">
        <v>34</v>
      </c>
      <c r="B1301" t="s">
        <v>21</v>
      </c>
      <c r="C1301">
        <v>2014</v>
      </c>
      <c r="D1301" t="s">
        <v>30</v>
      </c>
      <c r="E1301" s="3">
        <f>60846+39091</f>
        <v>99937</v>
      </c>
      <c r="F1301" s="3">
        <f>74624+90666</f>
        <v>165290</v>
      </c>
      <c r="G1301" s="1">
        <f t="shared" si="412"/>
        <v>265227</v>
      </c>
      <c r="H1301" s="2">
        <f t="shared" si="413"/>
        <v>0.37679798813846255</v>
      </c>
      <c r="I1301" s="2">
        <f t="shared" si="414"/>
        <v>0.62320201186153745</v>
      </c>
      <c r="J1301" s="3">
        <f>22853.6+456378.7</f>
        <v>479232.3</v>
      </c>
      <c r="K1301" s="3">
        <f>40619.76+1789520.62</f>
        <v>1830140.3800000001</v>
      </c>
      <c r="L1301" s="1">
        <f t="shared" si="415"/>
        <v>2309372.6800000002</v>
      </c>
      <c r="M1301" s="2">
        <f t="shared" si="416"/>
        <v>0.20751622470912748</v>
      </c>
      <c r="N1301" s="2">
        <f t="shared" si="417"/>
        <v>0.79248377529087244</v>
      </c>
      <c r="P1301" s="5">
        <f t="shared" si="418"/>
        <v>8707.1553047012567</v>
      </c>
    </row>
    <row r="1302" spans="1:16" x14ac:dyDescent="0.35">
      <c r="A1302" t="s">
        <v>34</v>
      </c>
      <c r="B1302" t="s">
        <v>22</v>
      </c>
      <c r="C1302">
        <v>2014</v>
      </c>
      <c r="D1302" t="s">
        <v>30</v>
      </c>
      <c r="E1302" s="3">
        <f>61156+39324</f>
        <v>100480</v>
      </c>
      <c r="F1302" s="3">
        <f>74723+90667</f>
        <v>165390</v>
      </c>
      <c r="G1302" s="1">
        <f t="shared" si="412"/>
        <v>265870</v>
      </c>
      <c r="H1302" s="2">
        <f t="shared" si="413"/>
        <v>0.37792906307593938</v>
      </c>
      <c r="I1302" s="2">
        <f t="shared" si="414"/>
        <v>0.62207093692406068</v>
      </c>
      <c r="J1302" s="3">
        <f>24456.55+513579.24</f>
        <v>538035.79</v>
      </c>
      <c r="K1302" s="3">
        <f>42204.17+1965134.92</f>
        <v>2007339.0899999999</v>
      </c>
      <c r="L1302" s="1">
        <f t="shared" si="415"/>
        <v>2545374.88</v>
      </c>
      <c r="M1302" s="2">
        <f t="shared" si="416"/>
        <v>0.21137781873607556</v>
      </c>
      <c r="N1302" s="2">
        <f t="shared" si="417"/>
        <v>0.78862218126392447</v>
      </c>
      <c r="P1302" s="5">
        <f t="shared" si="418"/>
        <v>9573.7574002331967</v>
      </c>
    </row>
    <row r="1303" spans="1:16" x14ac:dyDescent="0.35">
      <c r="A1303" t="s">
        <v>34</v>
      </c>
      <c r="B1303" t="s">
        <v>23</v>
      </c>
      <c r="C1303">
        <v>2014</v>
      </c>
      <c r="D1303" t="s">
        <v>30</v>
      </c>
      <c r="E1303" s="3">
        <f>61958+39425</f>
        <v>101383</v>
      </c>
      <c r="F1303" s="3">
        <f>74372+90433</f>
        <v>164805</v>
      </c>
      <c r="G1303" s="1">
        <f t="shared" si="412"/>
        <v>266188</v>
      </c>
      <c r="H1303" s="2">
        <f t="shared" si="413"/>
        <v>0.38086991149112659</v>
      </c>
      <c r="I1303" s="2">
        <f t="shared" si="414"/>
        <v>0.61913008850887341</v>
      </c>
      <c r="J1303" s="3">
        <f>25759.87+545572.91</f>
        <v>571332.78</v>
      </c>
      <c r="K1303" s="3">
        <f>42629.07+2116375.98</f>
        <v>2159005.0499999998</v>
      </c>
      <c r="L1303" s="1">
        <f t="shared" si="415"/>
        <v>2730337.83</v>
      </c>
      <c r="M1303" s="2">
        <f t="shared" si="416"/>
        <v>0.20925351204616316</v>
      </c>
      <c r="N1303" s="2">
        <f t="shared" si="417"/>
        <v>0.79074648795383673</v>
      </c>
      <c r="P1303" s="5">
        <f t="shared" si="418"/>
        <v>10257.178497903737</v>
      </c>
    </row>
    <row r="1304" spans="1:16" x14ac:dyDescent="0.35">
      <c r="A1304" t="s">
        <v>34</v>
      </c>
      <c r="B1304" t="s">
        <v>24</v>
      </c>
      <c r="C1304">
        <v>2014</v>
      </c>
      <c r="D1304" t="s">
        <v>30</v>
      </c>
      <c r="E1304" s="3">
        <f>62357+39186</f>
        <v>101543</v>
      </c>
      <c r="F1304" s="3">
        <f>74391+90432</f>
        <v>164823</v>
      </c>
      <c r="G1304" s="1">
        <f t="shared" si="412"/>
        <v>266366</v>
      </c>
      <c r="H1304" s="2">
        <f t="shared" si="413"/>
        <v>0.38121607112018802</v>
      </c>
      <c r="I1304" s="2">
        <f t="shared" si="414"/>
        <v>0.61878392887981204</v>
      </c>
      <c r="J1304" s="3">
        <f>27815.49+596643.03</f>
        <v>624458.52</v>
      </c>
      <c r="K1304" s="3">
        <f>44821.07+2295544.56</f>
        <v>2340365.63</v>
      </c>
      <c r="L1304" s="1">
        <f t="shared" si="415"/>
        <v>2964824.15</v>
      </c>
      <c r="M1304" s="2">
        <f t="shared" si="416"/>
        <v>0.21062244787772658</v>
      </c>
      <c r="N1304" s="2">
        <f t="shared" si="417"/>
        <v>0.78937755212227345</v>
      </c>
      <c r="P1304" s="5">
        <f t="shared" si="418"/>
        <v>11130.640359505342</v>
      </c>
    </row>
    <row r="1305" spans="1:16" x14ac:dyDescent="0.35">
      <c r="A1305" t="s">
        <v>34</v>
      </c>
      <c r="B1305" t="s">
        <v>25</v>
      </c>
      <c r="C1305">
        <v>2014</v>
      </c>
      <c r="D1305" t="s">
        <v>30</v>
      </c>
      <c r="E1305" s="3">
        <f>62813+39074</f>
        <v>101887</v>
      </c>
      <c r="F1305" s="3">
        <f>74317+90168</f>
        <v>164485</v>
      </c>
      <c r="G1305" s="1">
        <f t="shared" si="412"/>
        <v>266372</v>
      </c>
      <c r="H1305" s="2">
        <f t="shared" si="413"/>
        <v>0.38249891129698316</v>
      </c>
      <c r="I1305" s="2">
        <f t="shared" si="414"/>
        <v>0.61750108870301679</v>
      </c>
      <c r="J1305" s="3">
        <f>28671.96+628867.38</f>
        <v>657539.34</v>
      </c>
      <c r="K1305" s="3">
        <f>45856.84+2369366.06</f>
        <v>2415222.9</v>
      </c>
      <c r="L1305" s="1">
        <f t="shared" si="415"/>
        <v>3072762.2399999998</v>
      </c>
      <c r="M1305" s="2">
        <f t="shared" si="416"/>
        <v>0.21398965772242762</v>
      </c>
      <c r="N1305" s="2">
        <f t="shared" si="417"/>
        <v>0.78601034227757238</v>
      </c>
      <c r="P1305" s="5">
        <f t="shared" si="418"/>
        <v>11535.605243794391</v>
      </c>
    </row>
    <row r="1306" spans="1:16" x14ac:dyDescent="0.35">
      <c r="A1306" t="s">
        <v>34</v>
      </c>
      <c r="B1306" t="s">
        <v>26</v>
      </c>
      <c r="C1306">
        <v>2014</v>
      </c>
      <c r="D1306" t="s">
        <v>30</v>
      </c>
      <c r="E1306" s="3">
        <f>63041+38892</f>
        <v>101933</v>
      </c>
      <c r="F1306" s="3">
        <f>74728+90252</f>
        <v>164980</v>
      </c>
      <c r="G1306" s="1">
        <f t="shared" si="412"/>
        <v>266913</v>
      </c>
      <c r="H1306" s="2">
        <f t="shared" si="413"/>
        <v>0.3818959735943922</v>
      </c>
      <c r="I1306" s="2">
        <f t="shared" si="414"/>
        <v>0.6181040264056078</v>
      </c>
      <c r="J1306" s="3">
        <f>29552.9+638227.56</f>
        <v>667780.46000000008</v>
      </c>
      <c r="K1306" s="3">
        <f>47480.49+2426478.61</f>
        <v>2473959.1</v>
      </c>
      <c r="L1306" s="1">
        <f t="shared" si="415"/>
        <v>3141739.56</v>
      </c>
      <c r="M1306" s="2">
        <f t="shared" si="416"/>
        <v>0.212551182950378</v>
      </c>
      <c r="N1306" s="2">
        <f t="shared" si="417"/>
        <v>0.787448817049622</v>
      </c>
      <c r="P1306" s="5">
        <f t="shared" si="418"/>
        <v>11770.650211866789</v>
      </c>
    </row>
    <row r="1307" spans="1:16" x14ac:dyDescent="0.35">
      <c r="A1307" t="s">
        <v>34</v>
      </c>
      <c r="B1307" t="s">
        <v>27</v>
      </c>
      <c r="C1307">
        <v>2014</v>
      </c>
      <c r="D1307" t="s">
        <v>30</v>
      </c>
      <c r="E1307" s="3">
        <f>63001+38754</f>
        <v>101755</v>
      </c>
      <c r="F1307" s="3">
        <f>74884+90040</f>
        <v>164924</v>
      </c>
      <c r="G1307" s="1">
        <f t="shared" si="412"/>
        <v>266679</v>
      </c>
      <c r="H1307" s="2">
        <f t="shared" si="413"/>
        <v>0.38156360268337591</v>
      </c>
      <c r="I1307" s="2">
        <f t="shared" si="414"/>
        <v>0.61843639731662414</v>
      </c>
      <c r="J1307" s="3">
        <f>28193.3+593406.2</f>
        <v>621599.5</v>
      </c>
      <c r="K1307" s="3">
        <f>46133.77+2243814.44</f>
        <v>2289948.21</v>
      </c>
      <c r="L1307" s="1">
        <f t="shared" si="415"/>
        <v>2911547.71</v>
      </c>
      <c r="M1307" s="2">
        <f t="shared" si="416"/>
        <v>0.21349452659321183</v>
      </c>
      <c r="N1307" s="2">
        <f t="shared" si="417"/>
        <v>0.78650547340678811</v>
      </c>
      <c r="P1307" s="5">
        <f t="shared" si="418"/>
        <v>10917.798964297901</v>
      </c>
    </row>
    <row r="1308" spans="1:16" x14ac:dyDescent="0.35">
      <c r="A1308" t="s">
        <v>34</v>
      </c>
      <c r="B1308" t="s">
        <v>28</v>
      </c>
      <c r="C1308">
        <v>2014</v>
      </c>
      <c r="D1308" t="s">
        <v>30</v>
      </c>
      <c r="E1308" s="3">
        <f>63172+38653</f>
        <v>101825</v>
      </c>
      <c r="F1308" s="3">
        <f>75607+90459</f>
        <v>166066</v>
      </c>
      <c r="G1308" s="1">
        <f t="shared" si="412"/>
        <v>267891</v>
      </c>
      <c r="H1308" s="2">
        <f t="shared" si="413"/>
        <v>0.38009862220082047</v>
      </c>
      <c r="I1308" s="2">
        <f t="shared" si="414"/>
        <v>0.61990137779917953</v>
      </c>
      <c r="J1308" s="3">
        <f>25985.91+545196.93</f>
        <v>571182.84000000008</v>
      </c>
      <c r="K1308" s="3">
        <f>43391.33+2067020.58</f>
        <v>2110411.91</v>
      </c>
      <c r="L1308" s="1">
        <f t="shared" si="415"/>
        <v>2681594.75</v>
      </c>
      <c r="M1308" s="2">
        <f t="shared" si="416"/>
        <v>0.21300117775066502</v>
      </c>
      <c r="N1308" s="2">
        <f t="shared" si="417"/>
        <v>0.78699882224933504</v>
      </c>
      <c r="P1308" s="5">
        <f t="shared" si="418"/>
        <v>10010.021799911157</v>
      </c>
    </row>
    <row r="1309" spans="1:16" x14ac:dyDescent="0.35">
      <c r="A1309" t="s">
        <v>34</v>
      </c>
      <c r="B1309" t="s">
        <v>29</v>
      </c>
      <c r="C1309">
        <v>2014</v>
      </c>
      <c r="D1309" t="s">
        <v>30</v>
      </c>
      <c r="E1309" s="3">
        <f>62526+39130</f>
        <v>101656</v>
      </c>
      <c r="F1309" s="3">
        <f>74675+91173</f>
        <v>165848</v>
      </c>
      <c r="G1309" s="1">
        <f t="shared" si="412"/>
        <v>267504</v>
      </c>
      <c r="H1309" s="2">
        <f t="shared" si="413"/>
        <v>0.3800167474131228</v>
      </c>
      <c r="I1309" s="2">
        <f t="shared" si="414"/>
        <v>0.61998325258687725</v>
      </c>
      <c r="J1309" s="3">
        <f>26583.11+483778.62</f>
        <v>510361.73</v>
      </c>
      <c r="K1309" s="3">
        <f>44987.09+1857447.76</f>
        <v>1902434.85</v>
      </c>
      <c r="L1309" s="1">
        <f t="shared" si="415"/>
        <v>2412796.58</v>
      </c>
      <c r="M1309" s="2">
        <f t="shared" si="416"/>
        <v>0.21152290011949534</v>
      </c>
      <c r="N1309" s="2">
        <f t="shared" si="417"/>
        <v>0.78847709988050463</v>
      </c>
      <c r="P1309" s="5">
        <f t="shared" si="418"/>
        <v>9019.6654255637295</v>
      </c>
    </row>
    <row r="1310" spans="1:16" x14ac:dyDescent="0.35">
      <c r="A1310" t="s">
        <v>34</v>
      </c>
      <c r="B1310" t="s">
        <v>17</v>
      </c>
      <c r="C1310">
        <v>2015</v>
      </c>
      <c r="D1310" t="s">
        <v>30</v>
      </c>
      <c r="E1310" s="3">
        <f>62253+39149</f>
        <v>101402</v>
      </c>
      <c r="F1310" s="3">
        <f>74452+91662</f>
        <v>166114</v>
      </c>
      <c r="G1310" s="1">
        <f t="shared" si="412"/>
        <v>267516</v>
      </c>
      <c r="H1310" s="2">
        <f t="shared" si="413"/>
        <v>0.37905022503326902</v>
      </c>
      <c r="I1310" s="2">
        <f t="shared" si="414"/>
        <v>0.62094977496673098</v>
      </c>
      <c r="J1310" s="3">
        <f>28938.15+511483.68</f>
        <v>540421.82999999996</v>
      </c>
      <c r="K1310" s="3">
        <f>49288.91+1950103.01</f>
        <v>1999391.92</v>
      </c>
      <c r="L1310" s="1">
        <f t="shared" si="415"/>
        <v>2539813.75</v>
      </c>
      <c r="M1310" s="2">
        <f t="shared" si="416"/>
        <v>0.21278010247798682</v>
      </c>
      <c r="N1310" s="2">
        <f t="shared" si="417"/>
        <v>0.78721989752201316</v>
      </c>
      <c r="P1310" s="5">
        <f t="shared" si="418"/>
        <v>9494.0629719343888</v>
      </c>
    </row>
    <row r="1311" spans="1:16" x14ac:dyDescent="0.35">
      <c r="A1311" t="s">
        <v>34</v>
      </c>
      <c r="B1311" t="s">
        <v>19</v>
      </c>
      <c r="C1311">
        <v>2015</v>
      </c>
      <c r="D1311" t="s">
        <v>30</v>
      </c>
      <c r="E1311" s="3">
        <f>62374+39214</f>
        <v>101588</v>
      </c>
      <c r="F1311" s="3">
        <f>74229+92130</f>
        <v>166359</v>
      </c>
      <c r="G1311" s="1">
        <f t="shared" si="412"/>
        <v>267947</v>
      </c>
      <c r="H1311" s="2">
        <f t="shared" si="413"/>
        <v>0.379134679619477</v>
      </c>
      <c r="I1311" s="2">
        <f t="shared" si="414"/>
        <v>0.620865320380523</v>
      </c>
      <c r="J1311" s="3">
        <f>27165.88+494711.37</f>
        <v>521877.25</v>
      </c>
      <c r="K1311" s="3">
        <f>45123.48+1921187.27</f>
        <v>1966310.75</v>
      </c>
      <c r="L1311" s="1">
        <f t="shared" si="415"/>
        <v>2488188</v>
      </c>
      <c r="M1311" s="2">
        <f t="shared" si="416"/>
        <v>0.2097418884746651</v>
      </c>
      <c r="N1311" s="2">
        <f t="shared" si="417"/>
        <v>0.79025811152533487</v>
      </c>
      <c r="P1311" s="5">
        <f t="shared" si="418"/>
        <v>9286.1200162718742</v>
      </c>
    </row>
    <row r="1312" spans="1:16" x14ac:dyDescent="0.35">
      <c r="A1312" t="s">
        <v>34</v>
      </c>
      <c r="B1312" t="s">
        <v>20</v>
      </c>
      <c r="C1312">
        <v>2015</v>
      </c>
      <c r="D1312" t="s">
        <v>30</v>
      </c>
      <c r="E1312" s="3">
        <f>62508+39058</f>
        <v>101566</v>
      </c>
      <c r="F1312" s="3">
        <f>74503+92457</f>
        <v>166960</v>
      </c>
      <c r="G1312" s="1">
        <f t="shared" si="412"/>
        <v>268526</v>
      </c>
      <c r="H1312" s="2">
        <f t="shared" si="413"/>
        <v>0.378235254686697</v>
      </c>
      <c r="I1312" s="2">
        <f t="shared" si="414"/>
        <v>0.62176474531330295</v>
      </c>
      <c r="J1312" s="3">
        <f>25533.74+472726.82</f>
        <v>498260.56</v>
      </c>
      <c r="K1312" s="3">
        <f>42550.05+1863739.22</f>
        <v>1906289.27</v>
      </c>
      <c r="L1312" s="1">
        <f t="shared" si="415"/>
        <v>2404549.83</v>
      </c>
      <c r="M1312" s="2">
        <f t="shared" si="416"/>
        <v>0.20721573484713351</v>
      </c>
      <c r="N1312" s="2">
        <f t="shared" si="417"/>
        <v>0.79278426515286649</v>
      </c>
      <c r="P1312" s="5">
        <f t="shared" si="418"/>
        <v>8954.6257345657395</v>
      </c>
    </row>
    <row r="1313" spans="1:16" x14ac:dyDescent="0.35">
      <c r="A1313" t="s">
        <v>34</v>
      </c>
      <c r="B1313" t="s">
        <v>21</v>
      </c>
      <c r="C1313">
        <v>2015</v>
      </c>
      <c r="D1313" t="s">
        <v>30</v>
      </c>
      <c r="E1313" s="3">
        <f>62644+39028</f>
        <v>101672</v>
      </c>
      <c r="F1313" s="3">
        <f>74816+92465</f>
        <v>167281</v>
      </c>
      <c r="G1313" s="1">
        <f t="shared" si="412"/>
        <v>268953</v>
      </c>
      <c r="H1313" s="2">
        <f t="shared" si="413"/>
        <v>0.37802887493353859</v>
      </c>
      <c r="I1313" s="2">
        <f t="shared" si="414"/>
        <v>0.62197112506646146</v>
      </c>
      <c r="J1313" s="3">
        <f>25264.69+481252.99</f>
        <v>506517.68</v>
      </c>
      <c r="K1313" s="3">
        <f>42328.53+1989506.27</f>
        <v>2031834.8</v>
      </c>
      <c r="L1313" s="1">
        <f t="shared" si="415"/>
        <v>2538352.48</v>
      </c>
      <c r="M1313" s="2">
        <f t="shared" si="416"/>
        <v>0.19954584085185836</v>
      </c>
      <c r="N1313" s="2">
        <f t="shared" si="417"/>
        <v>0.80045415914814166</v>
      </c>
      <c r="P1313" s="5">
        <f t="shared" si="418"/>
        <v>9437.9035742304422</v>
      </c>
    </row>
    <row r="1314" spans="1:16" x14ac:dyDescent="0.35">
      <c r="A1314" t="s">
        <v>34</v>
      </c>
      <c r="B1314" t="s">
        <v>22</v>
      </c>
      <c r="C1314">
        <v>2015</v>
      </c>
      <c r="D1314" t="s">
        <v>30</v>
      </c>
      <c r="E1314" s="3">
        <f>63000+38945</f>
        <v>101945</v>
      </c>
      <c r="F1314" s="3">
        <f>75389+92718</f>
        <v>168107</v>
      </c>
      <c r="G1314" s="1">
        <f t="shared" si="412"/>
        <v>270052</v>
      </c>
      <c r="H1314" s="2">
        <f t="shared" si="413"/>
        <v>0.37750137010649804</v>
      </c>
      <c r="I1314" s="2">
        <f t="shared" si="414"/>
        <v>0.62249862989350202</v>
      </c>
      <c r="J1314" s="3">
        <f>25257.88+499975.24</f>
        <v>525233.12</v>
      </c>
      <c r="K1314" s="3">
        <f>42017.87+2010681.35</f>
        <v>2052699.2200000002</v>
      </c>
      <c r="L1314" s="1">
        <f t="shared" si="415"/>
        <v>2577932.3400000003</v>
      </c>
      <c r="M1314" s="2">
        <f t="shared" si="416"/>
        <v>0.20374201132059189</v>
      </c>
      <c r="N1314" s="2">
        <f t="shared" si="417"/>
        <v>0.79625798867940811</v>
      </c>
      <c r="P1314" s="5">
        <f t="shared" si="418"/>
        <v>9546.0590552930571</v>
      </c>
    </row>
    <row r="1315" spans="1:16" x14ac:dyDescent="0.35">
      <c r="A1315" t="s">
        <v>34</v>
      </c>
      <c r="B1315" t="s">
        <v>23</v>
      </c>
      <c r="C1315">
        <v>2015</v>
      </c>
      <c r="D1315" t="s">
        <v>30</v>
      </c>
      <c r="E1315" s="3">
        <f>61683+38854</f>
        <v>100537</v>
      </c>
      <c r="F1315" s="3">
        <f>77224+92842</f>
        <v>170066</v>
      </c>
      <c r="G1315" s="1">
        <f t="shared" si="412"/>
        <v>270603</v>
      </c>
      <c r="H1315" s="2">
        <f t="shared" si="413"/>
        <v>0.37152951002021412</v>
      </c>
      <c r="I1315" s="2">
        <f t="shared" si="414"/>
        <v>0.62847048997978594</v>
      </c>
      <c r="J1315" s="3">
        <f>26843.86+537335.64</f>
        <v>564179.5</v>
      </c>
      <c r="K1315" s="3">
        <f>44807+2189165.21</f>
        <v>2233972.21</v>
      </c>
      <c r="L1315" s="1">
        <f t="shared" si="415"/>
        <v>2798151.71</v>
      </c>
      <c r="M1315" s="2">
        <f t="shared" si="416"/>
        <v>0.20162577246392405</v>
      </c>
      <c r="N1315" s="2">
        <f t="shared" si="417"/>
        <v>0.7983742275360759</v>
      </c>
      <c r="P1315" s="5">
        <f t="shared" si="418"/>
        <v>10340.431222122445</v>
      </c>
    </row>
    <row r="1316" spans="1:16" x14ac:dyDescent="0.35">
      <c r="A1316" t="s">
        <v>34</v>
      </c>
      <c r="B1316" t="s">
        <v>24</v>
      </c>
      <c r="C1316">
        <v>2015</v>
      </c>
      <c r="D1316" t="s">
        <v>30</v>
      </c>
      <c r="E1316" s="3">
        <f>57829+38856</f>
        <v>96685</v>
      </c>
      <c r="F1316" s="3">
        <f>81579+92800</f>
        <v>174379</v>
      </c>
      <c r="G1316" s="1">
        <f t="shared" si="412"/>
        <v>271064</v>
      </c>
      <c r="H1316" s="2">
        <f t="shared" si="413"/>
        <v>0.35668698167222501</v>
      </c>
      <c r="I1316" s="2">
        <f t="shared" si="414"/>
        <v>0.64331301832777499</v>
      </c>
      <c r="J1316" s="3">
        <f>26860.26+578503.98</f>
        <v>605364.24</v>
      </c>
      <c r="K1316" s="3">
        <f>47593.19+2356872.69</f>
        <v>2404465.88</v>
      </c>
      <c r="L1316" s="1">
        <f t="shared" si="415"/>
        <v>3009830.12</v>
      </c>
      <c r="M1316" s="2">
        <f t="shared" si="416"/>
        <v>0.20112903913660082</v>
      </c>
      <c r="N1316" s="2">
        <f t="shared" si="417"/>
        <v>0.79887096086339915</v>
      </c>
      <c r="P1316" s="5">
        <f t="shared" si="418"/>
        <v>11103.761916005076</v>
      </c>
    </row>
    <row r="1317" spans="1:16" x14ac:dyDescent="0.35">
      <c r="A1317" t="s">
        <v>34</v>
      </c>
      <c r="B1317" t="s">
        <v>25</v>
      </c>
      <c r="C1317">
        <v>2015</v>
      </c>
      <c r="D1317" t="s">
        <v>30</v>
      </c>
      <c r="E1317" s="3">
        <f>54184+38901</f>
        <v>93085</v>
      </c>
      <c r="F1317" s="3">
        <f>84270+92800</f>
        <v>177070</v>
      </c>
      <c r="G1317" s="1">
        <f t="shared" si="412"/>
        <v>270155</v>
      </c>
      <c r="H1317" s="2">
        <f t="shared" si="413"/>
        <v>0.34456145546075401</v>
      </c>
      <c r="I1317" s="2">
        <f t="shared" si="414"/>
        <v>0.65543854453924599</v>
      </c>
      <c r="J1317" s="3">
        <f>26586.7+626786.72</f>
        <v>653373.41999999993</v>
      </c>
      <c r="K1317" s="3">
        <f>50799.88+2512985.4</f>
        <v>2563785.2799999998</v>
      </c>
      <c r="L1317" s="1">
        <f t="shared" si="415"/>
        <v>3217158.6999999997</v>
      </c>
      <c r="M1317" s="2">
        <f t="shared" si="416"/>
        <v>0.20309020503091749</v>
      </c>
      <c r="N1317" s="2">
        <f t="shared" si="417"/>
        <v>0.79690979496908254</v>
      </c>
      <c r="P1317" s="5">
        <f t="shared" si="418"/>
        <v>11908.566193481518</v>
      </c>
    </row>
    <row r="1318" spans="1:16" x14ac:dyDescent="0.35">
      <c r="A1318" t="s">
        <v>34</v>
      </c>
      <c r="B1318" t="s">
        <v>26</v>
      </c>
      <c r="C1318">
        <v>2015</v>
      </c>
      <c r="D1318" t="s">
        <v>30</v>
      </c>
      <c r="E1318" s="3">
        <f>54019+38671</f>
        <v>92690</v>
      </c>
      <c r="F1318" s="3">
        <f>84068+92949</f>
        <v>177017</v>
      </c>
      <c r="G1318" s="1">
        <f t="shared" si="412"/>
        <v>269707</v>
      </c>
      <c r="H1318" s="2">
        <f t="shared" si="413"/>
        <v>0.34366924106530422</v>
      </c>
      <c r="I1318" s="2">
        <f t="shared" si="414"/>
        <v>0.65633075893469583</v>
      </c>
      <c r="J1318" s="3">
        <f>26208.9+568747.03</f>
        <v>594955.93000000005</v>
      </c>
      <c r="K1318" s="3">
        <f>50829.42+2456772.9</f>
        <v>2507602.3199999998</v>
      </c>
      <c r="L1318" s="1">
        <f t="shared" si="415"/>
        <v>3102558.25</v>
      </c>
      <c r="M1318" s="2">
        <f t="shared" si="416"/>
        <v>0.19176301685874875</v>
      </c>
      <c r="N1318" s="2">
        <f t="shared" si="417"/>
        <v>0.80823698314125125</v>
      </c>
      <c r="P1318" s="5">
        <f t="shared" si="418"/>
        <v>11503.439843978837</v>
      </c>
    </row>
    <row r="1319" spans="1:16" x14ac:dyDescent="0.35">
      <c r="A1319" t="s">
        <v>34</v>
      </c>
      <c r="B1319" t="s">
        <v>27</v>
      </c>
      <c r="C1319">
        <v>2015</v>
      </c>
      <c r="D1319" t="s">
        <v>30</v>
      </c>
      <c r="E1319" s="3">
        <f>54124+38450</f>
        <v>92574</v>
      </c>
      <c r="F1319" s="3">
        <f>84336+92899</f>
        <v>177235</v>
      </c>
      <c r="G1319" s="1">
        <f t="shared" si="412"/>
        <v>269809</v>
      </c>
      <c r="H1319" s="2">
        <f t="shared" si="413"/>
        <v>0.34310938478701603</v>
      </c>
      <c r="I1319" s="2">
        <f t="shared" si="414"/>
        <v>0.65689061521298397</v>
      </c>
      <c r="J1319" s="3">
        <f>25143.67+518074.25</f>
        <v>543217.92000000004</v>
      </c>
      <c r="K1319" s="3">
        <f>50024.05+2378886.79</f>
        <v>2428910.84</v>
      </c>
      <c r="L1319" s="1">
        <f t="shared" si="415"/>
        <v>2972128.76</v>
      </c>
      <c r="M1319" s="2">
        <f t="shared" si="416"/>
        <v>0.18277065492949912</v>
      </c>
      <c r="N1319" s="2">
        <f t="shared" si="417"/>
        <v>0.81722934507050093</v>
      </c>
      <c r="P1319" s="5">
        <f t="shared" si="418"/>
        <v>11015.676867710121</v>
      </c>
    </row>
    <row r="1320" spans="1:16" x14ac:dyDescent="0.35">
      <c r="A1320" t="s">
        <v>34</v>
      </c>
      <c r="B1320" t="s">
        <v>28</v>
      </c>
      <c r="C1320">
        <v>2015</v>
      </c>
      <c r="D1320" t="s">
        <v>30</v>
      </c>
      <c r="E1320" s="3">
        <f>54060+38320</f>
        <v>92380</v>
      </c>
      <c r="F1320" s="3">
        <f>84738+92781</f>
        <v>177519</v>
      </c>
      <c r="G1320" s="1">
        <f t="shared" si="412"/>
        <v>269899</v>
      </c>
      <c r="H1320" s="2">
        <f t="shared" si="413"/>
        <v>0.34227618479505295</v>
      </c>
      <c r="I1320" s="2">
        <f t="shared" si="414"/>
        <v>0.65772381520494705</v>
      </c>
      <c r="J1320" s="3">
        <f>23338.4+459354</f>
        <v>482692.4</v>
      </c>
      <c r="K1320" s="3">
        <f>47636.47+2123480.05</f>
        <v>2171116.52</v>
      </c>
      <c r="L1320" s="1">
        <f t="shared" si="415"/>
        <v>2653808.92</v>
      </c>
      <c r="M1320" s="2">
        <f t="shared" si="416"/>
        <v>0.18188664464960802</v>
      </c>
      <c r="N1320" s="2">
        <f t="shared" si="417"/>
        <v>0.81811335535039198</v>
      </c>
      <c r="P1320" s="5">
        <f t="shared" si="418"/>
        <v>9832.6000466841306</v>
      </c>
    </row>
    <row r="1321" spans="1:16" x14ac:dyDescent="0.35">
      <c r="A1321" t="s">
        <v>34</v>
      </c>
      <c r="B1321" t="s">
        <v>29</v>
      </c>
      <c r="C1321">
        <v>2015</v>
      </c>
      <c r="D1321" t="s">
        <v>30</v>
      </c>
      <c r="E1321" s="3">
        <f>53310+38526</f>
        <v>91836</v>
      </c>
      <c r="F1321" s="3">
        <f>85042+93339</f>
        <v>178381</v>
      </c>
      <c r="G1321" s="1">
        <f t="shared" si="412"/>
        <v>270217</v>
      </c>
      <c r="H1321" s="2">
        <f t="shared" si="413"/>
        <v>0.33986018644274785</v>
      </c>
      <c r="I1321" s="2">
        <f t="shared" si="414"/>
        <v>0.66013981355725215</v>
      </c>
      <c r="J1321" s="3">
        <f>23241.48+430987.26</f>
        <v>454228.74</v>
      </c>
      <c r="K1321" s="3">
        <f>49372.61+1971232.32</f>
        <v>2020604.9300000002</v>
      </c>
      <c r="L1321" s="1">
        <f t="shared" si="415"/>
        <v>2474833.67</v>
      </c>
      <c r="M1321" s="2">
        <f t="shared" si="416"/>
        <v>0.18353909820533515</v>
      </c>
      <c r="N1321" s="2">
        <f t="shared" si="417"/>
        <v>0.81646090179466491</v>
      </c>
      <c r="P1321" s="5">
        <f t="shared" si="418"/>
        <v>9158.689756751055</v>
      </c>
    </row>
    <row r="1322" spans="1:16" x14ac:dyDescent="0.35">
      <c r="A1322" t="s">
        <v>34</v>
      </c>
      <c r="B1322" t="s">
        <v>17</v>
      </c>
      <c r="C1322">
        <v>2016</v>
      </c>
      <c r="D1322" t="s">
        <v>30</v>
      </c>
      <c r="E1322" s="3">
        <f>52433+38838</f>
        <v>91271</v>
      </c>
      <c r="F1322" s="3">
        <f>84780+94049</f>
        <v>178829</v>
      </c>
      <c r="G1322" s="1">
        <f t="shared" si="412"/>
        <v>270100</v>
      </c>
      <c r="H1322" s="2">
        <f t="shared" si="413"/>
        <v>0.33791558681969641</v>
      </c>
      <c r="I1322" s="2">
        <f t="shared" si="414"/>
        <v>0.66208441318030364</v>
      </c>
      <c r="J1322" s="3">
        <f>24613.25+450600.34</f>
        <v>475213.59</v>
      </c>
      <c r="K1322" s="3">
        <f>52959.99+2003487.15</f>
        <v>2056447.14</v>
      </c>
      <c r="L1322" s="1">
        <f t="shared" si="415"/>
        <v>2531660.73</v>
      </c>
      <c r="M1322" s="2">
        <f t="shared" si="416"/>
        <v>0.18770824398733713</v>
      </c>
      <c r="N1322" s="2">
        <f t="shared" si="417"/>
        <v>0.8122917560126629</v>
      </c>
      <c r="P1322" s="5">
        <f t="shared" si="418"/>
        <v>9373.0497223250641</v>
      </c>
    </row>
    <row r="1323" spans="1:16" x14ac:dyDescent="0.35">
      <c r="A1323" t="s">
        <v>34</v>
      </c>
      <c r="B1323" t="s">
        <v>19</v>
      </c>
      <c r="C1323">
        <v>2016</v>
      </c>
      <c r="D1323" t="s">
        <v>30</v>
      </c>
      <c r="E1323" s="3">
        <f>52280+38688</f>
        <v>90968</v>
      </c>
      <c r="F1323" s="3">
        <f>84951+94183</f>
        <v>179134</v>
      </c>
      <c r="G1323" s="1">
        <f t="shared" si="412"/>
        <v>270102</v>
      </c>
      <c r="H1323" s="2">
        <f t="shared" si="413"/>
        <v>0.33679128625482224</v>
      </c>
      <c r="I1323" s="2">
        <f t="shared" si="414"/>
        <v>0.66320871374517776</v>
      </c>
      <c r="J1323" s="3">
        <f>22425.52+413741.58</f>
        <v>436167.10000000003</v>
      </c>
      <c r="K1323" s="3">
        <f>47666.62+1835488.4</f>
        <v>1883155.02</v>
      </c>
      <c r="L1323" s="1">
        <f t="shared" si="415"/>
        <v>2319322.12</v>
      </c>
      <c r="M1323" s="2">
        <f t="shared" si="416"/>
        <v>0.188058008949615</v>
      </c>
      <c r="N1323" s="2">
        <f t="shared" si="417"/>
        <v>0.811941991050385</v>
      </c>
      <c r="P1323" s="5">
        <f t="shared" si="418"/>
        <v>8586.8380093446176</v>
      </c>
    </row>
    <row r="1324" spans="1:16" x14ac:dyDescent="0.35">
      <c r="A1324" t="s">
        <v>34</v>
      </c>
      <c r="B1324" t="s">
        <v>20</v>
      </c>
      <c r="C1324">
        <v>2016</v>
      </c>
      <c r="D1324" t="s">
        <v>30</v>
      </c>
      <c r="E1324" s="3">
        <f>52493+38319</f>
        <v>90812</v>
      </c>
      <c r="F1324" s="3">
        <f>86213+94164</f>
        <v>180377</v>
      </c>
      <c r="G1324" s="1">
        <f t="shared" si="412"/>
        <v>271189</v>
      </c>
      <c r="H1324" s="2">
        <f t="shared" si="413"/>
        <v>0.33486608970127846</v>
      </c>
      <c r="I1324" s="2">
        <f t="shared" si="414"/>
        <v>0.6651339102987216</v>
      </c>
      <c r="J1324" s="3">
        <f>20849.24+404300.62</f>
        <v>425149.86</v>
      </c>
      <c r="K1324" s="3">
        <f>45756.33+1844799.35</f>
        <v>1890555.6800000002</v>
      </c>
      <c r="L1324" s="1">
        <f t="shared" si="415"/>
        <v>2315705.54</v>
      </c>
      <c r="M1324" s="2">
        <f t="shared" si="416"/>
        <v>0.18359409374647864</v>
      </c>
      <c r="N1324" s="2">
        <f t="shared" si="417"/>
        <v>0.81640590625352139</v>
      </c>
      <c r="P1324" s="5">
        <f t="shared" si="418"/>
        <v>8539.0835911486083</v>
      </c>
    </row>
    <row r="1325" spans="1:16" x14ac:dyDescent="0.35">
      <c r="A1325" t="s">
        <v>34</v>
      </c>
      <c r="B1325" t="s">
        <v>21</v>
      </c>
      <c r="C1325">
        <v>2016</v>
      </c>
      <c r="D1325" t="s">
        <v>30</v>
      </c>
      <c r="E1325" s="3">
        <f>52901+37876</f>
        <v>90777</v>
      </c>
      <c r="F1325" s="3">
        <f>87451+93782</f>
        <v>181233</v>
      </c>
      <c r="G1325" s="1">
        <f t="shared" si="412"/>
        <v>272010</v>
      </c>
      <c r="H1325" s="2">
        <f t="shared" si="413"/>
        <v>0.33372670122421971</v>
      </c>
      <c r="I1325" s="2">
        <f t="shared" si="414"/>
        <v>0.66627329877578034</v>
      </c>
      <c r="J1325" s="3">
        <f>21708.92+426265.42</f>
        <v>447974.33999999997</v>
      </c>
      <c r="K1325" s="3">
        <f>47828.13+1971812.53</f>
        <v>2019640.66</v>
      </c>
      <c r="L1325" s="1">
        <f t="shared" si="415"/>
        <v>2467615</v>
      </c>
      <c r="M1325" s="2">
        <f t="shared" si="416"/>
        <v>0.18154142360133163</v>
      </c>
      <c r="N1325" s="2">
        <f t="shared" si="417"/>
        <v>0.81845857639866837</v>
      </c>
      <c r="P1325" s="5">
        <f t="shared" si="418"/>
        <v>9071.7804492481901</v>
      </c>
    </row>
    <row r="1326" spans="1:16" x14ac:dyDescent="0.35">
      <c r="A1326" t="s">
        <v>34</v>
      </c>
      <c r="B1326" t="s">
        <v>22</v>
      </c>
      <c r="C1326">
        <v>2016</v>
      </c>
      <c r="D1326" t="s">
        <v>30</v>
      </c>
      <c r="E1326" s="3">
        <f>52323+37926</f>
        <v>90249</v>
      </c>
      <c r="F1326" s="3">
        <f>87801+93847</f>
        <v>181648</v>
      </c>
      <c r="G1326" s="1">
        <f t="shared" si="412"/>
        <v>271897</v>
      </c>
      <c r="H1326" s="2">
        <f t="shared" si="413"/>
        <v>0.33192348573172931</v>
      </c>
      <c r="I1326" s="2">
        <f t="shared" si="414"/>
        <v>0.66807651426827075</v>
      </c>
      <c r="J1326" s="3">
        <f>21282.4+424790.09</f>
        <v>446072.49000000005</v>
      </c>
      <c r="K1326" s="3">
        <f>47025.21+2004733.2</f>
        <v>2051758.41</v>
      </c>
      <c r="L1326" s="1">
        <f t="shared" si="415"/>
        <v>2497830.9</v>
      </c>
      <c r="M1326" s="2">
        <f t="shared" si="416"/>
        <v>0.17858394257193314</v>
      </c>
      <c r="N1326" s="2">
        <f t="shared" si="417"/>
        <v>0.82141605742806689</v>
      </c>
      <c r="P1326" s="5">
        <f t="shared" si="418"/>
        <v>9186.680618028151</v>
      </c>
    </row>
    <row r="1327" spans="1:16" x14ac:dyDescent="0.35">
      <c r="A1327" t="s">
        <v>34</v>
      </c>
      <c r="B1327" t="s">
        <v>23</v>
      </c>
      <c r="C1327">
        <v>2016</v>
      </c>
      <c r="D1327" t="s">
        <v>30</v>
      </c>
      <c r="E1327" s="3">
        <f>53014+38024</f>
        <v>91038</v>
      </c>
      <c r="F1327" s="3">
        <f>87323+94166</f>
        <v>181489</v>
      </c>
      <c r="G1327" s="1">
        <f t="shared" si="412"/>
        <v>272527</v>
      </c>
      <c r="H1327" s="2">
        <f t="shared" si="413"/>
        <v>0.33405130500831109</v>
      </c>
      <c r="I1327" s="2">
        <f t="shared" si="414"/>
        <v>0.66594869499168885</v>
      </c>
      <c r="J1327" s="3">
        <f>23346.05+485605.6</f>
        <v>508951.64999999997</v>
      </c>
      <c r="K1327" s="3">
        <f>53595.01+2488911.79</f>
        <v>2542506.7999999998</v>
      </c>
      <c r="L1327" s="1">
        <f t="shared" si="415"/>
        <v>3051458.4499999997</v>
      </c>
      <c r="M1327" s="2">
        <f t="shared" si="416"/>
        <v>0.16678963791887777</v>
      </c>
      <c r="N1327" s="2">
        <f t="shared" si="417"/>
        <v>0.8332103620811222</v>
      </c>
      <c r="P1327" s="5">
        <f t="shared" si="418"/>
        <v>11196.903242614491</v>
      </c>
    </row>
    <row r="1328" spans="1:16" x14ac:dyDescent="0.35">
      <c r="A1328" t="s">
        <v>34</v>
      </c>
      <c r="B1328" t="s">
        <v>24</v>
      </c>
      <c r="C1328">
        <v>2016</v>
      </c>
      <c r="D1328" t="s">
        <v>30</v>
      </c>
      <c r="E1328" s="3">
        <f>53607+38365</f>
        <v>91972</v>
      </c>
      <c r="F1328" s="3">
        <f>87343+93846</f>
        <v>181189</v>
      </c>
      <c r="G1328" s="1">
        <f t="shared" si="412"/>
        <v>273161</v>
      </c>
      <c r="H1328" s="2">
        <f t="shared" si="413"/>
        <v>0.3366952090525368</v>
      </c>
      <c r="I1328" s="2">
        <f t="shared" si="414"/>
        <v>0.6633047909474632</v>
      </c>
      <c r="J1328" s="3">
        <f>26170.08+539734.99</f>
        <v>565905.06999999995</v>
      </c>
      <c r="K1328" s="3">
        <f>53595.01+2488911.79</f>
        <v>2542506.7999999998</v>
      </c>
      <c r="L1328" s="1">
        <f t="shared" si="415"/>
        <v>3108411.8699999996</v>
      </c>
      <c r="M1328" s="2">
        <f t="shared" si="416"/>
        <v>0.18205601241639835</v>
      </c>
      <c r="N1328" s="2">
        <f t="shared" si="417"/>
        <v>0.81794398758360165</v>
      </c>
      <c r="P1328" s="5">
        <f t="shared" si="418"/>
        <v>11379.413129985611</v>
      </c>
    </row>
    <row r="1329" spans="1:16" x14ac:dyDescent="0.35">
      <c r="A1329" t="s">
        <v>34</v>
      </c>
      <c r="B1329" t="s">
        <v>25</v>
      </c>
      <c r="C1329">
        <v>2016</v>
      </c>
      <c r="D1329" t="s">
        <v>30</v>
      </c>
      <c r="E1329" s="3">
        <f>53600+38539</f>
        <v>92139</v>
      </c>
      <c r="F1329" s="3">
        <f>87467+93471</f>
        <v>180938</v>
      </c>
      <c r="G1329" s="1">
        <f t="shared" si="412"/>
        <v>273077</v>
      </c>
      <c r="H1329" s="2">
        <f t="shared" si="413"/>
        <v>0.33741032749004857</v>
      </c>
      <c r="I1329" s="2">
        <f t="shared" si="414"/>
        <v>0.66258967250995138</v>
      </c>
      <c r="J1329" s="3">
        <f>27326.5+541356.86</f>
        <v>568683.36</v>
      </c>
      <c r="K1329" s="3">
        <f>54573.98+2498414.29</f>
        <v>2552988.27</v>
      </c>
      <c r="L1329" s="1">
        <f t="shared" si="415"/>
        <v>3121671.63</v>
      </c>
      <c r="M1329" s="2">
        <f t="shared" si="416"/>
        <v>0.18217270341147318</v>
      </c>
      <c r="N1329" s="2">
        <f t="shared" si="417"/>
        <v>0.81782729658852682</v>
      </c>
      <c r="P1329" s="5">
        <f t="shared" si="418"/>
        <v>11431.470354515393</v>
      </c>
    </row>
    <row r="1330" spans="1:16" x14ac:dyDescent="0.35">
      <c r="A1330" t="s">
        <v>34</v>
      </c>
      <c r="B1330" t="s">
        <v>26</v>
      </c>
      <c r="C1330">
        <v>2016</v>
      </c>
      <c r="D1330" t="s">
        <v>30</v>
      </c>
      <c r="E1330" s="3">
        <f>53822+38492</f>
        <v>92314</v>
      </c>
      <c r="F1330" s="3">
        <f>87664+93354</f>
        <v>181018</v>
      </c>
      <c r="G1330" s="1">
        <f t="shared" si="412"/>
        <v>273332</v>
      </c>
      <c r="H1330" s="2">
        <f t="shared" si="413"/>
        <v>0.33773579383314067</v>
      </c>
      <c r="I1330" s="2">
        <f t="shared" si="414"/>
        <v>0.66226420616685933</v>
      </c>
      <c r="J1330" s="3">
        <f>26667.91+532591.88</f>
        <v>559259.79</v>
      </c>
      <c r="K1330" s="3">
        <f>53944.02+2525837.75</f>
        <v>2579781.77</v>
      </c>
      <c r="L1330" s="1">
        <f t="shared" si="415"/>
        <v>3139041.56</v>
      </c>
      <c r="M1330" s="2">
        <f t="shared" si="416"/>
        <v>0.1781625949546205</v>
      </c>
      <c r="N1330" s="2">
        <f t="shared" si="417"/>
        <v>0.8218374050453795</v>
      </c>
      <c r="P1330" s="5">
        <f t="shared" si="418"/>
        <v>11484.354411484934</v>
      </c>
    </row>
    <row r="1331" spans="1:16" x14ac:dyDescent="0.35">
      <c r="A1331" t="s">
        <v>34</v>
      </c>
      <c r="B1331" t="s">
        <v>27</v>
      </c>
      <c r="C1331">
        <v>2016</v>
      </c>
      <c r="D1331" t="s">
        <v>30</v>
      </c>
      <c r="E1331" s="3">
        <f>53976+38368</f>
        <v>92344</v>
      </c>
      <c r="F1331" s="3">
        <f>88058+93423</f>
        <v>181481</v>
      </c>
      <c r="G1331" s="1">
        <f t="shared" si="412"/>
        <v>273825</v>
      </c>
      <c r="H1331" s="2">
        <f t="shared" si="413"/>
        <v>0.33723728658814939</v>
      </c>
      <c r="I1331" s="2">
        <f t="shared" si="414"/>
        <v>0.66276271341185067</v>
      </c>
      <c r="J1331" s="3">
        <f>26465.89+514291.78</f>
        <v>540757.67000000004</v>
      </c>
      <c r="K1331" s="3">
        <f>54362.64+2459325.21</f>
        <v>2513687.85</v>
      </c>
      <c r="L1331" s="1">
        <f t="shared" si="415"/>
        <v>3054445.52</v>
      </c>
      <c r="M1331" s="2">
        <f t="shared" si="416"/>
        <v>0.17703955315595218</v>
      </c>
      <c r="N1331" s="2">
        <f t="shared" si="417"/>
        <v>0.8229604468440479</v>
      </c>
      <c r="P1331" s="5">
        <f t="shared" si="418"/>
        <v>11154.735761891719</v>
      </c>
    </row>
    <row r="1332" spans="1:16" x14ac:dyDescent="0.35">
      <c r="A1332" t="s">
        <v>34</v>
      </c>
      <c r="B1332" t="s">
        <v>28</v>
      </c>
      <c r="C1332">
        <v>2016</v>
      </c>
      <c r="D1332" t="s">
        <v>30</v>
      </c>
      <c r="E1332" s="3">
        <f>54084+38334</f>
        <v>92418</v>
      </c>
      <c r="F1332" s="3">
        <f>88361+93332</f>
        <v>181693</v>
      </c>
      <c r="G1332" s="1">
        <f t="shared" si="412"/>
        <v>274111</v>
      </c>
      <c r="H1332" s="2">
        <f t="shared" si="413"/>
        <v>0.3371553859567839</v>
      </c>
      <c r="I1332" s="2">
        <f t="shared" si="414"/>
        <v>0.66284461404321604</v>
      </c>
      <c r="J1332" s="3">
        <f>24390.5+463153.89</f>
        <v>487544.39</v>
      </c>
      <c r="K1332" s="3">
        <f>51028.7+2219149.55</f>
        <v>2270178.25</v>
      </c>
      <c r="L1332" s="1">
        <f t="shared" si="415"/>
        <v>2757722.64</v>
      </c>
      <c r="M1332" s="2">
        <f t="shared" si="416"/>
        <v>0.17679239490161344</v>
      </c>
      <c r="N1332" s="2">
        <f t="shared" si="417"/>
        <v>0.82320760509838653</v>
      </c>
      <c r="P1332" s="5">
        <f t="shared" si="418"/>
        <v>10060.605521121006</v>
      </c>
    </row>
    <row r="1333" spans="1:16" x14ac:dyDescent="0.35">
      <c r="A1333" t="s">
        <v>34</v>
      </c>
      <c r="B1333" t="s">
        <v>29</v>
      </c>
      <c r="C1333">
        <v>2016</v>
      </c>
      <c r="D1333" t="s">
        <v>30</v>
      </c>
      <c r="E1333" s="3">
        <f>53616+38562</f>
        <v>92178</v>
      </c>
      <c r="F1333" s="3">
        <f>88413+93705</f>
        <v>182118</v>
      </c>
      <c r="G1333" s="1">
        <f t="shared" si="412"/>
        <v>274296</v>
      </c>
      <c r="H1333" s="2">
        <f t="shared" si="413"/>
        <v>0.33605302301163709</v>
      </c>
      <c r="I1333" s="2">
        <f t="shared" si="414"/>
        <v>0.66394697698836291</v>
      </c>
      <c r="J1333" s="3">
        <f>24197.21+428591.99</f>
        <v>452789.2</v>
      </c>
      <c r="K1333" s="3">
        <f>51969.94+2027620.94</f>
        <v>2079590.88</v>
      </c>
      <c r="L1333" s="1">
        <f t="shared" si="415"/>
        <v>2532380.08</v>
      </c>
      <c r="M1333" s="2">
        <f t="shared" si="416"/>
        <v>0.17879985851097044</v>
      </c>
      <c r="N1333" s="2">
        <f t="shared" si="417"/>
        <v>0.82120014148902953</v>
      </c>
      <c r="P1333" s="5">
        <f t="shared" si="418"/>
        <v>9232.2894974771771</v>
      </c>
    </row>
    <row r="1334" spans="1:16" x14ac:dyDescent="0.35">
      <c r="A1334" t="s">
        <v>34</v>
      </c>
      <c r="B1334" t="s">
        <v>17</v>
      </c>
      <c r="C1334">
        <v>2017</v>
      </c>
      <c r="D1334" t="s">
        <v>30</v>
      </c>
      <c r="E1334" s="3">
        <f>52756+39214</f>
        <v>91970</v>
      </c>
      <c r="F1334" s="3">
        <f>87468+95102</f>
        <v>182570</v>
      </c>
      <c r="G1334" s="1">
        <f t="shared" si="412"/>
        <v>274540</v>
      </c>
      <c r="H1334" s="2">
        <f t="shared" si="413"/>
        <v>0.33499672178917461</v>
      </c>
      <c r="I1334" s="2">
        <f t="shared" si="414"/>
        <v>0.66500327821082539</v>
      </c>
      <c r="J1334" s="3">
        <f>25363.92+447570.13</f>
        <v>472934.05</v>
      </c>
      <c r="K1334" s="3">
        <f>54612.35+2033228.2</f>
        <v>2087840.55</v>
      </c>
      <c r="L1334" s="1">
        <f t="shared" si="415"/>
        <v>2560774.6</v>
      </c>
      <c r="M1334" s="2">
        <f t="shared" si="416"/>
        <v>0.18468398194827454</v>
      </c>
      <c r="N1334" s="2">
        <f t="shared" si="417"/>
        <v>0.81531601805172538</v>
      </c>
      <c r="P1334" s="5">
        <f t="shared" si="418"/>
        <v>9327.5100167552991</v>
      </c>
    </row>
    <row r="1335" spans="1:16" x14ac:dyDescent="0.35">
      <c r="A1335" t="s">
        <v>34</v>
      </c>
      <c r="B1335" t="s">
        <v>19</v>
      </c>
      <c r="C1335">
        <v>2017</v>
      </c>
      <c r="D1335" t="s">
        <v>30</v>
      </c>
      <c r="E1335" s="3">
        <f>52850+39066</f>
        <v>91916</v>
      </c>
      <c r="F1335" s="3">
        <f>87967+95328</f>
        <v>183295</v>
      </c>
      <c r="G1335" s="1">
        <f t="shared" ref="G1335:G1398" si="419">SUM(E1335:F1335)</f>
        <v>275211</v>
      </c>
      <c r="H1335" s="2">
        <f t="shared" ref="H1335:H1398" si="420">SUM(E1335)/G1335</f>
        <v>0.33398374338235026</v>
      </c>
      <c r="I1335" s="2">
        <f t="shared" ref="I1335:I1398" si="421">SUM(F1335/G1335)</f>
        <v>0.66601625661764974</v>
      </c>
      <c r="J1335" s="3">
        <f>22554.27+406561.94</f>
        <v>429116.21</v>
      </c>
      <c r="K1335" s="3">
        <f>49007.06+1929045.25</f>
        <v>1978052.31</v>
      </c>
      <c r="L1335" s="1">
        <f t="shared" si="415"/>
        <v>2407168.52</v>
      </c>
      <c r="M1335" s="2">
        <f t="shared" si="416"/>
        <v>0.17826596120490976</v>
      </c>
      <c r="N1335" s="2">
        <f t="shared" si="417"/>
        <v>0.82173403879509033</v>
      </c>
      <c r="P1335" s="5">
        <f t="shared" si="418"/>
        <v>8746.6290228224898</v>
      </c>
    </row>
    <row r="1336" spans="1:16" x14ac:dyDescent="0.35">
      <c r="A1336" t="s">
        <v>34</v>
      </c>
      <c r="B1336" t="s">
        <v>20</v>
      </c>
      <c r="C1336">
        <v>2017</v>
      </c>
      <c r="D1336" t="s">
        <v>30</v>
      </c>
      <c r="E1336" s="3">
        <f>53030+38741</f>
        <v>91771</v>
      </c>
      <c r="F1336" s="3">
        <f>88656+95264</f>
        <v>183920</v>
      </c>
      <c r="G1336" s="1">
        <f t="shared" si="419"/>
        <v>275691</v>
      </c>
      <c r="H1336" s="2">
        <f t="shared" si="420"/>
        <v>0.33287629991548506</v>
      </c>
      <c r="I1336" s="2">
        <f t="shared" si="421"/>
        <v>0.66712370008451494</v>
      </c>
      <c r="J1336" s="3">
        <f>21613.87+390933.33</f>
        <v>412547.2</v>
      </c>
      <c r="K1336" s="3">
        <f>47283.79+1887602.32</f>
        <v>1934886.11</v>
      </c>
      <c r="L1336" s="1">
        <f t="shared" si="415"/>
        <v>2347433.31</v>
      </c>
      <c r="M1336" s="2">
        <f t="shared" si="416"/>
        <v>0.17574394903683122</v>
      </c>
      <c r="N1336" s="2">
        <f t="shared" si="417"/>
        <v>0.82425605096316878</v>
      </c>
      <c r="P1336" s="5">
        <f t="shared" si="418"/>
        <v>8514.7259431755119</v>
      </c>
    </row>
    <row r="1337" spans="1:16" x14ac:dyDescent="0.35">
      <c r="A1337" t="s">
        <v>34</v>
      </c>
      <c r="B1337" t="s">
        <v>21</v>
      </c>
      <c r="C1337">
        <v>2017</v>
      </c>
      <c r="D1337" t="s">
        <v>30</v>
      </c>
      <c r="E1337" s="3">
        <f>51569+38014</f>
        <v>89583</v>
      </c>
      <c r="F1337" s="3">
        <f>87474+93377</f>
        <v>180851</v>
      </c>
      <c r="G1337" s="1">
        <f t="shared" si="419"/>
        <v>270434</v>
      </c>
      <c r="H1337" s="2">
        <f t="shared" si="420"/>
        <v>0.33125642485782114</v>
      </c>
      <c r="I1337" s="2">
        <f t="shared" si="421"/>
        <v>0.66874357514217886</v>
      </c>
      <c r="J1337" s="3">
        <f>21469.98+281082.12</f>
        <v>302552.09999999998</v>
      </c>
      <c r="K1337" s="3">
        <f>47143.58+1062824.29</f>
        <v>1109967.8700000001</v>
      </c>
      <c r="L1337" s="1">
        <f t="shared" si="415"/>
        <v>1412519.9700000002</v>
      </c>
      <c r="M1337" s="2">
        <f t="shared" si="416"/>
        <v>0.21419314871704073</v>
      </c>
      <c r="N1337" s="2">
        <f t="shared" si="417"/>
        <v>0.78580685128295913</v>
      </c>
      <c r="P1337" s="5">
        <f t="shared" si="418"/>
        <v>5223.1596988544352</v>
      </c>
    </row>
    <row r="1338" spans="1:16" x14ac:dyDescent="0.35">
      <c r="A1338" t="s">
        <v>34</v>
      </c>
      <c r="B1338" t="s">
        <v>22</v>
      </c>
      <c r="C1338">
        <v>2017</v>
      </c>
      <c r="D1338" t="s">
        <v>30</v>
      </c>
      <c r="E1338" s="3">
        <f>51767+37714</f>
        <v>89481</v>
      </c>
      <c r="F1338" s="3">
        <f>88227+93475</f>
        <v>181702</v>
      </c>
      <c r="G1338" s="1">
        <f t="shared" si="419"/>
        <v>271183</v>
      </c>
      <c r="H1338" s="2">
        <f t="shared" si="420"/>
        <v>0.32996537393568182</v>
      </c>
      <c r="I1338" s="2">
        <f t="shared" si="421"/>
        <v>0.67003462606431818</v>
      </c>
      <c r="J1338" s="3">
        <f>22567.24+804365.72</f>
        <v>826932.96</v>
      </c>
      <c r="K1338" s="3">
        <f>49310.15+4730676.57</f>
        <v>4779986.7200000007</v>
      </c>
      <c r="L1338" s="1">
        <f t="shared" si="415"/>
        <v>5606919.6800000006</v>
      </c>
      <c r="M1338" s="2">
        <f t="shared" si="416"/>
        <v>0.14748435989723324</v>
      </c>
      <c r="N1338" s="2">
        <f t="shared" si="417"/>
        <v>0.8525156401027667</v>
      </c>
      <c r="P1338" s="5">
        <f t="shared" si="418"/>
        <v>20675.778643941547</v>
      </c>
    </row>
    <row r="1339" spans="1:16" x14ac:dyDescent="0.35">
      <c r="A1339" t="s">
        <v>34</v>
      </c>
      <c r="B1339" t="s">
        <v>23</v>
      </c>
      <c r="C1339">
        <v>2017</v>
      </c>
      <c r="D1339" t="s">
        <v>30</v>
      </c>
      <c r="E1339" s="3">
        <f>51921+37464</f>
        <v>89385</v>
      </c>
      <c r="F1339" s="3">
        <f>88158+92952</f>
        <v>181110</v>
      </c>
      <c r="G1339" s="1">
        <f t="shared" si="419"/>
        <v>270495</v>
      </c>
      <c r="H1339" s="2">
        <f t="shared" si="420"/>
        <v>0.33044973104863307</v>
      </c>
      <c r="I1339" s="2">
        <f t="shared" si="421"/>
        <v>0.66955026895136693</v>
      </c>
      <c r="J1339" s="3">
        <f>23431.35+469359.96</f>
        <v>492791.31</v>
      </c>
      <c r="K1339" s="3">
        <f>50613.22+2323450.94</f>
        <v>2374064.16</v>
      </c>
      <c r="L1339" s="1">
        <f t="shared" si="415"/>
        <v>2866855.47</v>
      </c>
      <c r="M1339" s="2">
        <f t="shared" si="416"/>
        <v>0.1718926242207808</v>
      </c>
      <c r="N1339" s="2">
        <f t="shared" si="417"/>
        <v>0.82810737577921911</v>
      </c>
      <c r="P1339" s="5">
        <f t="shared" si="418"/>
        <v>10598.552542560861</v>
      </c>
    </row>
    <row r="1340" spans="1:16" x14ac:dyDescent="0.35">
      <c r="A1340" t="s">
        <v>34</v>
      </c>
      <c r="B1340" t="s">
        <v>24</v>
      </c>
      <c r="C1340">
        <v>2017</v>
      </c>
      <c r="D1340" t="s">
        <v>30</v>
      </c>
      <c r="E1340" s="3">
        <f>51643+37585</f>
        <v>89228</v>
      </c>
      <c r="F1340" s="3">
        <f>89092+93844</f>
        <v>182936</v>
      </c>
      <c r="G1340" s="1">
        <f t="shared" si="419"/>
        <v>272164</v>
      </c>
      <c r="H1340" s="2">
        <f t="shared" si="420"/>
        <v>0.32784644552549197</v>
      </c>
      <c r="I1340" s="2">
        <f t="shared" si="421"/>
        <v>0.67215355447450797</v>
      </c>
      <c r="J1340" s="3">
        <f>509072.45+25675.14</f>
        <v>534747.59</v>
      </c>
      <c r="K1340" s="3">
        <f>54187.68+2443708.05</f>
        <v>2497895.73</v>
      </c>
      <c r="L1340" s="1">
        <f t="shared" si="415"/>
        <v>3032643.32</v>
      </c>
      <c r="M1340" s="2">
        <f t="shared" si="416"/>
        <v>0.17633052541107933</v>
      </c>
      <c r="N1340" s="2">
        <f t="shared" si="417"/>
        <v>0.8236694745889207</v>
      </c>
      <c r="P1340" s="5">
        <f t="shared" si="418"/>
        <v>11142.705574580033</v>
      </c>
    </row>
    <row r="1341" spans="1:16" x14ac:dyDescent="0.35">
      <c r="A1341" t="s">
        <v>34</v>
      </c>
      <c r="B1341" t="s">
        <v>25</v>
      </c>
      <c r="C1341">
        <v>2017</v>
      </c>
      <c r="D1341" t="s">
        <v>30</v>
      </c>
      <c r="E1341" s="3">
        <f>51605+37349</f>
        <v>88954</v>
      </c>
      <c r="F1341" s="3">
        <f>90208+94345</f>
        <v>184553</v>
      </c>
      <c r="G1341" s="1">
        <f t="shared" si="419"/>
        <v>273507</v>
      </c>
      <c r="H1341" s="2">
        <f t="shared" si="420"/>
        <v>0.32523482031538498</v>
      </c>
      <c r="I1341" s="2">
        <f t="shared" si="421"/>
        <v>0.67476517968461502</v>
      </c>
      <c r="J1341" s="3">
        <f>26392.46+572532.24</f>
        <v>598924.69999999995</v>
      </c>
      <c r="K1341" s="3">
        <f>55877.84+2478444.74</f>
        <v>2534322.58</v>
      </c>
      <c r="L1341" s="1">
        <f t="shared" si="415"/>
        <v>3133247.2800000003</v>
      </c>
      <c r="M1341" s="2">
        <f t="shared" si="416"/>
        <v>0.19115143060141743</v>
      </c>
      <c r="N1341" s="2">
        <f t="shared" si="417"/>
        <v>0.80884856939858252</v>
      </c>
      <c r="P1341" s="5">
        <f t="shared" si="418"/>
        <v>11455.82116728274</v>
      </c>
    </row>
    <row r="1342" spans="1:16" x14ac:dyDescent="0.35">
      <c r="A1342" t="s">
        <v>34</v>
      </c>
      <c r="B1342" t="s">
        <v>26</v>
      </c>
      <c r="C1342">
        <v>2017</v>
      </c>
      <c r="D1342" t="s">
        <v>30</v>
      </c>
      <c r="E1342" s="3">
        <f>51755+37246</f>
        <v>89001</v>
      </c>
      <c r="F1342" s="3">
        <f>91143+95040</f>
        <v>186183</v>
      </c>
      <c r="G1342" s="1">
        <f t="shared" si="419"/>
        <v>275184</v>
      </c>
      <c r="H1342" s="2">
        <f t="shared" si="420"/>
        <v>0.32342360020931449</v>
      </c>
      <c r="I1342" s="2">
        <f t="shared" si="421"/>
        <v>0.67657639979068551</v>
      </c>
      <c r="J1342" s="3">
        <f>25893.66+534892.38</f>
        <v>560786.04</v>
      </c>
      <c r="K1342" s="3">
        <f>55956.91+2477575.77</f>
        <v>2533532.6800000002</v>
      </c>
      <c r="L1342" s="1">
        <f t="shared" si="415"/>
        <v>3094318.72</v>
      </c>
      <c r="M1342" s="2">
        <f t="shared" si="416"/>
        <v>0.18123085911460343</v>
      </c>
      <c r="N1342" s="2">
        <f t="shared" si="417"/>
        <v>0.81876914088539654</v>
      </c>
      <c r="P1342" s="5">
        <f t="shared" si="418"/>
        <v>11244.544450258736</v>
      </c>
    </row>
    <row r="1343" spans="1:16" x14ac:dyDescent="0.35">
      <c r="A1343" t="s">
        <v>34</v>
      </c>
      <c r="B1343" t="s">
        <v>27</v>
      </c>
      <c r="C1343">
        <v>2017</v>
      </c>
      <c r="D1343" t="s">
        <v>30</v>
      </c>
      <c r="E1343" s="10">
        <f>51610+37002</f>
        <v>88612</v>
      </c>
      <c r="F1343" s="3">
        <f>91285+94870</f>
        <v>186155</v>
      </c>
      <c r="G1343" s="1">
        <f t="shared" si="419"/>
        <v>274767</v>
      </c>
      <c r="H1343" s="2">
        <f t="shared" si="420"/>
        <v>0.32249869889761146</v>
      </c>
      <c r="I1343" s="2">
        <f t="shared" si="421"/>
        <v>0.6775013011023886</v>
      </c>
      <c r="J1343" s="3">
        <f>24905.22+493623.48</f>
        <v>518528.69999999995</v>
      </c>
      <c r="K1343" s="3">
        <f>54543.78+2296135.27</f>
        <v>2350679.0499999998</v>
      </c>
      <c r="L1343" s="1">
        <f t="shared" si="415"/>
        <v>2869207.75</v>
      </c>
      <c r="M1343" s="2">
        <f t="shared" si="416"/>
        <v>0.18072190833863458</v>
      </c>
      <c r="N1343" s="2">
        <f t="shared" si="417"/>
        <v>0.81927809166136534</v>
      </c>
      <c r="P1343" s="5">
        <f t="shared" si="418"/>
        <v>10442.330228884837</v>
      </c>
    </row>
    <row r="1344" spans="1:16" x14ac:dyDescent="0.35">
      <c r="A1344" t="s">
        <v>34</v>
      </c>
      <c r="B1344" t="s">
        <v>28</v>
      </c>
      <c r="C1344">
        <v>2017</v>
      </c>
      <c r="D1344" t="s">
        <v>30</v>
      </c>
      <c r="E1344" s="10">
        <f>51549+37004</f>
        <v>88553</v>
      </c>
      <c r="F1344" s="3">
        <f>91683+95167</f>
        <v>186850</v>
      </c>
      <c r="G1344" s="1">
        <f t="shared" si="419"/>
        <v>275403</v>
      </c>
      <c r="H1344" s="2">
        <f t="shared" si="420"/>
        <v>0.32153970726535297</v>
      </c>
      <c r="I1344" s="2">
        <f t="shared" si="421"/>
        <v>0.67846029273464703</v>
      </c>
      <c r="J1344" s="3">
        <f>23140.35+457965.39</f>
        <v>481105.74</v>
      </c>
      <c r="K1344" s="3">
        <f>51607.54+2148207.57</f>
        <v>2199815.11</v>
      </c>
      <c r="L1344" s="1">
        <f t="shared" si="415"/>
        <v>2680920.8499999996</v>
      </c>
      <c r="M1344" s="2">
        <f t="shared" si="416"/>
        <v>0.17945540615270311</v>
      </c>
      <c r="N1344" s="2">
        <f t="shared" si="417"/>
        <v>0.82054459384729694</v>
      </c>
      <c r="P1344" s="5">
        <f t="shared" si="418"/>
        <v>9734.5375685813142</v>
      </c>
    </row>
    <row r="1345" spans="1:16" x14ac:dyDescent="0.35">
      <c r="A1345" t="s">
        <v>34</v>
      </c>
      <c r="B1345" t="s">
        <v>29</v>
      </c>
      <c r="C1345">
        <v>2017</v>
      </c>
      <c r="D1345" t="s">
        <v>30</v>
      </c>
      <c r="E1345" s="10">
        <f>51018+37039</f>
        <v>88057</v>
      </c>
      <c r="F1345" s="3">
        <f>91511+95617</f>
        <v>187128</v>
      </c>
      <c r="G1345" s="1">
        <f t="shared" si="419"/>
        <v>275185</v>
      </c>
      <c r="H1345" s="2">
        <f t="shared" si="420"/>
        <v>0.31999200537820011</v>
      </c>
      <c r="I1345" s="2">
        <f t="shared" si="421"/>
        <v>0.68000799462179984</v>
      </c>
      <c r="J1345" s="3">
        <f>23131.22+428168.97</f>
        <v>451300.18999999994</v>
      </c>
      <c r="K1345" s="3">
        <f>53246.17+2001080.33</f>
        <v>2054326.5</v>
      </c>
      <c r="L1345" s="1">
        <f t="shared" si="415"/>
        <v>2505626.69</v>
      </c>
      <c r="M1345" s="2">
        <f t="shared" si="416"/>
        <v>0.18011469617606921</v>
      </c>
      <c r="N1345" s="2">
        <f t="shared" si="417"/>
        <v>0.81988530382393077</v>
      </c>
      <c r="P1345" s="5">
        <f t="shared" si="418"/>
        <v>9105.2444355615316</v>
      </c>
    </row>
    <row r="1346" spans="1:16" x14ac:dyDescent="0.35">
      <c r="A1346" t="s">
        <v>34</v>
      </c>
      <c r="B1346" t="s">
        <v>17</v>
      </c>
      <c r="C1346">
        <v>2002</v>
      </c>
      <c r="D1346" t="s">
        <v>31</v>
      </c>
      <c r="E1346" s="8">
        <v>550</v>
      </c>
      <c r="F1346" s="8">
        <v>15</v>
      </c>
      <c r="G1346" s="1">
        <f t="shared" si="419"/>
        <v>565</v>
      </c>
      <c r="H1346" s="2">
        <f t="shared" si="420"/>
        <v>0.97345132743362828</v>
      </c>
      <c r="I1346" s="2">
        <f t="shared" si="421"/>
        <v>2.6548672566371681E-2</v>
      </c>
      <c r="J1346" s="4">
        <v>205317.37100000004</v>
      </c>
      <c r="K1346" s="4">
        <v>20465.780999999999</v>
      </c>
      <c r="L1346" s="1">
        <f t="shared" si="415"/>
        <v>225783.15200000003</v>
      </c>
      <c r="M1346" s="2">
        <f t="shared" si="416"/>
        <v>0.90935647403841724</v>
      </c>
      <c r="N1346" s="2">
        <f t="shared" si="417"/>
        <v>9.0643525961582802E-2</v>
      </c>
    </row>
    <row r="1347" spans="1:16" x14ac:dyDescent="0.35">
      <c r="A1347" t="s">
        <v>34</v>
      </c>
      <c r="B1347" t="s">
        <v>19</v>
      </c>
      <c r="C1347">
        <v>2002</v>
      </c>
      <c r="D1347" t="s">
        <v>31</v>
      </c>
      <c r="E1347" s="8">
        <v>550</v>
      </c>
      <c r="F1347" s="8">
        <v>176</v>
      </c>
      <c r="G1347" s="1">
        <f t="shared" si="419"/>
        <v>726</v>
      </c>
      <c r="H1347" s="2">
        <f t="shared" si="420"/>
        <v>0.75757575757575757</v>
      </c>
      <c r="I1347" s="2">
        <f t="shared" si="421"/>
        <v>0.24242424242424243</v>
      </c>
      <c r="J1347" s="4">
        <v>205317.37100000004</v>
      </c>
      <c r="K1347" s="4">
        <v>448829.1449999999</v>
      </c>
      <c r="L1347" s="1">
        <f t="shared" ref="L1347:L1410" si="422">SUM(J1347:K1347)</f>
        <v>654146.51599999995</v>
      </c>
      <c r="M1347" s="2">
        <f t="shared" ref="M1347:M1410" si="423">SUM(J1347)/L1347</f>
        <v>0.31387061763392476</v>
      </c>
      <c r="N1347" s="2">
        <f t="shared" ref="N1347:N1410" si="424">SUM(K1347/L1347)</f>
        <v>0.68612938236607524</v>
      </c>
    </row>
    <row r="1348" spans="1:16" x14ac:dyDescent="0.35">
      <c r="A1348" t="s">
        <v>34</v>
      </c>
      <c r="B1348" t="s">
        <v>20</v>
      </c>
      <c r="C1348">
        <v>2002</v>
      </c>
      <c r="D1348" t="s">
        <v>31</v>
      </c>
      <c r="E1348" s="8">
        <v>599</v>
      </c>
      <c r="F1348" s="8">
        <v>206</v>
      </c>
      <c r="G1348" s="1">
        <f t="shared" si="419"/>
        <v>805</v>
      </c>
      <c r="H1348" s="2">
        <f t="shared" si="420"/>
        <v>0.74409937888198763</v>
      </c>
      <c r="I1348" s="2">
        <f t="shared" si="421"/>
        <v>0.25590062111801243</v>
      </c>
      <c r="J1348" s="4">
        <v>205317.37100000004</v>
      </c>
      <c r="K1348" s="4">
        <v>915886.18900000001</v>
      </c>
      <c r="L1348" s="1">
        <f t="shared" si="422"/>
        <v>1121203.56</v>
      </c>
      <c r="M1348" s="2">
        <f t="shared" si="423"/>
        <v>0.18312229672192623</v>
      </c>
      <c r="N1348" s="2">
        <f t="shared" si="424"/>
        <v>0.81687770327807374</v>
      </c>
    </row>
    <row r="1349" spans="1:16" x14ac:dyDescent="0.35">
      <c r="A1349" t="s">
        <v>34</v>
      </c>
      <c r="B1349" t="s">
        <v>21</v>
      </c>
      <c r="C1349">
        <v>2002</v>
      </c>
      <c r="D1349" t="s">
        <v>31</v>
      </c>
      <c r="E1349" s="8">
        <v>596</v>
      </c>
      <c r="F1349" s="8">
        <v>223</v>
      </c>
      <c r="G1349" s="1">
        <f t="shared" si="419"/>
        <v>819</v>
      </c>
      <c r="H1349" s="2">
        <f t="shared" si="420"/>
        <v>0.72771672771672768</v>
      </c>
      <c r="I1349" s="2">
        <f t="shared" si="421"/>
        <v>0.27228327228327226</v>
      </c>
      <c r="J1349" s="4">
        <v>791420.26800000004</v>
      </c>
      <c r="K1349" s="4">
        <v>679725.14199999988</v>
      </c>
      <c r="L1349" s="1">
        <f t="shared" si="422"/>
        <v>1471145.41</v>
      </c>
      <c r="M1349" s="2">
        <f t="shared" si="423"/>
        <v>0.53796195985820339</v>
      </c>
      <c r="N1349" s="2">
        <f t="shared" si="424"/>
        <v>0.46203804014179667</v>
      </c>
    </row>
    <row r="1350" spans="1:16" x14ac:dyDescent="0.35">
      <c r="A1350" t="s">
        <v>34</v>
      </c>
      <c r="B1350" t="s">
        <v>22</v>
      </c>
      <c r="C1350">
        <v>2002</v>
      </c>
      <c r="D1350" t="s">
        <v>31</v>
      </c>
      <c r="E1350" s="8">
        <v>576</v>
      </c>
      <c r="F1350" s="8">
        <v>246</v>
      </c>
      <c r="G1350" s="1">
        <f t="shared" si="419"/>
        <v>822</v>
      </c>
      <c r="H1350" s="2">
        <f t="shared" si="420"/>
        <v>0.7007299270072993</v>
      </c>
      <c r="I1350" s="2">
        <f t="shared" si="421"/>
        <v>0.29927007299270075</v>
      </c>
      <c r="J1350" s="4">
        <v>779351.96499999997</v>
      </c>
      <c r="K1350" s="4">
        <v>832247.35</v>
      </c>
      <c r="L1350" s="1">
        <f t="shared" si="422"/>
        <v>1611599.3149999999</v>
      </c>
      <c r="M1350" s="2">
        <f t="shared" si="423"/>
        <v>0.48358916372460731</v>
      </c>
      <c r="N1350" s="2">
        <f t="shared" si="424"/>
        <v>0.51641083627539264</v>
      </c>
    </row>
    <row r="1351" spans="1:16" x14ac:dyDescent="0.35">
      <c r="A1351" t="s">
        <v>34</v>
      </c>
      <c r="B1351" t="s">
        <v>23</v>
      </c>
      <c r="C1351">
        <v>2002</v>
      </c>
      <c r="D1351" t="s">
        <v>31</v>
      </c>
      <c r="E1351" s="8">
        <v>568</v>
      </c>
      <c r="F1351" s="8">
        <v>256</v>
      </c>
      <c r="G1351" s="1">
        <f t="shared" si="419"/>
        <v>824</v>
      </c>
      <c r="H1351" s="2">
        <f t="shared" si="420"/>
        <v>0.68932038834951459</v>
      </c>
      <c r="I1351" s="2">
        <f t="shared" si="421"/>
        <v>0.31067961165048541</v>
      </c>
      <c r="J1351" s="4">
        <v>700606.69900000002</v>
      </c>
      <c r="K1351" s="4">
        <v>556205.12900000007</v>
      </c>
      <c r="L1351" s="1">
        <f t="shared" si="422"/>
        <v>1256811.8280000002</v>
      </c>
      <c r="M1351" s="2">
        <f t="shared" si="423"/>
        <v>0.55744756962933351</v>
      </c>
      <c r="N1351" s="2">
        <f t="shared" si="424"/>
        <v>0.44255243037066644</v>
      </c>
    </row>
    <row r="1352" spans="1:16" x14ac:dyDescent="0.35">
      <c r="A1352" t="s">
        <v>34</v>
      </c>
      <c r="B1352" t="s">
        <v>24</v>
      </c>
      <c r="C1352">
        <v>2002</v>
      </c>
      <c r="D1352" t="s">
        <v>31</v>
      </c>
      <c r="E1352" s="8">
        <v>551</v>
      </c>
      <c r="F1352" s="8">
        <v>271</v>
      </c>
      <c r="G1352" s="1">
        <f t="shared" si="419"/>
        <v>822</v>
      </c>
      <c r="H1352" s="2">
        <f t="shared" si="420"/>
        <v>0.67031630170316303</v>
      </c>
      <c r="I1352" s="2">
        <f t="shared" si="421"/>
        <v>0.32968369829683697</v>
      </c>
      <c r="J1352" s="4">
        <v>774459.31699999992</v>
      </c>
      <c r="K1352" s="4">
        <v>1077727.2330000002</v>
      </c>
      <c r="L1352" s="1">
        <f t="shared" si="422"/>
        <v>1852186.5500000003</v>
      </c>
      <c r="M1352" s="2">
        <f t="shared" si="423"/>
        <v>0.41813245917372621</v>
      </c>
      <c r="N1352" s="2">
        <f t="shared" si="424"/>
        <v>0.58186754082627368</v>
      </c>
    </row>
    <row r="1353" spans="1:16" x14ac:dyDescent="0.35">
      <c r="A1353" t="s">
        <v>34</v>
      </c>
      <c r="B1353" t="s">
        <v>25</v>
      </c>
      <c r="C1353">
        <v>2002</v>
      </c>
      <c r="D1353" t="s">
        <v>31</v>
      </c>
      <c r="E1353" s="8">
        <v>558</v>
      </c>
      <c r="F1353" s="8">
        <v>293</v>
      </c>
      <c r="G1353" s="1">
        <f t="shared" si="419"/>
        <v>851</v>
      </c>
      <c r="H1353" s="2">
        <f t="shared" si="420"/>
        <v>0.65569917743830786</v>
      </c>
      <c r="I1353" s="2">
        <f t="shared" si="421"/>
        <v>0.34430082256169214</v>
      </c>
      <c r="J1353" s="4">
        <v>974417.071</v>
      </c>
      <c r="K1353" s="4">
        <v>580308.11500000022</v>
      </c>
      <c r="L1353" s="1">
        <f t="shared" si="422"/>
        <v>1554725.1860000002</v>
      </c>
      <c r="M1353" s="2">
        <f t="shared" si="423"/>
        <v>0.62674553662244448</v>
      </c>
      <c r="N1353" s="2">
        <f t="shared" si="424"/>
        <v>0.37325446337755547</v>
      </c>
    </row>
    <row r="1354" spans="1:16" x14ac:dyDescent="0.35">
      <c r="A1354" t="s">
        <v>34</v>
      </c>
      <c r="B1354" t="s">
        <v>26</v>
      </c>
      <c r="C1354">
        <v>2002</v>
      </c>
      <c r="D1354" t="s">
        <v>31</v>
      </c>
      <c r="E1354" s="8">
        <v>547</v>
      </c>
      <c r="F1354" s="8">
        <v>303</v>
      </c>
      <c r="G1354" s="1">
        <f t="shared" si="419"/>
        <v>850</v>
      </c>
      <c r="H1354" s="2">
        <f t="shared" si="420"/>
        <v>0.64352941176470591</v>
      </c>
      <c r="I1354" s="2">
        <f t="shared" si="421"/>
        <v>0.35647058823529409</v>
      </c>
      <c r="J1354" s="4">
        <v>814293.58699999994</v>
      </c>
      <c r="K1354" s="4">
        <v>884659.59100000013</v>
      </c>
      <c r="L1354" s="1">
        <f t="shared" si="422"/>
        <v>1698953.1780000001</v>
      </c>
      <c r="M1354" s="2">
        <f t="shared" si="423"/>
        <v>0.47929136455578053</v>
      </c>
      <c r="N1354" s="2">
        <f t="shared" si="424"/>
        <v>0.52070863544421941</v>
      </c>
    </row>
    <row r="1355" spans="1:16" x14ac:dyDescent="0.35">
      <c r="A1355" t="s">
        <v>34</v>
      </c>
      <c r="B1355" t="s">
        <v>27</v>
      </c>
      <c r="C1355">
        <v>2002</v>
      </c>
      <c r="D1355" t="s">
        <v>31</v>
      </c>
      <c r="E1355" s="8">
        <v>530</v>
      </c>
      <c r="F1355" s="8">
        <v>312</v>
      </c>
      <c r="G1355" s="1">
        <f t="shared" si="419"/>
        <v>842</v>
      </c>
      <c r="H1355" s="2">
        <f t="shared" si="420"/>
        <v>0.62945368171021376</v>
      </c>
      <c r="I1355" s="2">
        <f t="shared" si="421"/>
        <v>0.37054631828978624</v>
      </c>
      <c r="J1355" s="4">
        <v>814067.70699999994</v>
      </c>
      <c r="K1355" s="4">
        <v>844653.60899999982</v>
      </c>
      <c r="L1355" s="1">
        <f t="shared" si="422"/>
        <v>1658721.3159999996</v>
      </c>
      <c r="M1355" s="2">
        <f t="shared" si="423"/>
        <v>0.49078027704082394</v>
      </c>
      <c r="N1355" s="2">
        <f t="shared" si="424"/>
        <v>0.50921972295917606</v>
      </c>
    </row>
    <row r="1356" spans="1:16" x14ac:dyDescent="0.35">
      <c r="A1356" t="s">
        <v>34</v>
      </c>
      <c r="B1356" t="s">
        <v>28</v>
      </c>
      <c r="C1356">
        <v>2002</v>
      </c>
      <c r="D1356" t="s">
        <v>31</v>
      </c>
      <c r="E1356" s="8">
        <v>540</v>
      </c>
      <c r="F1356" s="8">
        <v>321</v>
      </c>
      <c r="G1356" s="1">
        <f t="shared" si="419"/>
        <v>861</v>
      </c>
      <c r="H1356" s="2">
        <f t="shared" si="420"/>
        <v>0.62717770034843201</v>
      </c>
      <c r="I1356" s="2">
        <f t="shared" si="421"/>
        <v>0.37282229965156793</v>
      </c>
      <c r="J1356" s="4">
        <v>742816.7</v>
      </c>
      <c r="K1356" s="4">
        <v>1581964.878</v>
      </c>
      <c r="L1356" s="1">
        <f t="shared" si="422"/>
        <v>2324781.5779999997</v>
      </c>
      <c r="M1356" s="2">
        <f t="shared" si="423"/>
        <v>0.31952107115329181</v>
      </c>
      <c r="N1356" s="2">
        <f t="shared" si="424"/>
        <v>0.68047892884670824</v>
      </c>
    </row>
    <row r="1357" spans="1:16" x14ac:dyDescent="0.35">
      <c r="A1357" t="s">
        <v>34</v>
      </c>
      <c r="B1357" t="s">
        <v>29</v>
      </c>
      <c r="C1357">
        <v>2002</v>
      </c>
      <c r="D1357" t="s">
        <v>31</v>
      </c>
      <c r="E1357" s="8">
        <v>525</v>
      </c>
      <c r="F1357" s="8">
        <v>327</v>
      </c>
      <c r="G1357" s="1">
        <f t="shared" si="419"/>
        <v>852</v>
      </c>
      <c r="H1357" s="2">
        <f t="shared" si="420"/>
        <v>0.61619718309859151</v>
      </c>
      <c r="I1357" s="2">
        <f t="shared" si="421"/>
        <v>0.38380281690140844</v>
      </c>
      <c r="J1357" s="4">
        <v>536682.35</v>
      </c>
      <c r="K1357" s="4">
        <v>934912.34</v>
      </c>
      <c r="L1357" s="1">
        <f t="shared" si="422"/>
        <v>1471594.69</v>
      </c>
      <c r="M1357" s="2">
        <f t="shared" si="423"/>
        <v>0.36469440508785744</v>
      </c>
      <c r="N1357" s="2">
        <f t="shared" si="424"/>
        <v>0.63530559491214256</v>
      </c>
    </row>
    <row r="1358" spans="1:16" x14ac:dyDescent="0.35">
      <c r="A1358" t="s">
        <v>34</v>
      </c>
      <c r="B1358" t="s">
        <v>17</v>
      </c>
      <c r="C1358">
        <v>2003</v>
      </c>
      <c r="D1358" t="s">
        <v>31</v>
      </c>
      <c r="E1358" s="8">
        <v>515</v>
      </c>
      <c r="F1358" s="8">
        <v>344</v>
      </c>
      <c r="G1358" s="1">
        <f t="shared" si="419"/>
        <v>859</v>
      </c>
      <c r="H1358" s="2">
        <f t="shared" si="420"/>
        <v>0.59953434225844005</v>
      </c>
      <c r="I1358" s="2">
        <f t="shared" si="421"/>
        <v>0.40046565774155995</v>
      </c>
      <c r="J1358" s="4">
        <v>614625</v>
      </c>
      <c r="K1358" s="4">
        <v>803041</v>
      </c>
      <c r="L1358" s="1">
        <f t="shared" si="422"/>
        <v>1417666</v>
      </c>
      <c r="M1358" s="2">
        <f t="shared" si="423"/>
        <v>0.43354711194315165</v>
      </c>
      <c r="N1358" s="2">
        <f t="shared" si="424"/>
        <v>0.56645288805684835</v>
      </c>
    </row>
    <row r="1359" spans="1:16" x14ac:dyDescent="0.35">
      <c r="A1359" t="s">
        <v>34</v>
      </c>
      <c r="B1359" t="s">
        <v>19</v>
      </c>
      <c r="C1359">
        <v>2003</v>
      </c>
      <c r="D1359" t="s">
        <v>31</v>
      </c>
      <c r="E1359" s="8">
        <v>505</v>
      </c>
      <c r="F1359" s="8">
        <v>353</v>
      </c>
      <c r="G1359" s="1">
        <f t="shared" si="419"/>
        <v>858</v>
      </c>
      <c r="H1359" s="2">
        <f t="shared" si="420"/>
        <v>0.58857808857808858</v>
      </c>
      <c r="I1359" s="2">
        <f t="shared" si="421"/>
        <v>0.41142191142191142</v>
      </c>
      <c r="J1359" s="4">
        <v>663832</v>
      </c>
      <c r="K1359" s="4">
        <v>912380</v>
      </c>
      <c r="L1359" s="1">
        <f t="shared" si="422"/>
        <v>1576212</v>
      </c>
      <c r="M1359" s="2">
        <f t="shared" si="423"/>
        <v>0.42115654493177312</v>
      </c>
      <c r="N1359" s="2">
        <f t="shared" si="424"/>
        <v>0.57884345506822688</v>
      </c>
    </row>
    <row r="1360" spans="1:16" x14ac:dyDescent="0.35">
      <c r="A1360" t="s">
        <v>34</v>
      </c>
      <c r="B1360" t="s">
        <v>20</v>
      </c>
      <c r="C1360">
        <v>2003</v>
      </c>
      <c r="D1360" t="s">
        <v>31</v>
      </c>
      <c r="E1360" s="8">
        <v>499</v>
      </c>
      <c r="F1360" s="8">
        <v>365</v>
      </c>
      <c r="G1360" s="1">
        <f t="shared" si="419"/>
        <v>864</v>
      </c>
      <c r="H1360" s="2">
        <f t="shared" si="420"/>
        <v>0.57754629629629628</v>
      </c>
      <c r="I1360" s="2">
        <f t="shared" si="421"/>
        <v>0.42245370370370372</v>
      </c>
      <c r="J1360" s="4">
        <v>615286</v>
      </c>
      <c r="K1360" s="4">
        <v>715855</v>
      </c>
      <c r="L1360" s="1">
        <f t="shared" si="422"/>
        <v>1331141</v>
      </c>
      <c r="M1360" s="2">
        <f t="shared" si="423"/>
        <v>0.46222451265493286</v>
      </c>
      <c r="N1360" s="2">
        <f t="shared" si="424"/>
        <v>0.53777548734506708</v>
      </c>
    </row>
    <row r="1361" spans="1:14" x14ac:dyDescent="0.35">
      <c r="A1361" t="s">
        <v>34</v>
      </c>
      <c r="B1361" t="s">
        <v>21</v>
      </c>
      <c r="C1361">
        <v>2003</v>
      </c>
      <c r="D1361" t="s">
        <v>31</v>
      </c>
      <c r="E1361" s="9">
        <v>502</v>
      </c>
      <c r="F1361" s="9">
        <v>372</v>
      </c>
      <c r="G1361" s="1">
        <f t="shared" si="419"/>
        <v>874</v>
      </c>
      <c r="H1361" s="2">
        <f t="shared" si="420"/>
        <v>0.57437070938215107</v>
      </c>
      <c r="I1361" s="2">
        <f t="shared" si="421"/>
        <v>0.42562929061784899</v>
      </c>
      <c r="J1361" s="4">
        <v>566412.13</v>
      </c>
      <c r="K1361" s="4">
        <v>775282.9</v>
      </c>
      <c r="L1361" s="1">
        <f t="shared" si="422"/>
        <v>1341695.03</v>
      </c>
      <c r="M1361" s="2">
        <f t="shared" si="423"/>
        <v>0.42216160702331884</v>
      </c>
      <c r="N1361" s="2">
        <f t="shared" si="424"/>
        <v>0.57783839297668116</v>
      </c>
    </row>
    <row r="1362" spans="1:14" x14ac:dyDescent="0.35">
      <c r="A1362" t="s">
        <v>34</v>
      </c>
      <c r="B1362" t="s">
        <v>22</v>
      </c>
      <c r="C1362">
        <v>2003</v>
      </c>
      <c r="D1362" t="s">
        <v>31</v>
      </c>
      <c r="E1362" s="9">
        <v>498</v>
      </c>
      <c r="F1362" s="9">
        <v>373</v>
      </c>
      <c r="G1362" s="1">
        <f t="shared" si="419"/>
        <v>871</v>
      </c>
      <c r="H1362" s="2">
        <f t="shared" si="420"/>
        <v>0.57175660160734787</v>
      </c>
      <c r="I1362" s="2">
        <f t="shared" si="421"/>
        <v>0.42824339839265213</v>
      </c>
      <c r="J1362" s="4">
        <v>612648.77</v>
      </c>
      <c r="K1362" s="4">
        <v>1245506.06</v>
      </c>
      <c r="L1362" s="1">
        <f t="shared" si="422"/>
        <v>1858154.83</v>
      </c>
      <c r="M1362" s="2">
        <f t="shared" si="423"/>
        <v>0.32970813847627539</v>
      </c>
      <c r="N1362" s="2">
        <f t="shared" si="424"/>
        <v>0.67029186152372455</v>
      </c>
    </row>
    <row r="1363" spans="1:14" x14ac:dyDescent="0.35">
      <c r="A1363" t="s">
        <v>34</v>
      </c>
      <c r="B1363" t="s">
        <v>23</v>
      </c>
      <c r="C1363">
        <v>2003</v>
      </c>
      <c r="D1363" t="s">
        <v>31</v>
      </c>
      <c r="E1363" s="9">
        <v>488</v>
      </c>
      <c r="F1363" s="9">
        <v>377</v>
      </c>
      <c r="G1363" s="1">
        <f t="shared" si="419"/>
        <v>865</v>
      </c>
      <c r="H1363" s="2">
        <f t="shared" si="420"/>
        <v>0.56416184971098271</v>
      </c>
      <c r="I1363" s="2">
        <f t="shared" si="421"/>
        <v>0.43583815028901735</v>
      </c>
      <c r="J1363" s="4">
        <v>631004.64</v>
      </c>
      <c r="K1363" s="4">
        <v>1152114.1000000001</v>
      </c>
      <c r="L1363" s="1">
        <f t="shared" si="422"/>
        <v>1783118.7400000002</v>
      </c>
      <c r="M1363" s="2">
        <f t="shared" si="423"/>
        <v>0.35387696054386142</v>
      </c>
      <c r="N1363" s="2">
        <f t="shared" si="424"/>
        <v>0.64612303945613847</v>
      </c>
    </row>
    <row r="1364" spans="1:14" x14ac:dyDescent="0.35">
      <c r="A1364" t="s">
        <v>34</v>
      </c>
      <c r="B1364" t="s">
        <v>24</v>
      </c>
      <c r="C1364">
        <v>2003</v>
      </c>
      <c r="D1364" t="s">
        <v>31</v>
      </c>
      <c r="E1364" s="9">
        <v>496</v>
      </c>
      <c r="F1364" s="9">
        <v>374</v>
      </c>
      <c r="G1364" s="1">
        <f t="shared" si="419"/>
        <v>870</v>
      </c>
      <c r="H1364" s="2">
        <f t="shared" si="420"/>
        <v>0.57011494252873562</v>
      </c>
      <c r="I1364" s="2">
        <f t="shared" si="421"/>
        <v>0.42988505747126438</v>
      </c>
      <c r="J1364" s="4">
        <v>597627.80000000005</v>
      </c>
      <c r="K1364" s="4">
        <v>1021554.99</v>
      </c>
      <c r="L1364" s="1">
        <f t="shared" si="422"/>
        <v>1619182.79</v>
      </c>
      <c r="M1364" s="2">
        <f t="shared" si="423"/>
        <v>0.36909223819010578</v>
      </c>
      <c r="N1364" s="2">
        <f t="shared" si="424"/>
        <v>0.63090776180989416</v>
      </c>
    </row>
    <row r="1365" spans="1:14" x14ac:dyDescent="0.35">
      <c r="A1365" t="s">
        <v>34</v>
      </c>
      <c r="B1365" t="s">
        <v>25</v>
      </c>
      <c r="C1365">
        <v>2003</v>
      </c>
      <c r="D1365" t="s">
        <v>31</v>
      </c>
      <c r="E1365" s="9">
        <v>512</v>
      </c>
      <c r="F1365" s="9">
        <v>370</v>
      </c>
      <c r="G1365" s="1">
        <f t="shared" si="419"/>
        <v>882</v>
      </c>
      <c r="H1365" s="2">
        <f t="shared" si="420"/>
        <v>0.58049886621315194</v>
      </c>
      <c r="I1365" s="2">
        <f t="shared" si="421"/>
        <v>0.41950113378684806</v>
      </c>
      <c r="J1365" s="4">
        <v>639454.27</v>
      </c>
      <c r="K1365" s="4">
        <v>1010430.37</v>
      </c>
      <c r="L1365" s="1">
        <f t="shared" si="422"/>
        <v>1649884.6400000001</v>
      </c>
      <c r="M1365" s="2">
        <f t="shared" si="423"/>
        <v>0.38757513979886493</v>
      </c>
      <c r="N1365" s="2">
        <f t="shared" si="424"/>
        <v>0.61242486020113496</v>
      </c>
    </row>
    <row r="1366" spans="1:14" x14ac:dyDescent="0.35">
      <c r="A1366" t="s">
        <v>34</v>
      </c>
      <c r="B1366" t="s">
        <v>26</v>
      </c>
      <c r="C1366">
        <v>2003</v>
      </c>
      <c r="D1366" t="s">
        <v>31</v>
      </c>
      <c r="E1366" s="9">
        <v>502</v>
      </c>
      <c r="F1366" s="9">
        <v>362</v>
      </c>
      <c r="G1366" s="1">
        <f t="shared" si="419"/>
        <v>864</v>
      </c>
      <c r="H1366" s="2">
        <f t="shared" si="420"/>
        <v>0.58101851851851849</v>
      </c>
      <c r="I1366" s="2">
        <f t="shared" si="421"/>
        <v>0.41898148148148145</v>
      </c>
      <c r="J1366" s="4">
        <v>667877.76</v>
      </c>
      <c r="K1366" s="4">
        <v>1097933.2</v>
      </c>
      <c r="L1366" s="1">
        <f t="shared" si="422"/>
        <v>1765810.96</v>
      </c>
      <c r="M1366" s="2">
        <f t="shared" si="423"/>
        <v>0.37822721408411691</v>
      </c>
      <c r="N1366" s="2">
        <f t="shared" si="424"/>
        <v>0.62177278591588303</v>
      </c>
    </row>
    <row r="1367" spans="1:14" x14ac:dyDescent="0.35">
      <c r="A1367" t="s">
        <v>34</v>
      </c>
      <c r="B1367" t="s">
        <v>27</v>
      </c>
      <c r="C1367">
        <v>2003</v>
      </c>
      <c r="D1367" t="s">
        <v>31</v>
      </c>
      <c r="E1367" s="9">
        <v>496</v>
      </c>
      <c r="F1367" s="9">
        <v>368</v>
      </c>
      <c r="G1367" s="1">
        <f t="shared" si="419"/>
        <v>864</v>
      </c>
      <c r="H1367" s="2">
        <f t="shared" si="420"/>
        <v>0.57407407407407407</v>
      </c>
      <c r="I1367" s="2">
        <f t="shared" si="421"/>
        <v>0.42592592592592593</v>
      </c>
      <c r="J1367" s="4">
        <v>617478.40000000002</v>
      </c>
      <c r="K1367" s="4">
        <v>1015881.89</v>
      </c>
      <c r="L1367" s="1">
        <f t="shared" si="422"/>
        <v>1633360.29</v>
      </c>
      <c r="M1367" s="2">
        <f t="shared" si="423"/>
        <v>0.37804176076791973</v>
      </c>
      <c r="N1367" s="2">
        <f t="shared" si="424"/>
        <v>0.62195823923208027</v>
      </c>
    </row>
    <row r="1368" spans="1:14" x14ac:dyDescent="0.35">
      <c r="A1368" t="s">
        <v>34</v>
      </c>
      <c r="B1368" t="s">
        <v>28</v>
      </c>
      <c r="C1368">
        <v>2003</v>
      </c>
      <c r="D1368" t="s">
        <v>31</v>
      </c>
      <c r="E1368" s="9">
        <v>486</v>
      </c>
      <c r="F1368" s="9">
        <v>375</v>
      </c>
      <c r="G1368" s="1">
        <f t="shared" si="419"/>
        <v>861</v>
      </c>
      <c r="H1368" s="2">
        <f t="shared" si="420"/>
        <v>0.56445993031358888</v>
      </c>
      <c r="I1368" s="2">
        <f t="shared" si="421"/>
        <v>0.43554006968641112</v>
      </c>
      <c r="J1368" s="4">
        <v>635515.13</v>
      </c>
      <c r="K1368" s="4">
        <v>1137942.55</v>
      </c>
      <c r="L1368" s="1">
        <f t="shared" si="422"/>
        <v>1773457.6800000002</v>
      </c>
      <c r="M1368" s="2">
        <f t="shared" si="423"/>
        <v>0.35834806613485132</v>
      </c>
      <c r="N1368" s="2">
        <f t="shared" si="424"/>
        <v>0.64165193386514863</v>
      </c>
    </row>
    <row r="1369" spans="1:14" x14ac:dyDescent="0.35">
      <c r="A1369" t="s">
        <v>34</v>
      </c>
      <c r="B1369" t="s">
        <v>29</v>
      </c>
      <c r="C1369">
        <v>2003</v>
      </c>
      <c r="D1369" t="s">
        <v>31</v>
      </c>
      <c r="E1369" s="9">
        <v>476</v>
      </c>
      <c r="F1369" s="9">
        <v>386</v>
      </c>
      <c r="G1369" s="1">
        <f t="shared" si="419"/>
        <v>862</v>
      </c>
      <c r="H1369" s="2">
        <f t="shared" si="420"/>
        <v>0.55220417633410668</v>
      </c>
      <c r="I1369" s="2">
        <f t="shared" si="421"/>
        <v>0.44779582366589327</v>
      </c>
      <c r="J1369" s="4">
        <v>545848.68999999994</v>
      </c>
      <c r="K1369" s="4">
        <v>924845.81</v>
      </c>
      <c r="L1369" s="1">
        <f t="shared" si="422"/>
        <v>1470694.5</v>
      </c>
      <c r="M1369" s="2">
        <f t="shared" si="423"/>
        <v>0.37115028988005322</v>
      </c>
      <c r="N1369" s="2">
        <f t="shared" si="424"/>
        <v>0.62884971011994673</v>
      </c>
    </row>
    <row r="1370" spans="1:14" x14ac:dyDescent="0.35">
      <c r="A1370" t="s">
        <v>34</v>
      </c>
      <c r="B1370" t="s">
        <v>17</v>
      </c>
      <c r="C1370">
        <v>2004</v>
      </c>
      <c r="D1370" t="s">
        <v>31</v>
      </c>
      <c r="E1370" s="9">
        <v>467</v>
      </c>
      <c r="F1370" s="9">
        <v>395</v>
      </c>
      <c r="G1370" s="1">
        <f t="shared" si="419"/>
        <v>862</v>
      </c>
      <c r="H1370" s="2">
        <f t="shared" si="420"/>
        <v>0.54176334106728541</v>
      </c>
      <c r="I1370" s="2">
        <f t="shared" si="421"/>
        <v>0.45823665893271459</v>
      </c>
      <c r="J1370" s="4">
        <v>593160.74</v>
      </c>
      <c r="K1370" s="4">
        <v>1101654.03</v>
      </c>
      <c r="L1370" s="1">
        <f t="shared" si="422"/>
        <v>1694814.77</v>
      </c>
      <c r="M1370" s="2">
        <f t="shared" si="423"/>
        <v>0.34998558574044053</v>
      </c>
      <c r="N1370" s="2">
        <f t="shared" si="424"/>
        <v>0.65001441425955953</v>
      </c>
    </row>
    <row r="1371" spans="1:14" x14ac:dyDescent="0.35">
      <c r="A1371" t="s">
        <v>34</v>
      </c>
      <c r="B1371" t="s">
        <v>19</v>
      </c>
      <c r="C1371">
        <v>2004</v>
      </c>
      <c r="D1371" t="s">
        <v>31</v>
      </c>
      <c r="E1371" s="9">
        <v>458</v>
      </c>
      <c r="F1371" s="9">
        <v>406</v>
      </c>
      <c r="G1371" s="1">
        <f t="shared" si="419"/>
        <v>864</v>
      </c>
      <c r="H1371" s="2">
        <f t="shared" si="420"/>
        <v>0.53009259259259256</v>
      </c>
      <c r="I1371" s="2">
        <f t="shared" si="421"/>
        <v>0.46990740740740738</v>
      </c>
      <c r="J1371" s="4">
        <v>529346.03</v>
      </c>
      <c r="K1371" s="4">
        <v>1192584.3500000001</v>
      </c>
      <c r="L1371" s="1">
        <f t="shared" si="422"/>
        <v>1721930.3800000001</v>
      </c>
      <c r="M1371" s="2">
        <f t="shared" si="423"/>
        <v>0.30741430440410722</v>
      </c>
      <c r="N1371" s="2">
        <f t="shared" si="424"/>
        <v>0.69258569559589278</v>
      </c>
    </row>
    <row r="1372" spans="1:14" x14ac:dyDescent="0.35">
      <c r="A1372" t="s">
        <v>34</v>
      </c>
      <c r="B1372" t="s">
        <v>20</v>
      </c>
      <c r="C1372">
        <v>2004</v>
      </c>
      <c r="D1372" t="s">
        <v>31</v>
      </c>
      <c r="E1372" s="9">
        <v>452</v>
      </c>
      <c r="F1372" s="9">
        <v>407</v>
      </c>
      <c r="G1372" s="1">
        <f t="shared" si="419"/>
        <v>859</v>
      </c>
      <c r="H1372" s="2">
        <f t="shared" si="420"/>
        <v>0.52619324796274736</v>
      </c>
      <c r="I1372" s="2">
        <f t="shared" si="421"/>
        <v>0.47380675203725264</v>
      </c>
      <c r="J1372" s="4">
        <v>490090.82</v>
      </c>
      <c r="K1372" s="4">
        <v>931847.15</v>
      </c>
      <c r="L1372" s="1">
        <f t="shared" si="422"/>
        <v>1421937.97</v>
      </c>
      <c r="M1372" s="2">
        <f t="shared" si="423"/>
        <v>0.34466399402781261</v>
      </c>
      <c r="N1372" s="2">
        <f t="shared" si="424"/>
        <v>0.65533600597218744</v>
      </c>
    </row>
    <row r="1373" spans="1:14" x14ac:dyDescent="0.35">
      <c r="A1373" t="s">
        <v>34</v>
      </c>
      <c r="B1373" t="s">
        <v>21</v>
      </c>
      <c r="C1373">
        <v>2004</v>
      </c>
      <c r="D1373" t="s">
        <v>31</v>
      </c>
      <c r="E1373" s="9">
        <v>451</v>
      </c>
      <c r="F1373" s="9">
        <v>409</v>
      </c>
      <c r="G1373" s="1">
        <f t="shared" si="419"/>
        <v>860</v>
      </c>
      <c r="H1373" s="2">
        <f t="shared" si="420"/>
        <v>0.52441860465116275</v>
      </c>
      <c r="I1373" s="2">
        <f t="shared" si="421"/>
        <v>0.4755813953488372</v>
      </c>
      <c r="J1373" s="4">
        <v>576522.07999999996</v>
      </c>
      <c r="K1373" s="4">
        <v>1268798.04</v>
      </c>
      <c r="L1373" s="1">
        <f t="shared" si="422"/>
        <v>1845320.12</v>
      </c>
      <c r="M1373" s="2">
        <f t="shared" si="423"/>
        <v>0.31242388448027103</v>
      </c>
      <c r="N1373" s="2">
        <f t="shared" si="424"/>
        <v>0.68757611551972886</v>
      </c>
    </row>
    <row r="1374" spans="1:14" x14ac:dyDescent="0.35">
      <c r="A1374" t="s">
        <v>34</v>
      </c>
      <c r="B1374" t="s">
        <v>22</v>
      </c>
      <c r="C1374">
        <v>2004</v>
      </c>
      <c r="D1374" t="s">
        <v>31</v>
      </c>
      <c r="E1374" s="9">
        <v>450</v>
      </c>
      <c r="F1374" s="9">
        <v>413</v>
      </c>
      <c r="G1374" s="1">
        <f t="shared" si="419"/>
        <v>863</v>
      </c>
      <c r="H1374" s="2">
        <f t="shared" si="420"/>
        <v>0.52143684820393976</v>
      </c>
      <c r="I1374" s="2">
        <f t="shared" si="421"/>
        <v>0.47856315179606024</v>
      </c>
      <c r="J1374" s="4">
        <v>579969.43999999994</v>
      </c>
      <c r="K1374" s="4">
        <v>1298620.26</v>
      </c>
      <c r="L1374" s="1">
        <f t="shared" si="422"/>
        <v>1878589.7</v>
      </c>
      <c r="M1374" s="2">
        <f t="shared" si="423"/>
        <v>0.30872597672605145</v>
      </c>
      <c r="N1374" s="2">
        <f t="shared" si="424"/>
        <v>0.6912740232739486</v>
      </c>
    </row>
    <row r="1375" spans="1:14" x14ac:dyDescent="0.35">
      <c r="A1375" t="s">
        <v>34</v>
      </c>
      <c r="B1375" t="s">
        <v>23</v>
      </c>
      <c r="C1375">
        <v>2004</v>
      </c>
      <c r="D1375" t="s">
        <v>31</v>
      </c>
      <c r="E1375" s="9">
        <v>445</v>
      </c>
      <c r="F1375" s="9">
        <v>421</v>
      </c>
      <c r="G1375" s="1">
        <f t="shared" si="419"/>
        <v>866</v>
      </c>
      <c r="H1375" s="2">
        <f t="shared" si="420"/>
        <v>0.51385681293302543</v>
      </c>
      <c r="I1375" s="2">
        <f t="shared" si="421"/>
        <v>0.48614318706697457</v>
      </c>
      <c r="J1375" s="4">
        <v>575338.53</v>
      </c>
      <c r="K1375" s="4">
        <v>1295019.23</v>
      </c>
      <c r="L1375" s="1">
        <f t="shared" si="422"/>
        <v>1870357.76</v>
      </c>
      <c r="M1375" s="2">
        <f t="shared" si="423"/>
        <v>0.30760881276531826</v>
      </c>
      <c r="N1375" s="2">
        <f t="shared" si="424"/>
        <v>0.69239118723468174</v>
      </c>
    </row>
    <row r="1376" spans="1:14" x14ac:dyDescent="0.35">
      <c r="A1376" t="s">
        <v>34</v>
      </c>
      <c r="B1376" t="s">
        <v>24</v>
      </c>
      <c r="C1376">
        <v>2004</v>
      </c>
      <c r="D1376" t="s">
        <v>31</v>
      </c>
      <c r="E1376" s="9">
        <v>439</v>
      </c>
      <c r="F1376" s="9">
        <v>435</v>
      </c>
      <c r="G1376" s="1">
        <f t="shared" si="419"/>
        <v>874</v>
      </c>
      <c r="H1376" s="2">
        <f t="shared" si="420"/>
        <v>0.50228832951945079</v>
      </c>
      <c r="I1376" s="2">
        <f t="shared" si="421"/>
        <v>0.49771167048054921</v>
      </c>
      <c r="J1376" s="4">
        <v>608955.12</v>
      </c>
      <c r="K1376" s="4">
        <v>1270647.0900000001</v>
      </c>
      <c r="L1376" s="1">
        <f t="shared" si="422"/>
        <v>1879602.21</v>
      </c>
      <c r="M1376" s="2">
        <f t="shared" si="423"/>
        <v>0.32398084911806951</v>
      </c>
      <c r="N1376" s="2">
        <f t="shared" si="424"/>
        <v>0.67601915088193054</v>
      </c>
    </row>
    <row r="1377" spans="1:14" x14ac:dyDescent="0.35">
      <c r="A1377" t="s">
        <v>34</v>
      </c>
      <c r="B1377" t="s">
        <v>25</v>
      </c>
      <c r="C1377">
        <v>2004</v>
      </c>
      <c r="D1377" t="s">
        <v>31</v>
      </c>
      <c r="E1377" s="9">
        <v>429</v>
      </c>
      <c r="F1377" s="9">
        <v>442</v>
      </c>
      <c r="G1377" s="1">
        <f t="shared" si="419"/>
        <v>871</v>
      </c>
      <c r="H1377" s="2">
        <f t="shared" si="420"/>
        <v>0.4925373134328358</v>
      </c>
      <c r="I1377" s="2">
        <f t="shared" si="421"/>
        <v>0.5074626865671642</v>
      </c>
      <c r="J1377" s="4">
        <v>614371.56999999995</v>
      </c>
      <c r="K1377" s="4">
        <v>1342030.8</v>
      </c>
      <c r="L1377" s="1">
        <f t="shared" si="422"/>
        <v>1956402.37</v>
      </c>
      <c r="M1377" s="2">
        <f t="shared" si="423"/>
        <v>0.31403129510623107</v>
      </c>
      <c r="N1377" s="2">
        <f t="shared" si="424"/>
        <v>0.68596870489376882</v>
      </c>
    </row>
    <row r="1378" spans="1:14" x14ac:dyDescent="0.35">
      <c r="A1378" t="s">
        <v>34</v>
      </c>
      <c r="B1378" t="s">
        <v>26</v>
      </c>
      <c r="C1378">
        <v>2004</v>
      </c>
      <c r="D1378" t="s">
        <v>31</v>
      </c>
      <c r="E1378" s="9">
        <v>411</v>
      </c>
      <c r="F1378" s="9">
        <v>468</v>
      </c>
      <c r="G1378" s="1">
        <f t="shared" si="419"/>
        <v>879</v>
      </c>
      <c r="H1378" s="2">
        <f t="shared" si="420"/>
        <v>0.46757679180887374</v>
      </c>
      <c r="I1378" s="2">
        <f t="shared" si="421"/>
        <v>0.53242320819112632</v>
      </c>
      <c r="J1378" s="4">
        <v>581134.23</v>
      </c>
      <c r="K1378" s="4">
        <v>1271390.43</v>
      </c>
      <c r="L1378" s="1">
        <f t="shared" si="422"/>
        <v>1852524.66</v>
      </c>
      <c r="M1378" s="2">
        <f t="shared" si="423"/>
        <v>0.31369851238579466</v>
      </c>
      <c r="N1378" s="2">
        <f t="shared" si="424"/>
        <v>0.6863014876142054</v>
      </c>
    </row>
    <row r="1379" spans="1:14" x14ac:dyDescent="0.35">
      <c r="A1379" t="s">
        <v>34</v>
      </c>
      <c r="B1379" t="s">
        <v>27</v>
      </c>
      <c r="C1379">
        <v>2004</v>
      </c>
      <c r="D1379" t="s">
        <v>31</v>
      </c>
      <c r="E1379" s="9">
        <v>403</v>
      </c>
      <c r="F1379" s="9">
        <v>465</v>
      </c>
      <c r="G1379" s="1">
        <f t="shared" si="419"/>
        <v>868</v>
      </c>
      <c r="H1379" s="2">
        <f t="shared" si="420"/>
        <v>0.4642857142857143</v>
      </c>
      <c r="I1379" s="2">
        <f t="shared" si="421"/>
        <v>0.5357142857142857</v>
      </c>
      <c r="J1379" s="4">
        <v>580870.76899999997</v>
      </c>
      <c r="K1379" s="4">
        <v>1316000.9790000001</v>
      </c>
      <c r="L1379" s="1">
        <f t="shared" si="422"/>
        <v>1896871.7480000001</v>
      </c>
      <c r="M1379" s="2">
        <f t="shared" si="423"/>
        <v>0.30622564209333142</v>
      </c>
      <c r="N1379" s="2">
        <f t="shared" si="424"/>
        <v>0.69377435790666853</v>
      </c>
    </row>
    <row r="1380" spans="1:14" x14ac:dyDescent="0.35">
      <c r="A1380" t="s">
        <v>34</v>
      </c>
      <c r="B1380" t="s">
        <v>28</v>
      </c>
      <c r="C1380">
        <v>2004</v>
      </c>
      <c r="D1380" t="s">
        <v>31</v>
      </c>
      <c r="E1380" s="9">
        <v>404</v>
      </c>
      <c r="F1380" s="9">
        <v>476</v>
      </c>
      <c r="G1380" s="1">
        <f t="shared" si="419"/>
        <v>880</v>
      </c>
      <c r="H1380" s="2">
        <f t="shared" si="420"/>
        <v>0.45909090909090911</v>
      </c>
      <c r="I1380" s="2">
        <f t="shared" si="421"/>
        <v>0.54090909090909089</v>
      </c>
      <c r="J1380" s="4">
        <v>590149.19400000002</v>
      </c>
      <c r="K1380" s="4">
        <v>1291291.014</v>
      </c>
      <c r="L1380" s="1">
        <f t="shared" si="422"/>
        <v>1881440.2080000001</v>
      </c>
      <c r="M1380" s="2">
        <f t="shared" si="423"/>
        <v>0.31366885404630407</v>
      </c>
      <c r="N1380" s="2">
        <f t="shared" si="424"/>
        <v>0.68633114595369582</v>
      </c>
    </row>
    <row r="1381" spans="1:14" x14ac:dyDescent="0.35">
      <c r="A1381" t="s">
        <v>34</v>
      </c>
      <c r="B1381" t="s">
        <v>29</v>
      </c>
      <c r="C1381">
        <v>2004</v>
      </c>
      <c r="D1381" t="s">
        <v>31</v>
      </c>
      <c r="E1381" s="9">
        <v>399</v>
      </c>
      <c r="F1381" s="9">
        <v>476</v>
      </c>
      <c r="G1381" s="1">
        <f t="shared" si="419"/>
        <v>875</v>
      </c>
      <c r="H1381" s="2">
        <f t="shared" si="420"/>
        <v>0.45600000000000002</v>
      </c>
      <c r="I1381" s="2">
        <f t="shared" si="421"/>
        <v>0.54400000000000004</v>
      </c>
      <c r="J1381" s="4">
        <v>487826.79200000002</v>
      </c>
      <c r="K1381" s="4">
        <v>1200008.3840000001</v>
      </c>
      <c r="L1381" s="1">
        <f t="shared" si="422"/>
        <v>1687835.176</v>
      </c>
      <c r="M1381" s="2">
        <f t="shared" si="423"/>
        <v>0.28902513642125921</v>
      </c>
      <c r="N1381" s="2">
        <f t="shared" si="424"/>
        <v>0.71097486357874085</v>
      </c>
    </row>
    <row r="1382" spans="1:14" x14ac:dyDescent="0.35">
      <c r="A1382" t="s">
        <v>34</v>
      </c>
      <c r="B1382" t="s">
        <v>17</v>
      </c>
      <c r="C1382">
        <v>2005</v>
      </c>
      <c r="D1382" t="s">
        <v>31</v>
      </c>
      <c r="E1382" s="9">
        <f>338+61</f>
        <v>399</v>
      </c>
      <c r="F1382" s="9">
        <f>377+108</f>
        <v>485</v>
      </c>
      <c r="G1382" s="1">
        <f t="shared" si="419"/>
        <v>884</v>
      </c>
      <c r="H1382" s="2">
        <f t="shared" si="420"/>
        <v>0.45135746606334842</v>
      </c>
      <c r="I1382" s="2">
        <f t="shared" si="421"/>
        <v>0.54864253393665163</v>
      </c>
      <c r="J1382" s="4">
        <f>129209.72+438773.82</f>
        <v>567983.54</v>
      </c>
      <c r="K1382" s="4">
        <f>1093834.19+141571.03</f>
        <v>1235405.22</v>
      </c>
      <c r="L1382" s="1">
        <f t="shared" si="422"/>
        <v>1803388.76</v>
      </c>
      <c r="M1382" s="2">
        <f t="shared" si="423"/>
        <v>0.31495346571861743</v>
      </c>
      <c r="N1382" s="2">
        <f t="shared" si="424"/>
        <v>0.68504653428138251</v>
      </c>
    </row>
    <row r="1383" spans="1:14" x14ac:dyDescent="0.35">
      <c r="A1383" t="s">
        <v>34</v>
      </c>
      <c r="B1383" t="s">
        <v>19</v>
      </c>
      <c r="C1383">
        <v>2005</v>
      </c>
      <c r="D1383" t="s">
        <v>31</v>
      </c>
      <c r="E1383" s="9">
        <f>332+68</f>
        <v>400</v>
      </c>
      <c r="F1383" s="9">
        <f>380+101</f>
        <v>481</v>
      </c>
      <c r="G1383" s="1">
        <f t="shared" si="419"/>
        <v>881</v>
      </c>
      <c r="H1383" s="2">
        <f t="shared" si="420"/>
        <v>0.45402951191827468</v>
      </c>
      <c r="I1383" s="2">
        <f t="shared" si="421"/>
        <v>0.54597048808172532</v>
      </c>
      <c r="J1383" s="4">
        <f>130392.62+524374.48</f>
        <v>654767.1</v>
      </c>
      <c r="K1383" s="4">
        <f>891229.89+142981.92</f>
        <v>1034211.81</v>
      </c>
      <c r="L1383" s="1">
        <f t="shared" si="422"/>
        <v>1688978.9100000001</v>
      </c>
      <c r="M1383" s="2">
        <f t="shared" si="423"/>
        <v>0.38767038245610769</v>
      </c>
      <c r="N1383" s="2">
        <f t="shared" si="424"/>
        <v>0.61232961754389226</v>
      </c>
    </row>
    <row r="1384" spans="1:14" x14ac:dyDescent="0.35">
      <c r="A1384" t="s">
        <v>34</v>
      </c>
      <c r="B1384" t="s">
        <v>20</v>
      </c>
      <c r="C1384">
        <v>2005</v>
      </c>
      <c r="D1384" t="s">
        <v>31</v>
      </c>
      <c r="E1384" s="9">
        <f>322+67</f>
        <v>389</v>
      </c>
      <c r="F1384" s="9">
        <f>391+105</f>
        <v>496</v>
      </c>
      <c r="G1384" s="1">
        <f t="shared" si="419"/>
        <v>885</v>
      </c>
      <c r="H1384" s="2">
        <f t="shared" si="420"/>
        <v>0.43954802259887005</v>
      </c>
      <c r="I1384" s="2">
        <f t="shared" si="421"/>
        <v>0.56045197740112995</v>
      </c>
      <c r="J1384" s="4">
        <f>115588.26+473892.11</f>
        <v>589480.37</v>
      </c>
      <c r="K1384" s="4">
        <f>171784.86+968631.45</f>
        <v>1140416.31</v>
      </c>
      <c r="L1384" s="1">
        <f t="shared" si="422"/>
        <v>1729896.6800000002</v>
      </c>
      <c r="M1384" s="2">
        <f t="shared" si="423"/>
        <v>0.34076044934660488</v>
      </c>
      <c r="N1384" s="2">
        <f t="shared" si="424"/>
        <v>0.65923955065339501</v>
      </c>
    </row>
    <row r="1385" spans="1:14" x14ac:dyDescent="0.35">
      <c r="A1385" t="s">
        <v>34</v>
      </c>
      <c r="B1385" t="s">
        <v>21</v>
      </c>
      <c r="C1385">
        <v>2005</v>
      </c>
      <c r="D1385" t="s">
        <v>31</v>
      </c>
      <c r="E1385" s="9">
        <f>320+66</f>
        <v>386</v>
      </c>
      <c r="F1385" s="9">
        <f>388+108</f>
        <v>496</v>
      </c>
      <c r="G1385" s="1">
        <f t="shared" si="419"/>
        <v>882</v>
      </c>
      <c r="H1385" s="2">
        <f t="shared" si="420"/>
        <v>0.43764172335600909</v>
      </c>
      <c r="I1385" s="2">
        <f t="shared" si="421"/>
        <v>0.56235827664399096</v>
      </c>
      <c r="J1385" s="4">
        <f>127086.01+557793.15</f>
        <v>684879.16</v>
      </c>
      <c r="K1385" s="4">
        <f>152631.22+981172.28</f>
        <v>1133803.5</v>
      </c>
      <c r="L1385" s="1">
        <f t="shared" si="422"/>
        <v>1818682.6600000001</v>
      </c>
      <c r="M1385" s="2">
        <f t="shared" si="423"/>
        <v>0.37657980419739634</v>
      </c>
      <c r="N1385" s="2">
        <f t="shared" si="424"/>
        <v>0.62342019580260355</v>
      </c>
    </row>
    <row r="1386" spans="1:14" x14ac:dyDescent="0.35">
      <c r="A1386" t="s">
        <v>34</v>
      </c>
      <c r="B1386" t="s">
        <v>22</v>
      </c>
      <c r="C1386">
        <v>2005</v>
      </c>
      <c r="D1386" t="s">
        <v>31</v>
      </c>
      <c r="E1386" s="9">
        <f>320+64</f>
        <v>384</v>
      </c>
      <c r="F1386" s="9">
        <f>393+106</f>
        <v>499</v>
      </c>
      <c r="G1386" s="1">
        <f t="shared" si="419"/>
        <v>883</v>
      </c>
      <c r="H1386" s="2">
        <f t="shared" si="420"/>
        <v>0.43488108720271801</v>
      </c>
      <c r="I1386" s="2">
        <f t="shared" si="421"/>
        <v>0.56511891279728199</v>
      </c>
      <c r="J1386" s="4">
        <f>497135.54+123803.58</f>
        <v>620939.12</v>
      </c>
      <c r="K1386" s="4">
        <f>156101+869255.22</f>
        <v>1025356.22</v>
      </c>
      <c r="L1386" s="1">
        <f t="shared" si="422"/>
        <v>1646295.3399999999</v>
      </c>
      <c r="M1386" s="2">
        <f t="shared" si="423"/>
        <v>0.3771735878205183</v>
      </c>
      <c r="N1386" s="2">
        <f t="shared" si="424"/>
        <v>0.62282641217948176</v>
      </c>
    </row>
    <row r="1387" spans="1:14" x14ac:dyDescent="0.35">
      <c r="A1387" t="s">
        <v>34</v>
      </c>
      <c r="B1387" t="s">
        <v>23</v>
      </c>
      <c r="C1387">
        <v>2005</v>
      </c>
      <c r="D1387" t="s">
        <v>31</v>
      </c>
      <c r="E1387" s="9">
        <f>313+62</f>
        <v>375</v>
      </c>
      <c r="F1387" s="9">
        <f>400+109</f>
        <v>509</v>
      </c>
      <c r="G1387" s="1">
        <f t="shared" si="419"/>
        <v>884</v>
      </c>
      <c r="H1387" s="2">
        <f t="shared" si="420"/>
        <v>0.42420814479638008</v>
      </c>
      <c r="I1387" s="2">
        <f t="shared" si="421"/>
        <v>0.57579185520361986</v>
      </c>
      <c r="J1387" s="4">
        <f>135686.35+499234.61</f>
        <v>634920.95999999996</v>
      </c>
      <c r="K1387" s="4">
        <f>174699.79+877452.31</f>
        <v>1052152.1000000001</v>
      </c>
      <c r="L1387" s="1">
        <f t="shared" si="422"/>
        <v>1687073.06</v>
      </c>
      <c r="M1387" s="2">
        <f t="shared" si="423"/>
        <v>0.37634467353773043</v>
      </c>
      <c r="N1387" s="2">
        <f t="shared" si="424"/>
        <v>0.62365532646226951</v>
      </c>
    </row>
    <row r="1388" spans="1:14" x14ac:dyDescent="0.35">
      <c r="A1388" t="s">
        <v>34</v>
      </c>
      <c r="B1388" t="s">
        <v>24</v>
      </c>
      <c r="C1388">
        <v>2005</v>
      </c>
      <c r="D1388" t="s">
        <v>31</v>
      </c>
      <c r="E1388" s="9">
        <v>374</v>
      </c>
      <c r="F1388" s="9">
        <v>509</v>
      </c>
      <c r="G1388" s="1">
        <f t="shared" si="419"/>
        <v>883</v>
      </c>
      <c r="H1388" s="2">
        <f t="shared" si="420"/>
        <v>0.42355605889014725</v>
      </c>
      <c r="I1388" s="2">
        <f t="shared" si="421"/>
        <v>0.57644394110985275</v>
      </c>
      <c r="J1388" s="4">
        <f>146551.84+523885.34</f>
        <v>670437.18000000005</v>
      </c>
      <c r="K1388" s="4">
        <f>191208.5+855100.28</f>
        <v>1046308.78</v>
      </c>
      <c r="L1388" s="1">
        <f t="shared" si="422"/>
        <v>1716745.96</v>
      </c>
      <c r="M1388" s="2">
        <f t="shared" si="423"/>
        <v>0.39052789150003303</v>
      </c>
      <c r="N1388" s="2">
        <f t="shared" si="424"/>
        <v>0.60947210849996702</v>
      </c>
    </row>
    <row r="1389" spans="1:14" x14ac:dyDescent="0.35">
      <c r="A1389" t="s">
        <v>34</v>
      </c>
      <c r="B1389" t="s">
        <v>25</v>
      </c>
      <c r="C1389">
        <v>2005</v>
      </c>
      <c r="D1389" t="s">
        <v>31</v>
      </c>
      <c r="E1389" s="9">
        <v>363</v>
      </c>
      <c r="F1389" s="9">
        <v>526</v>
      </c>
      <c r="G1389" s="1">
        <f t="shared" si="419"/>
        <v>889</v>
      </c>
      <c r="H1389" s="2">
        <f t="shared" si="420"/>
        <v>0.40832395950506184</v>
      </c>
      <c r="I1389" s="2">
        <f t="shared" si="421"/>
        <v>0.59167604049493816</v>
      </c>
      <c r="J1389" s="4">
        <f>139429.33+546068.53</f>
        <v>685497.86</v>
      </c>
      <c r="K1389" s="4">
        <f>185217.61+864536.79</f>
        <v>1049754.3999999999</v>
      </c>
      <c r="L1389" s="1">
        <f t="shared" si="422"/>
        <v>1735252.2599999998</v>
      </c>
      <c r="M1389" s="2">
        <f t="shared" si="423"/>
        <v>0.39504219403811641</v>
      </c>
      <c r="N1389" s="2">
        <f t="shared" si="424"/>
        <v>0.60495780596188364</v>
      </c>
    </row>
    <row r="1390" spans="1:14" x14ac:dyDescent="0.35">
      <c r="A1390" t="s">
        <v>34</v>
      </c>
      <c r="B1390" t="s">
        <v>26</v>
      </c>
      <c r="C1390">
        <v>2005</v>
      </c>
      <c r="D1390" t="s">
        <v>31</v>
      </c>
      <c r="E1390" s="9">
        <v>352</v>
      </c>
      <c r="F1390" s="9">
        <v>535</v>
      </c>
      <c r="G1390" s="1">
        <f t="shared" si="419"/>
        <v>887</v>
      </c>
      <c r="H1390" s="2">
        <f t="shared" si="420"/>
        <v>0.3968432919954904</v>
      </c>
      <c r="I1390" s="2">
        <f t="shared" si="421"/>
        <v>0.6031567080045096</v>
      </c>
      <c r="J1390" s="4">
        <f>150920.55+534957.73</f>
        <v>685878.28</v>
      </c>
      <c r="K1390" s="4">
        <f>206623.48+896001.45</f>
        <v>1102624.93</v>
      </c>
      <c r="L1390" s="1">
        <f t="shared" si="422"/>
        <v>1788503.21</v>
      </c>
      <c r="M1390" s="2">
        <f t="shared" si="423"/>
        <v>0.38349289851148771</v>
      </c>
      <c r="N1390" s="2">
        <f t="shared" si="424"/>
        <v>0.61650710148851229</v>
      </c>
    </row>
    <row r="1391" spans="1:14" x14ac:dyDescent="0.35">
      <c r="A1391" t="s">
        <v>34</v>
      </c>
      <c r="B1391" t="s">
        <v>27</v>
      </c>
      <c r="C1391">
        <v>2005</v>
      </c>
      <c r="D1391" t="s">
        <v>31</v>
      </c>
      <c r="E1391" s="9">
        <f>294+60</f>
        <v>354</v>
      </c>
      <c r="F1391" s="9">
        <f>421+110</f>
        <v>531</v>
      </c>
      <c r="G1391" s="1">
        <f t="shared" si="419"/>
        <v>885</v>
      </c>
      <c r="H1391" s="2">
        <f t="shared" si="420"/>
        <v>0.4</v>
      </c>
      <c r="I1391" s="2">
        <f t="shared" si="421"/>
        <v>0.6</v>
      </c>
      <c r="J1391" s="4">
        <f>142016.98+470041.38</f>
        <v>612058.36</v>
      </c>
      <c r="K1391" s="4">
        <f>187173.94+718396.92</f>
        <v>905570.8600000001</v>
      </c>
      <c r="L1391" s="1">
        <f t="shared" si="422"/>
        <v>1517629.2200000002</v>
      </c>
      <c r="M1391" s="2">
        <f t="shared" si="423"/>
        <v>0.40329900869989832</v>
      </c>
      <c r="N1391" s="2">
        <f t="shared" si="424"/>
        <v>0.59670099130010157</v>
      </c>
    </row>
    <row r="1392" spans="1:14" x14ac:dyDescent="0.35">
      <c r="A1392" t="s">
        <v>34</v>
      </c>
      <c r="B1392" t="s">
        <v>28</v>
      </c>
      <c r="C1392">
        <v>2005</v>
      </c>
      <c r="D1392" t="s">
        <v>31</v>
      </c>
      <c r="E1392" s="9">
        <f>295+60</f>
        <v>355</v>
      </c>
      <c r="F1392" s="9">
        <f>417+111</f>
        <v>528</v>
      </c>
      <c r="G1392" s="1">
        <f t="shared" si="419"/>
        <v>883</v>
      </c>
      <c r="H1392" s="2">
        <f t="shared" si="420"/>
        <v>0.40203850509626277</v>
      </c>
      <c r="I1392" s="2">
        <f t="shared" si="421"/>
        <v>0.59796149490373729</v>
      </c>
      <c r="J1392" s="4">
        <f>130129.59+482332.21</f>
        <v>612461.80000000005</v>
      </c>
      <c r="K1392" s="4">
        <f>167532.08+807363.87</f>
        <v>974895.95</v>
      </c>
      <c r="L1392" s="1">
        <f t="shared" si="422"/>
        <v>1587357.75</v>
      </c>
      <c r="M1392" s="2">
        <f t="shared" si="423"/>
        <v>0.38583728211236568</v>
      </c>
      <c r="N1392" s="2">
        <f t="shared" si="424"/>
        <v>0.61416271788763432</v>
      </c>
    </row>
    <row r="1393" spans="1:14" x14ac:dyDescent="0.35">
      <c r="A1393" t="s">
        <v>34</v>
      </c>
      <c r="B1393" t="s">
        <v>29</v>
      </c>
      <c r="C1393">
        <v>2005</v>
      </c>
      <c r="D1393" t="s">
        <v>31</v>
      </c>
      <c r="E1393" s="9">
        <f>295+60</f>
        <v>355</v>
      </c>
      <c r="F1393" s="9">
        <f>421+110</f>
        <v>531</v>
      </c>
      <c r="G1393" s="1">
        <f t="shared" si="419"/>
        <v>886</v>
      </c>
      <c r="H1393" s="2">
        <f t="shared" si="420"/>
        <v>0.40067720090293452</v>
      </c>
      <c r="I1393" s="2">
        <f t="shared" si="421"/>
        <v>0.59932279909706543</v>
      </c>
      <c r="J1393" s="4">
        <f>125915.67+497636.09</f>
        <v>623551.76</v>
      </c>
      <c r="K1393" s="4">
        <f>157370.72+874998.05</f>
        <v>1032368.77</v>
      </c>
      <c r="L1393" s="1">
        <f t="shared" si="422"/>
        <v>1655920.53</v>
      </c>
      <c r="M1393" s="2">
        <f t="shared" si="423"/>
        <v>0.37655898861281706</v>
      </c>
      <c r="N1393" s="2">
        <f t="shared" si="424"/>
        <v>0.62344101138718289</v>
      </c>
    </row>
    <row r="1394" spans="1:14" x14ac:dyDescent="0.35">
      <c r="A1394" t="s">
        <v>34</v>
      </c>
      <c r="B1394" t="s">
        <v>17</v>
      </c>
      <c r="C1394">
        <v>2006</v>
      </c>
      <c r="D1394" t="s">
        <v>31</v>
      </c>
      <c r="E1394" s="9">
        <f>296+61</f>
        <v>357</v>
      </c>
      <c r="F1394" s="9">
        <f>419+109</f>
        <v>528</v>
      </c>
      <c r="G1394" s="1">
        <f t="shared" si="419"/>
        <v>885</v>
      </c>
      <c r="H1394" s="2">
        <f t="shared" si="420"/>
        <v>0.4033898305084746</v>
      </c>
      <c r="I1394" s="2">
        <f t="shared" si="421"/>
        <v>0.59661016949152545</v>
      </c>
      <c r="J1394" s="4">
        <f>124763.64+503472.55</f>
        <v>628236.18999999994</v>
      </c>
      <c r="K1394" s="4">
        <f>165176+807226</f>
        <v>972402</v>
      </c>
      <c r="L1394" s="1">
        <f t="shared" si="422"/>
        <v>1600638.19</v>
      </c>
      <c r="M1394" s="2">
        <f t="shared" si="423"/>
        <v>0.39249106632898717</v>
      </c>
      <c r="N1394" s="2">
        <f t="shared" si="424"/>
        <v>0.60750893367101289</v>
      </c>
    </row>
    <row r="1395" spans="1:14" x14ac:dyDescent="0.35">
      <c r="A1395" t="s">
        <v>34</v>
      </c>
      <c r="B1395" t="s">
        <v>19</v>
      </c>
      <c r="C1395">
        <v>2006</v>
      </c>
      <c r="D1395" t="s">
        <v>31</v>
      </c>
      <c r="E1395" s="9">
        <f>310+63</f>
        <v>373</v>
      </c>
      <c r="F1395" s="9">
        <f>413+107</f>
        <v>520</v>
      </c>
      <c r="G1395" s="1">
        <f t="shared" si="419"/>
        <v>893</v>
      </c>
      <c r="H1395" s="2">
        <f t="shared" si="420"/>
        <v>0.41769316909294513</v>
      </c>
      <c r="I1395" s="2">
        <f t="shared" si="421"/>
        <v>0.58230683090705482</v>
      </c>
      <c r="J1395" s="4">
        <f>128343.59+552550.68</f>
        <v>680894.27</v>
      </c>
      <c r="K1395" s="4">
        <f>133598+863672</f>
        <v>997270</v>
      </c>
      <c r="L1395" s="1">
        <f t="shared" si="422"/>
        <v>1678164.27</v>
      </c>
      <c r="M1395" s="2">
        <f t="shared" si="423"/>
        <v>0.40573755631205283</v>
      </c>
      <c r="N1395" s="2">
        <f t="shared" si="424"/>
        <v>0.59426244368794723</v>
      </c>
    </row>
    <row r="1396" spans="1:14" x14ac:dyDescent="0.35">
      <c r="A1396" t="s">
        <v>34</v>
      </c>
      <c r="B1396" t="s">
        <v>20</v>
      </c>
      <c r="C1396">
        <v>2006</v>
      </c>
      <c r="D1396" t="s">
        <v>31</v>
      </c>
      <c r="E1396" s="9">
        <f>311+64</f>
        <v>375</v>
      </c>
      <c r="F1396" s="9">
        <f>401+108</f>
        <v>509</v>
      </c>
      <c r="G1396" s="1">
        <f t="shared" si="419"/>
        <v>884</v>
      </c>
      <c r="H1396" s="2">
        <f t="shared" si="420"/>
        <v>0.42420814479638008</v>
      </c>
      <c r="I1396" s="2">
        <f t="shared" si="421"/>
        <v>0.57579185520361986</v>
      </c>
      <c r="J1396" s="4">
        <f>130208.11+547153.15</f>
        <v>677361.26</v>
      </c>
      <c r="K1396" s="4">
        <f>140538+956928</f>
        <v>1097466</v>
      </c>
      <c r="L1396" s="1">
        <f t="shared" si="422"/>
        <v>1774827.26</v>
      </c>
      <c r="M1396" s="2">
        <f t="shared" si="423"/>
        <v>0.38164911891200048</v>
      </c>
      <c r="N1396" s="2">
        <f t="shared" si="424"/>
        <v>0.61835088108799952</v>
      </c>
    </row>
    <row r="1397" spans="1:14" x14ac:dyDescent="0.35">
      <c r="A1397" t="s">
        <v>34</v>
      </c>
      <c r="B1397" t="s">
        <v>21</v>
      </c>
      <c r="C1397">
        <v>2006</v>
      </c>
      <c r="D1397" t="s">
        <v>31</v>
      </c>
      <c r="E1397" s="9">
        <v>373</v>
      </c>
      <c r="F1397" s="9">
        <v>513</v>
      </c>
      <c r="G1397" s="1">
        <f t="shared" si="419"/>
        <v>886</v>
      </c>
      <c r="H1397" s="2">
        <f t="shared" si="420"/>
        <v>0.42099322799097066</v>
      </c>
      <c r="I1397" s="2">
        <f t="shared" si="421"/>
        <v>0.57900677200902939</v>
      </c>
      <c r="J1397" s="4">
        <f>140108.92+584278.04</f>
        <v>724386.96000000008</v>
      </c>
      <c r="K1397" s="4">
        <f>157432+1201268</f>
        <v>1358700</v>
      </c>
      <c r="L1397" s="1">
        <f t="shared" si="422"/>
        <v>2083086.96</v>
      </c>
      <c r="M1397" s="2">
        <f t="shared" si="423"/>
        <v>0.34774686506606528</v>
      </c>
      <c r="N1397" s="2">
        <f t="shared" si="424"/>
        <v>0.65225313493393478</v>
      </c>
    </row>
    <row r="1398" spans="1:14" x14ac:dyDescent="0.35">
      <c r="A1398" t="s">
        <v>34</v>
      </c>
      <c r="B1398" t="s">
        <v>22</v>
      </c>
      <c r="C1398">
        <v>2006</v>
      </c>
      <c r="D1398" t="s">
        <v>31</v>
      </c>
      <c r="E1398" s="9">
        <v>371</v>
      </c>
      <c r="F1398" s="9">
        <v>512</v>
      </c>
      <c r="G1398" s="1">
        <f t="shared" si="419"/>
        <v>883</v>
      </c>
      <c r="H1398" s="2">
        <f t="shared" si="420"/>
        <v>0.42015855039637601</v>
      </c>
      <c r="I1398" s="2">
        <f t="shared" si="421"/>
        <v>0.57984144960362405</v>
      </c>
      <c r="J1398" s="4">
        <f>136859.41+509499.76</f>
        <v>646359.17000000004</v>
      </c>
      <c r="K1398" s="4">
        <f>1058271+157117</f>
        <v>1215388</v>
      </c>
      <c r="L1398" s="1">
        <f t="shared" si="422"/>
        <v>1861747.17</v>
      </c>
      <c r="M1398" s="2">
        <f t="shared" si="423"/>
        <v>0.34717881161060127</v>
      </c>
      <c r="N1398" s="2">
        <f t="shared" si="424"/>
        <v>0.65282118838939873</v>
      </c>
    </row>
    <row r="1399" spans="1:14" x14ac:dyDescent="0.35">
      <c r="A1399" t="s">
        <v>34</v>
      </c>
      <c r="B1399" t="s">
        <v>23</v>
      </c>
      <c r="C1399">
        <v>2006</v>
      </c>
      <c r="D1399" t="s">
        <v>31</v>
      </c>
      <c r="E1399" s="9">
        <v>374</v>
      </c>
      <c r="F1399" s="9">
        <v>511</v>
      </c>
      <c r="G1399" s="1">
        <f t="shared" ref="G1399:G1462" si="425">SUM(E1399:F1399)</f>
        <v>885</v>
      </c>
      <c r="H1399" s="2">
        <f t="shared" ref="H1399:H1462" si="426">SUM(E1399)/G1399</f>
        <v>0.42259887005649716</v>
      </c>
      <c r="I1399" s="2">
        <f t="shared" ref="I1399:I1462" si="427">SUM(F1399/G1399)</f>
        <v>0.57740112994350279</v>
      </c>
      <c r="J1399" s="4">
        <f>153509.69+578938.7</f>
        <v>732448.3899999999</v>
      </c>
      <c r="K1399" s="4">
        <f>177040+988722</f>
        <v>1165762</v>
      </c>
      <c r="L1399" s="1">
        <f t="shared" si="422"/>
        <v>1898210.39</v>
      </c>
      <c r="M1399" s="2">
        <f t="shared" si="423"/>
        <v>0.3858625966113271</v>
      </c>
      <c r="N1399" s="2">
        <f t="shared" si="424"/>
        <v>0.61413740338867284</v>
      </c>
    </row>
    <row r="1400" spans="1:14" x14ac:dyDescent="0.35">
      <c r="A1400" t="s">
        <v>34</v>
      </c>
      <c r="B1400" t="s">
        <v>24</v>
      </c>
      <c r="C1400">
        <v>2006</v>
      </c>
      <c r="D1400" t="s">
        <v>31</v>
      </c>
      <c r="E1400" s="9">
        <v>365</v>
      </c>
      <c r="F1400" s="9">
        <v>525</v>
      </c>
      <c r="G1400" s="1">
        <f t="shared" si="425"/>
        <v>890</v>
      </c>
      <c r="H1400" s="2">
        <f t="shared" si="426"/>
        <v>0.4101123595505618</v>
      </c>
      <c r="I1400" s="2">
        <f t="shared" si="427"/>
        <v>0.5898876404494382</v>
      </c>
      <c r="J1400" s="4">
        <f>155594.33+615004.56</f>
        <v>770598.89</v>
      </c>
      <c r="K1400" s="4">
        <f>180810+1066361</f>
        <v>1247171</v>
      </c>
      <c r="L1400" s="1">
        <f t="shared" si="422"/>
        <v>2017769.8900000001</v>
      </c>
      <c r="M1400" s="2">
        <f t="shared" si="423"/>
        <v>0.38190622915876693</v>
      </c>
      <c r="N1400" s="2">
        <f t="shared" si="424"/>
        <v>0.61809377084123296</v>
      </c>
    </row>
    <row r="1401" spans="1:14" x14ac:dyDescent="0.35">
      <c r="A1401" t="s">
        <v>34</v>
      </c>
      <c r="B1401" t="s">
        <v>25</v>
      </c>
      <c r="C1401">
        <v>2006</v>
      </c>
      <c r="D1401" t="s">
        <v>31</v>
      </c>
      <c r="E1401" s="9">
        <v>363</v>
      </c>
      <c r="F1401" s="9">
        <v>520</v>
      </c>
      <c r="G1401" s="1">
        <f t="shared" si="425"/>
        <v>883</v>
      </c>
      <c r="H1401" s="2">
        <f t="shared" si="426"/>
        <v>0.41109852774631939</v>
      </c>
      <c r="I1401" s="2">
        <f t="shared" si="427"/>
        <v>0.58890147225368061</v>
      </c>
      <c r="J1401" s="4">
        <f>149902.84+566820.07</f>
        <v>716722.90999999992</v>
      </c>
      <c r="K1401" s="4">
        <f>184637+966510</f>
        <v>1151147</v>
      </c>
      <c r="L1401" s="1">
        <f t="shared" si="422"/>
        <v>1867869.91</v>
      </c>
      <c r="M1401" s="2">
        <f t="shared" si="423"/>
        <v>0.38371136349640106</v>
      </c>
      <c r="N1401" s="2">
        <f t="shared" si="424"/>
        <v>0.61628863650359889</v>
      </c>
    </row>
    <row r="1402" spans="1:14" x14ac:dyDescent="0.35">
      <c r="A1402" t="s">
        <v>34</v>
      </c>
      <c r="B1402" t="s">
        <v>26</v>
      </c>
      <c r="C1402">
        <v>2006</v>
      </c>
      <c r="D1402" t="s">
        <v>31</v>
      </c>
      <c r="E1402" s="9">
        <v>364</v>
      </c>
      <c r="F1402" s="9">
        <v>518</v>
      </c>
      <c r="G1402" s="1">
        <f t="shared" si="425"/>
        <v>882</v>
      </c>
      <c r="H1402" s="2">
        <f t="shared" si="426"/>
        <v>0.41269841269841268</v>
      </c>
      <c r="I1402" s="2">
        <f t="shared" si="427"/>
        <v>0.58730158730158732</v>
      </c>
      <c r="J1402" s="4">
        <f>161711.17+625152.09</f>
        <v>786863.26</v>
      </c>
      <c r="K1402" s="4">
        <f>196588+960986</f>
        <v>1157574</v>
      </c>
      <c r="L1402" s="1">
        <f t="shared" si="422"/>
        <v>1944437.26</v>
      </c>
      <c r="M1402" s="2">
        <f t="shared" si="423"/>
        <v>0.40467402892701204</v>
      </c>
      <c r="N1402" s="2">
        <f t="shared" si="424"/>
        <v>0.59532597107298801</v>
      </c>
    </row>
    <row r="1403" spans="1:14" x14ac:dyDescent="0.35">
      <c r="A1403" t="s">
        <v>34</v>
      </c>
      <c r="B1403" t="s">
        <v>27</v>
      </c>
      <c r="C1403">
        <v>2006</v>
      </c>
      <c r="D1403" t="s">
        <v>31</v>
      </c>
      <c r="E1403" s="9">
        <f>303+63</f>
        <v>366</v>
      </c>
      <c r="F1403" s="9">
        <f>416+109</f>
        <v>525</v>
      </c>
      <c r="G1403" s="1">
        <f t="shared" si="425"/>
        <v>891</v>
      </c>
      <c r="H1403" s="2">
        <f t="shared" si="426"/>
        <v>0.41077441077441079</v>
      </c>
      <c r="I1403" s="2">
        <f t="shared" si="427"/>
        <v>0.58922558922558921</v>
      </c>
      <c r="J1403" s="4">
        <f>146597.74+592559.71</f>
        <v>739157.45</v>
      </c>
      <c r="K1403" s="4">
        <f>177388.37+1074549.96</f>
        <v>1251938.33</v>
      </c>
      <c r="L1403" s="1">
        <f t="shared" si="422"/>
        <v>1991095.78</v>
      </c>
      <c r="M1403" s="2">
        <f t="shared" si="423"/>
        <v>0.37123148842191805</v>
      </c>
      <c r="N1403" s="2">
        <f t="shared" si="424"/>
        <v>0.62876851157808189</v>
      </c>
    </row>
    <row r="1404" spans="1:14" x14ac:dyDescent="0.35">
      <c r="A1404" t="s">
        <v>34</v>
      </c>
      <c r="B1404" t="s">
        <v>28</v>
      </c>
      <c r="C1404">
        <v>2006</v>
      </c>
      <c r="D1404" t="s">
        <v>31</v>
      </c>
      <c r="E1404" s="9">
        <f>289+61</f>
        <v>350</v>
      </c>
      <c r="F1404" s="9">
        <f>432+111</f>
        <v>543</v>
      </c>
      <c r="G1404" s="1">
        <f t="shared" si="425"/>
        <v>893</v>
      </c>
      <c r="H1404" s="2">
        <f t="shared" si="426"/>
        <v>0.39193729003359462</v>
      </c>
      <c r="I1404" s="2">
        <f t="shared" si="427"/>
        <v>0.60806270996640532</v>
      </c>
      <c r="J1404" s="4">
        <f>133356.48+516910.33</f>
        <v>650266.81000000006</v>
      </c>
      <c r="K1404" s="4">
        <f>162134.82+875806.93</f>
        <v>1037941.75</v>
      </c>
      <c r="L1404" s="1">
        <f t="shared" si="422"/>
        <v>1688208.56</v>
      </c>
      <c r="M1404" s="2">
        <f t="shared" si="423"/>
        <v>0.385181561927396</v>
      </c>
      <c r="N1404" s="2">
        <f t="shared" si="424"/>
        <v>0.61481843807260395</v>
      </c>
    </row>
    <row r="1405" spans="1:14" x14ac:dyDescent="0.35">
      <c r="A1405" t="s">
        <v>34</v>
      </c>
      <c r="B1405" t="s">
        <v>29</v>
      </c>
      <c r="C1405">
        <v>2006</v>
      </c>
      <c r="D1405" t="s">
        <v>31</v>
      </c>
      <c r="E1405" s="9">
        <f>289+60</f>
        <v>349</v>
      </c>
      <c r="F1405" s="9">
        <f>426+111</f>
        <v>537</v>
      </c>
      <c r="G1405" s="1">
        <f t="shared" si="425"/>
        <v>886</v>
      </c>
      <c r="H1405" s="2">
        <f t="shared" si="426"/>
        <v>0.39390519187358919</v>
      </c>
      <c r="I1405" s="2">
        <f t="shared" si="427"/>
        <v>0.60609480812641081</v>
      </c>
      <c r="J1405" s="4">
        <f>125533.73+520833.98</f>
        <v>646367.71</v>
      </c>
      <c r="K1405" s="4">
        <f>153274.92+856445.38</f>
        <v>1009720.3</v>
      </c>
      <c r="L1405" s="1">
        <f t="shared" si="422"/>
        <v>1656088.01</v>
      </c>
      <c r="M1405" s="2">
        <f t="shared" si="423"/>
        <v>0.39029792263274699</v>
      </c>
      <c r="N1405" s="2">
        <f t="shared" si="424"/>
        <v>0.60970207736725301</v>
      </c>
    </row>
    <row r="1406" spans="1:14" x14ac:dyDescent="0.35">
      <c r="A1406" t="s">
        <v>34</v>
      </c>
      <c r="B1406" t="s">
        <v>17</v>
      </c>
      <c r="C1406">
        <v>2007</v>
      </c>
      <c r="D1406" t="s">
        <v>31</v>
      </c>
      <c r="E1406" s="9">
        <f>286+60</f>
        <v>346</v>
      </c>
      <c r="F1406" s="9">
        <f>430+110</f>
        <v>540</v>
      </c>
      <c r="G1406" s="1">
        <f t="shared" si="425"/>
        <v>886</v>
      </c>
      <c r="H1406" s="2">
        <f t="shared" si="426"/>
        <v>0.3905191873589165</v>
      </c>
      <c r="I1406" s="2">
        <f t="shared" si="427"/>
        <v>0.60948081264108356</v>
      </c>
      <c r="J1406" s="4">
        <f>118156.8+578191.81</f>
        <v>696348.6100000001</v>
      </c>
      <c r="K1406" s="4">
        <f>142432+831340</f>
        <v>973772</v>
      </c>
      <c r="L1406" s="1">
        <f t="shared" si="422"/>
        <v>1670120.61</v>
      </c>
      <c r="M1406" s="2">
        <f t="shared" si="423"/>
        <v>0.41694510314437716</v>
      </c>
      <c r="N1406" s="2">
        <f t="shared" si="424"/>
        <v>0.58305489685562284</v>
      </c>
    </row>
    <row r="1407" spans="1:14" x14ac:dyDescent="0.35">
      <c r="A1407" t="s">
        <v>34</v>
      </c>
      <c r="B1407" t="s">
        <v>19</v>
      </c>
      <c r="C1407">
        <v>2007</v>
      </c>
      <c r="D1407" t="s">
        <v>31</v>
      </c>
      <c r="E1407" s="9">
        <f>285+58</f>
        <v>343</v>
      </c>
      <c r="F1407" s="9">
        <f>424+112</f>
        <v>536</v>
      </c>
      <c r="G1407" s="1">
        <f t="shared" si="425"/>
        <v>879</v>
      </c>
      <c r="H1407" s="2">
        <f t="shared" si="426"/>
        <v>0.39021615472127419</v>
      </c>
      <c r="I1407" s="2">
        <f t="shared" si="427"/>
        <v>0.60978384527872587</v>
      </c>
      <c r="J1407" s="4">
        <f>129374.97+554052.34</f>
        <v>683427.30999999994</v>
      </c>
      <c r="K1407" s="4">
        <f>152209+825304</f>
        <v>977513</v>
      </c>
      <c r="L1407" s="1">
        <f t="shared" si="422"/>
        <v>1660940.31</v>
      </c>
      <c r="M1407" s="2">
        <f t="shared" si="423"/>
        <v>0.41147012080163187</v>
      </c>
      <c r="N1407" s="2">
        <f t="shared" si="424"/>
        <v>0.58852987919836808</v>
      </c>
    </row>
    <row r="1408" spans="1:14" x14ac:dyDescent="0.35">
      <c r="A1408" t="s">
        <v>34</v>
      </c>
      <c r="B1408" t="s">
        <v>20</v>
      </c>
      <c r="C1408">
        <v>2007</v>
      </c>
      <c r="D1408" t="s">
        <v>31</v>
      </c>
      <c r="E1408" s="9">
        <f>290+59</f>
        <v>349</v>
      </c>
      <c r="F1408" s="9">
        <f>422+110</f>
        <v>532</v>
      </c>
      <c r="G1408" s="1">
        <f t="shared" si="425"/>
        <v>881</v>
      </c>
      <c r="H1408" s="2">
        <f t="shared" si="426"/>
        <v>0.39614074914869468</v>
      </c>
      <c r="I1408" s="2">
        <f t="shared" si="427"/>
        <v>0.60385925085130532</v>
      </c>
      <c r="J1408" s="4">
        <f>117860.51+496497.32</f>
        <v>614357.82999999996</v>
      </c>
      <c r="K1408" s="4">
        <f>152295+782551</f>
        <v>934846</v>
      </c>
      <c r="L1408" s="1">
        <f t="shared" si="422"/>
        <v>1549203.83</v>
      </c>
      <c r="M1408" s="2">
        <f t="shared" si="423"/>
        <v>0.39656358840785977</v>
      </c>
      <c r="N1408" s="2">
        <f t="shared" si="424"/>
        <v>0.60343641159214012</v>
      </c>
    </row>
    <row r="1409" spans="1:14" x14ac:dyDescent="0.35">
      <c r="A1409" t="s">
        <v>34</v>
      </c>
      <c r="B1409" t="s">
        <v>21</v>
      </c>
      <c r="C1409">
        <v>2007</v>
      </c>
      <c r="D1409" t="s">
        <v>31</v>
      </c>
      <c r="E1409" s="9">
        <f>293+59</f>
        <v>352</v>
      </c>
      <c r="F1409" s="9">
        <f>424+110</f>
        <v>534</v>
      </c>
      <c r="G1409" s="1">
        <f t="shared" si="425"/>
        <v>886</v>
      </c>
      <c r="H1409" s="2">
        <f t="shared" si="426"/>
        <v>0.39729119638826182</v>
      </c>
      <c r="I1409" s="2">
        <f t="shared" si="427"/>
        <v>0.60270880361173818</v>
      </c>
      <c r="J1409" s="4">
        <f>124267+600448</f>
        <v>724715</v>
      </c>
      <c r="K1409" s="4">
        <f>155782+1145822</f>
        <v>1301604</v>
      </c>
      <c r="L1409" s="1">
        <f t="shared" si="422"/>
        <v>2026319</v>
      </c>
      <c r="M1409" s="2">
        <f t="shared" si="423"/>
        <v>0.35765099177375331</v>
      </c>
      <c r="N1409" s="2">
        <f t="shared" si="424"/>
        <v>0.64234900822624674</v>
      </c>
    </row>
    <row r="1410" spans="1:14" x14ac:dyDescent="0.35">
      <c r="A1410" t="s">
        <v>34</v>
      </c>
      <c r="B1410" t="s">
        <v>22</v>
      </c>
      <c r="C1410">
        <v>2007</v>
      </c>
      <c r="D1410" t="s">
        <v>31</v>
      </c>
      <c r="E1410" s="9">
        <f>288+58</f>
        <v>346</v>
      </c>
      <c r="F1410" s="9">
        <f>427+113</f>
        <v>540</v>
      </c>
      <c r="G1410" s="1">
        <f t="shared" si="425"/>
        <v>886</v>
      </c>
      <c r="H1410" s="2">
        <f t="shared" si="426"/>
        <v>0.3905191873589165</v>
      </c>
      <c r="I1410" s="2">
        <f t="shared" si="427"/>
        <v>0.60948081264108356</v>
      </c>
      <c r="J1410" s="4">
        <f>127162+526714</f>
        <v>653876</v>
      </c>
      <c r="K1410" s="4">
        <f>162499+989658</f>
        <v>1152157</v>
      </c>
      <c r="L1410" s="1">
        <f t="shared" si="422"/>
        <v>1806033</v>
      </c>
      <c r="M1410" s="2">
        <f t="shared" si="423"/>
        <v>0.36205097027573691</v>
      </c>
      <c r="N1410" s="2">
        <f t="shared" si="424"/>
        <v>0.63794902972426304</v>
      </c>
    </row>
    <row r="1411" spans="1:14" x14ac:dyDescent="0.35">
      <c r="A1411" t="s">
        <v>34</v>
      </c>
      <c r="B1411" t="s">
        <v>23</v>
      </c>
      <c r="C1411">
        <v>2007</v>
      </c>
      <c r="D1411" t="s">
        <v>31</v>
      </c>
      <c r="E1411" s="9">
        <f>304+58</f>
        <v>362</v>
      </c>
      <c r="F1411" s="9">
        <f>415+110</f>
        <v>525</v>
      </c>
      <c r="G1411" s="1">
        <f t="shared" si="425"/>
        <v>887</v>
      </c>
      <c r="H1411" s="2">
        <f t="shared" si="426"/>
        <v>0.40811724915445319</v>
      </c>
      <c r="I1411" s="2">
        <f t="shared" si="427"/>
        <v>0.59188275084554676</v>
      </c>
      <c r="J1411" s="4">
        <f>135672+565090</f>
        <v>700762</v>
      </c>
      <c r="K1411" s="4">
        <f>171317+1018058</f>
        <v>1189375</v>
      </c>
      <c r="L1411" s="1">
        <f t="shared" ref="L1411:L1474" si="428">SUM(J1411:K1411)</f>
        <v>1890137</v>
      </c>
      <c r="M1411" s="2">
        <f t="shared" ref="M1411:M1474" si="429">SUM(J1411)/L1411</f>
        <v>0.37074667074397255</v>
      </c>
      <c r="N1411" s="2">
        <f t="shared" ref="N1411:N1474" si="430">SUM(K1411/L1411)</f>
        <v>0.6292533292560275</v>
      </c>
    </row>
    <row r="1412" spans="1:14" x14ac:dyDescent="0.35">
      <c r="A1412" t="s">
        <v>34</v>
      </c>
      <c r="B1412" t="s">
        <v>24</v>
      </c>
      <c r="C1412">
        <v>2007</v>
      </c>
      <c r="D1412" t="s">
        <v>31</v>
      </c>
      <c r="E1412" s="9">
        <f>304+59</f>
        <v>363</v>
      </c>
      <c r="F1412" s="9">
        <f>404+109</f>
        <v>513</v>
      </c>
      <c r="G1412" s="1">
        <f t="shared" si="425"/>
        <v>876</v>
      </c>
      <c r="H1412" s="2">
        <f t="shared" si="426"/>
        <v>0.41438356164383561</v>
      </c>
      <c r="I1412" s="2">
        <f t="shared" si="427"/>
        <v>0.58561643835616439</v>
      </c>
      <c r="J1412" s="4">
        <f>154152.27+603111.49</f>
        <v>757263.76</v>
      </c>
      <c r="K1412" s="4">
        <f>183105.52+1055533.3</f>
        <v>1238638.82</v>
      </c>
      <c r="L1412" s="1">
        <f t="shared" si="428"/>
        <v>1995902.58</v>
      </c>
      <c r="M1412" s="2">
        <f t="shared" si="429"/>
        <v>0.37940917937988738</v>
      </c>
      <c r="N1412" s="2">
        <f t="shared" si="430"/>
        <v>0.62059082062011262</v>
      </c>
    </row>
    <row r="1413" spans="1:14" x14ac:dyDescent="0.35">
      <c r="A1413" t="s">
        <v>34</v>
      </c>
      <c r="B1413" t="s">
        <v>25</v>
      </c>
      <c r="C1413">
        <v>2007</v>
      </c>
      <c r="D1413" t="s">
        <v>31</v>
      </c>
      <c r="E1413" s="9">
        <f>306+59</f>
        <v>365</v>
      </c>
      <c r="F1413" s="9">
        <f>409+109</f>
        <v>518</v>
      </c>
      <c r="G1413" s="1">
        <f t="shared" si="425"/>
        <v>883</v>
      </c>
      <c r="H1413" s="2">
        <f t="shared" si="426"/>
        <v>0.41336353340883353</v>
      </c>
      <c r="I1413" s="2">
        <f t="shared" si="427"/>
        <v>0.58663646659116653</v>
      </c>
      <c r="J1413" s="4">
        <f>148957.02+596138.77</f>
        <v>745095.79</v>
      </c>
      <c r="K1413" s="4">
        <f>188455.13+962733.27</f>
        <v>1151188.3999999999</v>
      </c>
      <c r="L1413" s="1">
        <f t="shared" si="428"/>
        <v>1896284.19</v>
      </c>
      <c r="M1413" s="2">
        <f t="shared" si="429"/>
        <v>0.39292411650597586</v>
      </c>
      <c r="N1413" s="2">
        <f t="shared" si="430"/>
        <v>0.60707588349402419</v>
      </c>
    </row>
    <row r="1414" spans="1:14" x14ac:dyDescent="0.35">
      <c r="A1414" t="s">
        <v>34</v>
      </c>
      <c r="B1414" t="s">
        <v>26</v>
      </c>
      <c r="C1414">
        <v>2007</v>
      </c>
      <c r="D1414" t="s">
        <v>31</v>
      </c>
      <c r="E1414" s="9">
        <f>299+61</f>
        <v>360</v>
      </c>
      <c r="F1414" s="9">
        <f>408+108</f>
        <v>516</v>
      </c>
      <c r="G1414" s="1">
        <f t="shared" si="425"/>
        <v>876</v>
      </c>
      <c r="H1414" s="2">
        <f t="shared" si="426"/>
        <v>0.41095890410958902</v>
      </c>
      <c r="I1414" s="2">
        <f t="shared" si="427"/>
        <v>0.58904109589041098</v>
      </c>
      <c r="J1414" s="4">
        <f>148664.75+587106.1</f>
        <v>735770.85</v>
      </c>
      <c r="K1414" s="4">
        <f>189717.49+947467.72</f>
        <v>1137185.21</v>
      </c>
      <c r="L1414" s="1">
        <f t="shared" si="428"/>
        <v>1872956.06</v>
      </c>
      <c r="M1414" s="2">
        <f t="shared" si="429"/>
        <v>0.392839354704349</v>
      </c>
      <c r="N1414" s="2">
        <f t="shared" si="430"/>
        <v>0.60716064529565095</v>
      </c>
    </row>
    <row r="1415" spans="1:14" x14ac:dyDescent="0.35">
      <c r="A1415" t="s">
        <v>34</v>
      </c>
      <c r="B1415" t="s">
        <v>27</v>
      </c>
      <c r="C1415">
        <v>2007</v>
      </c>
      <c r="D1415" t="s">
        <v>31</v>
      </c>
      <c r="E1415" s="9">
        <f>299+60</f>
        <v>359</v>
      </c>
      <c r="F1415" s="9">
        <f>411+109</f>
        <v>520</v>
      </c>
      <c r="G1415" s="1">
        <f t="shared" si="425"/>
        <v>879</v>
      </c>
      <c r="H1415" s="2">
        <f t="shared" si="426"/>
        <v>0.40841865756541523</v>
      </c>
      <c r="I1415" s="2">
        <f t="shared" si="427"/>
        <v>0.59158134243458471</v>
      </c>
      <c r="J1415" s="4">
        <f>148780.19+612173.19</f>
        <v>760953.37999999989</v>
      </c>
      <c r="K1415" s="4">
        <f>190293.04+940129.24</f>
        <v>1130422.28</v>
      </c>
      <c r="L1415" s="1">
        <f t="shared" si="428"/>
        <v>1891375.66</v>
      </c>
      <c r="M1415" s="2">
        <f t="shared" si="429"/>
        <v>0.40232799654406037</v>
      </c>
      <c r="N1415" s="2">
        <f t="shared" si="430"/>
        <v>0.59767200345593963</v>
      </c>
    </row>
    <row r="1416" spans="1:14" x14ac:dyDescent="0.35">
      <c r="A1416" t="s">
        <v>34</v>
      </c>
      <c r="B1416" t="s">
        <v>28</v>
      </c>
      <c r="C1416">
        <v>2007</v>
      </c>
      <c r="D1416" t="s">
        <v>31</v>
      </c>
      <c r="E1416" s="9">
        <f>293+61</f>
        <v>354</v>
      </c>
      <c r="F1416" s="9">
        <f>413+110</f>
        <v>523</v>
      </c>
      <c r="G1416" s="1">
        <f t="shared" si="425"/>
        <v>877</v>
      </c>
      <c r="H1416" s="2">
        <f t="shared" si="426"/>
        <v>0.40364880273660203</v>
      </c>
      <c r="I1416" s="2">
        <f t="shared" si="427"/>
        <v>0.59635119726339791</v>
      </c>
      <c r="J1416" s="4">
        <f>142190.94+570719.95</f>
        <v>712910.8899999999</v>
      </c>
      <c r="K1416" s="4">
        <f>175401.59+950873.15</f>
        <v>1126274.74</v>
      </c>
      <c r="L1416" s="1">
        <f t="shared" si="428"/>
        <v>1839185.63</v>
      </c>
      <c r="M1416" s="2">
        <f t="shared" si="429"/>
        <v>0.38762312970007273</v>
      </c>
      <c r="N1416" s="2">
        <f t="shared" si="430"/>
        <v>0.61237687029992727</v>
      </c>
    </row>
    <row r="1417" spans="1:14" x14ac:dyDescent="0.35">
      <c r="A1417" t="s">
        <v>34</v>
      </c>
      <c r="B1417" t="s">
        <v>29</v>
      </c>
      <c r="C1417">
        <v>2007</v>
      </c>
      <c r="D1417" t="s">
        <v>31</v>
      </c>
      <c r="E1417" s="9">
        <f>292+60</f>
        <v>352</v>
      </c>
      <c r="F1417" s="9">
        <f>418+111</f>
        <v>529</v>
      </c>
      <c r="G1417" s="1">
        <f t="shared" si="425"/>
        <v>881</v>
      </c>
      <c r="H1417" s="2">
        <f t="shared" si="426"/>
        <v>0.39954597048808171</v>
      </c>
      <c r="I1417" s="2">
        <f t="shared" si="427"/>
        <v>0.60045402951191829</v>
      </c>
      <c r="J1417" s="4">
        <f>129720.6+600851.63</f>
        <v>730572.23</v>
      </c>
      <c r="K1417" s="4">
        <f>159588.22+1024670.45</f>
        <v>1184258.67</v>
      </c>
      <c r="L1417" s="1">
        <f t="shared" si="428"/>
        <v>1914830.9</v>
      </c>
      <c r="M1417" s="2">
        <f t="shared" si="429"/>
        <v>0.38153354951604346</v>
      </c>
      <c r="N1417" s="2">
        <f t="shared" si="430"/>
        <v>0.61846645048395654</v>
      </c>
    </row>
    <row r="1418" spans="1:14" x14ac:dyDescent="0.35">
      <c r="A1418" t="s">
        <v>34</v>
      </c>
      <c r="B1418" t="s">
        <v>17</v>
      </c>
      <c r="C1418">
        <v>2008</v>
      </c>
      <c r="D1418" t="s">
        <v>31</v>
      </c>
      <c r="E1418" s="9">
        <v>348</v>
      </c>
      <c r="F1418" s="9">
        <v>547</v>
      </c>
      <c r="G1418" s="1">
        <f t="shared" si="425"/>
        <v>895</v>
      </c>
      <c r="H1418" s="2">
        <f t="shared" si="426"/>
        <v>0.38882681564245808</v>
      </c>
      <c r="I1418" s="2">
        <f t="shared" si="427"/>
        <v>0.61117318435754187</v>
      </c>
      <c r="J1418" s="4">
        <f>120467.24+565580.53</f>
        <v>686047.77</v>
      </c>
      <c r="K1418" s="4">
        <f>158130.6+831552.54</f>
        <v>989683.14</v>
      </c>
      <c r="L1418" s="1">
        <f t="shared" si="428"/>
        <v>1675730.9100000001</v>
      </c>
      <c r="M1418" s="2">
        <f t="shared" si="429"/>
        <v>0.40940210979339159</v>
      </c>
      <c r="N1418" s="2">
        <f t="shared" si="430"/>
        <v>0.59059789020660836</v>
      </c>
    </row>
    <row r="1419" spans="1:14" x14ac:dyDescent="0.35">
      <c r="A1419" t="s">
        <v>34</v>
      </c>
      <c r="B1419" t="s">
        <v>19</v>
      </c>
      <c r="C1419">
        <v>2008</v>
      </c>
      <c r="D1419" t="s">
        <v>31</v>
      </c>
      <c r="E1419" s="9">
        <v>353</v>
      </c>
      <c r="F1419" s="9">
        <v>540</v>
      </c>
      <c r="G1419" s="1">
        <f t="shared" si="425"/>
        <v>893</v>
      </c>
      <c r="H1419" s="2">
        <f t="shared" si="426"/>
        <v>0.39529675251959684</v>
      </c>
      <c r="I1419" s="2">
        <f t="shared" si="427"/>
        <v>0.60470324748040316</v>
      </c>
      <c r="J1419" s="4">
        <f>128297.57+596267.15</f>
        <v>724564.72</v>
      </c>
      <c r="K1419" s="4">
        <f>158365.7+774196.34</f>
        <v>932562.04</v>
      </c>
      <c r="L1419" s="1">
        <f t="shared" si="428"/>
        <v>1657126.76</v>
      </c>
      <c r="M1419" s="2">
        <f t="shared" si="429"/>
        <v>0.43724157830871063</v>
      </c>
      <c r="N1419" s="2">
        <f t="shared" si="430"/>
        <v>0.56275842169128931</v>
      </c>
    </row>
    <row r="1420" spans="1:14" x14ac:dyDescent="0.35">
      <c r="A1420" t="s">
        <v>34</v>
      </c>
      <c r="B1420" t="s">
        <v>20</v>
      </c>
      <c r="C1420">
        <v>2008</v>
      </c>
      <c r="D1420" t="s">
        <v>31</v>
      </c>
      <c r="E1420" s="9">
        <v>350</v>
      </c>
      <c r="F1420" s="9">
        <v>546</v>
      </c>
      <c r="G1420" s="1">
        <f t="shared" si="425"/>
        <v>896</v>
      </c>
      <c r="H1420" s="2">
        <f t="shared" si="426"/>
        <v>0.390625</v>
      </c>
      <c r="I1420" s="2">
        <f t="shared" si="427"/>
        <v>0.609375</v>
      </c>
      <c r="J1420" s="4">
        <f>130183.88+628263.46</f>
        <v>758447.34</v>
      </c>
      <c r="K1420" s="4">
        <f>155715.29+955306.18</f>
        <v>1111021.47</v>
      </c>
      <c r="L1420" s="1">
        <f t="shared" si="428"/>
        <v>1869468.81</v>
      </c>
      <c r="M1420" s="2">
        <f t="shared" si="429"/>
        <v>0.40570205608297899</v>
      </c>
      <c r="N1420" s="2">
        <f t="shared" si="430"/>
        <v>0.59429794391702095</v>
      </c>
    </row>
    <row r="1421" spans="1:14" x14ac:dyDescent="0.35">
      <c r="A1421" t="s">
        <v>34</v>
      </c>
      <c r="B1421" t="s">
        <v>21</v>
      </c>
      <c r="C1421">
        <v>2008</v>
      </c>
      <c r="D1421" t="s">
        <v>31</v>
      </c>
      <c r="E1421" s="9">
        <f>289+56</f>
        <v>345</v>
      </c>
      <c r="F1421" s="9">
        <f>435+114</f>
        <v>549</v>
      </c>
      <c r="G1421" s="1">
        <f t="shared" si="425"/>
        <v>894</v>
      </c>
      <c r="H1421" s="2">
        <f t="shared" si="426"/>
        <v>0.38590604026845637</v>
      </c>
      <c r="I1421" s="2">
        <f t="shared" si="427"/>
        <v>0.61409395973154357</v>
      </c>
      <c r="J1421" s="4">
        <f>133862.17+546747.13</f>
        <v>680609.3</v>
      </c>
      <c r="K1421" s="4">
        <f>168001.92+1029656.74</f>
        <v>1197658.6599999999</v>
      </c>
      <c r="L1421" s="1">
        <f t="shared" si="428"/>
        <v>1878267.96</v>
      </c>
      <c r="M1421" s="2">
        <f t="shared" si="429"/>
        <v>0.36236006496112516</v>
      </c>
      <c r="N1421" s="2">
        <f t="shared" si="430"/>
        <v>0.63763993503887484</v>
      </c>
    </row>
    <row r="1422" spans="1:14" x14ac:dyDescent="0.35">
      <c r="A1422" t="s">
        <v>34</v>
      </c>
      <c r="B1422" t="s">
        <v>22</v>
      </c>
      <c r="C1422">
        <v>2008</v>
      </c>
      <c r="D1422" t="s">
        <v>31</v>
      </c>
      <c r="E1422" s="9">
        <f>293+56</f>
        <v>349</v>
      </c>
      <c r="F1422" s="9">
        <f>433+113</f>
        <v>546</v>
      </c>
      <c r="G1422" s="1">
        <f t="shared" si="425"/>
        <v>895</v>
      </c>
      <c r="H1422" s="2">
        <f t="shared" si="426"/>
        <v>0.38994413407821227</v>
      </c>
      <c r="I1422" s="2">
        <f t="shared" si="427"/>
        <v>0.61005586592178773</v>
      </c>
      <c r="J1422" s="4">
        <f>135817.19+551227.59</f>
        <v>687044.78</v>
      </c>
      <c r="K1422" s="4">
        <f>170393.4+943825.15</f>
        <v>1114218.55</v>
      </c>
      <c r="L1422" s="1">
        <f t="shared" si="428"/>
        <v>1801263.33</v>
      </c>
      <c r="M1422" s="2">
        <f t="shared" si="429"/>
        <v>0.3814238421208519</v>
      </c>
      <c r="N1422" s="2">
        <f t="shared" si="430"/>
        <v>0.6185761578791481</v>
      </c>
    </row>
    <row r="1423" spans="1:14" x14ac:dyDescent="0.35">
      <c r="A1423" t="s">
        <v>34</v>
      </c>
      <c r="B1423" t="s">
        <v>23</v>
      </c>
      <c r="C1423">
        <v>2008</v>
      </c>
      <c r="D1423" t="s">
        <v>31</v>
      </c>
      <c r="E1423" s="9">
        <f>293+56</f>
        <v>349</v>
      </c>
      <c r="F1423" s="9">
        <f>438+113</f>
        <v>551</v>
      </c>
      <c r="G1423" s="1">
        <f t="shared" si="425"/>
        <v>900</v>
      </c>
      <c r="H1423" s="2">
        <f t="shared" si="426"/>
        <v>0.38777777777777778</v>
      </c>
      <c r="I1423" s="2">
        <f t="shared" si="427"/>
        <v>0.61222222222222222</v>
      </c>
      <c r="J1423" s="4">
        <f>149204.62+613141.48</f>
        <v>762346.1</v>
      </c>
      <c r="K1423" s="4">
        <f>187212.26+1029843.89</f>
        <v>1217056.1499999999</v>
      </c>
      <c r="L1423" s="1">
        <f t="shared" si="428"/>
        <v>1979402.25</v>
      </c>
      <c r="M1423" s="2">
        <f t="shared" si="429"/>
        <v>0.38513955412549417</v>
      </c>
      <c r="N1423" s="2">
        <f t="shared" si="430"/>
        <v>0.61486044587450572</v>
      </c>
    </row>
    <row r="1424" spans="1:14" x14ac:dyDescent="0.35">
      <c r="A1424" t="s">
        <v>34</v>
      </c>
      <c r="B1424" t="s">
        <v>24</v>
      </c>
      <c r="C1424">
        <v>2008</v>
      </c>
      <c r="D1424" t="s">
        <v>31</v>
      </c>
      <c r="E1424" s="9">
        <f>287+57</f>
        <v>344</v>
      </c>
      <c r="F1424" s="9">
        <f>452+113</f>
        <v>565</v>
      </c>
      <c r="G1424" s="1">
        <f t="shared" si="425"/>
        <v>909</v>
      </c>
      <c r="H1424" s="2">
        <f t="shared" si="426"/>
        <v>0.37843784378437845</v>
      </c>
      <c r="I1424" s="2">
        <f t="shared" si="427"/>
        <v>0.62156215621562161</v>
      </c>
      <c r="J1424" s="4">
        <f>146606.29+572912.8</f>
        <v>719519.09000000008</v>
      </c>
      <c r="K1424" s="4">
        <f>207308.01+926048.7</f>
        <v>1133356.71</v>
      </c>
      <c r="L1424" s="1">
        <f t="shared" si="428"/>
        <v>1852875.8</v>
      </c>
      <c r="M1424" s="2">
        <f t="shared" si="429"/>
        <v>0.38832559095434249</v>
      </c>
      <c r="N1424" s="2">
        <f t="shared" si="430"/>
        <v>0.61167440904565751</v>
      </c>
    </row>
    <row r="1425" spans="1:14" x14ac:dyDescent="0.35">
      <c r="A1425" t="s">
        <v>34</v>
      </c>
      <c r="B1425" t="s">
        <v>25</v>
      </c>
      <c r="C1425">
        <v>2008</v>
      </c>
      <c r="D1425" t="s">
        <v>31</v>
      </c>
      <c r="E1425" s="9">
        <f>284+58</f>
        <v>342</v>
      </c>
      <c r="F1425" s="9">
        <f>448+111</f>
        <v>559</v>
      </c>
      <c r="G1425" s="1">
        <f t="shared" si="425"/>
        <v>901</v>
      </c>
      <c r="H1425" s="2">
        <f t="shared" si="426"/>
        <v>0.37957824639289678</v>
      </c>
      <c r="I1425" s="2">
        <f t="shared" si="427"/>
        <v>0.62042175360710317</v>
      </c>
      <c r="J1425" s="4">
        <f>149516.53+596114.2</f>
        <v>745630.73</v>
      </c>
      <c r="K1425" s="4">
        <f>200108.5+860679.3</f>
        <v>1060787.8</v>
      </c>
      <c r="L1425" s="1">
        <f t="shared" si="428"/>
        <v>1806418.53</v>
      </c>
      <c r="M1425" s="2">
        <f t="shared" si="429"/>
        <v>0.41276742771233638</v>
      </c>
      <c r="N1425" s="2">
        <f t="shared" si="430"/>
        <v>0.58723257228766357</v>
      </c>
    </row>
    <row r="1426" spans="1:14" x14ac:dyDescent="0.35">
      <c r="A1426" t="s">
        <v>34</v>
      </c>
      <c r="B1426" t="s">
        <v>26</v>
      </c>
      <c r="C1426">
        <v>2008</v>
      </c>
      <c r="D1426" t="s">
        <v>31</v>
      </c>
      <c r="E1426" s="9">
        <f>280+58</f>
        <v>338</v>
      </c>
      <c r="F1426" s="9">
        <f>448+111</f>
        <v>559</v>
      </c>
      <c r="G1426" s="1">
        <f t="shared" si="425"/>
        <v>897</v>
      </c>
      <c r="H1426" s="2">
        <f t="shared" si="426"/>
        <v>0.37681159420289856</v>
      </c>
      <c r="I1426" s="2">
        <f t="shared" si="427"/>
        <v>0.62318840579710144</v>
      </c>
      <c r="J1426" s="4">
        <f>144849.71+606395.87</f>
        <v>751245.58</v>
      </c>
      <c r="K1426" s="4">
        <f>223497.33+875728.35</f>
        <v>1099225.68</v>
      </c>
      <c r="L1426" s="1">
        <f t="shared" si="428"/>
        <v>1850471.2599999998</v>
      </c>
      <c r="M1426" s="2">
        <f t="shared" si="429"/>
        <v>0.40597527572516856</v>
      </c>
      <c r="N1426" s="2">
        <f t="shared" si="430"/>
        <v>0.59402472427483155</v>
      </c>
    </row>
    <row r="1427" spans="1:14" x14ac:dyDescent="0.35">
      <c r="A1427" t="s">
        <v>34</v>
      </c>
      <c r="B1427" t="s">
        <v>27</v>
      </c>
      <c r="C1427">
        <v>2008</v>
      </c>
      <c r="D1427" t="s">
        <v>31</v>
      </c>
      <c r="E1427" s="9">
        <f>272+49</f>
        <v>321</v>
      </c>
      <c r="F1427" s="9">
        <f>445+120</f>
        <v>565</v>
      </c>
      <c r="G1427" s="1">
        <f t="shared" si="425"/>
        <v>886</v>
      </c>
      <c r="H1427" s="2">
        <f t="shared" si="426"/>
        <v>0.36230248306997742</v>
      </c>
      <c r="I1427" s="2">
        <f t="shared" si="427"/>
        <v>0.63769751693002252</v>
      </c>
      <c r="J1427" s="4">
        <f>107715.54+340007.96</f>
        <v>447723.5</v>
      </c>
      <c r="K1427" s="4">
        <f>145376.86+611383.11</f>
        <v>756759.97</v>
      </c>
      <c r="L1427" s="1">
        <f t="shared" si="428"/>
        <v>1204483.47</v>
      </c>
      <c r="M1427" s="2">
        <f t="shared" si="429"/>
        <v>0.37171410911932234</v>
      </c>
      <c r="N1427" s="2">
        <f t="shared" si="430"/>
        <v>0.62828589088067766</v>
      </c>
    </row>
    <row r="1428" spans="1:14" x14ac:dyDescent="0.35">
      <c r="A1428" t="s">
        <v>34</v>
      </c>
      <c r="B1428" t="s">
        <v>28</v>
      </c>
      <c r="C1428">
        <v>2008</v>
      </c>
      <c r="D1428" t="s">
        <v>31</v>
      </c>
      <c r="E1428" s="9">
        <f>262+49</f>
        <v>311</v>
      </c>
      <c r="F1428" s="9">
        <f>424+121</f>
        <v>545</v>
      </c>
      <c r="G1428" s="1">
        <f t="shared" si="425"/>
        <v>856</v>
      </c>
      <c r="H1428" s="2">
        <f t="shared" si="426"/>
        <v>0.36331775700934582</v>
      </c>
      <c r="I1428" s="2">
        <f t="shared" si="427"/>
        <v>0.63668224299065423</v>
      </c>
      <c r="J1428" s="4">
        <f>121285.24+489938.56</f>
        <v>611223.80000000005</v>
      </c>
      <c r="K1428" s="4">
        <f>189535.19+1074443.09</f>
        <v>1263978.28</v>
      </c>
      <c r="L1428" s="1">
        <f t="shared" si="428"/>
        <v>1875202.08</v>
      </c>
      <c r="M1428" s="2">
        <f t="shared" si="429"/>
        <v>0.32595089698279345</v>
      </c>
      <c r="N1428" s="2">
        <f t="shared" si="430"/>
        <v>0.67404910301720655</v>
      </c>
    </row>
    <row r="1429" spans="1:14" x14ac:dyDescent="0.35">
      <c r="A1429" t="s">
        <v>34</v>
      </c>
      <c r="B1429" t="s">
        <v>29</v>
      </c>
      <c r="C1429">
        <v>2008</v>
      </c>
      <c r="D1429" t="s">
        <v>31</v>
      </c>
      <c r="E1429" s="9">
        <f>270+49</f>
        <v>319</v>
      </c>
      <c r="F1429" s="9">
        <f>443+120</f>
        <v>563</v>
      </c>
      <c r="G1429" s="1">
        <f t="shared" si="425"/>
        <v>882</v>
      </c>
      <c r="H1429" s="2">
        <f t="shared" si="426"/>
        <v>0.36167800453514737</v>
      </c>
      <c r="I1429" s="2">
        <f t="shared" si="427"/>
        <v>0.63832199546485258</v>
      </c>
      <c r="J1429" s="4">
        <f>108130.4+406010.01</f>
        <v>514140.41000000003</v>
      </c>
      <c r="K1429" s="4">
        <f>163631.41+817319.12</f>
        <v>980950.53</v>
      </c>
      <c r="L1429" s="1">
        <f t="shared" si="428"/>
        <v>1495090.94</v>
      </c>
      <c r="M1429" s="2">
        <f t="shared" si="429"/>
        <v>0.34388571039029908</v>
      </c>
      <c r="N1429" s="2">
        <f t="shared" si="430"/>
        <v>0.65611428960970097</v>
      </c>
    </row>
    <row r="1430" spans="1:14" x14ac:dyDescent="0.35">
      <c r="A1430" t="s">
        <v>34</v>
      </c>
      <c r="B1430" t="s">
        <v>17</v>
      </c>
      <c r="C1430">
        <v>2009</v>
      </c>
      <c r="D1430" t="s">
        <v>31</v>
      </c>
      <c r="E1430" s="3">
        <f>264+49</f>
        <v>313</v>
      </c>
      <c r="F1430" s="3">
        <f>451+121</f>
        <v>572</v>
      </c>
      <c r="G1430" s="1">
        <f t="shared" si="425"/>
        <v>885</v>
      </c>
      <c r="H1430" s="2">
        <f t="shared" si="426"/>
        <v>0.35367231638418078</v>
      </c>
      <c r="I1430" s="2">
        <f t="shared" si="427"/>
        <v>0.64632768361581916</v>
      </c>
      <c r="J1430" s="4">
        <f>422169.2+111484.63</f>
        <v>533653.83000000007</v>
      </c>
      <c r="K1430" s="4">
        <f>171237.87+686128.35</f>
        <v>857366.22</v>
      </c>
      <c r="L1430" s="1">
        <f t="shared" si="428"/>
        <v>1391020.05</v>
      </c>
      <c r="M1430" s="2">
        <f t="shared" si="429"/>
        <v>0.38364208337615269</v>
      </c>
      <c r="N1430" s="2">
        <f t="shared" si="430"/>
        <v>0.61635791662384731</v>
      </c>
    </row>
    <row r="1431" spans="1:14" x14ac:dyDescent="0.35">
      <c r="A1431" t="s">
        <v>34</v>
      </c>
      <c r="B1431" t="s">
        <v>19</v>
      </c>
      <c r="C1431">
        <v>2009</v>
      </c>
      <c r="D1431" t="s">
        <v>31</v>
      </c>
      <c r="E1431" s="3">
        <f>254+46</f>
        <v>300</v>
      </c>
      <c r="F1431" s="3">
        <f>475+123</f>
        <v>598</v>
      </c>
      <c r="G1431" s="1">
        <f t="shared" si="425"/>
        <v>898</v>
      </c>
      <c r="H1431" s="2">
        <f t="shared" si="426"/>
        <v>0.33407572383073497</v>
      </c>
      <c r="I1431" s="2">
        <f t="shared" si="427"/>
        <v>0.66592427616926508</v>
      </c>
      <c r="J1431" s="4">
        <f>101560.51+411134.91</f>
        <v>512695.42</v>
      </c>
      <c r="K1431" s="4">
        <f>156865.45+863067.6</f>
        <v>1019933.05</v>
      </c>
      <c r="L1431" s="1">
        <f t="shared" si="428"/>
        <v>1532628.47</v>
      </c>
      <c r="M1431" s="2">
        <f t="shared" si="429"/>
        <v>0.33452035508644828</v>
      </c>
      <c r="N1431" s="2">
        <f t="shared" si="430"/>
        <v>0.66547964491355172</v>
      </c>
    </row>
    <row r="1432" spans="1:14" x14ac:dyDescent="0.35">
      <c r="A1432" t="s">
        <v>34</v>
      </c>
      <c r="B1432" t="s">
        <v>20</v>
      </c>
      <c r="C1432">
        <v>2009</v>
      </c>
      <c r="D1432" t="s">
        <v>31</v>
      </c>
      <c r="E1432" s="3">
        <f>237+46</f>
        <v>283</v>
      </c>
      <c r="F1432" s="3">
        <f>486+125</f>
        <v>611</v>
      </c>
      <c r="G1432" s="1">
        <f t="shared" si="425"/>
        <v>894</v>
      </c>
      <c r="H1432" s="2">
        <f t="shared" si="426"/>
        <v>0.31655480984340045</v>
      </c>
      <c r="I1432" s="2">
        <f t="shared" si="427"/>
        <v>0.68344519015659955</v>
      </c>
      <c r="J1432" s="4">
        <f>100244.15+382134.49</f>
        <v>482378.64</v>
      </c>
      <c r="K1432" s="4">
        <f>902600.16+159980.05</f>
        <v>1062580.21</v>
      </c>
      <c r="L1432" s="1">
        <f t="shared" si="428"/>
        <v>1544958.85</v>
      </c>
      <c r="M1432" s="2">
        <f t="shared" si="429"/>
        <v>0.31222750042824765</v>
      </c>
      <c r="N1432" s="2">
        <f t="shared" si="430"/>
        <v>0.68777249957175224</v>
      </c>
    </row>
    <row r="1433" spans="1:14" x14ac:dyDescent="0.35">
      <c r="A1433" t="s">
        <v>34</v>
      </c>
      <c r="B1433" t="s">
        <v>21</v>
      </c>
      <c r="C1433">
        <v>2009</v>
      </c>
      <c r="D1433" t="s">
        <v>31</v>
      </c>
      <c r="E1433" s="3">
        <f>235+44</f>
        <v>279</v>
      </c>
      <c r="F1433" s="3">
        <f>496+125</f>
        <v>621</v>
      </c>
      <c r="G1433" s="1">
        <f t="shared" si="425"/>
        <v>900</v>
      </c>
      <c r="H1433" s="2">
        <f t="shared" si="426"/>
        <v>0.31</v>
      </c>
      <c r="I1433" s="2">
        <f t="shared" si="427"/>
        <v>0.69</v>
      </c>
      <c r="J1433" s="4">
        <f>104530.68+387283.23</f>
        <v>491813.91</v>
      </c>
      <c r="K1433" s="4">
        <f>160783.37+801463.92</f>
        <v>962247.29</v>
      </c>
      <c r="L1433" s="1">
        <f t="shared" si="428"/>
        <v>1454061.2</v>
      </c>
      <c r="M1433" s="2">
        <f t="shared" si="429"/>
        <v>0.3382346699024773</v>
      </c>
      <c r="N1433" s="2">
        <f t="shared" si="430"/>
        <v>0.66176533009752281</v>
      </c>
    </row>
    <row r="1434" spans="1:14" x14ac:dyDescent="0.35">
      <c r="A1434" t="s">
        <v>34</v>
      </c>
      <c r="B1434" t="s">
        <v>22</v>
      </c>
      <c r="C1434">
        <v>2009</v>
      </c>
      <c r="D1434" t="s">
        <v>31</v>
      </c>
      <c r="E1434" s="3">
        <f>230+42</f>
        <v>272</v>
      </c>
      <c r="F1434" s="3">
        <f>493+130</f>
        <v>623</v>
      </c>
      <c r="G1434" s="1">
        <f t="shared" si="425"/>
        <v>895</v>
      </c>
      <c r="H1434" s="2">
        <f t="shared" si="426"/>
        <v>0.30391061452513968</v>
      </c>
      <c r="I1434" s="2">
        <f t="shared" si="427"/>
        <v>0.69608938547486032</v>
      </c>
      <c r="J1434" s="4">
        <f>104742.91+412801.37</f>
        <v>517544.28</v>
      </c>
      <c r="K1434" s="4">
        <f>169702.7+896454.31</f>
        <v>1066157.01</v>
      </c>
      <c r="L1434" s="1">
        <f t="shared" si="428"/>
        <v>1583701.29</v>
      </c>
      <c r="M1434" s="2">
        <f t="shared" si="429"/>
        <v>0.326794126687868</v>
      </c>
      <c r="N1434" s="2">
        <f t="shared" si="430"/>
        <v>0.673205873312132</v>
      </c>
    </row>
    <row r="1435" spans="1:14" x14ac:dyDescent="0.35">
      <c r="A1435" t="s">
        <v>34</v>
      </c>
      <c r="B1435" t="s">
        <v>23</v>
      </c>
      <c r="C1435">
        <v>2009</v>
      </c>
      <c r="D1435" t="s">
        <v>31</v>
      </c>
      <c r="E1435" s="3">
        <f>227+41</f>
        <v>268</v>
      </c>
      <c r="F1435" s="3">
        <f>508+132</f>
        <v>640</v>
      </c>
      <c r="G1435" s="1">
        <f t="shared" si="425"/>
        <v>908</v>
      </c>
      <c r="H1435" s="2">
        <f t="shared" si="426"/>
        <v>0.29515418502202645</v>
      </c>
      <c r="I1435" s="2">
        <f t="shared" si="427"/>
        <v>0.70484581497797361</v>
      </c>
      <c r="J1435" s="4">
        <f>104297.24+449601.75</f>
        <v>553898.99</v>
      </c>
      <c r="K1435" s="4">
        <f>195377.85+988754.55</f>
        <v>1184132.4000000001</v>
      </c>
      <c r="L1435" s="1">
        <f t="shared" si="428"/>
        <v>1738031.3900000001</v>
      </c>
      <c r="M1435" s="2">
        <f t="shared" si="429"/>
        <v>0.31869331773116016</v>
      </c>
      <c r="N1435" s="2">
        <f t="shared" si="430"/>
        <v>0.68130668226883984</v>
      </c>
    </row>
    <row r="1436" spans="1:14" x14ac:dyDescent="0.35">
      <c r="A1436" t="s">
        <v>34</v>
      </c>
      <c r="B1436" t="s">
        <v>24</v>
      </c>
      <c r="C1436">
        <v>2009</v>
      </c>
      <c r="D1436" t="s">
        <v>31</v>
      </c>
      <c r="E1436" s="3">
        <f>215+39</f>
        <v>254</v>
      </c>
      <c r="F1436" s="3">
        <f>507+135</f>
        <v>642</v>
      </c>
      <c r="G1436" s="1">
        <f t="shared" si="425"/>
        <v>896</v>
      </c>
      <c r="H1436" s="2">
        <f t="shared" si="426"/>
        <v>0.28348214285714285</v>
      </c>
      <c r="I1436" s="2">
        <f t="shared" si="427"/>
        <v>0.7165178571428571</v>
      </c>
      <c r="J1436" s="4">
        <f>107484.94+401637.53</f>
        <v>509122.47000000003</v>
      </c>
      <c r="K1436" s="4">
        <f>216976.7+1090766.34</f>
        <v>1307743.04</v>
      </c>
      <c r="L1436" s="1">
        <f t="shared" si="428"/>
        <v>1816865.51</v>
      </c>
      <c r="M1436" s="2">
        <f t="shared" si="429"/>
        <v>0.28022022939936814</v>
      </c>
      <c r="N1436" s="2">
        <f t="shared" si="430"/>
        <v>0.71977977060063192</v>
      </c>
    </row>
    <row r="1437" spans="1:14" x14ac:dyDescent="0.35">
      <c r="A1437" t="s">
        <v>34</v>
      </c>
      <c r="B1437" t="s">
        <v>25</v>
      </c>
      <c r="C1437">
        <v>2009</v>
      </c>
      <c r="D1437" t="s">
        <v>31</v>
      </c>
      <c r="E1437" s="3">
        <f>206+39</f>
        <v>245</v>
      </c>
      <c r="F1437" s="3">
        <f>522+134</f>
        <v>656</v>
      </c>
      <c r="G1437" s="1">
        <f t="shared" si="425"/>
        <v>901</v>
      </c>
      <c r="H1437" s="2">
        <f t="shared" si="426"/>
        <v>0.27192008879023305</v>
      </c>
      <c r="I1437" s="2">
        <f t="shared" si="427"/>
        <v>0.72807991120976689</v>
      </c>
      <c r="J1437" s="4">
        <f>110467.44+435746.44</f>
        <v>546213.88</v>
      </c>
      <c r="K1437" s="4">
        <f>238822.03+1091637.56</f>
        <v>1330459.5900000001</v>
      </c>
      <c r="L1437" s="1">
        <f t="shared" si="428"/>
        <v>1876673.4700000002</v>
      </c>
      <c r="M1437" s="2">
        <f t="shared" si="429"/>
        <v>0.29105429832713514</v>
      </c>
      <c r="N1437" s="2">
        <f t="shared" si="430"/>
        <v>0.70894570167286475</v>
      </c>
    </row>
    <row r="1438" spans="1:14" x14ac:dyDescent="0.35">
      <c r="A1438" t="s">
        <v>34</v>
      </c>
      <c r="B1438" t="s">
        <v>26</v>
      </c>
      <c r="C1438">
        <v>2009</v>
      </c>
      <c r="D1438" t="s">
        <v>31</v>
      </c>
      <c r="E1438" s="3">
        <f>209+39</f>
        <v>248</v>
      </c>
      <c r="F1438" s="3">
        <f>525+134</f>
        <v>659</v>
      </c>
      <c r="G1438" s="1">
        <f t="shared" si="425"/>
        <v>907</v>
      </c>
      <c r="H1438" s="2">
        <f t="shared" si="426"/>
        <v>0.27342888643880925</v>
      </c>
      <c r="I1438" s="2">
        <f t="shared" si="427"/>
        <v>0.72657111356119075</v>
      </c>
      <c r="J1438" s="4">
        <f>107113.27+377467.32</f>
        <v>484580.59</v>
      </c>
      <c r="K1438" s="4">
        <f>218472.85+1003890.03</f>
        <v>1222362.8800000001</v>
      </c>
      <c r="L1438" s="1">
        <f t="shared" si="428"/>
        <v>1706943.4700000002</v>
      </c>
      <c r="M1438" s="2">
        <f t="shared" si="429"/>
        <v>0.28388789583055141</v>
      </c>
      <c r="N1438" s="2">
        <f t="shared" si="430"/>
        <v>0.71611210416944859</v>
      </c>
    </row>
    <row r="1439" spans="1:14" x14ac:dyDescent="0.35">
      <c r="A1439" t="s">
        <v>34</v>
      </c>
      <c r="B1439" t="s">
        <v>27</v>
      </c>
      <c r="C1439">
        <v>2009</v>
      </c>
      <c r="D1439" t="s">
        <v>31</v>
      </c>
      <c r="E1439" s="3">
        <f>203+39</f>
        <v>242</v>
      </c>
      <c r="F1439" s="3">
        <f>530+135</f>
        <v>665</v>
      </c>
      <c r="G1439" s="1">
        <f t="shared" si="425"/>
        <v>907</v>
      </c>
      <c r="H1439" s="2">
        <f t="shared" si="426"/>
        <v>0.26681367144432194</v>
      </c>
      <c r="I1439" s="2">
        <f t="shared" si="427"/>
        <v>0.73318632855567811</v>
      </c>
      <c r="J1439" s="4">
        <f>98988.76+375065.92</f>
        <v>474054.68</v>
      </c>
      <c r="K1439" s="4">
        <f>216712.02+898918.25</f>
        <v>1115630.27</v>
      </c>
      <c r="L1439" s="1">
        <f t="shared" si="428"/>
        <v>1589684.95</v>
      </c>
      <c r="M1439" s="2">
        <f t="shared" si="429"/>
        <v>0.29820668554483076</v>
      </c>
      <c r="N1439" s="2">
        <f t="shared" si="430"/>
        <v>0.70179331445516924</v>
      </c>
    </row>
    <row r="1440" spans="1:14" x14ac:dyDescent="0.35">
      <c r="A1440" t="s">
        <v>34</v>
      </c>
      <c r="B1440" t="s">
        <v>28</v>
      </c>
      <c r="C1440">
        <v>2009</v>
      </c>
      <c r="D1440" t="s">
        <v>31</v>
      </c>
      <c r="E1440" s="3">
        <f>201+39</f>
        <v>240</v>
      </c>
      <c r="F1440" s="3">
        <f>528+135</f>
        <v>663</v>
      </c>
      <c r="G1440" s="1">
        <f t="shared" si="425"/>
        <v>903</v>
      </c>
      <c r="H1440" s="2">
        <f t="shared" si="426"/>
        <v>0.26578073089700999</v>
      </c>
      <c r="I1440" s="2">
        <f t="shared" si="427"/>
        <v>0.73421926910299007</v>
      </c>
      <c r="J1440" s="4">
        <f>91494.13+388929</f>
        <v>480423.13</v>
      </c>
      <c r="K1440" s="4">
        <f>191175+1037233.25</f>
        <v>1228408.25</v>
      </c>
      <c r="L1440" s="1">
        <f t="shared" si="428"/>
        <v>1708831.38</v>
      </c>
      <c r="M1440" s="2">
        <f t="shared" si="429"/>
        <v>0.28114133180302436</v>
      </c>
      <c r="N1440" s="2">
        <f t="shared" si="430"/>
        <v>0.71885866819697564</v>
      </c>
    </row>
    <row r="1441" spans="1:14" x14ac:dyDescent="0.35">
      <c r="A1441" t="s">
        <v>34</v>
      </c>
      <c r="B1441" t="s">
        <v>29</v>
      </c>
      <c r="C1441">
        <v>2009</v>
      </c>
      <c r="D1441" t="s">
        <v>31</v>
      </c>
      <c r="E1441" s="3">
        <f>203+40</f>
        <v>243</v>
      </c>
      <c r="F1441" s="3">
        <f>538+136</f>
        <v>674</v>
      </c>
      <c r="G1441" s="1">
        <f t="shared" si="425"/>
        <v>917</v>
      </c>
      <c r="H1441" s="2">
        <f t="shared" si="426"/>
        <v>0.2649945474372955</v>
      </c>
      <c r="I1441" s="2">
        <f t="shared" si="427"/>
        <v>0.73500545256270444</v>
      </c>
      <c r="J1441" s="4">
        <f>86045.73+361322.33</f>
        <v>447368.06</v>
      </c>
      <c r="K1441" s="4">
        <f>188728.15+933660.7</f>
        <v>1122388.8499999999</v>
      </c>
      <c r="L1441" s="1">
        <f t="shared" si="428"/>
        <v>1569756.91</v>
      </c>
      <c r="M1441" s="2">
        <f t="shared" si="429"/>
        <v>0.28499193547107876</v>
      </c>
      <c r="N1441" s="2">
        <f t="shared" si="430"/>
        <v>0.71500806452892118</v>
      </c>
    </row>
    <row r="1442" spans="1:14" x14ac:dyDescent="0.35">
      <c r="A1442" t="s">
        <v>34</v>
      </c>
      <c r="B1442" t="s">
        <v>17</v>
      </c>
      <c r="C1442">
        <v>2010</v>
      </c>
      <c r="D1442" t="s">
        <v>31</v>
      </c>
      <c r="E1442" s="3">
        <f>203+41</f>
        <v>244</v>
      </c>
      <c r="F1442" s="3">
        <f>542+140</f>
        <v>682</v>
      </c>
      <c r="G1442" s="1">
        <f t="shared" si="425"/>
        <v>926</v>
      </c>
      <c r="H1442" s="2">
        <f t="shared" si="426"/>
        <v>0.26349892008639308</v>
      </c>
      <c r="I1442" s="2">
        <f t="shared" si="427"/>
        <v>0.73650107991360692</v>
      </c>
      <c r="J1442" s="4">
        <f>84499.38+368621.29</f>
        <v>453120.67</v>
      </c>
      <c r="K1442" s="4">
        <f>190646.28+910657.96</f>
        <v>1101304.24</v>
      </c>
      <c r="L1442" s="1">
        <f t="shared" si="428"/>
        <v>1554424.91</v>
      </c>
      <c r="M1442" s="2">
        <f t="shared" si="429"/>
        <v>0.29150373690292958</v>
      </c>
      <c r="N1442" s="2">
        <f t="shared" si="430"/>
        <v>0.70849626309707048</v>
      </c>
    </row>
    <row r="1443" spans="1:14" x14ac:dyDescent="0.35">
      <c r="A1443" t="s">
        <v>34</v>
      </c>
      <c r="B1443" t="s">
        <v>19</v>
      </c>
      <c r="C1443">
        <v>2010</v>
      </c>
      <c r="D1443" t="s">
        <v>31</v>
      </c>
      <c r="E1443" s="3">
        <f>195+37</f>
        <v>232</v>
      </c>
      <c r="F1443" s="3">
        <f>558+140</f>
        <v>698</v>
      </c>
      <c r="G1443" s="1">
        <f t="shared" si="425"/>
        <v>930</v>
      </c>
      <c r="H1443" s="2">
        <f t="shared" si="426"/>
        <v>0.24946236559139784</v>
      </c>
      <c r="I1443" s="2">
        <f t="shared" si="427"/>
        <v>0.75053763440860211</v>
      </c>
      <c r="J1443" s="4">
        <f>76160.73+251762.52</f>
        <v>327923.25</v>
      </c>
      <c r="K1443" s="4">
        <f>186732.95+915835.65</f>
        <v>1102568.6000000001</v>
      </c>
      <c r="L1443" s="1">
        <f t="shared" si="428"/>
        <v>1430491.85</v>
      </c>
      <c r="M1443" s="2">
        <f t="shared" si="429"/>
        <v>0.22923811135309857</v>
      </c>
      <c r="N1443" s="2">
        <f t="shared" si="430"/>
        <v>0.77076188864690143</v>
      </c>
    </row>
    <row r="1444" spans="1:14" x14ac:dyDescent="0.35">
      <c r="A1444" t="s">
        <v>34</v>
      </c>
      <c r="B1444" t="s">
        <v>20</v>
      </c>
      <c r="C1444">
        <v>2010</v>
      </c>
      <c r="D1444" t="s">
        <v>31</v>
      </c>
      <c r="E1444" s="3">
        <f>195+36</f>
        <v>231</v>
      </c>
      <c r="F1444" s="3">
        <f>548+138</f>
        <v>686</v>
      </c>
      <c r="G1444" s="1">
        <f t="shared" si="425"/>
        <v>917</v>
      </c>
      <c r="H1444" s="2">
        <f t="shared" si="426"/>
        <v>0.25190839694656486</v>
      </c>
      <c r="I1444" s="2">
        <f t="shared" si="427"/>
        <v>0.74809160305343514</v>
      </c>
      <c r="J1444" s="4">
        <f>77346.06+245305.71</f>
        <v>322651.77</v>
      </c>
      <c r="K1444" s="4">
        <f>188473.28+986603.21</f>
        <v>1175076.49</v>
      </c>
      <c r="L1444" s="1">
        <f t="shared" si="428"/>
        <v>1497728.26</v>
      </c>
      <c r="M1444" s="2">
        <f t="shared" si="429"/>
        <v>0.21542744342688708</v>
      </c>
      <c r="N1444" s="2">
        <f t="shared" si="430"/>
        <v>0.78457255657311298</v>
      </c>
    </row>
    <row r="1445" spans="1:14" x14ac:dyDescent="0.35">
      <c r="A1445" t="s">
        <v>34</v>
      </c>
      <c r="B1445" t="s">
        <v>21</v>
      </c>
      <c r="C1445">
        <v>2010</v>
      </c>
      <c r="D1445" t="s">
        <v>31</v>
      </c>
      <c r="E1445" s="3">
        <f>193+38</f>
        <v>231</v>
      </c>
      <c r="F1445" s="3">
        <f>548+137</f>
        <v>685</v>
      </c>
      <c r="G1445" s="1">
        <f t="shared" si="425"/>
        <v>916</v>
      </c>
      <c r="H1445" s="2">
        <f t="shared" si="426"/>
        <v>0.25218340611353712</v>
      </c>
      <c r="I1445" s="2">
        <f t="shared" si="427"/>
        <v>0.74781659388646293</v>
      </c>
      <c r="J1445" s="4">
        <f>81626.92+282263.37</f>
        <v>363890.29</v>
      </c>
      <c r="K1445" s="4">
        <f>203359.66+1149966.94</f>
        <v>1353326.5999999999</v>
      </c>
      <c r="L1445" s="1">
        <f t="shared" si="428"/>
        <v>1717216.89</v>
      </c>
      <c r="M1445" s="2">
        <f t="shared" si="429"/>
        <v>0.21190700610917004</v>
      </c>
      <c r="N1445" s="2">
        <f t="shared" si="430"/>
        <v>0.78809299389082987</v>
      </c>
    </row>
    <row r="1446" spans="1:14" x14ac:dyDescent="0.35">
      <c r="A1446" t="s">
        <v>34</v>
      </c>
      <c r="B1446" t="s">
        <v>22</v>
      </c>
      <c r="C1446">
        <v>2010</v>
      </c>
      <c r="D1446" t="s">
        <v>31</v>
      </c>
      <c r="E1446" s="3">
        <f>197+36</f>
        <v>233</v>
      </c>
      <c r="F1446" s="3">
        <f>539+139</f>
        <v>678</v>
      </c>
      <c r="G1446" s="1">
        <f t="shared" si="425"/>
        <v>911</v>
      </c>
      <c r="H1446" s="2">
        <f t="shared" si="426"/>
        <v>0.25576289791437978</v>
      </c>
      <c r="I1446" s="2">
        <f t="shared" si="427"/>
        <v>0.74423710208562022</v>
      </c>
      <c r="J1446" s="4">
        <f>81376.48+249777.08</f>
        <v>331153.56</v>
      </c>
      <c r="K1446" s="4">
        <f>201272.78+1303109.85</f>
        <v>1504382.6300000001</v>
      </c>
      <c r="L1446" s="1">
        <f t="shared" si="428"/>
        <v>1835536.1900000002</v>
      </c>
      <c r="M1446" s="2">
        <f t="shared" si="429"/>
        <v>0.18041243850386843</v>
      </c>
      <c r="N1446" s="2">
        <f t="shared" si="430"/>
        <v>0.81958756149613154</v>
      </c>
    </row>
    <row r="1447" spans="1:14" x14ac:dyDescent="0.35">
      <c r="A1447" t="s">
        <v>34</v>
      </c>
      <c r="B1447" t="s">
        <v>23</v>
      </c>
      <c r="C1447">
        <v>2010</v>
      </c>
      <c r="D1447" t="s">
        <v>31</v>
      </c>
      <c r="E1447" s="3">
        <f>196+37</f>
        <v>233</v>
      </c>
      <c r="F1447" s="3">
        <f>545+139</f>
        <v>684</v>
      </c>
      <c r="G1447" s="1">
        <f t="shared" si="425"/>
        <v>917</v>
      </c>
      <c r="H1447" s="2">
        <f t="shared" si="426"/>
        <v>0.25408942202835333</v>
      </c>
      <c r="I1447" s="2">
        <f t="shared" si="427"/>
        <v>0.74591057797164673</v>
      </c>
      <c r="J1447" s="4">
        <f>93805.35+262690.38</f>
        <v>356495.73</v>
      </c>
      <c r="K1447" s="4">
        <f>223608.24+1026402.04</f>
        <v>1250010.28</v>
      </c>
      <c r="L1447" s="1">
        <f t="shared" si="428"/>
        <v>1606506.01</v>
      </c>
      <c r="M1447" s="2">
        <f t="shared" si="429"/>
        <v>0.22190749849731342</v>
      </c>
      <c r="N1447" s="2">
        <f t="shared" si="430"/>
        <v>0.77809250150268661</v>
      </c>
    </row>
    <row r="1448" spans="1:14" x14ac:dyDescent="0.35">
      <c r="A1448" t="s">
        <v>34</v>
      </c>
      <c r="B1448" t="s">
        <v>24</v>
      </c>
      <c r="C1448">
        <v>2010</v>
      </c>
      <c r="D1448" t="s">
        <v>31</v>
      </c>
      <c r="E1448" s="3">
        <f>194+36</f>
        <v>230</v>
      </c>
      <c r="F1448" s="3">
        <f>542+138</f>
        <v>680</v>
      </c>
      <c r="G1448" s="1">
        <f t="shared" si="425"/>
        <v>910</v>
      </c>
      <c r="H1448" s="2">
        <f t="shared" si="426"/>
        <v>0.25274725274725274</v>
      </c>
      <c r="I1448" s="2">
        <f t="shared" si="427"/>
        <v>0.74725274725274726</v>
      </c>
      <c r="J1448" s="4">
        <f>97061.44+269729</f>
        <v>366790.44</v>
      </c>
      <c r="K1448" s="4">
        <f>243284.27+1152212.81</f>
        <v>1395497.08</v>
      </c>
      <c r="L1448" s="1">
        <f t="shared" si="428"/>
        <v>1762287.52</v>
      </c>
      <c r="M1448" s="2">
        <f t="shared" si="429"/>
        <v>0.20813314276889391</v>
      </c>
      <c r="N1448" s="2">
        <f t="shared" si="430"/>
        <v>0.79186685723110606</v>
      </c>
    </row>
    <row r="1449" spans="1:14" x14ac:dyDescent="0.35">
      <c r="A1449" t="s">
        <v>34</v>
      </c>
      <c r="B1449" t="s">
        <v>25</v>
      </c>
      <c r="C1449">
        <v>2010</v>
      </c>
      <c r="D1449" t="s">
        <v>31</v>
      </c>
      <c r="E1449" s="3">
        <f>200+35</f>
        <v>235</v>
      </c>
      <c r="F1449" s="3">
        <f>544+140</f>
        <v>684</v>
      </c>
      <c r="G1449" s="1">
        <f t="shared" si="425"/>
        <v>919</v>
      </c>
      <c r="H1449" s="2">
        <f t="shared" si="426"/>
        <v>0.25571273122959737</v>
      </c>
      <c r="I1449" s="2">
        <f t="shared" si="427"/>
        <v>0.74428726877040263</v>
      </c>
      <c r="J1449" s="4">
        <f>97840.76+261010.21</f>
        <v>358850.97</v>
      </c>
      <c r="K1449" s="4">
        <f>242826.35+1181290.11</f>
        <v>1424116.4600000002</v>
      </c>
      <c r="L1449" s="1">
        <f t="shared" si="428"/>
        <v>1782967.4300000002</v>
      </c>
      <c r="M1449" s="2">
        <f t="shared" si="429"/>
        <v>0.20126613866412577</v>
      </c>
      <c r="N1449" s="2">
        <f t="shared" si="430"/>
        <v>0.79873386133587421</v>
      </c>
    </row>
    <row r="1450" spans="1:14" x14ac:dyDescent="0.35">
      <c r="A1450" t="s">
        <v>34</v>
      </c>
      <c r="B1450" t="s">
        <v>26</v>
      </c>
      <c r="C1450">
        <v>2010</v>
      </c>
      <c r="D1450" t="s">
        <v>31</v>
      </c>
      <c r="E1450" s="3">
        <f>195+35</f>
        <v>230</v>
      </c>
      <c r="F1450" s="3">
        <f>536+139</f>
        <v>675</v>
      </c>
      <c r="G1450" s="1">
        <f t="shared" si="425"/>
        <v>905</v>
      </c>
      <c r="H1450" s="2">
        <f t="shared" si="426"/>
        <v>0.2541436464088398</v>
      </c>
      <c r="I1450" s="2">
        <f t="shared" si="427"/>
        <v>0.7458563535911602</v>
      </c>
      <c r="J1450" s="4">
        <f>103089.8+268897.91</f>
        <v>371987.70999999996</v>
      </c>
      <c r="K1450" s="4">
        <f>252902.32+1110504.91</f>
        <v>1363407.23</v>
      </c>
      <c r="L1450" s="1">
        <f t="shared" si="428"/>
        <v>1735394.94</v>
      </c>
      <c r="M1450" s="2">
        <f t="shared" si="429"/>
        <v>0.21435334483572943</v>
      </c>
      <c r="N1450" s="2">
        <f t="shared" si="430"/>
        <v>0.78564665516427057</v>
      </c>
    </row>
    <row r="1451" spans="1:14" x14ac:dyDescent="0.35">
      <c r="A1451" t="s">
        <v>34</v>
      </c>
      <c r="B1451" t="s">
        <v>27</v>
      </c>
      <c r="C1451">
        <v>2010</v>
      </c>
      <c r="D1451" t="s">
        <v>31</v>
      </c>
      <c r="E1451" s="3">
        <f>187+35</f>
        <v>222</v>
      </c>
      <c r="F1451" s="3">
        <f>549+139</f>
        <v>688</v>
      </c>
      <c r="G1451" s="1">
        <f t="shared" si="425"/>
        <v>910</v>
      </c>
      <c r="H1451" s="2">
        <f t="shared" si="426"/>
        <v>0.24395604395604395</v>
      </c>
      <c r="I1451" s="2">
        <f t="shared" si="427"/>
        <v>0.75604395604395602</v>
      </c>
      <c r="J1451" s="4">
        <f>91526.59+266337.91</f>
        <v>357864.5</v>
      </c>
      <c r="K1451" s="4">
        <f>235996.84+1050050.94</f>
        <v>1286047.78</v>
      </c>
      <c r="L1451" s="1">
        <f t="shared" si="428"/>
        <v>1643912.28</v>
      </c>
      <c r="M1451" s="2">
        <f t="shared" si="429"/>
        <v>0.21769075172307856</v>
      </c>
      <c r="N1451" s="2">
        <f t="shared" si="430"/>
        <v>0.7823092482769215</v>
      </c>
    </row>
    <row r="1452" spans="1:14" x14ac:dyDescent="0.35">
      <c r="A1452" t="s">
        <v>34</v>
      </c>
      <c r="B1452" t="s">
        <v>28</v>
      </c>
      <c r="C1452">
        <v>2010</v>
      </c>
      <c r="D1452" t="s">
        <v>31</v>
      </c>
      <c r="E1452" s="3">
        <f>186+35</f>
        <v>221</v>
      </c>
      <c r="F1452" s="3">
        <f>553+139</f>
        <v>692</v>
      </c>
      <c r="G1452" s="1">
        <f t="shared" si="425"/>
        <v>913</v>
      </c>
      <c r="H1452" s="2">
        <f t="shared" si="426"/>
        <v>0.24205914567360351</v>
      </c>
      <c r="I1452" s="2">
        <f t="shared" si="427"/>
        <v>0.75794085432639646</v>
      </c>
      <c r="J1452" s="4">
        <f>77596.09+252951.72</f>
        <v>330547.81</v>
      </c>
      <c r="K1452" s="4">
        <f>210939.33+1085481.22</f>
        <v>1296420.55</v>
      </c>
      <c r="L1452" s="1">
        <f t="shared" si="428"/>
        <v>1626968.36</v>
      </c>
      <c r="M1452" s="2">
        <f t="shared" si="429"/>
        <v>0.20316793991002996</v>
      </c>
      <c r="N1452" s="2">
        <f t="shared" si="430"/>
        <v>0.79683206008996998</v>
      </c>
    </row>
    <row r="1453" spans="1:14" x14ac:dyDescent="0.35">
      <c r="A1453" t="s">
        <v>34</v>
      </c>
      <c r="B1453" t="s">
        <v>29</v>
      </c>
      <c r="C1453">
        <v>2010</v>
      </c>
      <c r="D1453" t="s">
        <v>31</v>
      </c>
      <c r="E1453" s="3">
        <f>189+35</f>
        <v>224</v>
      </c>
      <c r="F1453" s="3">
        <f>556+139</f>
        <v>695</v>
      </c>
      <c r="G1453" s="1">
        <f t="shared" si="425"/>
        <v>919</v>
      </c>
      <c r="H1453" s="2">
        <f t="shared" si="426"/>
        <v>0.24374319912948858</v>
      </c>
      <c r="I1453" s="2">
        <f t="shared" si="427"/>
        <v>0.75625680087051139</v>
      </c>
      <c r="J1453" s="4">
        <f>71556.78+227070.82</f>
        <v>298627.59999999998</v>
      </c>
      <c r="K1453" s="4">
        <f>207178.75+1113412.15</f>
        <v>1320590.8999999999</v>
      </c>
      <c r="L1453" s="1">
        <f t="shared" si="428"/>
        <v>1619218.5</v>
      </c>
      <c r="M1453" s="2">
        <f t="shared" si="429"/>
        <v>0.18442699363921544</v>
      </c>
      <c r="N1453" s="2">
        <f t="shared" si="430"/>
        <v>0.81557300636078445</v>
      </c>
    </row>
    <row r="1454" spans="1:14" x14ac:dyDescent="0.35">
      <c r="A1454" t="s">
        <v>34</v>
      </c>
      <c r="B1454" t="s">
        <v>17</v>
      </c>
      <c r="C1454">
        <v>2011</v>
      </c>
      <c r="D1454" t="s">
        <v>31</v>
      </c>
      <c r="E1454" s="3">
        <f>182+35</f>
        <v>217</v>
      </c>
      <c r="F1454" s="3">
        <f>561+139</f>
        <v>700</v>
      </c>
      <c r="G1454" s="1">
        <f t="shared" si="425"/>
        <v>917</v>
      </c>
      <c r="H1454" s="2">
        <f t="shared" si="426"/>
        <v>0.23664122137404581</v>
      </c>
      <c r="I1454" s="2">
        <f t="shared" si="427"/>
        <v>0.76335877862595425</v>
      </c>
      <c r="J1454" s="4">
        <f>72558.93+237299.19</f>
        <v>309858.12</v>
      </c>
      <c r="K1454" s="4">
        <f>204470.46+1158954.63</f>
        <v>1363425.0899999999</v>
      </c>
      <c r="L1454" s="1">
        <f t="shared" si="428"/>
        <v>1673283.21</v>
      </c>
      <c r="M1454" s="2">
        <f t="shared" si="429"/>
        <v>0.18517972220614107</v>
      </c>
      <c r="N1454" s="2">
        <f t="shared" si="430"/>
        <v>0.8148202777938589</v>
      </c>
    </row>
    <row r="1455" spans="1:14" x14ac:dyDescent="0.35">
      <c r="A1455" t="s">
        <v>34</v>
      </c>
      <c r="B1455" t="s">
        <v>19</v>
      </c>
      <c r="C1455">
        <v>2011</v>
      </c>
      <c r="D1455" t="s">
        <v>31</v>
      </c>
      <c r="E1455" s="3">
        <f>182+36</f>
        <v>218</v>
      </c>
      <c r="F1455" s="3">
        <f>561+138</f>
        <v>699</v>
      </c>
      <c r="G1455" s="1">
        <f t="shared" si="425"/>
        <v>917</v>
      </c>
      <c r="H1455" s="2">
        <f t="shared" si="426"/>
        <v>0.23773173391494001</v>
      </c>
      <c r="I1455" s="2">
        <f t="shared" si="427"/>
        <v>0.76226826608505993</v>
      </c>
      <c r="J1455" s="4">
        <f>74751.52+242047.13</f>
        <v>316798.65000000002</v>
      </c>
      <c r="K1455" s="4">
        <f>201448.06+1040671.43</f>
        <v>1242119.49</v>
      </c>
      <c r="L1455" s="1">
        <f t="shared" si="428"/>
        <v>1558918.1400000001</v>
      </c>
      <c r="M1455" s="2">
        <f t="shared" si="429"/>
        <v>0.20321698867395308</v>
      </c>
      <c r="N1455" s="2">
        <f t="shared" si="430"/>
        <v>0.7967830113260469</v>
      </c>
    </row>
    <row r="1456" spans="1:14" x14ac:dyDescent="0.35">
      <c r="A1456" t="s">
        <v>34</v>
      </c>
      <c r="B1456" t="s">
        <v>20</v>
      </c>
      <c r="C1456">
        <v>2011</v>
      </c>
      <c r="D1456" t="s">
        <v>31</v>
      </c>
      <c r="E1456" s="3">
        <f>181+45</f>
        <v>226</v>
      </c>
      <c r="F1456" s="3">
        <f>563+129</f>
        <v>692</v>
      </c>
      <c r="G1456" s="1">
        <f t="shared" si="425"/>
        <v>918</v>
      </c>
      <c r="H1456" s="2">
        <f t="shared" si="426"/>
        <v>0.24618736383442266</v>
      </c>
      <c r="I1456" s="2">
        <f t="shared" si="427"/>
        <v>0.75381263616557737</v>
      </c>
      <c r="J1456" s="4">
        <f>69965.39+234818.7</f>
        <v>304784.09000000003</v>
      </c>
      <c r="K1456" s="4">
        <f>199125.17+938026.56</f>
        <v>1137151.73</v>
      </c>
      <c r="L1456" s="1">
        <f t="shared" si="428"/>
        <v>1441935.82</v>
      </c>
      <c r="M1456" s="2">
        <f t="shared" si="429"/>
        <v>0.2113714672820875</v>
      </c>
      <c r="N1456" s="2">
        <f t="shared" si="430"/>
        <v>0.78862853271791244</v>
      </c>
    </row>
    <row r="1457" spans="1:14" x14ac:dyDescent="0.35">
      <c r="A1457" t="s">
        <v>34</v>
      </c>
      <c r="B1457" t="s">
        <v>21</v>
      </c>
      <c r="C1457">
        <v>2011</v>
      </c>
      <c r="D1457" t="s">
        <v>31</v>
      </c>
      <c r="E1457" s="3">
        <f>182+49</f>
        <v>231</v>
      </c>
      <c r="F1457" s="3">
        <f>564+126</f>
        <v>690</v>
      </c>
      <c r="G1457" s="1">
        <f t="shared" si="425"/>
        <v>921</v>
      </c>
      <c r="H1457" s="2">
        <f t="shared" si="426"/>
        <v>0.250814332247557</v>
      </c>
      <c r="I1457" s="2">
        <f t="shared" si="427"/>
        <v>0.749185667752443</v>
      </c>
      <c r="J1457" s="4">
        <f>79536.67+286091.54</f>
        <v>365628.20999999996</v>
      </c>
      <c r="K1457" s="4">
        <f>217094.64+1125696.85</f>
        <v>1342791.4900000002</v>
      </c>
      <c r="L1457" s="1">
        <f t="shared" si="428"/>
        <v>1708419.7000000002</v>
      </c>
      <c r="M1457" s="2">
        <f t="shared" si="429"/>
        <v>0.21401544948234905</v>
      </c>
      <c r="N1457" s="2">
        <f t="shared" si="430"/>
        <v>0.78598455051765093</v>
      </c>
    </row>
    <row r="1458" spans="1:14" x14ac:dyDescent="0.35">
      <c r="A1458" t="s">
        <v>34</v>
      </c>
      <c r="B1458" t="s">
        <v>22</v>
      </c>
      <c r="C1458">
        <v>2011</v>
      </c>
      <c r="D1458" t="s">
        <v>31</v>
      </c>
      <c r="E1458" s="3">
        <f>188+50</f>
        <v>238</v>
      </c>
      <c r="F1458" s="3">
        <f>562+124</f>
        <v>686</v>
      </c>
      <c r="G1458" s="1">
        <f t="shared" si="425"/>
        <v>924</v>
      </c>
      <c r="H1458" s="2">
        <f t="shared" si="426"/>
        <v>0.25757575757575757</v>
      </c>
      <c r="I1458" s="2">
        <f t="shared" si="427"/>
        <v>0.74242424242424243</v>
      </c>
      <c r="J1458" s="4">
        <f>81179.46+313293.34</f>
        <v>394472.80000000005</v>
      </c>
      <c r="K1458" s="4">
        <f>222950.55+1126013.66</f>
        <v>1348964.21</v>
      </c>
      <c r="L1458" s="1">
        <f t="shared" si="428"/>
        <v>1743437.01</v>
      </c>
      <c r="M1458" s="2">
        <f t="shared" si="429"/>
        <v>0.2262615728227543</v>
      </c>
      <c r="N1458" s="2">
        <f t="shared" si="430"/>
        <v>0.77373842717724572</v>
      </c>
    </row>
    <row r="1459" spans="1:14" x14ac:dyDescent="0.35">
      <c r="A1459" t="s">
        <v>34</v>
      </c>
      <c r="B1459" t="s">
        <v>23</v>
      </c>
      <c r="C1459">
        <v>2011</v>
      </c>
      <c r="D1459" t="s">
        <v>31</v>
      </c>
      <c r="E1459" s="3">
        <f>186+49</f>
        <v>235</v>
      </c>
      <c r="F1459" s="3">
        <f>565+125</f>
        <v>690</v>
      </c>
      <c r="G1459" s="1">
        <f t="shared" si="425"/>
        <v>925</v>
      </c>
      <c r="H1459" s="2">
        <f t="shared" si="426"/>
        <v>0.25405405405405407</v>
      </c>
      <c r="I1459" s="2">
        <f t="shared" si="427"/>
        <v>0.74594594594594599</v>
      </c>
      <c r="J1459" s="4">
        <f>86334.95+313034.78</f>
        <v>399369.73000000004</v>
      </c>
      <c r="K1459" s="4">
        <f>236625.97+1113672.25</f>
        <v>1350298.22</v>
      </c>
      <c r="L1459" s="1">
        <f t="shared" si="428"/>
        <v>1749667.95</v>
      </c>
      <c r="M1459" s="2">
        <f t="shared" si="429"/>
        <v>0.22825458396263135</v>
      </c>
      <c r="N1459" s="2">
        <f t="shared" si="430"/>
        <v>0.77174541603736868</v>
      </c>
    </row>
    <row r="1460" spans="1:14" x14ac:dyDescent="0.35">
      <c r="A1460" t="s">
        <v>34</v>
      </c>
      <c r="B1460" t="s">
        <v>24</v>
      </c>
      <c r="C1460">
        <v>2011</v>
      </c>
      <c r="D1460" t="s">
        <v>31</v>
      </c>
      <c r="E1460" s="3">
        <f>184+49</f>
        <v>233</v>
      </c>
      <c r="F1460" s="3">
        <f>563+125</f>
        <v>688</v>
      </c>
      <c r="G1460" s="1">
        <f t="shared" si="425"/>
        <v>921</v>
      </c>
      <c r="H1460" s="2">
        <f t="shared" si="426"/>
        <v>0.25298588490770901</v>
      </c>
      <c r="I1460" s="2">
        <f t="shared" si="427"/>
        <v>0.74701411509229099</v>
      </c>
      <c r="J1460" s="4">
        <f>91453.49+302346.87</f>
        <v>393800.36</v>
      </c>
      <c r="K1460" s="4">
        <f>249629.91+1004719.61</f>
        <v>1254349.52</v>
      </c>
      <c r="L1460" s="1">
        <f t="shared" si="428"/>
        <v>1648149.88</v>
      </c>
      <c r="M1460" s="2">
        <f t="shared" si="429"/>
        <v>0.23893479881817545</v>
      </c>
      <c r="N1460" s="2">
        <f t="shared" si="430"/>
        <v>0.76106520118182464</v>
      </c>
    </row>
    <row r="1461" spans="1:14" x14ac:dyDescent="0.35">
      <c r="A1461" t="s">
        <v>34</v>
      </c>
      <c r="B1461" t="s">
        <v>25</v>
      </c>
      <c r="C1461">
        <v>2011</v>
      </c>
      <c r="D1461" t="s">
        <v>31</v>
      </c>
      <c r="E1461" s="3">
        <f>183+51</f>
        <v>234</v>
      </c>
      <c r="F1461" s="3">
        <f>565+122</f>
        <v>687</v>
      </c>
      <c r="G1461" s="1">
        <f t="shared" si="425"/>
        <v>921</v>
      </c>
      <c r="H1461" s="2">
        <f t="shared" si="426"/>
        <v>0.25407166123778502</v>
      </c>
      <c r="I1461" s="2">
        <f t="shared" si="427"/>
        <v>0.74592833876221498</v>
      </c>
      <c r="J1461" s="4">
        <f>87484.635+325928.25</f>
        <v>413412.88500000001</v>
      </c>
      <c r="K1461" s="4">
        <f>246211.13+968110.8</f>
        <v>1214321.9300000002</v>
      </c>
      <c r="L1461" s="1">
        <f t="shared" si="428"/>
        <v>1627734.8150000002</v>
      </c>
      <c r="M1461" s="2">
        <f t="shared" si="429"/>
        <v>0.2539804894447748</v>
      </c>
      <c r="N1461" s="2">
        <f t="shared" si="430"/>
        <v>0.7460195105552252</v>
      </c>
    </row>
    <row r="1462" spans="1:14" x14ac:dyDescent="0.35">
      <c r="A1462" t="s">
        <v>34</v>
      </c>
      <c r="B1462" t="s">
        <v>26</v>
      </c>
      <c r="C1462">
        <v>2011</v>
      </c>
      <c r="D1462" t="s">
        <v>31</v>
      </c>
      <c r="E1462" s="3">
        <f>187+50</f>
        <v>237</v>
      </c>
      <c r="F1462" s="3">
        <f>560+123</f>
        <v>683</v>
      </c>
      <c r="G1462" s="1">
        <f t="shared" si="425"/>
        <v>920</v>
      </c>
      <c r="H1462" s="2">
        <f t="shared" si="426"/>
        <v>0.25760869565217392</v>
      </c>
      <c r="I1462" s="2">
        <f t="shared" si="427"/>
        <v>0.74239130434782608</v>
      </c>
      <c r="J1462" s="4">
        <f>97007.98+317851.41</f>
        <v>414859.38999999996</v>
      </c>
      <c r="K1462" s="4">
        <f>261045.44+1004838.02</f>
        <v>1265883.46</v>
      </c>
      <c r="L1462" s="1">
        <f t="shared" si="428"/>
        <v>1680742.8499999999</v>
      </c>
      <c r="M1462" s="2">
        <f t="shared" si="429"/>
        <v>0.24683097119824129</v>
      </c>
      <c r="N1462" s="2">
        <f t="shared" si="430"/>
        <v>0.75316902880175873</v>
      </c>
    </row>
    <row r="1463" spans="1:14" x14ac:dyDescent="0.35">
      <c r="A1463" t="s">
        <v>34</v>
      </c>
      <c r="B1463" t="s">
        <v>27</v>
      </c>
      <c r="C1463">
        <v>2011</v>
      </c>
      <c r="D1463" t="s">
        <v>31</v>
      </c>
      <c r="E1463" s="3">
        <f>186+49</f>
        <v>235</v>
      </c>
      <c r="F1463" s="3">
        <f>561+123</f>
        <v>684</v>
      </c>
      <c r="G1463" s="1">
        <f t="shared" ref="G1463:G1526" si="431">SUM(E1463:F1463)</f>
        <v>919</v>
      </c>
      <c r="H1463" s="2">
        <f t="shared" ref="H1463:H1526" si="432">SUM(E1463)/G1463</f>
        <v>0.25571273122959737</v>
      </c>
      <c r="I1463" s="2">
        <f t="shared" ref="I1463:I1526" si="433">SUM(F1463/G1463)</f>
        <v>0.74428726877040263</v>
      </c>
      <c r="J1463" s="4">
        <f>90167.98+327614.77</f>
        <v>417782.75</v>
      </c>
      <c r="K1463" s="4">
        <f>243892.97+1079818.4</f>
        <v>1323711.3699999999</v>
      </c>
      <c r="L1463" s="1">
        <f t="shared" si="428"/>
        <v>1741494.1199999999</v>
      </c>
      <c r="M1463" s="2">
        <f t="shared" si="429"/>
        <v>0.2398990299203537</v>
      </c>
      <c r="N1463" s="2">
        <f t="shared" si="430"/>
        <v>0.76010097007964628</v>
      </c>
    </row>
    <row r="1464" spans="1:14" x14ac:dyDescent="0.35">
      <c r="A1464" t="s">
        <v>34</v>
      </c>
      <c r="B1464" t="s">
        <v>28</v>
      </c>
      <c r="C1464">
        <v>2011</v>
      </c>
      <c r="D1464" t="s">
        <v>31</v>
      </c>
      <c r="E1464" s="3">
        <f>187+48</f>
        <v>235</v>
      </c>
      <c r="F1464" s="3">
        <f>559+124</f>
        <v>683</v>
      </c>
      <c r="G1464" s="1">
        <f t="shared" si="431"/>
        <v>918</v>
      </c>
      <c r="H1464" s="2">
        <f t="shared" si="432"/>
        <v>0.25599128540305011</v>
      </c>
      <c r="I1464" s="2">
        <f t="shared" si="433"/>
        <v>0.74400871459694984</v>
      </c>
      <c r="J1464" s="4">
        <f>79939.93+284885.75</f>
        <v>364825.68</v>
      </c>
      <c r="K1464" s="4">
        <f>217754.46+989563.33</f>
        <v>1207317.79</v>
      </c>
      <c r="L1464" s="1">
        <f t="shared" si="428"/>
        <v>1572143.47</v>
      </c>
      <c r="M1464" s="2">
        <f t="shared" si="429"/>
        <v>0.23205622575909055</v>
      </c>
      <c r="N1464" s="2">
        <f t="shared" si="430"/>
        <v>0.76794377424090954</v>
      </c>
    </row>
    <row r="1465" spans="1:14" x14ac:dyDescent="0.35">
      <c r="A1465" t="s">
        <v>34</v>
      </c>
      <c r="B1465" t="s">
        <v>29</v>
      </c>
      <c r="C1465">
        <v>2011</v>
      </c>
      <c r="D1465" t="s">
        <v>31</v>
      </c>
      <c r="E1465" s="3">
        <f>186+50</f>
        <v>236</v>
      </c>
      <c r="F1465" s="3">
        <f>565+125</f>
        <v>690</v>
      </c>
      <c r="G1465" s="1">
        <f t="shared" si="431"/>
        <v>926</v>
      </c>
      <c r="H1465" s="2">
        <f t="shared" si="432"/>
        <v>0.25485961123110151</v>
      </c>
      <c r="I1465" s="2">
        <f t="shared" si="433"/>
        <v>0.74514038876889854</v>
      </c>
      <c r="J1465" s="4">
        <f>76139.86+295725.91</f>
        <v>371865.76999999996</v>
      </c>
      <c r="K1465" s="4">
        <f>209838.52+1009446.59</f>
        <v>1219285.1099999999</v>
      </c>
      <c r="L1465" s="1">
        <f t="shared" si="428"/>
        <v>1591150.88</v>
      </c>
      <c r="M1465" s="2">
        <f t="shared" si="429"/>
        <v>0.23370867884006072</v>
      </c>
      <c r="N1465" s="2">
        <f t="shared" si="430"/>
        <v>0.76629132115993925</v>
      </c>
    </row>
    <row r="1466" spans="1:14" x14ac:dyDescent="0.35">
      <c r="A1466" t="s">
        <v>34</v>
      </c>
      <c r="B1466" t="s">
        <v>17</v>
      </c>
      <c r="C1466">
        <v>2012</v>
      </c>
      <c r="D1466" t="s">
        <v>31</v>
      </c>
      <c r="E1466" s="3">
        <f>184+50</f>
        <v>234</v>
      </c>
      <c r="F1466" s="3">
        <f>567+124</f>
        <v>691</v>
      </c>
      <c r="G1466" s="1">
        <f t="shared" si="431"/>
        <v>925</v>
      </c>
      <c r="H1466" s="2">
        <f t="shared" si="432"/>
        <v>0.252972972972973</v>
      </c>
      <c r="I1466" s="2">
        <f t="shared" si="433"/>
        <v>0.74702702702702706</v>
      </c>
      <c r="J1466" s="4">
        <f>73265.58+307515.18</f>
        <v>380780.76</v>
      </c>
      <c r="K1466" s="4">
        <f>206447.08+989638.75</f>
        <v>1196085.83</v>
      </c>
      <c r="L1466" s="1">
        <f t="shared" si="428"/>
        <v>1576866.59</v>
      </c>
      <c r="M1466" s="2">
        <f t="shared" si="429"/>
        <v>0.2414793758804922</v>
      </c>
      <c r="N1466" s="2">
        <f t="shared" si="430"/>
        <v>0.75852062411950782</v>
      </c>
    </row>
    <row r="1467" spans="1:14" x14ac:dyDescent="0.35">
      <c r="A1467" t="s">
        <v>34</v>
      </c>
      <c r="B1467" t="s">
        <v>19</v>
      </c>
      <c r="C1467">
        <v>2012</v>
      </c>
      <c r="D1467" t="s">
        <v>31</v>
      </c>
      <c r="E1467" s="3">
        <f>186+49</f>
        <v>235</v>
      </c>
      <c r="F1467" s="3">
        <f>566+125</f>
        <v>691</v>
      </c>
      <c r="G1467" s="1">
        <f t="shared" si="431"/>
        <v>926</v>
      </c>
      <c r="H1467" s="2">
        <f t="shared" si="432"/>
        <v>0.25377969762419006</v>
      </c>
      <c r="I1467" s="2">
        <f t="shared" si="433"/>
        <v>0.74622030237580994</v>
      </c>
      <c r="J1467" s="4">
        <f>74251.57+289669.26</f>
        <v>363920.83</v>
      </c>
      <c r="K1467" s="4">
        <f>204483.55+1005614.09</f>
        <v>1210097.6399999999</v>
      </c>
      <c r="L1467" s="1">
        <f t="shared" si="428"/>
        <v>1574018.47</v>
      </c>
      <c r="M1467" s="2">
        <f t="shared" si="429"/>
        <v>0.23120492988878333</v>
      </c>
      <c r="N1467" s="2">
        <f t="shared" si="430"/>
        <v>0.76879507011121662</v>
      </c>
    </row>
    <row r="1468" spans="1:14" x14ac:dyDescent="0.35">
      <c r="A1468" t="s">
        <v>34</v>
      </c>
      <c r="B1468" t="s">
        <v>20</v>
      </c>
      <c r="C1468">
        <v>2012</v>
      </c>
      <c r="D1468" t="s">
        <v>31</v>
      </c>
      <c r="E1468" s="3">
        <f>187+49</f>
        <v>236</v>
      </c>
      <c r="F1468" s="3">
        <f>567+125</f>
        <v>692</v>
      </c>
      <c r="G1468" s="1">
        <f t="shared" si="431"/>
        <v>928</v>
      </c>
      <c r="H1468" s="2">
        <f t="shared" si="432"/>
        <v>0.25431034482758619</v>
      </c>
      <c r="I1468" s="2">
        <f t="shared" si="433"/>
        <v>0.74568965517241381</v>
      </c>
      <c r="J1468" s="4">
        <f>75432.97+285277.14</f>
        <v>360710.11</v>
      </c>
      <c r="K1468" s="4">
        <f>202936.75+911809.11</f>
        <v>1114745.8599999999</v>
      </c>
      <c r="L1468" s="1">
        <f t="shared" si="428"/>
        <v>1475455.9699999997</v>
      </c>
      <c r="M1468" s="2">
        <f t="shared" si="429"/>
        <v>0.24447365243979463</v>
      </c>
      <c r="N1468" s="2">
        <f t="shared" si="430"/>
        <v>0.75552634756020542</v>
      </c>
    </row>
    <row r="1469" spans="1:14" x14ac:dyDescent="0.35">
      <c r="A1469" t="s">
        <v>34</v>
      </c>
      <c r="B1469" t="s">
        <v>21</v>
      </c>
      <c r="C1469">
        <v>2012</v>
      </c>
      <c r="D1469" t="s">
        <v>31</v>
      </c>
      <c r="E1469" s="3">
        <f>187+52</f>
        <v>239</v>
      </c>
      <c r="F1469" s="3">
        <f>567+122</f>
        <v>689</v>
      </c>
      <c r="G1469" s="1">
        <f t="shared" si="431"/>
        <v>928</v>
      </c>
      <c r="H1469" s="2">
        <f t="shared" si="432"/>
        <v>0.25754310344827586</v>
      </c>
      <c r="I1469" s="2">
        <f t="shared" si="433"/>
        <v>0.74245689655172409</v>
      </c>
      <c r="J1469" s="4">
        <f>82555.78+318766.64</f>
        <v>401322.42000000004</v>
      </c>
      <c r="K1469" s="4">
        <f>1016470.17+224654.38</f>
        <v>1241124.55</v>
      </c>
      <c r="L1469" s="1">
        <f t="shared" si="428"/>
        <v>1642446.9700000002</v>
      </c>
      <c r="M1469" s="2">
        <f t="shared" si="429"/>
        <v>0.24434421770098305</v>
      </c>
      <c r="N1469" s="2">
        <f t="shared" si="430"/>
        <v>0.75565578229901686</v>
      </c>
    </row>
    <row r="1470" spans="1:14" x14ac:dyDescent="0.35">
      <c r="A1470" t="s">
        <v>34</v>
      </c>
      <c r="B1470" t="s">
        <v>22</v>
      </c>
      <c r="C1470">
        <v>2012</v>
      </c>
      <c r="D1470" t="s">
        <v>31</v>
      </c>
      <c r="E1470" s="3">
        <f>186+52</f>
        <v>238</v>
      </c>
      <c r="F1470" s="3">
        <f>574+123</f>
        <v>697</v>
      </c>
      <c r="G1470" s="1">
        <f t="shared" si="431"/>
        <v>935</v>
      </c>
      <c r="H1470" s="2">
        <f t="shared" si="432"/>
        <v>0.25454545454545452</v>
      </c>
      <c r="I1470" s="2">
        <f t="shared" si="433"/>
        <v>0.74545454545454548</v>
      </c>
      <c r="J1470" s="4">
        <f>77553.63+286241.87</f>
        <v>363795.5</v>
      </c>
      <c r="K1470" s="4">
        <f>1021566.87+225128.28</f>
        <v>1246695.1499999999</v>
      </c>
      <c r="L1470" s="1">
        <f t="shared" si="428"/>
        <v>1610490.65</v>
      </c>
      <c r="M1470" s="2">
        <f t="shared" si="429"/>
        <v>0.2258910972255567</v>
      </c>
      <c r="N1470" s="2">
        <f t="shared" si="430"/>
        <v>0.77410890277444333</v>
      </c>
    </row>
    <row r="1471" spans="1:14" x14ac:dyDescent="0.35">
      <c r="A1471" t="s">
        <v>34</v>
      </c>
      <c r="B1471" t="s">
        <v>23</v>
      </c>
      <c r="C1471">
        <v>2012</v>
      </c>
      <c r="D1471" t="s">
        <v>31</v>
      </c>
      <c r="E1471" s="3">
        <f>181+53</f>
        <v>234</v>
      </c>
      <c r="F1471" s="3">
        <f>575+122</f>
        <v>697</v>
      </c>
      <c r="G1471" s="1">
        <f t="shared" si="431"/>
        <v>931</v>
      </c>
      <c r="H1471" s="2">
        <f t="shared" si="432"/>
        <v>0.25134264232008591</v>
      </c>
      <c r="I1471" s="2">
        <f t="shared" si="433"/>
        <v>0.74865735767991404</v>
      </c>
      <c r="J1471" s="4">
        <f>80472.54+324040.27</f>
        <v>404512.81</v>
      </c>
      <c r="K1471" s="4">
        <f>1001717.49+248848.48</f>
        <v>1250565.97</v>
      </c>
      <c r="L1471" s="1">
        <f t="shared" si="428"/>
        <v>1655078.78</v>
      </c>
      <c r="M1471" s="2">
        <f t="shared" si="429"/>
        <v>0.24440698224648857</v>
      </c>
      <c r="N1471" s="2">
        <f t="shared" si="430"/>
        <v>0.7555930177535114</v>
      </c>
    </row>
    <row r="1472" spans="1:14" x14ac:dyDescent="0.35">
      <c r="A1472" t="s">
        <v>34</v>
      </c>
      <c r="B1472" t="s">
        <v>24</v>
      </c>
      <c r="C1472">
        <v>2012</v>
      </c>
      <c r="D1472" t="s">
        <v>31</v>
      </c>
      <c r="E1472" s="3">
        <f>184+53</f>
        <v>237</v>
      </c>
      <c r="F1472" s="3">
        <f>582+122</f>
        <v>704</v>
      </c>
      <c r="G1472" s="1">
        <f t="shared" si="431"/>
        <v>941</v>
      </c>
      <c r="H1472" s="2">
        <f t="shared" si="432"/>
        <v>0.25185972369819343</v>
      </c>
      <c r="I1472" s="2">
        <f t="shared" si="433"/>
        <v>0.74814027630180657</v>
      </c>
      <c r="J1472" s="4">
        <f>90452.34+348103.18</f>
        <v>438555.52</v>
      </c>
      <c r="K1472" s="4">
        <f>251257.6+999594.08</f>
        <v>1250851.68</v>
      </c>
      <c r="L1472" s="1">
        <f t="shared" si="428"/>
        <v>1689407.2</v>
      </c>
      <c r="M1472" s="2">
        <f t="shared" si="429"/>
        <v>0.25959136435549701</v>
      </c>
      <c r="N1472" s="2">
        <f t="shared" si="430"/>
        <v>0.74040863564450299</v>
      </c>
    </row>
    <row r="1473" spans="1:14" x14ac:dyDescent="0.35">
      <c r="A1473" t="s">
        <v>34</v>
      </c>
      <c r="B1473" t="s">
        <v>25</v>
      </c>
      <c r="C1473">
        <v>2012</v>
      </c>
      <c r="D1473" t="s">
        <v>31</v>
      </c>
      <c r="E1473" s="3">
        <f>183+53</f>
        <v>236</v>
      </c>
      <c r="F1473" s="3">
        <f>576+123</f>
        <v>699</v>
      </c>
      <c r="G1473" s="1">
        <f t="shared" si="431"/>
        <v>935</v>
      </c>
      <c r="H1473" s="2">
        <f t="shared" si="432"/>
        <v>0.25240641711229944</v>
      </c>
      <c r="I1473" s="2">
        <f t="shared" si="433"/>
        <v>0.7475935828877005</v>
      </c>
      <c r="J1473" s="4">
        <f>83279.156+324040.27</f>
        <v>407319.42600000004</v>
      </c>
      <c r="K1473" s="4">
        <f>254115.139+955631.32</f>
        <v>1209746.459</v>
      </c>
      <c r="L1473" s="1">
        <f t="shared" si="428"/>
        <v>1617065.885</v>
      </c>
      <c r="M1473" s="2">
        <f t="shared" si="429"/>
        <v>0.25188795940741776</v>
      </c>
      <c r="N1473" s="2">
        <f t="shared" si="430"/>
        <v>0.74811204059258229</v>
      </c>
    </row>
    <row r="1474" spans="1:14" x14ac:dyDescent="0.35">
      <c r="A1474" t="s">
        <v>34</v>
      </c>
      <c r="B1474" t="s">
        <v>26</v>
      </c>
      <c r="C1474">
        <v>2012</v>
      </c>
      <c r="D1474" t="s">
        <v>31</v>
      </c>
      <c r="E1474" s="3">
        <f>185+53</f>
        <v>238</v>
      </c>
      <c r="F1474" s="3">
        <f>580+122</f>
        <v>702</v>
      </c>
      <c r="G1474" s="1">
        <f t="shared" si="431"/>
        <v>940</v>
      </c>
      <c r="H1474" s="2">
        <f t="shared" si="432"/>
        <v>0.2531914893617021</v>
      </c>
      <c r="I1474" s="2">
        <f t="shared" si="433"/>
        <v>0.7468085106382979</v>
      </c>
      <c r="J1474" s="4">
        <f>87584.81+347317.09</f>
        <v>434901.9</v>
      </c>
      <c r="K1474" s="4">
        <f>268744.59+1030600.86</f>
        <v>1299345.45</v>
      </c>
      <c r="L1474" s="1">
        <f t="shared" si="428"/>
        <v>1734247.35</v>
      </c>
      <c r="M1474" s="2">
        <f t="shared" si="429"/>
        <v>0.25077270551977493</v>
      </c>
      <c r="N1474" s="2">
        <f t="shared" si="430"/>
        <v>0.74922729448022507</v>
      </c>
    </row>
    <row r="1475" spans="1:14" x14ac:dyDescent="0.35">
      <c r="A1475" t="s">
        <v>34</v>
      </c>
      <c r="B1475" t="s">
        <v>27</v>
      </c>
      <c r="C1475">
        <v>2012</v>
      </c>
      <c r="D1475" t="s">
        <v>31</v>
      </c>
      <c r="E1475" s="3">
        <f>182+53</f>
        <v>235</v>
      </c>
      <c r="F1475" s="3">
        <f>578+122</f>
        <v>700</v>
      </c>
      <c r="G1475" s="1">
        <f t="shared" si="431"/>
        <v>935</v>
      </c>
      <c r="H1475" s="2">
        <f t="shared" si="432"/>
        <v>0.25133689839572193</v>
      </c>
      <c r="I1475" s="2">
        <f t="shared" si="433"/>
        <v>0.74866310160427807</v>
      </c>
      <c r="J1475" s="4">
        <f>76549.57+327996.51</f>
        <v>404546.08</v>
      </c>
      <c r="K1475" s="4">
        <f>238144.21+1018215.36</f>
        <v>1256359.57</v>
      </c>
      <c r="L1475" s="1">
        <f t="shared" ref="L1475:L1538" si="434">SUM(J1475:K1475)</f>
        <v>1660905.6500000001</v>
      </c>
      <c r="M1475" s="2">
        <f t="shared" ref="M1475:M1538" si="435">SUM(J1475)/L1475</f>
        <v>0.24356957302180288</v>
      </c>
      <c r="N1475" s="2">
        <f t="shared" ref="N1475:N1538" si="436">SUM(K1475/L1475)</f>
        <v>0.75643042697819707</v>
      </c>
    </row>
    <row r="1476" spans="1:14" x14ac:dyDescent="0.35">
      <c r="A1476" t="s">
        <v>34</v>
      </c>
      <c r="B1476" t="s">
        <v>28</v>
      </c>
      <c r="C1476">
        <v>2012</v>
      </c>
      <c r="D1476" t="s">
        <v>31</v>
      </c>
      <c r="E1476" s="3">
        <f>180+53</f>
        <v>233</v>
      </c>
      <c r="F1476" s="3">
        <f>579+122</f>
        <v>701</v>
      </c>
      <c r="G1476" s="1">
        <f t="shared" si="431"/>
        <v>934</v>
      </c>
      <c r="H1476" s="2">
        <f t="shared" si="432"/>
        <v>0.24946466809421841</v>
      </c>
      <c r="I1476" s="2">
        <f t="shared" si="433"/>
        <v>0.75053533190578159</v>
      </c>
      <c r="J1476" s="4">
        <f>80976.04+324796.23</f>
        <v>405772.26999999996</v>
      </c>
      <c r="K1476" s="4">
        <f>235300.73+943289.33</f>
        <v>1178590.06</v>
      </c>
      <c r="L1476" s="1">
        <f t="shared" si="434"/>
        <v>1584362.33</v>
      </c>
      <c r="M1476" s="2">
        <f t="shared" si="435"/>
        <v>0.25611077864998211</v>
      </c>
      <c r="N1476" s="2">
        <f t="shared" si="436"/>
        <v>0.74388922135001778</v>
      </c>
    </row>
    <row r="1477" spans="1:14" x14ac:dyDescent="0.35">
      <c r="A1477" t="s">
        <v>34</v>
      </c>
      <c r="B1477" t="s">
        <v>29</v>
      </c>
      <c r="C1477">
        <v>2012</v>
      </c>
      <c r="D1477" t="s">
        <v>31</v>
      </c>
      <c r="E1477" s="3">
        <f>184+53</f>
        <v>237</v>
      </c>
      <c r="F1477" s="3">
        <f>580+122</f>
        <v>702</v>
      </c>
      <c r="G1477" s="1">
        <f t="shared" si="431"/>
        <v>939</v>
      </c>
      <c r="H1477" s="2">
        <f t="shared" si="432"/>
        <v>0.25239616613418531</v>
      </c>
      <c r="I1477" s="2">
        <f t="shared" si="433"/>
        <v>0.74760383386581475</v>
      </c>
      <c r="J1477" s="6">
        <f>73641.74+314118.83</f>
        <v>387760.57</v>
      </c>
      <c r="K1477" s="6">
        <f>214033.33+910363.33</f>
        <v>1124396.6599999999</v>
      </c>
      <c r="L1477" s="1">
        <f t="shared" si="434"/>
        <v>1512157.23</v>
      </c>
      <c r="M1477" s="2">
        <f t="shared" si="435"/>
        <v>0.25642873790313458</v>
      </c>
      <c r="N1477" s="2">
        <f t="shared" si="436"/>
        <v>0.74357126209686542</v>
      </c>
    </row>
    <row r="1478" spans="1:14" x14ac:dyDescent="0.35">
      <c r="A1478" t="s">
        <v>34</v>
      </c>
      <c r="B1478" t="s">
        <v>17</v>
      </c>
      <c r="C1478">
        <v>2013</v>
      </c>
      <c r="D1478" t="s">
        <v>31</v>
      </c>
      <c r="E1478" s="3">
        <f>178+51</f>
        <v>229</v>
      </c>
      <c r="F1478" s="3">
        <f>590+127</f>
        <v>717</v>
      </c>
      <c r="G1478" s="1">
        <f t="shared" si="431"/>
        <v>946</v>
      </c>
      <c r="H1478" s="2">
        <f t="shared" si="432"/>
        <v>0.24207188160676532</v>
      </c>
      <c r="I1478" s="2">
        <f t="shared" si="433"/>
        <v>0.75792811839323471</v>
      </c>
      <c r="J1478" s="6">
        <f>71325.36+271319.16</f>
        <v>342644.51999999996</v>
      </c>
      <c r="K1478" s="6">
        <f>204187.43+935708.53</f>
        <v>1139895.96</v>
      </c>
      <c r="L1478" s="1">
        <f t="shared" si="434"/>
        <v>1482540.48</v>
      </c>
      <c r="M1478" s="2">
        <f t="shared" si="435"/>
        <v>0.23111984099078359</v>
      </c>
      <c r="N1478" s="2">
        <f t="shared" si="436"/>
        <v>0.76888015900921636</v>
      </c>
    </row>
    <row r="1479" spans="1:14" x14ac:dyDescent="0.35">
      <c r="A1479" t="s">
        <v>34</v>
      </c>
      <c r="B1479" t="s">
        <v>19</v>
      </c>
      <c r="C1479">
        <v>2013</v>
      </c>
      <c r="D1479" t="s">
        <v>31</v>
      </c>
      <c r="E1479" s="3">
        <f>174+47</f>
        <v>221</v>
      </c>
      <c r="F1479" s="3">
        <f>599+133</f>
        <v>732</v>
      </c>
      <c r="G1479" s="1">
        <f t="shared" si="431"/>
        <v>953</v>
      </c>
      <c r="H1479" s="2">
        <f t="shared" si="432"/>
        <v>0.23189926547743966</v>
      </c>
      <c r="I1479" s="2">
        <f t="shared" si="433"/>
        <v>0.76810073452256034</v>
      </c>
      <c r="J1479" s="6">
        <f>65298.66+266543.32</f>
        <v>331841.98</v>
      </c>
      <c r="K1479" s="6">
        <f>213264.35+1001864.18</f>
        <v>1215128.53</v>
      </c>
      <c r="L1479" s="1">
        <f t="shared" si="434"/>
        <v>1546970.51</v>
      </c>
      <c r="M1479" s="2">
        <f t="shared" si="435"/>
        <v>0.21451086355873711</v>
      </c>
      <c r="N1479" s="2">
        <f t="shared" si="436"/>
        <v>0.78548913644126284</v>
      </c>
    </row>
    <row r="1480" spans="1:14" x14ac:dyDescent="0.35">
      <c r="A1480" t="s">
        <v>34</v>
      </c>
      <c r="B1480" t="s">
        <v>20</v>
      </c>
      <c r="C1480">
        <v>2013</v>
      </c>
      <c r="D1480" t="s">
        <v>31</v>
      </c>
      <c r="E1480" s="3">
        <f>175+46</f>
        <v>221</v>
      </c>
      <c r="F1480" s="3">
        <f>592+133</f>
        <v>725</v>
      </c>
      <c r="G1480" s="1">
        <f t="shared" si="431"/>
        <v>946</v>
      </c>
      <c r="H1480" s="2">
        <f t="shared" si="432"/>
        <v>0.23361522198731502</v>
      </c>
      <c r="I1480" s="2">
        <f t="shared" si="433"/>
        <v>0.76638477801268501</v>
      </c>
      <c r="J1480" s="6">
        <f>63276.73+254054.76</f>
        <v>317331.49</v>
      </c>
      <c r="K1480" s="6">
        <f>205334.46+922040.03</f>
        <v>1127374.49</v>
      </c>
      <c r="L1480" s="1">
        <f t="shared" si="434"/>
        <v>1444705.98</v>
      </c>
      <c r="M1480" s="2">
        <f t="shared" si="435"/>
        <v>0.2196512608053301</v>
      </c>
      <c r="N1480" s="2">
        <f t="shared" si="436"/>
        <v>0.78034873919466996</v>
      </c>
    </row>
    <row r="1481" spans="1:14" x14ac:dyDescent="0.35">
      <c r="A1481" t="s">
        <v>34</v>
      </c>
      <c r="B1481" t="s">
        <v>21</v>
      </c>
      <c r="C1481">
        <v>2013</v>
      </c>
      <c r="D1481" t="s">
        <v>31</v>
      </c>
      <c r="E1481" s="3">
        <f>180+47</f>
        <v>227</v>
      </c>
      <c r="F1481" s="3">
        <f>604+129</f>
        <v>733</v>
      </c>
      <c r="G1481" s="1">
        <f t="shared" si="431"/>
        <v>960</v>
      </c>
      <c r="H1481" s="2">
        <f t="shared" si="432"/>
        <v>0.23645833333333333</v>
      </c>
      <c r="I1481" s="2">
        <f t="shared" si="433"/>
        <v>0.76354166666666667</v>
      </c>
      <c r="J1481" s="6">
        <f>68135.79+282296.08</f>
        <v>350431.87</v>
      </c>
      <c r="K1481" s="6">
        <f>215576.05+1166075.5</f>
        <v>1381651.55</v>
      </c>
      <c r="L1481" s="1">
        <f t="shared" si="434"/>
        <v>1732083.42</v>
      </c>
      <c r="M1481" s="2">
        <f t="shared" si="435"/>
        <v>0.20231812507044264</v>
      </c>
      <c r="N1481" s="2">
        <f t="shared" si="436"/>
        <v>0.79768187492955744</v>
      </c>
    </row>
    <row r="1482" spans="1:14" x14ac:dyDescent="0.35">
      <c r="A1482" t="s">
        <v>34</v>
      </c>
      <c r="B1482" t="s">
        <v>22</v>
      </c>
      <c r="C1482">
        <v>2013</v>
      </c>
      <c r="D1482" t="s">
        <v>31</v>
      </c>
      <c r="E1482" s="3">
        <f>170+47</f>
        <v>217</v>
      </c>
      <c r="F1482" s="3">
        <f>607+130</f>
        <v>737</v>
      </c>
      <c r="G1482" s="1">
        <f t="shared" si="431"/>
        <v>954</v>
      </c>
      <c r="H1482" s="2">
        <f t="shared" si="432"/>
        <v>0.22746331236897274</v>
      </c>
      <c r="I1482" s="2">
        <f t="shared" si="433"/>
        <v>0.77253668763102723</v>
      </c>
      <c r="J1482" s="6">
        <f>69025.57+301303.64</f>
        <v>370329.21</v>
      </c>
      <c r="K1482" s="6">
        <f>238902.13+1152553.62</f>
        <v>1391455.75</v>
      </c>
      <c r="L1482" s="1">
        <f t="shared" si="434"/>
        <v>1761784.96</v>
      </c>
      <c r="M1482" s="2">
        <f t="shared" si="435"/>
        <v>0.21020114168757578</v>
      </c>
      <c r="N1482" s="2">
        <f t="shared" si="436"/>
        <v>0.78979885831242425</v>
      </c>
    </row>
    <row r="1483" spans="1:14" x14ac:dyDescent="0.35">
      <c r="A1483" t="s">
        <v>34</v>
      </c>
      <c r="B1483" t="s">
        <v>23</v>
      </c>
      <c r="C1483">
        <v>2013</v>
      </c>
      <c r="D1483" t="s">
        <v>31</v>
      </c>
      <c r="E1483" s="3">
        <f>170+44</f>
        <v>214</v>
      </c>
      <c r="F1483" s="3">
        <f>606+134</f>
        <v>740</v>
      </c>
      <c r="G1483" s="1">
        <f t="shared" si="431"/>
        <v>954</v>
      </c>
      <c r="H1483" s="2">
        <f t="shared" si="432"/>
        <v>0.22431865828092243</v>
      </c>
      <c r="I1483" s="2">
        <f t="shared" si="433"/>
        <v>0.77568134171907754</v>
      </c>
      <c r="J1483" s="6">
        <f>70203.56+297039.84</f>
        <v>367243.4</v>
      </c>
      <c r="K1483" s="6">
        <f>252122.49+1270470.93</f>
        <v>1522593.42</v>
      </c>
      <c r="L1483" s="1">
        <f t="shared" si="434"/>
        <v>1889836.8199999998</v>
      </c>
      <c r="M1483" s="2">
        <f t="shared" si="435"/>
        <v>0.19432545504113952</v>
      </c>
      <c r="N1483" s="2">
        <f t="shared" si="436"/>
        <v>0.80567454495886059</v>
      </c>
    </row>
    <row r="1484" spans="1:14" x14ac:dyDescent="0.35">
      <c r="A1484" t="s">
        <v>34</v>
      </c>
      <c r="B1484" t="s">
        <v>24</v>
      </c>
      <c r="C1484">
        <v>2013</v>
      </c>
      <c r="D1484" t="s">
        <v>31</v>
      </c>
      <c r="E1484" s="3">
        <f>169+45</f>
        <v>214</v>
      </c>
      <c r="F1484" s="3">
        <f>615+135</f>
        <v>750</v>
      </c>
      <c r="G1484" s="1">
        <f t="shared" si="431"/>
        <v>964</v>
      </c>
      <c r="H1484" s="2">
        <f t="shared" si="432"/>
        <v>0.22199170124481327</v>
      </c>
      <c r="I1484" s="2">
        <f t="shared" si="433"/>
        <v>0.77800829875518673</v>
      </c>
      <c r="J1484" s="6">
        <f>75590.31+278669.57</f>
        <v>354259.88</v>
      </c>
      <c r="K1484" s="6">
        <f>265696.15+1009429.69</f>
        <v>1275125.8399999999</v>
      </c>
      <c r="L1484" s="1">
        <f t="shared" si="434"/>
        <v>1629385.7199999997</v>
      </c>
      <c r="M1484" s="2">
        <f t="shared" si="435"/>
        <v>0.21741928608531078</v>
      </c>
      <c r="N1484" s="2">
        <f t="shared" si="436"/>
        <v>0.78258071391468931</v>
      </c>
    </row>
    <row r="1485" spans="1:14" x14ac:dyDescent="0.35">
      <c r="A1485" t="s">
        <v>34</v>
      </c>
      <c r="B1485" t="s">
        <v>25</v>
      </c>
      <c r="C1485">
        <v>2013</v>
      </c>
      <c r="D1485" t="s">
        <v>31</v>
      </c>
      <c r="E1485" s="3">
        <f>169+45</f>
        <v>214</v>
      </c>
      <c r="F1485" s="3">
        <f>613+135</f>
        <v>748</v>
      </c>
      <c r="G1485" s="1">
        <f t="shared" si="431"/>
        <v>962</v>
      </c>
      <c r="H1485" s="2">
        <f t="shared" si="432"/>
        <v>0.22245322245322247</v>
      </c>
      <c r="I1485" s="2">
        <f t="shared" si="433"/>
        <v>0.77754677754677759</v>
      </c>
      <c r="J1485" s="6">
        <f>75283.79+271677.51</f>
        <v>346961.3</v>
      </c>
      <c r="K1485" s="6">
        <f>284278.58+1118202.72</f>
        <v>1402481.3</v>
      </c>
      <c r="L1485" s="1">
        <f t="shared" si="434"/>
        <v>1749442.6</v>
      </c>
      <c r="M1485" s="2">
        <f t="shared" si="435"/>
        <v>0.19832676990945572</v>
      </c>
      <c r="N1485" s="2">
        <f t="shared" si="436"/>
        <v>0.80167323009054425</v>
      </c>
    </row>
    <row r="1486" spans="1:14" x14ac:dyDescent="0.35">
      <c r="A1486" t="s">
        <v>34</v>
      </c>
      <c r="B1486" t="s">
        <v>26</v>
      </c>
      <c r="C1486">
        <v>2013</v>
      </c>
      <c r="D1486" t="s">
        <v>31</v>
      </c>
      <c r="E1486" s="3">
        <f>166+45</f>
        <v>211</v>
      </c>
      <c r="F1486" s="3">
        <f>616+136</f>
        <v>752</v>
      </c>
      <c r="G1486" s="1">
        <f t="shared" si="431"/>
        <v>963</v>
      </c>
      <c r="H1486" s="2">
        <f t="shared" si="432"/>
        <v>0.21910695742471442</v>
      </c>
      <c r="I1486" s="2">
        <f t="shared" si="433"/>
        <v>0.78089304257528558</v>
      </c>
      <c r="J1486" s="6">
        <f>75889.48+296307.14</f>
        <v>372196.62</v>
      </c>
      <c r="K1486" s="6">
        <f>284577.93+1184629.9</f>
        <v>1469207.8299999998</v>
      </c>
      <c r="L1486" s="1">
        <f t="shared" si="434"/>
        <v>1841404.4499999997</v>
      </c>
      <c r="M1486" s="2">
        <f t="shared" si="435"/>
        <v>0.20212649100527591</v>
      </c>
      <c r="N1486" s="2">
        <f t="shared" si="436"/>
        <v>0.79787350899472409</v>
      </c>
    </row>
    <row r="1487" spans="1:14" x14ac:dyDescent="0.35">
      <c r="A1487" t="s">
        <v>34</v>
      </c>
      <c r="B1487" t="s">
        <v>27</v>
      </c>
      <c r="C1487">
        <v>2013</v>
      </c>
      <c r="D1487" t="s">
        <v>31</v>
      </c>
      <c r="E1487" s="3">
        <f>166+46</f>
        <v>212</v>
      </c>
      <c r="F1487" s="3">
        <f>627+136</f>
        <v>763</v>
      </c>
      <c r="G1487" s="1">
        <f t="shared" si="431"/>
        <v>975</v>
      </c>
      <c r="H1487" s="2">
        <f t="shared" si="432"/>
        <v>0.21743589743589745</v>
      </c>
      <c r="I1487" s="2">
        <f t="shared" si="433"/>
        <v>0.78256410256410258</v>
      </c>
      <c r="J1487" s="6">
        <f>73036.91+314781.13</f>
        <v>387818.04000000004</v>
      </c>
      <c r="K1487" s="6">
        <f>270780.79+1002653.98</f>
        <v>1273434.77</v>
      </c>
      <c r="L1487" s="1">
        <f t="shared" si="434"/>
        <v>1661252.81</v>
      </c>
      <c r="M1487" s="2">
        <f t="shared" si="435"/>
        <v>0.23344914011010764</v>
      </c>
      <c r="N1487" s="2">
        <f t="shared" si="436"/>
        <v>0.76655085988989236</v>
      </c>
    </row>
    <row r="1488" spans="1:14" x14ac:dyDescent="0.35">
      <c r="A1488" t="s">
        <v>34</v>
      </c>
      <c r="B1488" t="s">
        <v>28</v>
      </c>
      <c r="C1488">
        <v>2013</v>
      </c>
      <c r="D1488" t="s">
        <v>31</v>
      </c>
      <c r="E1488" s="3">
        <f>164+45</f>
        <v>209</v>
      </c>
      <c r="F1488" s="3">
        <f>632+136</f>
        <v>768</v>
      </c>
      <c r="G1488" s="1">
        <f t="shared" si="431"/>
        <v>977</v>
      </c>
      <c r="H1488" s="2">
        <f t="shared" si="432"/>
        <v>0.21392016376663256</v>
      </c>
      <c r="I1488" s="2">
        <f t="shared" si="433"/>
        <v>0.78607983623336741</v>
      </c>
      <c r="J1488" s="6">
        <f>69690.33+314444.13</f>
        <v>384134.46</v>
      </c>
      <c r="K1488" s="6">
        <f>250157.04+1165784.42</f>
        <v>1415941.46</v>
      </c>
      <c r="L1488" s="1">
        <f t="shared" si="434"/>
        <v>1800075.92</v>
      </c>
      <c r="M1488" s="2">
        <f t="shared" si="435"/>
        <v>0.21339903263635682</v>
      </c>
      <c r="N1488" s="2">
        <f t="shared" si="436"/>
        <v>0.78660096736364316</v>
      </c>
    </row>
    <row r="1489" spans="1:14" x14ac:dyDescent="0.35">
      <c r="A1489" t="s">
        <v>34</v>
      </c>
      <c r="B1489" t="s">
        <v>29</v>
      </c>
      <c r="C1489">
        <v>2013</v>
      </c>
      <c r="D1489" t="s">
        <v>31</v>
      </c>
      <c r="E1489" s="3">
        <f>162+45</f>
        <v>207</v>
      </c>
      <c r="F1489" s="3">
        <f>637+136</f>
        <v>773</v>
      </c>
      <c r="G1489" s="1">
        <f t="shared" si="431"/>
        <v>980</v>
      </c>
      <c r="H1489" s="2">
        <f t="shared" si="432"/>
        <v>0.21122448979591837</v>
      </c>
      <c r="I1489" s="2">
        <f t="shared" si="433"/>
        <v>0.78877551020408165</v>
      </c>
      <c r="J1489" s="6">
        <f>62004.61+280102.44</f>
        <v>342107.05</v>
      </c>
      <c r="K1489" s="6">
        <f>232331+1163259.01</f>
        <v>1395590.01</v>
      </c>
      <c r="L1489" s="1">
        <f t="shared" si="434"/>
        <v>1737697.06</v>
      </c>
      <c r="M1489" s="2">
        <f t="shared" si="435"/>
        <v>0.19687381527825107</v>
      </c>
      <c r="N1489" s="2">
        <f t="shared" si="436"/>
        <v>0.8031261847217489</v>
      </c>
    </row>
    <row r="1490" spans="1:14" x14ac:dyDescent="0.35">
      <c r="A1490" t="s">
        <v>34</v>
      </c>
      <c r="B1490" t="s">
        <v>17</v>
      </c>
      <c r="C1490">
        <v>2014</v>
      </c>
      <c r="D1490" t="s">
        <v>31</v>
      </c>
      <c r="E1490" s="3">
        <f>162+46</f>
        <v>208</v>
      </c>
      <c r="F1490" s="3">
        <f>632+136</f>
        <v>768</v>
      </c>
      <c r="G1490" s="1">
        <f t="shared" si="431"/>
        <v>976</v>
      </c>
      <c r="H1490" s="2">
        <f t="shared" si="432"/>
        <v>0.21311475409836064</v>
      </c>
      <c r="I1490" s="2">
        <f t="shared" si="433"/>
        <v>0.78688524590163933</v>
      </c>
      <c r="J1490" s="6">
        <f>65513.18+261571.53</f>
        <v>327084.71000000002</v>
      </c>
      <c r="K1490" s="6">
        <f>232325.57+1021489.62</f>
        <v>1253815.19</v>
      </c>
      <c r="L1490" s="1">
        <f t="shared" si="434"/>
        <v>1580899.9</v>
      </c>
      <c r="M1490" s="2">
        <f t="shared" si="435"/>
        <v>0.20689779915856787</v>
      </c>
      <c r="N1490" s="2">
        <f t="shared" si="436"/>
        <v>0.79310220084143213</v>
      </c>
    </row>
    <row r="1491" spans="1:14" x14ac:dyDescent="0.35">
      <c r="A1491" t="s">
        <v>34</v>
      </c>
      <c r="B1491" t="s">
        <v>19</v>
      </c>
      <c r="C1491">
        <v>2014</v>
      </c>
      <c r="D1491" t="s">
        <v>31</v>
      </c>
      <c r="E1491" s="3">
        <f>152+45</f>
        <v>197</v>
      </c>
      <c r="F1491" s="3">
        <f>649+137</f>
        <v>786</v>
      </c>
      <c r="G1491" s="1">
        <f t="shared" si="431"/>
        <v>983</v>
      </c>
      <c r="H1491" s="2">
        <f t="shared" si="432"/>
        <v>0.20040691759918616</v>
      </c>
      <c r="I1491" s="2">
        <f t="shared" si="433"/>
        <v>0.79959308240081384</v>
      </c>
      <c r="J1491" s="6">
        <f>68412+271233.99</f>
        <v>339645.99</v>
      </c>
      <c r="K1491" s="6">
        <f>241401.48+1176725.79</f>
        <v>1418127.27</v>
      </c>
      <c r="L1491" s="1">
        <f t="shared" si="434"/>
        <v>1757773.26</v>
      </c>
      <c r="M1491" s="2">
        <f t="shared" si="435"/>
        <v>0.19322514327018492</v>
      </c>
      <c r="N1491" s="2">
        <f t="shared" si="436"/>
        <v>0.80677485672981508</v>
      </c>
    </row>
    <row r="1492" spans="1:14" x14ac:dyDescent="0.35">
      <c r="A1492" t="s">
        <v>34</v>
      </c>
      <c r="B1492" t="s">
        <v>20</v>
      </c>
      <c r="C1492">
        <v>2014</v>
      </c>
      <c r="D1492" t="s">
        <v>31</v>
      </c>
      <c r="E1492" s="3">
        <f>161+44</f>
        <v>205</v>
      </c>
      <c r="F1492" s="3">
        <f>637+140</f>
        <v>777</v>
      </c>
      <c r="G1492" s="1">
        <f t="shared" si="431"/>
        <v>982</v>
      </c>
      <c r="H1492" s="2">
        <f t="shared" si="432"/>
        <v>0.20875763747454176</v>
      </c>
      <c r="I1492" s="2">
        <f t="shared" si="433"/>
        <v>0.79124236252545821</v>
      </c>
      <c r="J1492" s="6">
        <f>77812.06+253525.54</f>
        <v>331337.59999999998</v>
      </c>
      <c r="K1492" s="6">
        <f>222269.73+1045257.29</f>
        <v>1267527.02</v>
      </c>
      <c r="L1492" s="1">
        <f t="shared" si="434"/>
        <v>1598864.62</v>
      </c>
      <c r="M1492" s="2">
        <f t="shared" si="435"/>
        <v>0.2072330551663592</v>
      </c>
      <c r="N1492" s="2">
        <f t="shared" si="436"/>
        <v>0.79276694483364074</v>
      </c>
    </row>
    <row r="1493" spans="1:14" x14ac:dyDescent="0.35">
      <c r="A1493" t="s">
        <v>34</v>
      </c>
      <c r="B1493" t="s">
        <v>21</v>
      </c>
      <c r="C1493">
        <v>2014</v>
      </c>
      <c r="D1493" t="s">
        <v>31</v>
      </c>
      <c r="E1493" s="3">
        <f>162+42</f>
        <v>204</v>
      </c>
      <c r="F1493" s="3">
        <f>648+141</f>
        <v>789</v>
      </c>
      <c r="G1493" s="1">
        <f t="shared" si="431"/>
        <v>993</v>
      </c>
      <c r="H1493" s="2">
        <f t="shared" si="432"/>
        <v>0.20543806646525681</v>
      </c>
      <c r="I1493" s="2">
        <f t="shared" si="433"/>
        <v>0.79456193353474325</v>
      </c>
      <c r="J1493" s="6">
        <f>75320.77+256518.35</f>
        <v>331839.12</v>
      </c>
      <c r="K1493" s="6">
        <f>230299.93+1141086.27</f>
        <v>1371386.2</v>
      </c>
      <c r="L1493" s="1">
        <f t="shared" si="434"/>
        <v>1703225.3199999998</v>
      </c>
      <c r="M1493" s="2">
        <f t="shared" si="435"/>
        <v>0.19482984200822004</v>
      </c>
      <c r="N1493" s="2">
        <f t="shared" si="436"/>
        <v>0.80517015799178004</v>
      </c>
    </row>
    <row r="1494" spans="1:14" x14ac:dyDescent="0.35">
      <c r="A1494" t="s">
        <v>34</v>
      </c>
      <c r="B1494" t="s">
        <v>22</v>
      </c>
      <c r="C1494">
        <v>2014</v>
      </c>
      <c r="D1494" t="s">
        <v>31</v>
      </c>
      <c r="E1494" s="3">
        <f>162+42</f>
        <v>204</v>
      </c>
      <c r="F1494" s="3">
        <f>645+141</f>
        <v>786</v>
      </c>
      <c r="G1494" s="1">
        <f t="shared" si="431"/>
        <v>990</v>
      </c>
      <c r="H1494" s="2">
        <f t="shared" si="432"/>
        <v>0.20606060606060606</v>
      </c>
      <c r="I1494" s="2">
        <f t="shared" si="433"/>
        <v>0.79393939393939394</v>
      </c>
      <c r="J1494" s="6">
        <f>78888.12+275942.27</f>
        <v>354830.39</v>
      </c>
      <c r="K1494" s="6">
        <f>244534.12+1067696.34</f>
        <v>1312230.46</v>
      </c>
      <c r="L1494" s="1">
        <f t="shared" si="434"/>
        <v>1667060.85</v>
      </c>
      <c r="M1494" s="2">
        <f t="shared" si="435"/>
        <v>0.21284789334474502</v>
      </c>
      <c r="N1494" s="2">
        <f t="shared" si="436"/>
        <v>0.78715210665525492</v>
      </c>
    </row>
    <row r="1495" spans="1:14" x14ac:dyDescent="0.35">
      <c r="A1495" t="s">
        <v>34</v>
      </c>
      <c r="B1495" t="s">
        <v>23</v>
      </c>
      <c r="C1495">
        <v>2014</v>
      </c>
      <c r="D1495" t="s">
        <v>31</v>
      </c>
      <c r="E1495" s="3">
        <f>161+44</f>
        <v>205</v>
      </c>
      <c r="F1495" s="3">
        <f>649+142</f>
        <v>791</v>
      </c>
      <c r="G1495" s="1">
        <f t="shared" si="431"/>
        <v>996</v>
      </c>
      <c r="H1495" s="2">
        <f t="shared" si="432"/>
        <v>0.20582329317269077</v>
      </c>
      <c r="I1495" s="2">
        <f t="shared" si="433"/>
        <v>0.79417670682730923</v>
      </c>
      <c r="J1495" s="6">
        <f>79421.33+297115.97</f>
        <v>376537.3</v>
      </c>
      <c r="K1495" s="6">
        <f>263149.13+1280177.95</f>
        <v>1543327.08</v>
      </c>
      <c r="L1495" s="1">
        <f t="shared" si="434"/>
        <v>1919864.3800000001</v>
      </c>
      <c r="M1495" s="2">
        <f t="shared" si="435"/>
        <v>0.19612703059785919</v>
      </c>
      <c r="N1495" s="2">
        <f t="shared" si="436"/>
        <v>0.80387296940214081</v>
      </c>
    </row>
    <row r="1496" spans="1:14" x14ac:dyDescent="0.35">
      <c r="A1496" t="s">
        <v>34</v>
      </c>
      <c r="B1496" t="s">
        <v>24</v>
      </c>
      <c r="C1496">
        <v>2014</v>
      </c>
      <c r="D1496" t="s">
        <v>31</v>
      </c>
      <c r="E1496" s="3">
        <f>166+45</f>
        <v>211</v>
      </c>
      <c r="F1496" s="3">
        <f>652+143</f>
        <v>795</v>
      </c>
      <c r="G1496" s="1">
        <f t="shared" si="431"/>
        <v>1006</v>
      </c>
      <c r="H1496" s="2">
        <f t="shared" si="432"/>
        <v>0.20974155069582506</v>
      </c>
      <c r="I1496" s="2">
        <f t="shared" si="433"/>
        <v>0.79025844930417499</v>
      </c>
      <c r="J1496" s="6">
        <f>85594.31+254531.57</f>
        <v>340125.88</v>
      </c>
      <c r="K1496" s="6">
        <f>277203.93+1200944.87</f>
        <v>1478148.8</v>
      </c>
      <c r="L1496" s="1">
        <f t="shared" si="434"/>
        <v>1818274.6800000002</v>
      </c>
      <c r="M1496" s="2">
        <f t="shared" si="435"/>
        <v>0.18705968011389784</v>
      </c>
      <c r="N1496" s="2">
        <f t="shared" si="436"/>
        <v>0.81294031988610205</v>
      </c>
    </row>
    <row r="1497" spans="1:14" x14ac:dyDescent="0.35">
      <c r="A1497" t="s">
        <v>34</v>
      </c>
      <c r="B1497" t="s">
        <v>25</v>
      </c>
      <c r="C1497">
        <v>2014</v>
      </c>
      <c r="D1497" t="s">
        <v>31</v>
      </c>
      <c r="E1497" s="3">
        <f>169+41</f>
        <v>210</v>
      </c>
      <c r="F1497" s="3">
        <f>646+147</f>
        <v>793</v>
      </c>
      <c r="G1497" s="1">
        <f t="shared" si="431"/>
        <v>1003</v>
      </c>
      <c r="H1497" s="2">
        <f t="shared" si="432"/>
        <v>0.20937188434695914</v>
      </c>
      <c r="I1497" s="2">
        <f t="shared" si="433"/>
        <v>0.79062811565304092</v>
      </c>
      <c r="J1497" s="6">
        <f>89288.15+224516.66</f>
        <v>313804.81</v>
      </c>
      <c r="K1497" s="6">
        <f>281410.67+1332028.43</f>
        <v>1613439.0999999999</v>
      </c>
      <c r="L1497" s="1">
        <f t="shared" si="434"/>
        <v>1927243.91</v>
      </c>
      <c r="M1497" s="2">
        <f t="shared" si="435"/>
        <v>0.16282568509971321</v>
      </c>
      <c r="N1497" s="2">
        <f t="shared" si="436"/>
        <v>0.83717431490028682</v>
      </c>
    </row>
    <row r="1498" spans="1:14" x14ac:dyDescent="0.35">
      <c r="A1498" t="s">
        <v>34</v>
      </c>
      <c r="B1498" t="s">
        <v>26</v>
      </c>
      <c r="C1498">
        <v>2014</v>
      </c>
      <c r="D1498" t="s">
        <v>31</v>
      </c>
      <c r="E1498" s="3">
        <f>171+37</f>
        <v>208</v>
      </c>
      <c r="F1498" s="3">
        <f>654+149</f>
        <v>803</v>
      </c>
      <c r="G1498" s="1">
        <f t="shared" si="431"/>
        <v>1011</v>
      </c>
      <c r="H1498" s="2">
        <f t="shared" si="432"/>
        <v>0.20573689416419386</v>
      </c>
      <c r="I1498" s="2">
        <f t="shared" si="433"/>
        <v>0.79426310583580617</v>
      </c>
      <c r="J1498" s="6">
        <f>89363.45+204754.82</f>
        <v>294118.27</v>
      </c>
      <c r="K1498" s="6">
        <f>291694.33+1375213.26</f>
        <v>1666907.59</v>
      </c>
      <c r="L1498" s="1">
        <f t="shared" si="434"/>
        <v>1961025.86</v>
      </c>
      <c r="M1498" s="2">
        <f t="shared" si="435"/>
        <v>0.14998184164690209</v>
      </c>
      <c r="N1498" s="2">
        <f t="shared" si="436"/>
        <v>0.85001815835309791</v>
      </c>
    </row>
    <row r="1499" spans="1:14" x14ac:dyDescent="0.35">
      <c r="A1499" t="s">
        <v>34</v>
      </c>
      <c r="B1499" t="s">
        <v>27</v>
      </c>
      <c r="C1499">
        <v>2014</v>
      </c>
      <c r="D1499" t="s">
        <v>31</v>
      </c>
      <c r="E1499" s="3">
        <f>171+37</f>
        <v>208</v>
      </c>
      <c r="F1499" s="3">
        <f>646+148</f>
        <v>794</v>
      </c>
      <c r="G1499" s="1">
        <f t="shared" si="431"/>
        <v>1002</v>
      </c>
      <c r="H1499" s="2">
        <f t="shared" si="432"/>
        <v>0.20758483033932135</v>
      </c>
      <c r="I1499" s="2">
        <f t="shared" si="433"/>
        <v>0.7924151696606786</v>
      </c>
      <c r="J1499" s="6">
        <f>85944.32+195959.16</f>
        <v>281903.48</v>
      </c>
      <c r="K1499" s="6">
        <f>275474.65+1314419.84</f>
        <v>1589894.4900000002</v>
      </c>
      <c r="L1499" s="1">
        <f t="shared" si="434"/>
        <v>1871797.9700000002</v>
      </c>
      <c r="M1499" s="2">
        <f t="shared" si="435"/>
        <v>0.15060571948371113</v>
      </c>
      <c r="N1499" s="2">
        <f t="shared" si="436"/>
        <v>0.84939428051628885</v>
      </c>
    </row>
    <row r="1500" spans="1:14" x14ac:dyDescent="0.35">
      <c r="A1500" t="s">
        <v>34</v>
      </c>
      <c r="B1500" t="s">
        <v>28</v>
      </c>
      <c r="C1500">
        <v>2014</v>
      </c>
      <c r="D1500" t="s">
        <v>31</v>
      </c>
      <c r="E1500" s="3">
        <f>175+37</f>
        <v>212</v>
      </c>
      <c r="F1500" s="3">
        <f>649+148</f>
        <v>797</v>
      </c>
      <c r="G1500" s="1">
        <f t="shared" si="431"/>
        <v>1009</v>
      </c>
      <c r="H1500" s="2">
        <f t="shared" si="432"/>
        <v>0.21010901883052527</v>
      </c>
      <c r="I1500" s="2">
        <f t="shared" si="433"/>
        <v>0.78989098116947476</v>
      </c>
      <c r="J1500" s="6">
        <f>83699.07+221640.64</f>
        <v>305339.71000000002</v>
      </c>
      <c r="K1500" s="6">
        <f>265504.85+1362319.55</f>
        <v>1627824.4</v>
      </c>
      <c r="L1500" s="1">
        <f t="shared" si="434"/>
        <v>1933164.1099999999</v>
      </c>
      <c r="M1500" s="2">
        <f t="shared" si="435"/>
        <v>0.15794815785194774</v>
      </c>
      <c r="N1500" s="2">
        <f t="shared" si="436"/>
        <v>0.84205184214805229</v>
      </c>
    </row>
    <row r="1501" spans="1:14" x14ac:dyDescent="0.35">
      <c r="A1501" t="s">
        <v>34</v>
      </c>
      <c r="B1501" t="s">
        <v>29</v>
      </c>
      <c r="C1501">
        <v>2014</v>
      </c>
      <c r="D1501" t="s">
        <v>31</v>
      </c>
      <c r="E1501" s="3">
        <f>172+37</f>
        <v>209</v>
      </c>
      <c r="F1501" s="3">
        <f>656+148</f>
        <v>804</v>
      </c>
      <c r="G1501" s="1">
        <f t="shared" si="431"/>
        <v>1013</v>
      </c>
      <c r="H1501" s="2">
        <f t="shared" si="432"/>
        <v>0.20631786771964461</v>
      </c>
      <c r="I1501" s="2">
        <f t="shared" si="433"/>
        <v>0.79368213228035533</v>
      </c>
      <c r="J1501" s="6">
        <f>71490.29+181323.57</f>
        <v>252813.86</v>
      </c>
      <c r="K1501" s="6">
        <f>232569.75+1411676.09</f>
        <v>1644245.84</v>
      </c>
      <c r="L1501" s="1">
        <f t="shared" si="434"/>
        <v>1897059.7000000002</v>
      </c>
      <c r="M1501" s="2">
        <f t="shared" si="435"/>
        <v>0.13326615920416207</v>
      </c>
      <c r="N1501" s="2">
        <f t="shared" si="436"/>
        <v>0.86673384079583782</v>
      </c>
    </row>
    <row r="1502" spans="1:14" x14ac:dyDescent="0.35">
      <c r="A1502" t="s">
        <v>34</v>
      </c>
      <c r="B1502" t="s">
        <v>17</v>
      </c>
      <c r="C1502">
        <v>2015</v>
      </c>
      <c r="D1502" t="s">
        <v>31</v>
      </c>
      <c r="E1502" s="3">
        <f>175+37</f>
        <v>212</v>
      </c>
      <c r="F1502" s="3">
        <f>644+150</f>
        <v>794</v>
      </c>
      <c r="G1502" s="1">
        <f t="shared" si="431"/>
        <v>1006</v>
      </c>
      <c r="H1502" s="2">
        <f t="shared" si="432"/>
        <v>0.21073558648111332</v>
      </c>
      <c r="I1502" s="2">
        <f t="shared" si="433"/>
        <v>0.78926441351888665</v>
      </c>
      <c r="J1502" s="6">
        <f>77985.48+195421.19</f>
        <v>273406.67</v>
      </c>
      <c r="K1502" s="6">
        <f>241402.96+1317920.53</f>
        <v>1559323.49</v>
      </c>
      <c r="L1502" s="1">
        <f t="shared" si="434"/>
        <v>1832730.16</v>
      </c>
      <c r="M1502" s="2">
        <f t="shared" si="435"/>
        <v>0.14917999166882265</v>
      </c>
      <c r="N1502" s="2">
        <f t="shared" si="436"/>
        <v>0.85082000833117744</v>
      </c>
    </row>
    <row r="1503" spans="1:14" x14ac:dyDescent="0.35">
      <c r="A1503" t="s">
        <v>34</v>
      </c>
      <c r="B1503" t="s">
        <v>19</v>
      </c>
      <c r="C1503">
        <v>2015</v>
      </c>
      <c r="D1503" t="s">
        <v>31</v>
      </c>
      <c r="E1503" s="3">
        <f>175+27</f>
        <v>202</v>
      </c>
      <c r="F1503" s="3">
        <f>638+137</f>
        <v>775</v>
      </c>
      <c r="G1503" s="1">
        <f t="shared" si="431"/>
        <v>977</v>
      </c>
      <c r="H1503" s="2">
        <f t="shared" si="432"/>
        <v>0.20675537359263049</v>
      </c>
      <c r="I1503" s="2">
        <f t="shared" si="433"/>
        <v>0.79324462640736948</v>
      </c>
      <c r="J1503" s="6">
        <f>76624.15+179465.05</f>
        <v>256089.19999999998</v>
      </c>
      <c r="K1503" s="6">
        <f>231915.68+1050531.55</f>
        <v>1282447.23</v>
      </c>
      <c r="L1503" s="1">
        <f t="shared" si="434"/>
        <v>1538536.43</v>
      </c>
      <c r="M1503" s="2">
        <f t="shared" si="435"/>
        <v>0.16644987730319782</v>
      </c>
      <c r="N1503" s="2">
        <f t="shared" si="436"/>
        <v>0.83355012269680218</v>
      </c>
    </row>
    <row r="1504" spans="1:14" x14ac:dyDescent="0.35">
      <c r="A1504" t="s">
        <v>34</v>
      </c>
      <c r="B1504" t="s">
        <v>20</v>
      </c>
      <c r="C1504">
        <v>2015</v>
      </c>
      <c r="D1504" t="s">
        <v>31</v>
      </c>
      <c r="E1504" s="3">
        <f>172+35</f>
        <v>207</v>
      </c>
      <c r="F1504" s="3">
        <f>650+148</f>
        <v>798</v>
      </c>
      <c r="G1504" s="1">
        <f t="shared" si="431"/>
        <v>1005</v>
      </c>
      <c r="H1504" s="2">
        <f t="shared" si="432"/>
        <v>0.20597014925373133</v>
      </c>
      <c r="I1504" s="2">
        <f t="shared" si="433"/>
        <v>0.79402985074626864</v>
      </c>
      <c r="J1504" s="6">
        <f>72480.7+230292.32</f>
        <v>302773.02</v>
      </c>
      <c r="K1504" s="6">
        <f>226245.25+1443953.46</f>
        <v>1670198.71</v>
      </c>
      <c r="L1504" s="1">
        <f t="shared" si="434"/>
        <v>1972971.73</v>
      </c>
      <c r="M1504" s="2">
        <f t="shared" si="435"/>
        <v>0.1534603944882677</v>
      </c>
      <c r="N1504" s="2">
        <f t="shared" si="436"/>
        <v>0.84653960551173224</v>
      </c>
    </row>
    <row r="1505" spans="1:14" x14ac:dyDescent="0.35">
      <c r="A1505" t="s">
        <v>34</v>
      </c>
      <c r="B1505" t="s">
        <v>21</v>
      </c>
      <c r="C1505">
        <v>2015</v>
      </c>
      <c r="D1505" t="s">
        <v>31</v>
      </c>
      <c r="E1505" s="3">
        <f>171+35</f>
        <v>206</v>
      </c>
      <c r="F1505" s="3">
        <f>651+150</f>
        <v>801</v>
      </c>
      <c r="G1505" s="1">
        <f t="shared" si="431"/>
        <v>1007</v>
      </c>
      <c r="H1505" s="2">
        <f t="shared" si="432"/>
        <v>0.20456802383316783</v>
      </c>
      <c r="I1505" s="2">
        <f t="shared" si="433"/>
        <v>0.79543197616683214</v>
      </c>
      <c r="J1505" s="6">
        <f>73048.12+181989.58</f>
        <v>255037.69999999998</v>
      </c>
      <c r="K1505" s="6">
        <f>230008.36+1276933.98</f>
        <v>1506942.3399999999</v>
      </c>
      <c r="L1505" s="1">
        <f t="shared" si="434"/>
        <v>1761980.0399999998</v>
      </c>
      <c r="M1505" s="2">
        <f t="shared" si="435"/>
        <v>0.14474494274066804</v>
      </c>
      <c r="N1505" s="2">
        <f t="shared" si="436"/>
        <v>0.85525505725933193</v>
      </c>
    </row>
    <row r="1506" spans="1:14" x14ac:dyDescent="0.35">
      <c r="A1506" t="s">
        <v>34</v>
      </c>
      <c r="B1506" t="s">
        <v>22</v>
      </c>
      <c r="C1506">
        <v>2015</v>
      </c>
      <c r="D1506" t="s">
        <v>31</v>
      </c>
      <c r="E1506" s="3">
        <f>173+35</f>
        <v>208</v>
      </c>
      <c r="F1506" s="3">
        <f>657+151</f>
        <v>808</v>
      </c>
      <c r="G1506" s="1">
        <f t="shared" si="431"/>
        <v>1016</v>
      </c>
      <c r="H1506" s="2">
        <f t="shared" si="432"/>
        <v>0.20472440944881889</v>
      </c>
      <c r="I1506" s="2">
        <f t="shared" si="433"/>
        <v>0.79527559055118113</v>
      </c>
      <c r="J1506" s="6">
        <f>72438.4+190921.84</f>
        <v>263360.24</v>
      </c>
      <c r="K1506" s="6">
        <f>238367.61+1346113.72</f>
        <v>1584481.33</v>
      </c>
      <c r="L1506" s="1">
        <f t="shared" si="434"/>
        <v>1847841.57</v>
      </c>
      <c r="M1506" s="2">
        <f t="shared" si="435"/>
        <v>0.14252317096643732</v>
      </c>
      <c r="N1506" s="2">
        <f t="shared" si="436"/>
        <v>0.8574768290335627</v>
      </c>
    </row>
    <row r="1507" spans="1:14" x14ac:dyDescent="0.35">
      <c r="A1507" t="s">
        <v>34</v>
      </c>
      <c r="B1507" t="s">
        <v>23</v>
      </c>
      <c r="C1507">
        <v>2015</v>
      </c>
      <c r="D1507" t="s">
        <v>31</v>
      </c>
      <c r="E1507" s="3">
        <f>179+33</f>
        <v>212</v>
      </c>
      <c r="F1507" s="3">
        <f>641+150</f>
        <v>791</v>
      </c>
      <c r="G1507" s="1">
        <f t="shared" si="431"/>
        <v>1003</v>
      </c>
      <c r="H1507" s="2">
        <f t="shared" si="432"/>
        <v>0.21136590229312063</v>
      </c>
      <c r="I1507" s="2">
        <f t="shared" si="433"/>
        <v>0.78863409770687931</v>
      </c>
      <c r="J1507" s="6">
        <f>79839.75+190377.4</f>
        <v>270217.15000000002</v>
      </c>
      <c r="K1507" s="6">
        <f>247988.36+1531641.21</f>
        <v>1779629.5699999998</v>
      </c>
      <c r="L1507" s="1">
        <f t="shared" si="434"/>
        <v>2049846.7199999997</v>
      </c>
      <c r="M1507" s="2">
        <f t="shared" si="435"/>
        <v>0.13182310041211279</v>
      </c>
      <c r="N1507" s="2">
        <f t="shared" si="436"/>
        <v>0.86817689958788724</v>
      </c>
    </row>
    <row r="1508" spans="1:14" x14ac:dyDescent="0.35">
      <c r="A1508" t="s">
        <v>34</v>
      </c>
      <c r="B1508" t="s">
        <v>24</v>
      </c>
      <c r="C1508">
        <v>2015</v>
      </c>
      <c r="D1508" t="s">
        <v>31</v>
      </c>
      <c r="E1508" s="3">
        <f>176+35</f>
        <v>211</v>
      </c>
      <c r="F1508" s="3">
        <f>661+155</f>
        <v>816</v>
      </c>
      <c r="G1508" s="1">
        <f t="shared" si="431"/>
        <v>1027</v>
      </c>
      <c r="H1508" s="2">
        <f t="shared" si="432"/>
        <v>0.20545277507302823</v>
      </c>
      <c r="I1508" s="2">
        <f t="shared" si="433"/>
        <v>0.79454722492697172</v>
      </c>
      <c r="J1508" s="6">
        <f>81488.53+184213.81</f>
        <v>265702.33999999997</v>
      </c>
      <c r="K1508" s="6">
        <f>263200.08+1445049.86</f>
        <v>1708249.9400000002</v>
      </c>
      <c r="L1508" s="1">
        <f t="shared" si="434"/>
        <v>1973952.2800000003</v>
      </c>
      <c r="M1508" s="2">
        <f t="shared" si="435"/>
        <v>0.13460423673463875</v>
      </c>
      <c r="N1508" s="2">
        <f t="shared" si="436"/>
        <v>0.86539576326536116</v>
      </c>
    </row>
    <row r="1509" spans="1:14" x14ac:dyDescent="0.35">
      <c r="A1509" t="s">
        <v>34</v>
      </c>
      <c r="B1509" t="s">
        <v>25</v>
      </c>
      <c r="C1509">
        <v>2015</v>
      </c>
      <c r="D1509" t="s">
        <v>31</v>
      </c>
      <c r="E1509" s="3">
        <f>174+34</f>
        <v>208</v>
      </c>
      <c r="F1509" s="3">
        <f>667+155</f>
        <v>822</v>
      </c>
      <c r="G1509" s="1">
        <f t="shared" si="431"/>
        <v>1030</v>
      </c>
      <c r="H1509" s="2">
        <f t="shared" si="432"/>
        <v>0.20194174757281552</v>
      </c>
      <c r="I1509" s="2">
        <f t="shared" si="433"/>
        <v>0.79805825242718442</v>
      </c>
      <c r="J1509" s="6">
        <f>85028.43+205289.41</f>
        <v>290317.83999999997</v>
      </c>
      <c r="K1509" s="6">
        <f>280577.4+1535156.05</f>
        <v>1815733.4500000002</v>
      </c>
      <c r="L1509" s="1">
        <f t="shared" si="434"/>
        <v>2106051.29</v>
      </c>
      <c r="M1509" s="2">
        <f t="shared" si="435"/>
        <v>0.13784936833138567</v>
      </c>
      <c r="N1509" s="2">
        <f t="shared" si="436"/>
        <v>0.86215063166861439</v>
      </c>
    </row>
    <row r="1510" spans="1:14" x14ac:dyDescent="0.35">
      <c r="A1510" t="s">
        <v>34</v>
      </c>
      <c r="B1510" t="s">
        <v>26</v>
      </c>
      <c r="C1510">
        <v>2015</v>
      </c>
      <c r="D1510" t="s">
        <v>31</v>
      </c>
      <c r="E1510" s="3">
        <f>173+35</f>
        <v>208</v>
      </c>
      <c r="F1510" s="3">
        <f>664+153</f>
        <v>817</v>
      </c>
      <c r="G1510" s="1">
        <f t="shared" si="431"/>
        <v>1025</v>
      </c>
      <c r="H1510" s="2">
        <f t="shared" si="432"/>
        <v>0.2029268292682927</v>
      </c>
      <c r="I1510" s="2">
        <f t="shared" si="433"/>
        <v>0.79707317073170736</v>
      </c>
      <c r="J1510" s="6">
        <f>80778.22+187856.48</f>
        <v>268634.7</v>
      </c>
      <c r="K1510" s="6">
        <f>269143.43+1320950.85</f>
        <v>1590094.28</v>
      </c>
      <c r="L1510" s="1">
        <f t="shared" si="434"/>
        <v>1858728.98</v>
      </c>
      <c r="M1510" s="2">
        <f t="shared" si="435"/>
        <v>0.14452601906492038</v>
      </c>
      <c r="N1510" s="2">
        <f t="shared" si="436"/>
        <v>0.85547398093507965</v>
      </c>
    </row>
    <row r="1511" spans="1:14" x14ac:dyDescent="0.35">
      <c r="A1511" t="s">
        <v>34</v>
      </c>
      <c r="B1511" t="s">
        <v>27</v>
      </c>
      <c r="C1511">
        <v>2015</v>
      </c>
      <c r="D1511" t="s">
        <v>31</v>
      </c>
      <c r="E1511" s="3">
        <f>172+35</f>
        <v>207</v>
      </c>
      <c r="F1511" s="3">
        <f>669+155</f>
        <v>824</v>
      </c>
      <c r="G1511" s="1">
        <f t="shared" si="431"/>
        <v>1031</v>
      </c>
      <c r="H1511" s="2">
        <f t="shared" si="432"/>
        <v>0.20077594568380214</v>
      </c>
      <c r="I1511" s="2">
        <f t="shared" si="433"/>
        <v>0.79922405431619792</v>
      </c>
      <c r="J1511" s="6">
        <f>79633.14+189738.17</f>
        <v>269371.31</v>
      </c>
      <c r="K1511" s="6">
        <f>271812.79+1310185.15</f>
        <v>1581997.94</v>
      </c>
      <c r="L1511" s="1">
        <f t="shared" si="434"/>
        <v>1851369.25</v>
      </c>
      <c r="M1511" s="2">
        <f t="shared" si="435"/>
        <v>0.14549842501705157</v>
      </c>
      <c r="N1511" s="2">
        <f t="shared" si="436"/>
        <v>0.85450157498294843</v>
      </c>
    </row>
    <row r="1512" spans="1:14" x14ac:dyDescent="0.35">
      <c r="A1512" t="s">
        <v>34</v>
      </c>
      <c r="B1512" t="s">
        <v>28</v>
      </c>
      <c r="C1512">
        <v>2015</v>
      </c>
      <c r="D1512" t="s">
        <v>31</v>
      </c>
      <c r="E1512" s="3">
        <f>174+36</f>
        <v>210</v>
      </c>
      <c r="F1512" s="3">
        <f>667+154</f>
        <v>821</v>
      </c>
      <c r="G1512" s="1">
        <f t="shared" si="431"/>
        <v>1031</v>
      </c>
      <c r="H1512" s="2">
        <f t="shared" si="432"/>
        <v>0.20368574199806014</v>
      </c>
      <c r="I1512" s="2">
        <f t="shared" si="433"/>
        <v>0.79631425800193989</v>
      </c>
      <c r="J1512" s="6">
        <f>71520.39+209735.76</f>
        <v>281256.15000000002</v>
      </c>
      <c r="K1512" s="6">
        <f>240652.78+1416710.91</f>
        <v>1657363.69</v>
      </c>
      <c r="L1512" s="1">
        <f t="shared" si="434"/>
        <v>1938619.8399999999</v>
      </c>
      <c r="M1512" s="2">
        <f t="shared" si="435"/>
        <v>0.14508061054404561</v>
      </c>
      <c r="N1512" s="2">
        <f t="shared" si="436"/>
        <v>0.85491938945595447</v>
      </c>
    </row>
    <row r="1513" spans="1:14" x14ac:dyDescent="0.35">
      <c r="A1513" t="s">
        <v>34</v>
      </c>
      <c r="B1513" t="s">
        <v>29</v>
      </c>
      <c r="C1513">
        <v>2015</v>
      </c>
      <c r="D1513" t="s">
        <v>31</v>
      </c>
      <c r="E1513" s="3">
        <f>174+37</f>
        <v>211</v>
      </c>
      <c r="F1513" s="3">
        <f>666+152</f>
        <v>818</v>
      </c>
      <c r="G1513" s="1">
        <f t="shared" si="431"/>
        <v>1029</v>
      </c>
      <c r="H1513" s="2">
        <f t="shared" si="432"/>
        <v>0.20505344995140914</v>
      </c>
      <c r="I1513" s="2">
        <f t="shared" si="433"/>
        <v>0.79494655004859083</v>
      </c>
      <c r="J1513" s="6">
        <f>71690.22+195956.692</f>
        <v>267646.91200000001</v>
      </c>
      <c r="K1513" s="6">
        <f>228026.14+1329937.1</f>
        <v>1557963.2400000002</v>
      </c>
      <c r="L1513" s="1">
        <f t="shared" si="434"/>
        <v>1825610.1520000002</v>
      </c>
      <c r="M1513" s="2">
        <f t="shared" si="435"/>
        <v>0.14660682715134243</v>
      </c>
      <c r="N1513" s="2">
        <f t="shared" si="436"/>
        <v>0.85339317284865757</v>
      </c>
    </row>
    <row r="1514" spans="1:14" x14ac:dyDescent="0.35">
      <c r="A1514" t="s">
        <v>34</v>
      </c>
      <c r="B1514" t="s">
        <v>17</v>
      </c>
      <c r="C1514">
        <v>2016</v>
      </c>
      <c r="D1514" t="s">
        <v>31</v>
      </c>
      <c r="E1514" s="9">
        <f>174+37</f>
        <v>211</v>
      </c>
      <c r="F1514" s="3">
        <f>666+152</f>
        <v>818</v>
      </c>
      <c r="G1514" s="1">
        <f t="shared" si="431"/>
        <v>1029</v>
      </c>
      <c r="H1514" s="2">
        <f t="shared" si="432"/>
        <v>0.20505344995140914</v>
      </c>
      <c r="I1514" s="2">
        <f t="shared" si="433"/>
        <v>0.79494655004859083</v>
      </c>
      <c r="J1514" s="6">
        <f>68298.21+202411.71</f>
        <v>270709.92</v>
      </c>
      <c r="K1514" s="6">
        <f>221169.67+1281961.89</f>
        <v>1503131.5599999998</v>
      </c>
      <c r="L1514" s="1">
        <f t="shared" si="434"/>
        <v>1773841.4799999997</v>
      </c>
      <c r="M1514" s="2">
        <f t="shared" si="435"/>
        <v>0.15261223905982851</v>
      </c>
      <c r="N1514" s="2">
        <f t="shared" si="436"/>
        <v>0.84738776094017154</v>
      </c>
    </row>
    <row r="1515" spans="1:14" x14ac:dyDescent="0.35">
      <c r="A1515" t="s">
        <v>34</v>
      </c>
      <c r="B1515" t="s">
        <v>19</v>
      </c>
      <c r="C1515">
        <v>2016</v>
      </c>
      <c r="D1515" t="s">
        <v>31</v>
      </c>
      <c r="E1515" s="9">
        <f>176+38</f>
        <v>214</v>
      </c>
      <c r="F1515" s="3">
        <f>668+152</f>
        <v>820</v>
      </c>
      <c r="G1515" s="1">
        <f t="shared" si="431"/>
        <v>1034</v>
      </c>
      <c r="H1515" s="2">
        <f t="shared" si="432"/>
        <v>0.20696324951644102</v>
      </c>
      <c r="I1515" s="2">
        <f t="shared" si="433"/>
        <v>0.79303675048355904</v>
      </c>
      <c r="J1515" s="6">
        <f>66094.64+181143.79</f>
        <v>247238.43</v>
      </c>
      <c r="K1515" s="6">
        <f>205754.57+1336819.05</f>
        <v>1542573.62</v>
      </c>
      <c r="L1515" s="1">
        <f t="shared" si="434"/>
        <v>1789812.05</v>
      </c>
      <c r="M1515" s="2">
        <f t="shared" si="435"/>
        <v>0.13813653226884912</v>
      </c>
      <c r="N1515" s="2">
        <f t="shared" si="436"/>
        <v>0.86186346773115097</v>
      </c>
    </row>
    <row r="1516" spans="1:14" x14ac:dyDescent="0.35">
      <c r="A1516" t="s">
        <v>34</v>
      </c>
      <c r="B1516" t="s">
        <v>20</v>
      </c>
      <c r="C1516">
        <v>2016</v>
      </c>
      <c r="D1516" t="s">
        <v>31</v>
      </c>
      <c r="E1516" s="9">
        <f>176+38</f>
        <v>214</v>
      </c>
      <c r="F1516" s="3">
        <f>664+151</f>
        <v>815</v>
      </c>
      <c r="G1516" s="1">
        <f t="shared" si="431"/>
        <v>1029</v>
      </c>
      <c r="H1516" s="2">
        <f t="shared" si="432"/>
        <v>0.20796890184645286</v>
      </c>
      <c r="I1516" s="2">
        <f t="shared" si="433"/>
        <v>0.79203109815354711</v>
      </c>
      <c r="J1516" s="6">
        <f>70252.36+191553.44</f>
        <v>261805.8</v>
      </c>
      <c r="K1516" s="6">
        <f>212439.99+1619827.51</f>
        <v>1832267.5</v>
      </c>
      <c r="L1516" s="1">
        <f t="shared" si="434"/>
        <v>2094073.3</v>
      </c>
      <c r="M1516" s="2">
        <f t="shared" si="435"/>
        <v>0.12502227118792833</v>
      </c>
      <c r="N1516" s="2">
        <f t="shared" si="436"/>
        <v>0.8749777288120717</v>
      </c>
    </row>
    <row r="1517" spans="1:14" x14ac:dyDescent="0.35">
      <c r="A1517" t="s">
        <v>34</v>
      </c>
      <c r="B1517" t="s">
        <v>21</v>
      </c>
      <c r="C1517">
        <v>2016</v>
      </c>
      <c r="D1517" t="s">
        <v>31</v>
      </c>
      <c r="E1517" s="9">
        <f>177+37</f>
        <v>214</v>
      </c>
      <c r="F1517" s="3">
        <f>667+154</f>
        <v>821</v>
      </c>
      <c r="G1517" s="1">
        <f t="shared" si="431"/>
        <v>1035</v>
      </c>
      <c r="H1517" s="2">
        <f t="shared" si="432"/>
        <v>0.20676328502415459</v>
      </c>
      <c r="I1517" s="2">
        <f t="shared" si="433"/>
        <v>0.79323671497584536</v>
      </c>
      <c r="J1517" s="6">
        <f>74100.91+194408.37</f>
        <v>268509.28000000003</v>
      </c>
      <c r="K1517" s="6">
        <f>224658.81+1448833.68</f>
        <v>1673492.49</v>
      </c>
      <c r="L1517" s="1">
        <f t="shared" si="434"/>
        <v>1942001.77</v>
      </c>
      <c r="M1517" s="2">
        <f t="shared" si="435"/>
        <v>0.13826417882204095</v>
      </c>
      <c r="N1517" s="2">
        <f t="shared" si="436"/>
        <v>0.8617358211779591</v>
      </c>
    </row>
    <row r="1518" spans="1:14" x14ac:dyDescent="0.35">
      <c r="A1518" t="s">
        <v>34</v>
      </c>
      <c r="B1518" t="s">
        <v>22</v>
      </c>
      <c r="C1518">
        <v>2016</v>
      </c>
      <c r="D1518" t="s">
        <v>31</v>
      </c>
      <c r="E1518" s="9">
        <f>180+37</f>
        <v>217</v>
      </c>
      <c r="F1518" s="3">
        <f>666+155</f>
        <v>821</v>
      </c>
      <c r="G1518" s="1">
        <f t="shared" si="431"/>
        <v>1038</v>
      </c>
      <c r="H1518" s="2">
        <f t="shared" si="432"/>
        <v>0.20905587668593448</v>
      </c>
      <c r="I1518" s="2">
        <f t="shared" si="433"/>
        <v>0.79094412331406549</v>
      </c>
      <c r="J1518" s="6">
        <f>68933.16+181046.12</f>
        <v>249979.28</v>
      </c>
      <c r="K1518" s="6">
        <f>224829.25+1537618.11</f>
        <v>1762447.3600000001</v>
      </c>
      <c r="L1518" s="1">
        <f t="shared" si="434"/>
        <v>2012426.6400000001</v>
      </c>
      <c r="M1518" s="2">
        <f t="shared" si="435"/>
        <v>0.1242178348424169</v>
      </c>
      <c r="N1518" s="2">
        <f t="shared" si="436"/>
        <v>0.87578216515758311</v>
      </c>
    </row>
    <row r="1519" spans="1:14" x14ac:dyDescent="0.35">
      <c r="A1519" t="s">
        <v>34</v>
      </c>
      <c r="B1519" t="s">
        <v>23</v>
      </c>
      <c r="C1519">
        <v>2016</v>
      </c>
      <c r="D1519" t="s">
        <v>31</v>
      </c>
      <c r="E1519" s="9">
        <f>176+35</f>
        <v>211</v>
      </c>
      <c r="F1519" s="3">
        <f>675+156</f>
        <v>831</v>
      </c>
      <c r="G1519" s="1">
        <f t="shared" si="431"/>
        <v>1042</v>
      </c>
      <c r="H1519" s="2">
        <f t="shared" si="432"/>
        <v>0.20249520153550865</v>
      </c>
      <c r="I1519" s="2">
        <f t="shared" si="433"/>
        <v>0.7975047984644914</v>
      </c>
      <c r="J1519" s="6">
        <f>76062.56+305252.51</f>
        <v>381315.07</v>
      </c>
      <c r="K1519" s="6">
        <f>257002.67+1983795.56</f>
        <v>2240798.23</v>
      </c>
      <c r="L1519" s="1">
        <f t="shared" si="434"/>
        <v>2622113.2999999998</v>
      </c>
      <c r="M1519" s="2">
        <f t="shared" si="435"/>
        <v>0.14542280457522566</v>
      </c>
      <c r="N1519" s="2">
        <f t="shared" si="436"/>
        <v>0.85457719542477439</v>
      </c>
    </row>
    <row r="1520" spans="1:14" x14ac:dyDescent="0.35">
      <c r="A1520" t="s">
        <v>34</v>
      </c>
      <c r="B1520" t="s">
        <v>24</v>
      </c>
      <c r="C1520">
        <v>2016</v>
      </c>
      <c r="D1520" t="s">
        <v>31</v>
      </c>
      <c r="E1520" s="9">
        <f>180+35</f>
        <v>215</v>
      </c>
      <c r="F1520" s="3">
        <f>708+157</f>
        <v>865</v>
      </c>
      <c r="G1520" s="1">
        <f t="shared" si="431"/>
        <v>1080</v>
      </c>
      <c r="H1520" s="2">
        <f t="shared" si="432"/>
        <v>0.19907407407407407</v>
      </c>
      <c r="I1520" s="2">
        <f t="shared" si="433"/>
        <v>0.80092592592592593</v>
      </c>
      <c r="J1520" s="6">
        <f>79005.22+191313.46</f>
        <v>270318.68</v>
      </c>
      <c r="K1520" s="6">
        <f>270506.24+1427112.33</f>
        <v>1697618.57</v>
      </c>
      <c r="L1520" s="1">
        <f t="shared" si="434"/>
        <v>1967937.25</v>
      </c>
      <c r="M1520" s="2">
        <f t="shared" si="435"/>
        <v>0.13736143263714329</v>
      </c>
      <c r="N1520" s="2">
        <f t="shared" si="436"/>
        <v>0.86263856736285671</v>
      </c>
    </row>
    <row r="1521" spans="1:14" x14ac:dyDescent="0.35">
      <c r="A1521" t="s">
        <v>34</v>
      </c>
      <c r="B1521" t="s">
        <v>25</v>
      </c>
      <c r="C1521">
        <v>2016</v>
      </c>
      <c r="D1521" t="s">
        <v>31</v>
      </c>
      <c r="E1521" s="9">
        <f>189+34</f>
        <v>223</v>
      </c>
      <c r="F1521" s="3">
        <f>767+157</f>
        <v>924</v>
      </c>
      <c r="G1521" s="1">
        <f t="shared" si="431"/>
        <v>1147</v>
      </c>
      <c r="H1521" s="2">
        <f t="shared" si="432"/>
        <v>0.1944202266782912</v>
      </c>
      <c r="I1521" s="2">
        <f t="shared" si="433"/>
        <v>0.80557977332170883</v>
      </c>
      <c r="J1521" s="6">
        <f>77756.16+194539.04</f>
        <v>272295.2</v>
      </c>
      <c r="K1521" s="6">
        <f>268436.22+1480354.27</f>
        <v>1748790.49</v>
      </c>
      <c r="L1521" s="1">
        <f t="shared" si="434"/>
        <v>2021085.69</v>
      </c>
      <c r="M1521" s="2">
        <f t="shared" si="435"/>
        <v>0.13472719209644199</v>
      </c>
      <c r="N1521" s="2">
        <f t="shared" si="436"/>
        <v>0.86527280790355798</v>
      </c>
    </row>
    <row r="1522" spans="1:14" x14ac:dyDescent="0.35">
      <c r="A1522" t="s">
        <v>34</v>
      </c>
      <c r="B1522" t="s">
        <v>26</v>
      </c>
      <c r="C1522">
        <v>2016</v>
      </c>
      <c r="D1522" t="s">
        <v>31</v>
      </c>
      <c r="E1522" s="3">
        <f>188+35</f>
        <v>223</v>
      </c>
      <c r="F1522" s="3">
        <f>767+159</f>
        <v>926</v>
      </c>
      <c r="G1522" s="1">
        <f t="shared" si="431"/>
        <v>1149</v>
      </c>
      <c r="H1522" s="2">
        <f t="shared" si="432"/>
        <v>0.19408181026979981</v>
      </c>
      <c r="I1522" s="2">
        <f t="shared" si="433"/>
        <v>0.80591818973020013</v>
      </c>
      <c r="J1522" s="6">
        <f>81237.48+198786.01</f>
        <v>280023.49</v>
      </c>
      <c r="K1522" s="6">
        <f>283232.63+1525368.16</f>
        <v>1808600.79</v>
      </c>
      <c r="L1522" s="1">
        <f t="shared" si="434"/>
        <v>2088624.28</v>
      </c>
      <c r="M1522" s="2">
        <f t="shared" si="435"/>
        <v>0.13407078174921916</v>
      </c>
      <c r="N1522" s="2">
        <f t="shared" si="436"/>
        <v>0.86592921825078084</v>
      </c>
    </row>
    <row r="1523" spans="1:14" x14ac:dyDescent="0.35">
      <c r="A1523" t="s">
        <v>34</v>
      </c>
      <c r="B1523" t="s">
        <v>27</v>
      </c>
      <c r="C1523">
        <v>2016</v>
      </c>
      <c r="D1523" t="s">
        <v>31</v>
      </c>
      <c r="E1523" s="3">
        <f>189+34</f>
        <v>223</v>
      </c>
      <c r="F1523" s="3">
        <f>762+157</f>
        <v>919</v>
      </c>
      <c r="G1523" s="1">
        <f t="shared" si="431"/>
        <v>1142</v>
      </c>
      <c r="H1523" s="2">
        <f t="shared" si="432"/>
        <v>0.19527145359019266</v>
      </c>
      <c r="I1523" s="2">
        <f t="shared" si="433"/>
        <v>0.8047285464098074</v>
      </c>
      <c r="J1523" s="6">
        <f>78899.81+180729.96</f>
        <v>259629.77</v>
      </c>
      <c r="K1523" s="6">
        <f>277877.46+1468474.49</f>
        <v>1746351.95</v>
      </c>
      <c r="L1523" s="1">
        <f t="shared" si="434"/>
        <v>2005981.72</v>
      </c>
      <c r="M1523" s="2">
        <f t="shared" si="435"/>
        <v>0.12942778461610308</v>
      </c>
      <c r="N1523" s="2">
        <f t="shared" si="436"/>
        <v>0.87057221538389695</v>
      </c>
    </row>
    <row r="1524" spans="1:14" x14ac:dyDescent="0.35">
      <c r="A1524" t="s">
        <v>34</v>
      </c>
      <c r="B1524" t="s">
        <v>28</v>
      </c>
      <c r="C1524">
        <v>2016</v>
      </c>
      <c r="D1524" t="s">
        <v>31</v>
      </c>
      <c r="E1524" s="3">
        <f>187+34</f>
        <v>221</v>
      </c>
      <c r="F1524" s="3">
        <f>773+161</f>
        <v>934</v>
      </c>
      <c r="G1524" s="1">
        <f t="shared" si="431"/>
        <v>1155</v>
      </c>
      <c r="H1524" s="2">
        <f t="shared" si="432"/>
        <v>0.19134199134199134</v>
      </c>
      <c r="I1524" s="2">
        <f t="shared" si="433"/>
        <v>0.80865800865800863</v>
      </c>
      <c r="J1524" s="6">
        <f>72725.61+220040.71</f>
        <v>292766.32</v>
      </c>
      <c r="K1524" s="6">
        <f>259904.55+1538309.6</f>
        <v>1798214.1500000001</v>
      </c>
      <c r="L1524" s="1">
        <f t="shared" si="434"/>
        <v>2090980.4700000002</v>
      </c>
      <c r="M1524" s="2">
        <f t="shared" si="435"/>
        <v>0.14001389501261099</v>
      </c>
      <c r="N1524" s="2">
        <f t="shared" si="436"/>
        <v>0.85998610498738903</v>
      </c>
    </row>
    <row r="1525" spans="1:14" x14ac:dyDescent="0.35">
      <c r="A1525" t="s">
        <v>34</v>
      </c>
      <c r="B1525" t="s">
        <v>29</v>
      </c>
      <c r="C1525">
        <v>2016</v>
      </c>
      <c r="D1525" t="s">
        <v>31</v>
      </c>
      <c r="E1525" s="3">
        <f>186+34</f>
        <v>220</v>
      </c>
      <c r="F1525" s="3">
        <f>762+160</f>
        <v>922</v>
      </c>
      <c r="G1525" s="1">
        <f t="shared" si="431"/>
        <v>1142</v>
      </c>
      <c r="H1525" s="2">
        <f t="shared" si="432"/>
        <v>0.19264448336252188</v>
      </c>
      <c r="I1525" s="2">
        <f t="shared" si="433"/>
        <v>0.80735551663747807</v>
      </c>
      <c r="J1525" s="6">
        <f>67910.9+199732.71</f>
        <v>267643.61</v>
      </c>
      <c r="K1525" s="6">
        <f>242131.24+1515284.76</f>
        <v>1757416</v>
      </c>
      <c r="L1525" s="1">
        <f t="shared" si="434"/>
        <v>2025059.6099999999</v>
      </c>
      <c r="M1525" s="2">
        <f t="shared" si="435"/>
        <v>0.1321657933812625</v>
      </c>
      <c r="N1525" s="2">
        <f t="shared" si="436"/>
        <v>0.86783420661873756</v>
      </c>
    </row>
    <row r="1526" spans="1:14" x14ac:dyDescent="0.35">
      <c r="A1526" t="s">
        <v>34</v>
      </c>
      <c r="B1526" t="s">
        <v>17</v>
      </c>
      <c r="C1526">
        <v>2017</v>
      </c>
      <c r="D1526" t="s">
        <v>31</v>
      </c>
      <c r="E1526" s="3">
        <f>190+34</f>
        <v>224</v>
      </c>
      <c r="F1526" s="3">
        <f>765+158</f>
        <v>923</v>
      </c>
      <c r="G1526" s="1">
        <f t="shared" si="431"/>
        <v>1147</v>
      </c>
      <c r="H1526" s="2">
        <f t="shared" si="432"/>
        <v>0.19529206625980819</v>
      </c>
      <c r="I1526" s="2">
        <f t="shared" si="433"/>
        <v>0.80470793374019178</v>
      </c>
      <c r="J1526" s="6">
        <f>66013.01+214548.3</f>
        <v>280561.31</v>
      </c>
      <c r="K1526" s="6">
        <f>236252.87+1663941.28</f>
        <v>1900194.15</v>
      </c>
      <c r="L1526" s="1">
        <f t="shared" si="434"/>
        <v>2180755.46</v>
      </c>
      <c r="M1526" s="2">
        <f t="shared" si="435"/>
        <v>0.12865326495617257</v>
      </c>
      <c r="N1526" s="2">
        <f t="shared" si="436"/>
        <v>0.87134673504382743</v>
      </c>
    </row>
    <row r="1527" spans="1:14" x14ac:dyDescent="0.35">
      <c r="A1527" t="s">
        <v>34</v>
      </c>
      <c r="B1527" t="s">
        <v>19</v>
      </c>
      <c r="C1527">
        <v>2017</v>
      </c>
      <c r="D1527" t="s">
        <v>31</v>
      </c>
      <c r="E1527" s="3">
        <f>192+34</f>
        <v>226</v>
      </c>
      <c r="F1527" s="3">
        <f>771+159</f>
        <v>930</v>
      </c>
      <c r="G1527" s="1">
        <f t="shared" ref="G1527:G1590" si="437">SUM(E1527:F1527)</f>
        <v>1156</v>
      </c>
      <c r="H1527" s="2">
        <f t="shared" ref="H1527:H1590" si="438">SUM(E1527)/G1527</f>
        <v>0.19550173010380623</v>
      </c>
      <c r="I1527" s="2">
        <f t="shared" ref="I1527:I1590" si="439">SUM(F1527/G1527)</f>
        <v>0.80449826989619377</v>
      </c>
      <c r="J1527" s="6">
        <f>65881.31+190313.07</f>
        <v>256194.38</v>
      </c>
      <c r="K1527" s="6">
        <f>239009.11+1614525.65</f>
        <v>1853534.7599999998</v>
      </c>
      <c r="L1527" s="1">
        <f t="shared" si="434"/>
        <v>2109729.1399999997</v>
      </c>
      <c r="M1527" s="2">
        <f t="shared" si="435"/>
        <v>0.12143472597624548</v>
      </c>
      <c r="N1527" s="2">
        <f t="shared" si="436"/>
        <v>0.87856527402375462</v>
      </c>
    </row>
    <row r="1528" spans="1:14" x14ac:dyDescent="0.35">
      <c r="A1528" t="s">
        <v>34</v>
      </c>
      <c r="B1528" t="s">
        <v>20</v>
      </c>
      <c r="C1528">
        <v>2017</v>
      </c>
      <c r="D1528" t="s">
        <v>31</v>
      </c>
      <c r="E1528" s="3">
        <f>191+34</f>
        <v>225</v>
      </c>
      <c r="F1528" s="3">
        <f>778+163</f>
        <v>941</v>
      </c>
      <c r="G1528" s="1">
        <f t="shared" si="437"/>
        <v>1166</v>
      </c>
      <c r="H1528" s="2">
        <f t="shared" si="438"/>
        <v>0.19296740994854203</v>
      </c>
      <c r="I1528" s="2">
        <f t="shared" si="439"/>
        <v>0.807032590051458</v>
      </c>
      <c r="J1528" s="6">
        <f>63869.7+179878.05</f>
        <v>243747.75</v>
      </c>
      <c r="K1528" s="6">
        <f>234144.47+1473839.97</f>
        <v>1707984.44</v>
      </c>
      <c r="L1528" s="1">
        <f t="shared" si="434"/>
        <v>1951732.19</v>
      </c>
      <c r="M1528" s="2">
        <f t="shared" si="435"/>
        <v>0.12488790790502871</v>
      </c>
      <c r="N1528" s="2">
        <f t="shared" si="436"/>
        <v>0.87511209209497132</v>
      </c>
    </row>
    <row r="1529" spans="1:14" x14ac:dyDescent="0.35">
      <c r="A1529" t="s">
        <v>34</v>
      </c>
      <c r="B1529" t="s">
        <v>21</v>
      </c>
      <c r="C1529">
        <v>2017</v>
      </c>
      <c r="D1529" t="s">
        <v>31</v>
      </c>
      <c r="E1529" s="3">
        <f>189+33</f>
        <v>222</v>
      </c>
      <c r="F1529" s="3">
        <f>778+161</f>
        <v>939</v>
      </c>
      <c r="G1529" s="1">
        <f t="shared" si="437"/>
        <v>1161</v>
      </c>
      <c r="H1529" s="2">
        <f t="shared" si="438"/>
        <v>0.19121447028423771</v>
      </c>
      <c r="I1529" s="2">
        <f t="shared" si="439"/>
        <v>0.80878552971576223</v>
      </c>
      <c r="J1529" s="6">
        <f>8205.74+6885.69</f>
        <v>15091.43</v>
      </c>
      <c r="K1529" s="6">
        <f>47978.36+480169.72</f>
        <v>528148.07999999996</v>
      </c>
      <c r="L1529" s="1">
        <f t="shared" si="434"/>
        <v>543239.51</v>
      </c>
      <c r="M1529" s="2">
        <f t="shared" si="435"/>
        <v>2.77804351896275E-2</v>
      </c>
      <c r="N1529" s="2">
        <f t="shared" si="436"/>
        <v>0.97221956481037242</v>
      </c>
    </row>
    <row r="1530" spans="1:14" x14ac:dyDescent="0.35">
      <c r="A1530" t="s">
        <v>34</v>
      </c>
      <c r="B1530" t="s">
        <v>22</v>
      </c>
      <c r="C1530">
        <v>2017</v>
      </c>
      <c r="D1530" t="s">
        <v>31</v>
      </c>
      <c r="E1530" s="3">
        <f>194+34</f>
        <v>228</v>
      </c>
      <c r="F1530" s="3">
        <f>799+172</f>
        <v>971</v>
      </c>
      <c r="G1530" s="1">
        <f t="shared" si="437"/>
        <v>1199</v>
      </c>
      <c r="H1530" s="2">
        <f t="shared" si="438"/>
        <v>0.19015846538782319</v>
      </c>
      <c r="I1530" s="2">
        <f t="shared" si="439"/>
        <v>0.80984153461217678</v>
      </c>
      <c r="J1530" s="6">
        <f>239191.65+733426.06</f>
        <v>972617.71000000008</v>
      </c>
      <c r="K1530" s="6">
        <f>837830.81+5059277.13</f>
        <v>5897107.9399999995</v>
      </c>
      <c r="L1530" s="1">
        <f t="shared" si="434"/>
        <v>6869725.6499999994</v>
      </c>
      <c r="M1530" s="2">
        <f t="shared" si="435"/>
        <v>0.14158028421411561</v>
      </c>
      <c r="N1530" s="2">
        <f t="shared" si="436"/>
        <v>0.85841971578588439</v>
      </c>
    </row>
    <row r="1531" spans="1:14" x14ac:dyDescent="0.35">
      <c r="A1531" t="s">
        <v>34</v>
      </c>
      <c r="B1531" t="s">
        <v>23</v>
      </c>
      <c r="C1531">
        <v>2017</v>
      </c>
      <c r="D1531" t="s">
        <v>31</v>
      </c>
      <c r="E1531" s="3">
        <f>190+33</f>
        <v>223</v>
      </c>
      <c r="F1531" s="3">
        <f>784+161</f>
        <v>945</v>
      </c>
      <c r="G1531" s="1">
        <f t="shared" si="437"/>
        <v>1168</v>
      </c>
      <c r="H1531" s="2">
        <f t="shared" si="438"/>
        <v>0.19092465753424659</v>
      </c>
      <c r="I1531" s="2">
        <f t="shared" si="439"/>
        <v>0.80907534246575341</v>
      </c>
      <c r="J1531" s="6">
        <f>79788.97+223619.7</f>
        <v>303408.67000000004</v>
      </c>
      <c r="K1531" s="6">
        <f>287814.48+1526194.48</f>
        <v>1814008.96</v>
      </c>
      <c r="L1531" s="1">
        <f t="shared" si="434"/>
        <v>2117417.63</v>
      </c>
      <c r="M1531" s="2">
        <f t="shared" si="435"/>
        <v>0.14329184082594043</v>
      </c>
      <c r="N1531" s="2">
        <f t="shared" si="436"/>
        <v>0.85670815917405962</v>
      </c>
    </row>
    <row r="1532" spans="1:14" x14ac:dyDescent="0.35">
      <c r="A1532" t="s">
        <v>34</v>
      </c>
      <c r="B1532" t="s">
        <v>24</v>
      </c>
      <c r="C1532">
        <v>2017</v>
      </c>
      <c r="D1532" t="s">
        <v>31</v>
      </c>
      <c r="E1532" s="3">
        <f>190+32</f>
        <v>222</v>
      </c>
      <c r="F1532" s="3">
        <f>787+161</f>
        <v>948</v>
      </c>
      <c r="G1532" s="1">
        <f t="shared" si="437"/>
        <v>1170</v>
      </c>
      <c r="H1532" s="2">
        <f t="shared" si="438"/>
        <v>0.18974358974358974</v>
      </c>
      <c r="I1532" s="2">
        <f t="shared" si="439"/>
        <v>0.81025641025641026</v>
      </c>
      <c r="J1532" s="6">
        <f>79225.24+223849.54</f>
        <v>303074.78000000003</v>
      </c>
      <c r="K1532" s="6">
        <f>290490.81+1908001.94</f>
        <v>2198492.75</v>
      </c>
      <c r="L1532" s="1">
        <f t="shared" si="434"/>
        <v>2501567.5300000003</v>
      </c>
      <c r="M1532" s="2">
        <f t="shared" si="435"/>
        <v>0.12115394702137024</v>
      </c>
      <c r="N1532" s="2">
        <f t="shared" si="436"/>
        <v>0.87884605297862972</v>
      </c>
    </row>
    <row r="1533" spans="1:14" x14ac:dyDescent="0.35">
      <c r="A1533" t="s">
        <v>34</v>
      </c>
      <c r="B1533" t="s">
        <v>25</v>
      </c>
      <c r="C1533">
        <v>2017</v>
      </c>
      <c r="D1533" t="s">
        <v>31</v>
      </c>
      <c r="E1533" s="3">
        <f>187+32</f>
        <v>219</v>
      </c>
      <c r="F1533" s="3">
        <f>787+159</f>
        <v>946</v>
      </c>
      <c r="G1533" s="1">
        <f t="shared" si="437"/>
        <v>1165</v>
      </c>
      <c r="H1533" s="2">
        <f t="shared" si="438"/>
        <v>0.18798283261802576</v>
      </c>
      <c r="I1533" s="2">
        <f t="shared" si="439"/>
        <v>0.81201716738197427</v>
      </c>
      <c r="J1533" s="6">
        <f>82682.12+205289.15</f>
        <v>287971.27</v>
      </c>
      <c r="K1533" s="6">
        <f>293550.65+1622982.35</f>
        <v>1916533</v>
      </c>
      <c r="L1533" s="1">
        <f t="shared" si="434"/>
        <v>2204504.27</v>
      </c>
      <c r="M1533" s="2">
        <f t="shared" si="435"/>
        <v>0.13062858345019218</v>
      </c>
      <c r="N1533" s="2">
        <f t="shared" si="436"/>
        <v>0.86937141654980776</v>
      </c>
    </row>
    <row r="1534" spans="1:14" x14ac:dyDescent="0.35">
      <c r="A1534" t="s">
        <v>34</v>
      </c>
      <c r="B1534" t="s">
        <v>26</v>
      </c>
      <c r="C1534">
        <v>2017</v>
      </c>
      <c r="D1534" t="s">
        <v>31</v>
      </c>
      <c r="E1534" s="3">
        <f>188+32</f>
        <v>220</v>
      </c>
      <c r="F1534" s="3">
        <f>781+161</f>
        <v>942</v>
      </c>
      <c r="G1534" s="1">
        <f t="shared" si="437"/>
        <v>1162</v>
      </c>
      <c r="H1534" s="2">
        <f t="shared" si="438"/>
        <v>0.18932874354561102</v>
      </c>
      <c r="I1534" s="2">
        <f t="shared" si="439"/>
        <v>0.81067125645438898</v>
      </c>
      <c r="J1534" s="6">
        <f>77464.89+209996.63</f>
        <v>287461.52</v>
      </c>
      <c r="K1534" s="6">
        <f>284297.09+1739525.1</f>
        <v>2023822.1900000002</v>
      </c>
      <c r="L1534" s="1">
        <f t="shared" si="434"/>
        <v>2311283.71</v>
      </c>
      <c r="M1534" s="2">
        <f t="shared" si="435"/>
        <v>0.12437310000337433</v>
      </c>
      <c r="N1534" s="2">
        <f t="shared" si="436"/>
        <v>0.8756268999966258</v>
      </c>
    </row>
    <row r="1535" spans="1:14" x14ac:dyDescent="0.35">
      <c r="A1535" t="s">
        <v>34</v>
      </c>
      <c r="B1535" t="s">
        <v>27</v>
      </c>
      <c r="C1535">
        <v>2017</v>
      </c>
      <c r="D1535" t="s">
        <v>31</v>
      </c>
      <c r="E1535" s="3">
        <f>189+32</f>
        <v>221</v>
      </c>
      <c r="F1535" s="3">
        <f>782+159</f>
        <v>941</v>
      </c>
      <c r="G1535" s="1">
        <f t="shared" si="437"/>
        <v>1162</v>
      </c>
      <c r="H1535" s="2">
        <f t="shared" si="438"/>
        <v>0.1901893287435456</v>
      </c>
      <c r="I1535" s="2">
        <f t="shared" si="439"/>
        <v>0.80981067125645434</v>
      </c>
      <c r="J1535" s="6">
        <f>71115.74+191303.54</f>
        <v>262419.28000000003</v>
      </c>
      <c r="K1535" s="6">
        <f>265976.65+1561309.19</f>
        <v>1827285.8399999999</v>
      </c>
      <c r="L1535" s="1">
        <f t="shared" si="434"/>
        <v>2089705.1199999999</v>
      </c>
      <c r="M1535" s="2">
        <f t="shared" si="435"/>
        <v>0.12557718191358982</v>
      </c>
      <c r="N1535" s="2">
        <f t="shared" si="436"/>
        <v>0.8744228180864102</v>
      </c>
    </row>
    <row r="1536" spans="1:14" x14ac:dyDescent="0.35">
      <c r="A1536" t="s">
        <v>34</v>
      </c>
      <c r="B1536" t="s">
        <v>28</v>
      </c>
      <c r="C1536">
        <v>2017</v>
      </c>
      <c r="D1536" t="s">
        <v>31</v>
      </c>
      <c r="E1536" s="3">
        <f>185+32</f>
        <v>217</v>
      </c>
      <c r="F1536" s="3">
        <f>784+161</f>
        <v>945</v>
      </c>
      <c r="G1536" s="1">
        <f t="shared" si="437"/>
        <v>1162</v>
      </c>
      <c r="H1536" s="2">
        <f t="shared" si="438"/>
        <v>0.18674698795180722</v>
      </c>
      <c r="I1536" s="2">
        <f t="shared" si="439"/>
        <v>0.81325301204819278</v>
      </c>
      <c r="J1536" s="6">
        <f>71054.48+198484.32</f>
        <v>269538.8</v>
      </c>
      <c r="K1536" s="6">
        <f>265693.03+1684955.99</f>
        <v>1950649.02</v>
      </c>
      <c r="L1536" s="1">
        <f t="shared" si="434"/>
        <v>2220187.8199999998</v>
      </c>
      <c r="M1536" s="2">
        <f t="shared" si="435"/>
        <v>0.12140360269159571</v>
      </c>
      <c r="N1536" s="2">
        <f t="shared" si="436"/>
        <v>0.87859639730840433</v>
      </c>
    </row>
    <row r="1537" spans="1:14" x14ac:dyDescent="0.35">
      <c r="A1537" t="s">
        <v>34</v>
      </c>
      <c r="B1537" t="s">
        <v>29</v>
      </c>
      <c r="C1537">
        <v>2017</v>
      </c>
      <c r="D1537" t="s">
        <v>31</v>
      </c>
      <c r="E1537" s="3">
        <f>188+32</f>
        <v>220</v>
      </c>
      <c r="F1537" s="3">
        <f>784+162</f>
        <v>946</v>
      </c>
      <c r="G1537" s="1">
        <f t="shared" si="437"/>
        <v>1166</v>
      </c>
      <c r="H1537" s="2">
        <f t="shared" si="438"/>
        <v>0.18867924528301888</v>
      </c>
      <c r="I1537" s="2">
        <f t="shared" si="439"/>
        <v>0.81132075471698117</v>
      </c>
      <c r="J1537" s="6">
        <f>67223.18+251197.96</f>
        <v>318421.14</v>
      </c>
      <c r="K1537" s="6">
        <f>245807.36+1957539.7</f>
        <v>2203347.06</v>
      </c>
      <c r="L1537" s="1">
        <f t="shared" si="434"/>
        <v>2521768.2000000002</v>
      </c>
      <c r="M1537" s="2">
        <f t="shared" si="435"/>
        <v>0.1262689964922232</v>
      </c>
      <c r="N1537" s="2">
        <f t="shared" si="436"/>
        <v>0.87373100350777677</v>
      </c>
    </row>
    <row r="1538" spans="1:14" x14ac:dyDescent="0.35">
      <c r="A1538" t="s">
        <v>34</v>
      </c>
      <c r="B1538" t="s">
        <v>17</v>
      </c>
      <c r="C1538">
        <v>2002</v>
      </c>
      <c r="D1538" t="s">
        <v>32</v>
      </c>
      <c r="E1538" s="8">
        <v>25154</v>
      </c>
      <c r="F1538" s="8">
        <v>54</v>
      </c>
      <c r="G1538" s="1">
        <f t="shared" si="437"/>
        <v>25208</v>
      </c>
      <c r="H1538" s="2">
        <f t="shared" si="438"/>
        <v>0.99785782291336089</v>
      </c>
      <c r="I1538" s="2">
        <f t="shared" si="439"/>
        <v>2.1421770866391623E-3</v>
      </c>
      <c r="J1538" s="4">
        <v>19508.954000000002</v>
      </c>
      <c r="K1538" s="4">
        <v>19.131</v>
      </c>
      <c r="L1538" s="1">
        <f t="shared" si="434"/>
        <v>19528.085000000003</v>
      </c>
      <c r="M1538" s="2">
        <f t="shared" si="435"/>
        <v>0.99902033404709156</v>
      </c>
      <c r="N1538" s="2">
        <f t="shared" si="436"/>
        <v>9.7966595290833666E-4</v>
      </c>
    </row>
    <row r="1539" spans="1:14" x14ac:dyDescent="0.35">
      <c r="A1539" t="s">
        <v>34</v>
      </c>
      <c r="B1539" t="s">
        <v>19</v>
      </c>
      <c r="C1539">
        <v>2002</v>
      </c>
      <c r="D1539" t="s">
        <v>32</v>
      </c>
      <c r="E1539" s="8">
        <v>25154</v>
      </c>
      <c r="F1539" s="8">
        <v>109</v>
      </c>
      <c r="G1539" s="1">
        <f t="shared" si="437"/>
        <v>25263</v>
      </c>
      <c r="H1539" s="2">
        <f t="shared" si="438"/>
        <v>0.99568538970035225</v>
      </c>
      <c r="I1539" s="2">
        <f t="shared" si="439"/>
        <v>4.3146102996477059E-3</v>
      </c>
      <c r="J1539" s="4">
        <v>19508.954000000002</v>
      </c>
      <c r="K1539" s="4">
        <v>27.44800000000032</v>
      </c>
      <c r="L1539" s="1">
        <f t="shared" ref="L1539:L1602" si="440">SUM(J1539:K1539)</f>
        <v>19536.402000000002</v>
      </c>
      <c r="M1539" s="2">
        <f t="shared" ref="M1539:M1602" si="441">SUM(J1539)/L1539</f>
        <v>0.99859503300556574</v>
      </c>
      <c r="N1539" s="2">
        <f t="shared" ref="N1539:N1602" si="442">SUM(K1539/L1539)</f>
        <v>1.4049669944343037E-3</v>
      </c>
    </row>
    <row r="1540" spans="1:14" x14ac:dyDescent="0.35">
      <c r="A1540" t="s">
        <v>34</v>
      </c>
      <c r="B1540" t="s">
        <v>20</v>
      </c>
      <c r="C1540">
        <v>2002</v>
      </c>
      <c r="D1540" t="s">
        <v>32</v>
      </c>
      <c r="E1540" s="8">
        <v>32088</v>
      </c>
      <c r="F1540" s="8">
        <v>181</v>
      </c>
      <c r="G1540" s="1">
        <f t="shared" si="437"/>
        <v>32269</v>
      </c>
      <c r="H1540" s="2">
        <f t="shared" si="438"/>
        <v>0.99439090148439679</v>
      </c>
      <c r="I1540" s="2">
        <f t="shared" si="439"/>
        <v>5.6090985156032102E-3</v>
      </c>
      <c r="J1540" s="4">
        <v>22766.285</v>
      </c>
      <c r="K1540" s="4">
        <v>94.50800000000163</v>
      </c>
      <c r="L1540" s="1">
        <f t="shared" si="440"/>
        <v>22860.793000000001</v>
      </c>
      <c r="M1540" s="2">
        <f t="shared" si="441"/>
        <v>0.9958659351843131</v>
      </c>
      <c r="N1540" s="2">
        <f t="shared" si="442"/>
        <v>4.134064815686911E-3</v>
      </c>
    </row>
    <row r="1541" spans="1:14" x14ac:dyDescent="0.35">
      <c r="A1541" t="s">
        <v>34</v>
      </c>
      <c r="B1541" t="s">
        <v>21</v>
      </c>
      <c r="C1541">
        <v>2002</v>
      </c>
      <c r="D1541" t="s">
        <v>32</v>
      </c>
      <c r="E1541" s="8">
        <v>32040</v>
      </c>
      <c r="F1541" s="8">
        <v>219</v>
      </c>
      <c r="G1541" s="1">
        <f t="shared" si="437"/>
        <v>32259</v>
      </c>
      <c r="H1541" s="2">
        <f t="shared" si="438"/>
        <v>0.99321119687529058</v>
      </c>
      <c r="I1541" s="2">
        <f t="shared" si="439"/>
        <v>6.7888031247093838E-3</v>
      </c>
      <c r="J1541" s="4">
        <v>22833.944999999996</v>
      </c>
      <c r="K1541" s="4">
        <v>108.02400000000125</v>
      </c>
      <c r="L1541" s="1">
        <f t="shared" si="440"/>
        <v>22941.968999999997</v>
      </c>
      <c r="M1541" s="2">
        <f t="shared" si="441"/>
        <v>0.9952914242016454</v>
      </c>
      <c r="N1541" s="2">
        <f t="shared" si="442"/>
        <v>4.7085757983545903E-3</v>
      </c>
    </row>
    <row r="1542" spans="1:14" x14ac:dyDescent="0.35">
      <c r="A1542" t="s">
        <v>34</v>
      </c>
      <c r="B1542" t="s">
        <v>22</v>
      </c>
      <c r="C1542">
        <v>2002</v>
      </c>
      <c r="D1542" t="s">
        <v>32</v>
      </c>
      <c r="E1542" s="8">
        <v>31426</v>
      </c>
      <c r="F1542" s="8">
        <v>286</v>
      </c>
      <c r="G1542" s="1">
        <f t="shared" si="437"/>
        <v>31712</v>
      </c>
      <c r="H1542" s="2">
        <f t="shared" si="438"/>
        <v>0.99098133198789107</v>
      </c>
      <c r="I1542" s="2">
        <f t="shared" si="439"/>
        <v>9.018668012108981E-3</v>
      </c>
      <c r="J1542" s="4">
        <v>22700.581000000002</v>
      </c>
      <c r="K1542" s="4">
        <v>122.7980000000025</v>
      </c>
      <c r="L1542" s="1">
        <f t="shared" si="440"/>
        <v>22823.379000000004</v>
      </c>
      <c r="M1542" s="2">
        <f t="shared" si="441"/>
        <v>0.99461963980004875</v>
      </c>
      <c r="N1542" s="2">
        <f t="shared" si="442"/>
        <v>5.3803601999512203E-3</v>
      </c>
    </row>
    <row r="1543" spans="1:14" x14ac:dyDescent="0.35">
      <c r="A1543" t="s">
        <v>34</v>
      </c>
      <c r="B1543" t="s">
        <v>23</v>
      </c>
      <c r="C1543">
        <v>2002</v>
      </c>
      <c r="D1543" t="s">
        <v>32</v>
      </c>
      <c r="E1543" s="8">
        <v>31288</v>
      </c>
      <c r="F1543" s="8">
        <v>367</v>
      </c>
      <c r="G1543" s="1">
        <f t="shared" si="437"/>
        <v>31655</v>
      </c>
      <c r="H1543" s="2">
        <f t="shared" si="438"/>
        <v>0.98840625493602907</v>
      </c>
      <c r="I1543" s="2">
        <f t="shared" si="439"/>
        <v>1.1593745063970937E-2</v>
      </c>
      <c r="J1543" s="4">
        <v>22679.131999999998</v>
      </c>
      <c r="K1543" s="4">
        <v>150.49699999999939</v>
      </c>
      <c r="L1543" s="1">
        <f t="shared" si="440"/>
        <v>22829.628999999997</v>
      </c>
      <c r="M1543" s="2">
        <f t="shared" si="441"/>
        <v>0.99340782103817804</v>
      </c>
      <c r="N1543" s="2">
        <f t="shared" si="442"/>
        <v>6.5921789618219118E-3</v>
      </c>
    </row>
    <row r="1544" spans="1:14" x14ac:dyDescent="0.35">
      <c r="A1544" t="s">
        <v>34</v>
      </c>
      <c r="B1544" t="s">
        <v>24</v>
      </c>
      <c r="C1544">
        <v>2002</v>
      </c>
      <c r="D1544" t="s">
        <v>32</v>
      </c>
      <c r="E1544" s="8">
        <v>30901</v>
      </c>
      <c r="F1544" s="8">
        <v>524</v>
      </c>
      <c r="G1544" s="1">
        <f t="shared" si="437"/>
        <v>31425</v>
      </c>
      <c r="H1544" s="2">
        <f t="shared" si="438"/>
        <v>0.98332537788385044</v>
      </c>
      <c r="I1544" s="2">
        <f t="shared" si="439"/>
        <v>1.6674622116149562E-2</v>
      </c>
      <c r="J1544" s="4">
        <v>22673.023000000001</v>
      </c>
      <c r="K1544" s="4">
        <v>169.40799999999945</v>
      </c>
      <c r="L1544" s="1">
        <f t="shared" si="440"/>
        <v>22842.431</v>
      </c>
      <c r="M1544" s="2">
        <f t="shared" si="441"/>
        <v>0.9925836264975475</v>
      </c>
      <c r="N1544" s="2">
        <f t="shared" si="442"/>
        <v>7.416373502452495E-3</v>
      </c>
    </row>
    <row r="1545" spans="1:14" x14ac:dyDescent="0.35">
      <c r="A1545" t="s">
        <v>34</v>
      </c>
      <c r="B1545" t="s">
        <v>25</v>
      </c>
      <c r="C1545">
        <v>2002</v>
      </c>
      <c r="D1545" t="s">
        <v>32</v>
      </c>
      <c r="E1545" s="8">
        <v>30218</v>
      </c>
      <c r="F1545" s="8">
        <v>956</v>
      </c>
      <c r="G1545" s="1">
        <f t="shared" si="437"/>
        <v>31174</v>
      </c>
      <c r="H1545" s="2">
        <f t="shared" si="438"/>
        <v>0.96933341887470326</v>
      </c>
      <c r="I1545" s="2">
        <f t="shared" si="439"/>
        <v>3.0666581125296723E-2</v>
      </c>
      <c r="J1545" s="4">
        <v>22661.699000000001</v>
      </c>
      <c r="K1545" s="4">
        <v>214.16100000000006</v>
      </c>
      <c r="L1545" s="1">
        <f t="shared" si="440"/>
        <v>22875.86</v>
      </c>
      <c r="M1545" s="2">
        <f t="shared" si="441"/>
        <v>0.99063812245747263</v>
      </c>
      <c r="N1545" s="2">
        <f t="shared" si="442"/>
        <v>9.3618775425273644E-3</v>
      </c>
    </row>
    <row r="1546" spans="1:14" x14ac:dyDescent="0.35">
      <c r="A1546" t="s">
        <v>34</v>
      </c>
      <c r="B1546" t="s">
        <v>26</v>
      </c>
      <c r="C1546">
        <v>2002</v>
      </c>
      <c r="D1546" t="s">
        <v>32</v>
      </c>
      <c r="E1546" s="8">
        <v>29982</v>
      </c>
      <c r="F1546" s="8">
        <v>1017</v>
      </c>
      <c r="G1546" s="1">
        <f t="shared" si="437"/>
        <v>30999</v>
      </c>
      <c r="H1546" s="2">
        <f t="shared" si="438"/>
        <v>0.96719249008032515</v>
      </c>
      <c r="I1546" s="2">
        <f t="shared" si="439"/>
        <v>3.2807509919674828E-2</v>
      </c>
      <c r="J1546" s="4">
        <v>22629.088000000003</v>
      </c>
      <c r="K1546" s="4">
        <v>259.98199999999997</v>
      </c>
      <c r="L1546" s="1">
        <f t="shared" si="440"/>
        <v>22889.070000000003</v>
      </c>
      <c r="M1546" s="2">
        <f t="shared" si="441"/>
        <v>0.9886416529810953</v>
      </c>
      <c r="N1546" s="2">
        <f t="shared" si="442"/>
        <v>1.1358347018904653E-2</v>
      </c>
    </row>
    <row r="1547" spans="1:14" x14ac:dyDescent="0.35">
      <c r="A1547" t="s">
        <v>34</v>
      </c>
      <c r="B1547" t="s">
        <v>27</v>
      </c>
      <c r="C1547">
        <v>2002</v>
      </c>
      <c r="D1547" t="s">
        <v>32</v>
      </c>
      <c r="E1547" s="8">
        <v>29746</v>
      </c>
      <c r="F1547" s="8">
        <v>1068</v>
      </c>
      <c r="G1547" s="1">
        <f t="shared" si="437"/>
        <v>30814</v>
      </c>
      <c r="H1547" s="2">
        <f t="shared" si="438"/>
        <v>0.96534042967482314</v>
      </c>
      <c r="I1547" s="2">
        <f t="shared" si="439"/>
        <v>3.4659570325176865E-2</v>
      </c>
      <c r="J1547" s="4">
        <v>22685.063999999998</v>
      </c>
      <c r="K1547" s="4">
        <v>299.50600000000486</v>
      </c>
      <c r="L1547" s="1">
        <f t="shared" si="440"/>
        <v>22984.570000000003</v>
      </c>
      <c r="M1547" s="2">
        <f t="shared" si="441"/>
        <v>0.986969258071828</v>
      </c>
      <c r="N1547" s="2">
        <f t="shared" si="442"/>
        <v>1.3030741928172022E-2</v>
      </c>
    </row>
    <row r="1548" spans="1:14" x14ac:dyDescent="0.35">
      <c r="A1548" t="s">
        <v>34</v>
      </c>
      <c r="B1548" t="s">
        <v>28</v>
      </c>
      <c r="C1548">
        <v>2002</v>
      </c>
      <c r="D1548" t="s">
        <v>32</v>
      </c>
      <c r="E1548" s="8">
        <v>29539</v>
      </c>
      <c r="F1548" s="8">
        <v>1126</v>
      </c>
      <c r="G1548" s="1">
        <f t="shared" si="437"/>
        <v>30665</v>
      </c>
      <c r="H1548" s="2">
        <f t="shared" si="438"/>
        <v>0.96328061307679769</v>
      </c>
      <c r="I1548" s="2">
        <f t="shared" si="439"/>
        <v>3.6719386923202348E-2</v>
      </c>
      <c r="J1548" s="4">
        <v>22628.328999999998</v>
      </c>
      <c r="K1548" s="4">
        <v>387.27500000000509</v>
      </c>
      <c r="L1548" s="1">
        <f t="shared" si="440"/>
        <v>23015.604000000003</v>
      </c>
      <c r="M1548" s="2">
        <f t="shared" si="441"/>
        <v>0.98317337229125057</v>
      </c>
      <c r="N1548" s="2">
        <f t="shared" si="442"/>
        <v>1.6826627708749466E-2</v>
      </c>
    </row>
    <row r="1549" spans="1:14" x14ac:dyDescent="0.35">
      <c r="A1549" t="s">
        <v>34</v>
      </c>
      <c r="B1549" t="s">
        <v>29</v>
      </c>
      <c r="C1549">
        <v>2002</v>
      </c>
      <c r="D1549" t="s">
        <v>32</v>
      </c>
      <c r="E1549" s="8">
        <v>29370</v>
      </c>
      <c r="F1549" s="8">
        <v>1181</v>
      </c>
      <c r="G1549" s="1">
        <f t="shared" si="437"/>
        <v>30551</v>
      </c>
      <c r="H1549" s="2">
        <f t="shared" si="438"/>
        <v>0.96134332755065299</v>
      </c>
      <c r="I1549" s="2">
        <f t="shared" si="439"/>
        <v>3.8656672449346993E-2</v>
      </c>
      <c r="J1549" s="4">
        <v>22658.337999999996</v>
      </c>
      <c r="K1549" s="4">
        <v>366.42699999999968</v>
      </c>
      <c r="L1549" s="1">
        <f t="shared" si="440"/>
        <v>23024.764999999996</v>
      </c>
      <c r="M1549" s="2">
        <f t="shared" si="441"/>
        <v>0.98408552704012398</v>
      </c>
      <c r="N1549" s="2">
        <f t="shared" si="442"/>
        <v>1.5914472959876018E-2</v>
      </c>
    </row>
    <row r="1550" spans="1:14" x14ac:dyDescent="0.35">
      <c r="A1550" t="s">
        <v>34</v>
      </c>
      <c r="B1550" t="s">
        <v>17</v>
      </c>
      <c r="C1550">
        <v>2003</v>
      </c>
      <c r="D1550" t="s">
        <v>32</v>
      </c>
      <c r="E1550" s="8">
        <v>29303</v>
      </c>
      <c r="F1550" s="8">
        <v>1176</v>
      </c>
      <c r="G1550" s="1">
        <f t="shared" si="437"/>
        <v>30479</v>
      </c>
      <c r="H1550" s="2">
        <f t="shared" si="438"/>
        <v>0.9614160569572493</v>
      </c>
      <c r="I1550" s="2">
        <f t="shared" si="439"/>
        <v>3.858394304275075E-2</v>
      </c>
      <c r="J1550" s="4">
        <v>22621</v>
      </c>
      <c r="K1550" s="4">
        <v>396</v>
      </c>
      <c r="L1550" s="1">
        <f t="shared" si="440"/>
        <v>23017</v>
      </c>
      <c r="M1550" s="2">
        <f t="shared" si="441"/>
        <v>0.98279532519442148</v>
      </c>
      <c r="N1550" s="2">
        <f t="shared" si="442"/>
        <v>1.7204674805578486E-2</v>
      </c>
    </row>
    <row r="1551" spans="1:14" x14ac:dyDescent="0.35">
      <c r="A1551" t="s">
        <v>34</v>
      </c>
      <c r="B1551" t="s">
        <v>19</v>
      </c>
      <c r="C1551">
        <v>2003</v>
      </c>
      <c r="D1551" t="s">
        <v>32</v>
      </c>
      <c r="E1551" s="8">
        <v>29022</v>
      </c>
      <c r="F1551" s="8">
        <v>1287</v>
      </c>
      <c r="G1551" s="1">
        <f t="shared" si="437"/>
        <v>30309</v>
      </c>
      <c r="H1551" s="2">
        <f t="shared" si="438"/>
        <v>0.95753736513906762</v>
      </c>
      <c r="I1551" s="2">
        <f t="shared" si="439"/>
        <v>4.2462634860932394E-2</v>
      </c>
      <c r="J1551" s="4">
        <v>22393</v>
      </c>
      <c r="K1551" s="4">
        <v>616</v>
      </c>
      <c r="L1551" s="1">
        <f t="shared" si="440"/>
        <v>23009</v>
      </c>
      <c r="M1551" s="2">
        <f t="shared" si="441"/>
        <v>0.97322786735625189</v>
      </c>
      <c r="N1551" s="2">
        <f t="shared" si="442"/>
        <v>2.6772132643748097E-2</v>
      </c>
    </row>
    <row r="1552" spans="1:14" x14ac:dyDescent="0.35">
      <c r="A1552" t="s">
        <v>34</v>
      </c>
      <c r="B1552" t="s">
        <v>20</v>
      </c>
      <c r="C1552">
        <v>2003</v>
      </c>
      <c r="D1552" t="s">
        <v>32</v>
      </c>
      <c r="E1552" s="8">
        <v>28780</v>
      </c>
      <c r="F1552" s="8">
        <v>1364</v>
      </c>
      <c r="G1552" s="1">
        <f t="shared" si="437"/>
        <v>30144</v>
      </c>
      <c r="H1552" s="2">
        <f t="shared" si="438"/>
        <v>0.9547505307855626</v>
      </c>
      <c r="I1552" s="2">
        <f t="shared" si="439"/>
        <v>4.5249469214437364E-2</v>
      </c>
      <c r="J1552" s="4">
        <v>22191</v>
      </c>
      <c r="K1552" s="4">
        <v>780</v>
      </c>
      <c r="L1552" s="1">
        <f t="shared" si="440"/>
        <v>22971</v>
      </c>
      <c r="M1552" s="2">
        <f t="shared" si="441"/>
        <v>0.96604414261460103</v>
      </c>
      <c r="N1552" s="2">
        <f t="shared" si="442"/>
        <v>3.3955857385398983E-2</v>
      </c>
    </row>
    <row r="1553" spans="1:14" x14ac:dyDescent="0.35">
      <c r="A1553" t="s">
        <v>34</v>
      </c>
      <c r="B1553" t="s">
        <v>21</v>
      </c>
      <c r="C1553">
        <v>2003</v>
      </c>
      <c r="D1553" t="s">
        <v>32</v>
      </c>
      <c r="E1553" s="9">
        <v>28732</v>
      </c>
      <c r="F1553" s="8">
        <v>1386</v>
      </c>
      <c r="G1553" s="1">
        <f t="shared" si="437"/>
        <v>30118</v>
      </c>
      <c r="H1553" s="2">
        <f t="shared" si="438"/>
        <v>0.95398100803506214</v>
      </c>
      <c r="I1553" s="2">
        <f t="shared" si="439"/>
        <v>4.601899196493791E-2</v>
      </c>
      <c r="J1553" s="4">
        <v>23255.97</v>
      </c>
      <c r="K1553" s="4">
        <v>1078.5999999999999</v>
      </c>
      <c r="L1553" s="1">
        <f t="shared" si="440"/>
        <v>24334.57</v>
      </c>
      <c r="M1553" s="2">
        <f t="shared" si="441"/>
        <v>0.95567622522197848</v>
      </c>
      <c r="N1553" s="2">
        <f t="shared" si="442"/>
        <v>4.4323774778021553E-2</v>
      </c>
    </row>
    <row r="1554" spans="1:14" x14ac:dyDescent="0.35">
      <c r="A1554" t="s">
        <v>34</v>
      </c>
      <c r="B1554" t="s">
        <v>22</v>
      </c>
      <c r="C1554">
        <v>2003</v>
      </c>
      <c r="D1554" t="s">
        <v>32</v>
      </c>
      <c r="E1554" s="9">
        <v>28352</v>
      </c>
      <c r="F1554" s="8">
        <v>1432</v>
      </c>
      <c r="G1554" s="1">
        <f t="shared" si="437"/>
        <v>29784</v>
      </c>
      <c r="H1554" s="2">
        <f t="shared" si="438"/>
        <v>0.95192049422508729</v>
      </c>
      <c r="I1554" s="2">
        <f t="shared" si="439"/>
        <v>4.8079505774912705E-2</v>
      </c>
      <c r="J1554" s="4">
        <v>22217.32</v>
      </c>
      <c r="K1554" s="4">
        <v>967.31000000000131</v>
      </c>
      <c r="L1554" s="1">
        <f t="shared" si="440"/>
        <v>23184.63</v>
      </c>
      <c r="M1554" s="2">
        <f t="shared" si="441"/>
        <v>0.95827796259849729</v>
      </c>
      <c r="N1554" s="2">
        <f t="shared" si="442"/>
        <v>4.1722037401502689E-2</v>
      </c>
    </row>
    <row r="1555" spans="1:14" x14ac:dyDescent="0.35">
      <c r="A1555" t="s">
        <v>34</v>
      </c>
      <c r="B1555" t="s">
        <v>23</v>
      </c>
      <c r="C1555">
        <v>2003</v>
      </c>
      <c r="D1555" t="s">
        <v>32</v>
      </c>
      <c r="E1555" s="9">
        <v>28061</v>
      </c>
      <c r="F1555" s="8">
        <v>1467</v>
      </c>
      <c r="G1555" s="1">
        <f t="shared" si="437"/>
        <v>29528</v>
      </c>
      <c r="H1555" s="2">
        <f t="shared" si="438"/>
        <v>0.95031834191276077</v>
      </c>
      <c r="I1555" s="2">
        <f t="shared" si="439"/>
        <v>4.9681658087239233E-2</v>
      </c>
      <c r="J1555" s="4">
        <v>22069.59</v>
      </c>
      <c r="K1555" s="4">
        <v>1014.73</v>
      </c>
      <c r="L1555" s="1">
        <f t="shared" si="440"/>
        <v>23084.32</v>
      </c>
      <c r="M1555" s="2">
        <f t="shared" si="441"/>
        <v>0.95604245652460196</v>
      </c>
      <c r="N1555" s="2">
        <f t="shared" si="442"/>
        <v>4.3957543475398021E-2</v>
      </c>
    </row>
    <row r="1556" spans="1:14" x14ac:dyDescent="0.35">
      <c r="A1556" t="s">
        <v>34</v>
      </c>
      <c r="B1556" t="s">
        <v>24</v>
      </c>
      <c r="C1556">
        <v>2003</v>
      </c>
      <c r="D1556" t="s">
        <v>32</v>
      </c>
      <c r="E1556" s="9">
        <v>27716</v>
      </c>
      <c r="F1556" s="8">
        <v>1494</v>
      </c>
      <c r="G1556" s="1">
        <f t="shared" si="437"/>
        <v>29210</v>
      </c>
      <c r="H1556" s="2">
        <f t="shared" si="438"/>
        <v>0.94885313248887371</v>
      </c>
      <c r="I1556" s="2">
        <f t="shared" si="439"/>
        <v>5.1146867511126327E-2</v>
      </c>
      <c r="J1556" s="4">
        <v>22189.64</v>
      </c>
      <c r="K1556" s="4">
        <v>1102.3599999999999</v>
      </c>
      <c r="L1556" s="1">
        <f t="shared" si="440"/>
        <v>23292</v>
      </c>
      <c r="M1556" s="2">
        <f t="shared" si="441"/>
        <v>0.9526721621157479</v>
      </c>
      <c r="N1556" s="2">
        <f t="shared" si="442"/>
        <v>4.73278378842521E-2</v>
      </c>
    </row>
    <row r="1557" spans="1:14" x14ac:dyDescent="0.35">
      <c r="A1557" t="s">
        <v>34</v>
      </c>
      <c r="B1557" t="s">
        <v>25</v>
      </c>
      <c r="C1557">
        <v>2003</v>
      </c>
      <c r="D1557" t="s">
        <v>32</v>
      </c>
      <c r="E1557" s="9">
        <v>27438</v>
      </c>
      <c r="F1557" s="8">
        <v>1534</v>
      </c>
      <c r="G1557" s="1">
        <f t="shared" si="437"/>
        <v>28972</v>
      </c>
      <c r="H1557" s="2">
        <f t="shared" si="438"/>
        <v>0.94705232638409498</v>
      </c>
      <c r="I1557" s="2">
        <f t="shared" si="439"/>
        <v>5.2947673615905015E-2</v>
      </c>
      <c r="J1557" s="4">
        <v>22003.07</v>
      </c>
      <c r="K1557" s="4">
        <v>997.65</v>
      </c>
      <c r="L1557" s="1">
        <f t="shared" si="440"/>
        <v>23000.720000000001</v>
      </c>
      <c r="M1557" s="2">
        <f t="shared" si="441"/>
        <v>0.95662527086108606</v>
      </c>
      <c r="N1557" s="2">
        <f t="shared" si="442"/>
        <v>4.3374729138913909E-2</v>
      </c>
    </row>
    <row r="1558" spans="1:14" x14ac:dyDescent="0.35">
      <c r="A1558" t="s">
        <v>34</v>
      </c>
      <c r="B1558" t="s">
        <v>26</v>
      </c>
      <c r="C1558">
        <v>2003</v>
      </c>
      <c r="D1558" t="s">
        <v>32</v>
      </c>
      <c r="E1558" s="9">
        <v>27219</v>
      </c>
      <c r="F1558" s="8">
        <v>1495</v>
      </c>
      <c r="G1558" s="1">
        <f t="shared" si="437"/>
        <v>28714</v>
      </c>
      <c r="H1558" s="2">
        <f t="shared" si="438"/>
        <v>0.94793480532144603</v>
      </c>
      <c r="I1558" s="2">
        <f t="shared" si="439"/>
        <v>5.2065194678554014E-2</v>
      </c>
      <c r="J1558" s="4">
        <v>21802.93</v>
      </c>
      <c r="K1558" s="4">
        <v>977.57</v>
      </c>
      <c r="L1558" s="1">
        <f t="shared" si="440"/>
        <v>22780.5</v>
      </c>
      <c r="M1558" s="2">
        <f t="shared" si="441"/>
        <v>0.95708742125941049</v>
      </c>
      <c r="N1558" s="2">
        <f t="shared" si="442"/>
        <v>4.2912578740589541E-2</v>
      </c>
    </row>
    <row r="1559" spans="1:14" x14ac:dyDescent="0.35">
      <c r="A1559" t="s">
        <v>34</v>
      </c>
      <c r="B1559" t="s">
        <v>27</v>
      </c>
      <c r="C1559">
        <v>2003</v>
      </c>
      <c r="D1559" t="s">
        <v>32</v>
      </c>
      <c r="E1559" s="9">
        <v>27062</v>
      </c>
      <c r="F1559" s="8">
        <v>1481</v>
      </c>
      <c r="G1559" s="1">
        <f t="shared" si="437"/>
        <v>28543</v>
      </c>
      <c r="H1559" s="2">
        <f t="shared" si="438"/>
        <v>0.94811337280594188</v>
      </c>
      <c r="I1559" s="2">
        <f t="shared" si="439"/>
        <v>5.1886627194058087E-2</v>
      </c>
      <c r="J1559" s="4">
        <v>22247.06</v>
      </c>
      <c r="K1559" s="4">
        <v>1005.13</v>
      </c>
      <c r="L1559" s="1">
        <f t="shared" si="440"/>
        <v>23252.190000000002</v>
      </c>
      <c r="M1559" s="2">
        <f t="shared" si="441"/>
        <v>0.95677267388577159</v>
      </c>
      <c r="N1559" s="2">
        <f t="shared" si="442"/>
        <v>4.3227326114228373E-2</v>
      </c>
    </row>
    <row r="1560" spans="1:14" x14ac:dyDescent="0.35">
      <c r="A1560" t="s">
        <v>34</v>
      </c>
      <c r="B1560" t="s">
        <v>28</v>
      </c>
      <c r="C1560">
        <v>2003</v>
      </c>
      <c r="D1560" t="s">
        <v>32</v>
      </c>
      <c r="E1560" s="9">
        <v>26849</v>
      </c>
      <c r="F1560" s="8">
        <v>1513</v>
      </c>
      <c r="G1560" s="1">
        <f t="shared" si="437"/>
        <v>28362</v>
      </c>
      <c r="H1560" s="2">
        <f t="shared" si="438"/>
        <v>0.94665397362668358</v>
      </c>
      <c r="I1560" s="2">
        <f t="shared" si="439"/>
        <v>5.334602637331641E-2</v>
      </c>
      <c r="J1560" s="4">
        <v>22000.13</v>
      </c>
      <c r="K1560" s="4">
        <v>1103.8599999999999</v>
      </c>
      <c r="L1560" s="1">
        <f t="shared" si="440"/>
        <v>23103.99</v>
      </c>
      <c r="M1560" s="2">
        <f t="shared" si="441"/>
        <v>0.95222210535929075</v>
      </c>
      <c r="N1560" s="2">
        <f t="shared" si="442"/>
        <v>4.7777894640709237E-2</v>
      </c>
    </row>
    <row r="1561" spans="1:14" x14ac:dyDescent="0.35">
      <c r="A1561" t="s">
        <v>34</v>
      </c>
      <c r="B1561" t="s">
        <v>29</v>
      </c>
      <c r="C1561">
        <v>2003</v>
      </c>
      <c r="D1561" t="s">
        <v>32</v>
      </c>
      <c r="E1561" s="9">
        <v>26600</v>
      </c>
      <c r="F1561" s="8">
        <v>1575</v>
      </c>
      <c r="G1561" s="1">
        <f t="shared" si="437"/>
        <v>28175</v>
      </c>
      <c r="H1561" s="2">
        <f t="shared" si="438"/>
        <v>0.94409937888198758</v>
      </c>
      <c r="I1561" s="2">
        <f t="shared" si="439"/>
        <v>5.5900621118012424E-2</v>
      </c>
      <c r="J1561" s="4">
        <v>21997.16</v>
      </c>
      <c r="K1561" s="4">
        <v>1113.71</v>
      </c>
      <c r="L1561" s="1">
        <f t="shared" si="440"/>
        <v>23110.87</v>
      </c>
      <c r="M1561" s="2">
        <f t="shared" si="441"/>
        <v>0.95181012224983308</v>
      </c>
      <c r="N1561" s="2">
        <f t="shared" si="442"/>
        <v>4.8189877750166914E-2</v>
      </c>
    </row>
    <row r="1562" spans="1:14" x14ac:dyDescent="0.35">
      <c r="A1562" t="s">
        <v>34</v>
      </c>
      <c r="B1562" t="s">
        <v>17</v>
      </c>
      <c r="C1562">
        <v>2004</v>
      </c>
      <c r="D1562" t="s">
        <v>32</v>
      </c>
      <c r="E1562" s="9">
        <v>26370</v>
      </c>
      <c r="F1562" s="8">
        <v>1645</v>
      </c>
      <c r="G1562" s="1">
        <f t="shared" si="437"/>
        <v>28015</v>
      </c>
      <c r="H1562" s="2">
        <f t="shared" si="438"/>
        <v>0.94128145636266281</v>
      </c>
      <c r="I1562" s="2">
        <f t="shared" si="439"/>
        <v>5.8718543637337139E-2</v>
      </c>
      <c r="J1562" s="4">
        <v>21939.61</v>
      </c>
      <c r="K1562" s="4">
        <v>1199.32</v>
      </c>
      <c r="L1562" s="1">
        <f t="shared" si="440"/>
        <v>23138.93</v>
      </c>
      <c r="M1562" s="2">
        <f t="shared" si="441"/>
        <v>0.94816873554654435</v>
      </c>
      <c r="N1562" s="2">
        <f t="shared" si="442"/>
        <v>5.1831264453455712E-2</v>
      </c>
    </row>
    <row r="1563" spans="1:14" x14ac:dyDescent="0.35">
      <c r="A1563" t="s">
        <v>34</v>
      </c>
      <c r="B1563" t="s">
        <v>19</v>
      </c>
      <c r="C1563">
        <v>2004</v>
      </c>
      <c r="D1563" t="s">
        <v>32</v>
      </c>
      <c r="E1563" s="9">
        <v>26233</v>
      </c>
      <c r="F1563" s="8">
        <v>1709</v>
      </c>
      <c r="G1563" s="1">
        <f t="shared" si="437"/>
        <v>27942</v>
      </c>
      <c r="H1563" s="2">
        <f t="shared" si="438"/>
        <v>0.93883759215517859</v>
      </c>
      <c r="I1563" s="2">
        <f t="shared" si="439"/>
        <v>6.1162407844821416E-2</v>
      </c>
      <c r="J1563" s="4">
        <v>21999.54</v>
      </c>
      <c r="K1563" s="4">
        <v>1189.08</v>
      </c>
      <c r="L1563" s="1">
        <f t="shared" si="440"/>
        <v>23188.620000000003</v>
      </c>
      <c r="M1563" s="2">
        <f t="shared" si="441"/>
        <v>0.94872139868607952</v>
      </c>
      <c r="N1563" s="2">
        <f t="shared" si="442"/>
        <v>5.1278601313920355E-2</v>
      </c>
    </row>
    <row r="1564" spans="1:14" x14ac:dyDescent="0.35">
      <c r="A1564" t="s">
        <v>34</v>
      </c>
      <c r="B1564" t="s">
        <v>20</v>
      </c>
      <c r="C1564">
        <v>2004</v>
      </c>
      <c r="D1564" t="s">
        <v>32</v>
      </c>
      <c r="E1564" s="9">
        <v>25937</v>
      </c>
      <c r="F1564" s="8">
        <v>1881</v>
      </c>
      <c r="G1564" s="1">
        <f t="shared" si="437"/>
        <v>27818</v>
      </c>
      <c r="H1564" s="2">
        <f t="shared" si="438"/>
        <v>0.93238191099288226</v>
      </c>
      <c r="I1564" s="2">
        <f t="shared" si="439"/>
        <v>6.7618089007117688E-2</v>
      </c>
      <c r="J1564" s="4">
        <v>21016.66</v>
      </c>
      <c r="K1564" s="4">
        <v>2241.92</v>
      </c>
      <c r="L1564" s="1">
        <f t="shared" si="440"/>
        <v>23258.58</v>
      </c>
      <c r="M1564" s="2">
        <f t="shared" si="441"/>
        <v>0.90360890475686817</v>
      </c>
      <c r="N1564" s="2">
        <f t="shared" si="442"/>
        <v>9.6391095243131775E-2</v>
      </c>
    </row>
    <row r="1565" spans="1:14" x14ac:dyDescent="0.35">
      <c r="A1565" t="s">
        <v>34</v>
      </c>
      <c r="B1565" t="s">
        <v>21</v>
      </c>
      <c r="C1565">
        <v>2004</v>
      </c>
      <c r="D1565" t="s">
        <v>32</v>
      </c>
      <c r="E1565" s="9">
        <v>25874</v>
      </c>
      <c r="F1565" s="8">
        <v>1838</v>
      </c>
      <c r="G1565" s="1">
        <f t="shared" si="437"/>
        <v>27712</v>
      </c>
      <c r="H1565" s="2">
        <f t="shared" si="438"/>
        <v>0.93367494226327941</v>
      </c>
      <c r="I1565" s="2">
        <f t="shared" si="439"/>
        <v>6.6325057736720552E-2</v>
      </c>
      <c r="J1565" s="4">
        <v>20887.3</v>
      </c>
      <c r="K1565" s="4">
        <v>2230.7800000000002</v>
      </c>
      <c r="L1565" s="1">
        <f t="shared" si="440"/>
        <v>23118.079999999998</v>
      </c>
      <c r="M1565" s="2">
        <f t="shared" si="441"/>
        <v>0.90350496234981459</v>
      </c>
      <c r="N1565" s="2">
        <f t="shared" si="442"/>
        <v>9.6495037650185495E-2</v>
      </c>
    </row>
    <row r="1566" spans="1:14" x14ac:dyDescent="0.35">
      <c r="A1566" t="s">
        <v>34</v>
      </c>
      <c r="B1566" t="s">
        <v>22</v>
      </c>
      <c r="C1566">
        <v>2004</v>
      </c>
      <c r="D1566" t="s">
        <v>32</v>
      </c>
      <c r="E1566" s="9">
        <v>25793</v>
      </c>
      <c r="F1566" s="8">
        <v>1809</v>
      </c>
      <c r="G1566" s="1">
        <f t="shared" si="437"/>
        <v>27602</v>
      </c>
      <c r="H1566" s="2">
        <f t="shared" si="438"/>
        <v>0.93446127092239695</v>
      </c>
      <c r="I1566" s="2">
        <f t="shared" si="439"/>
        <v>6.5538729077603067E-2</v>
      </c>
      <c r="J1566" s="4">
        <v>18747.28</v>
      </c>
      <c r="K1566" s="4">
        <v>2213.0100000000002</v>
      </c>
      <c r="L1566" s="1">
        <f t="shared" si="440"/>
        <v>20960.29</v>
      </c>
      <c r="M1566" s="2">
        <f t="shared" si="441"/>
        <v>0.89441892263895195</v>
      </c>
      <c r="N1566" s="2">
        <f t="shared" si="442"/>
        <v>0.10558107736104796</v>
      </c>
    </row>
    <row r="1567" spans="1:14" x14ac:dyDescent="0.35">
      <c r="A1567" t="s">
        <v>34</v>
      </c>
      <c r="B1567" t="s">
        <v>23</v>
      </c>
      <c r="C1567">
        <v>2004</v>
      </c>
      <c r="D1567" t="s">
        <v>32</v>
      </c>
      <c r="E1567" s="9">
        <v>25729</v>
      </c>
      <c r="F1567" s="8">
        <v>1793</v>
      </c>
      <c r="G1567" s="1">
        <f t="shared" si="437"/>
        <v>27522</v>
      </c>
      <c r="H1567" s="2">
        <f t="shared" si="438"/>
        <v>0.93485211830535575</v>
      </c>
      <c r="I1567" s="2">
        <f t="shared" si="439"/>
        <v>6.5147881694644291E-2</v>
      </c>
      <c r="J1567" s="4">
        <v>23450.83</v>
      </c>
      <c r="K1567" s="4">
        <v>2283.65</v>
      </c>
      <c r="L1567" s="1">
        <f t="shared" si="440"/>
        <v>25734.480000000003</v>
      </c>
      <c r="M1567" s="2">
        <f t="shared" si="441"/>
        <v>0.91126107852188964</v>
      </c>
      <c r="N1567" s="2">
        <f t="shared" si="442"/>
        <v>8.87389214781103E-2</v>
      </c>
    </row>
    <row r="1568" spans="1:14" x14ac:dyDescent="0.35">
      <c r="A1568" t="s">
        <v>34</v>
      </c>
      <c r="B1568" t="s">
        <v>24</v>
      </c>
      <c r="C1568">
        <v>2004</v>
      </c>
      <c r="D1568" t="s">
        <v>32</v>
      </c>
      <c r="E1568" s="9">
        <v>25458</v>
      </c>
      <c r="F1568" s="8">
        <v>1876</v>
      </c>
      <c r="G1568" s="1">
        <f t="shared" si="437"/>
        <v>27334</v>
      </c>
      <c r="H1568" s="2">
        <f t="shared" si="438"/>
        <v>0.9313675276212775</v>
      </c>
      <c r="I1568" s="2">
        <f t="shared" si="439"/>
        <v>6.863247237872247E-2</v>
      </c>
      <c r="J1568" s="4">
        <v>20875.439999999999</v>
      </c>
      <c r="K1568" s="4">
        <v>2474.56</v>
      </c>
      <c r="L1568" s="1">
        <f t="shared" si="440"/>
        <v>23350</v>
      </c>
      <c r="M1568" s="2">
        <f t="shared" si="441"/>
        <v>0.8940231263383297</v>
      </c>
      <c r="N1568" s="2">
        <f t="shared" si="442"/>
        <v>0.10597687366167023</v>
      </c>
    </row>
    <row r="1569" spans="1:14" x14ac:dyDescent="0.35">
      <c r="A1569" t="s">
        <v>34</v>
      </c>
      <c r="B1569" t="s">
        <v>25</v>
      </c>
      <c r="C1569">
        <v>2004</v>
      </c>
      <c r="D1569" t="s">
        <v>32</v>
      </c>
      <c r="E1569" s="9">
        <v>25534</v>
      </c>
      <c r="F1569" s="8">
        <v>1950</v>
      </c>
      <c r="G1569" s="1">
        <f t="shared" si="437"/>
        <v>27484</v>
      </c>
      <c r="H1569" s="2">
        <f t="shared" si="438"/>
        <v>0.92904962887498177</v>
      </c>
      <c r="I1569" s="2">
        <f t="shared" si="439"/>
        <v>7.0950371125018188E-2</v>
      </c>
      <c r="J1569" s="4">
        <v>21075.32</v>
      </c>
      <c r="K1569" s="4">
        <v>2562.04</v>
      </c>
      <c r="L1569" s="1">
        <f t="shared" si="440"/>
        <v>23637.360000000001</v>
      </c>
      <c r="M1569" s="2">
        <f t="shared" si="441"/>
        <v>0.89161056903139768</v>
      </c>
      <c r="N1569" s="2">
        <f t="shared" si="442"/>
        <v>0.10838943096860225</v>
      </c>
    </row>
    <row r="1570" spans="1:14" x14ac:dyDescent="0.35">
      <c r="A1570" t="s">
        <v>34</v>
      </c>
      <c r="B1570" t="s">
        <v>26</v>
      </c>
      <c r="C1570">
        <v>2004</v>
      </c>
      <c r="D1570" t="s">
        <v>32</v>
      </c>
      <c r="E1570" s="9">
        <v>25497</v>
      </c>
      <c r="F1570" s="8">
        <v>2042</v>
      </c>
      <c r="G1570" s="1">
        <f t="shared" si="437"/>
        <v>27539</v>
      </c>
      <c r="H1570" s="2">
        <f t="shared" si="438"/>
        <v>0.92585061185954465</v>
      </c>
      <c r="I1570" s="2">
        <f t="shared" si="439"/>
        <v>7.4149388140455352E-2</v>
      </c>
      <c r="J1570" s="4">
        <v>21051.34</v>
      </c>
      <c r="K1570" s="4">
        <v>2604.81</v>
      </c>
      <c r="L1570" s="1">
        <f t="shared" si="440"/>
        <v>23656.15</v>
      </c>
      <c r="M1570" s="2">
        <f t="shared" si="441"/>
        <v>0.88988867588343834</v>
      </c>
      <c r="N1570" s="2">
        <f t="shared" si="442"/>
        <v>0.11011132411656165</v>
      </c>
    </row>
    <row r="1571" spans="1:14" x14ac:dyDescent="0.35">
      <c r="A1571" t="s">
        <v>34</v>
      </c>
      <c r="B1571" t="s">
        <v>27</v>
      </c>
      <c r="C1571">
        <v>2004</v>
      </c>
      <c r="D1571" t="s">
        <v>32</v>
      </c>
      <c r="E1571" s="9">
        <v>25199</v>
      </c>
      <c r="F1571" s="8">
        <v>2133</v>
      </c>
      <c r="G1571" s="1">
        <f t="shared" si="437"/>
        <v>27332</v>
      </c>
      <c r="H1571" s="2">
        <f t="shared" si="438"/>
        <v>0.92195960778574559</v>
      </c>
      <c r="I1571" s="2">
        <f t="shared" si="439"/>
        <v>7.804039221425435E-2</v>
      </c>
      <c r="J1571" s="4">
        <v>20806.191999999999</v>
      </c>
      <c r="K1571" s="4">
        <v>2619.252</v>
      </c>
      <c r="L1571" s="1">
        <f t="shared" si="440"/>
        <v>23425.444</v>
      </c>
      <c r="M1571" s="2">
        <f t="shared" si="441"/>
        <v>0.88818773296250009</v>
      </c>
      <c r="N1571" s="2">
        <f t="shared" si="442"/>
        <v>0.11181226703749991</v>
      </c>
    </row>
    <row r="1572" spans="1:14" x14ac:dyDescent="0.35">
      <c r="A1572" t="s">
        <v>34</v>
      </c>
      <c r="B1572" t="s">
        <v>28</v>
      </c>
      <c r="C1572">
        <v>2004</v>
      </c>
      <c r="D1572" t="s">
        <v>32</v>
      </c>
      <c r="E1572" s="9">
        <v>25095</v>
      </c>
      <c r="F1572" s="8">
        <v>2194</v>
      </c>
      <c r="G1572" s="1">
        <f t="shared" si="437"/>
        <v>27289</v>
      </c>
      <c r="H1572" s="2">
        <f t="shared" si="438"/>
        <v>0.91960130455494893</v>
      </c>
      <c r="I1572" s="2">
        <f t="shared" si="439"/>
        <v>8.0398695445051113E-2</v>
      </c>
      <c r="J1572" s="4">
        <v>20881.987000000001</v>
      </c>
      <c r="K1572" s="4">
        <v>2688.723</v>
      </c>
      <c r="L1572" s="1">
        <f t="shared" si="440"/>
        <v>23570.71</v>
      </c>
      <c r="M1572" s="2">
        <f t="shared" si="441"/>
        <v>0.88592948621403433</v>
      </c>
      <c r="N1572" s="2">
        <f t="shared" si="442"/>
        <v>0.11407051378596572</v>
      </c>
    </row>
    <row r="1573" spans="1:14" x14ac:dyDescent="0.35">
      <c r="A1573" t="s">
        <v>34</v>
      </c>
      <c r="B1573" t="s">
        <v>29</v>
      </c>
      <c r="C1573">
        <v>2004</v>
      </c>
      <c r="D1573" t="s">
        <v>32</v>
      </c>
      <c r="E1573" s="9">
        <v>24985</v>
      </c>
      <c r="F1573" s="8">
        <v>2235</v>
      </c>
      <c r="G1573" s="1">
        <f t="shared" si="437"/>
        <v>27220</v>
      </c>
      <c r="H1573" s="2">
        <f t="shared" si="438"/>
        <v>0.9178912564290963</v>
      </c>
      <c r="I1573" s="2">
        <f t="shared" si="439"/>
        <v>8.2108743570903753E-2</v>
      </c>
      <c r="J1573" s="4">
        <v>20676.387999999999</v>
      </c>
      <c r="K1573" s="4">
        <v>2787.2759999999998</v>
      </c>
      <c r="L1573" s="1">
        <f t="shared" si="440"/>
        <v>23463.663999999997</v>
      </c>
      <c r="M1573" s="2">
        <f t="shared" si="441"/>
        <v>0.88120883422128793</v>
      </c>
      <c r="N1573" s="2">
        <f t="shared" si="442"/>
        <v>0.11879116577871215</v>
      </c>
    </row>
    <row r="1574" spans="1:14" x14ac:dyDescent="0.35">
      <c r="A1574" t="s">
        <v>34</v>
      </c>
      <c r="B1574" t="s">
        <v>17</v>
      </c>
      <c r="C1574">
        <v>2005</v>
      </c>
      <c r="D1574" t="s">
        <v>32</v>
      </c>
      <c r="E1574" s="9">
        <v>24795</v>
      </c>
      <c r="F1574" s="8">
        <v>2290</v>
      </c>
      <c r="G1574" s="1">
        <f t="shared" si="437"/>
        <v>27085</v>
      </c>
      <c r="H1574" s="2">
        <f t="shared" si="438"/>
        <v>0.91545135683957912</v>
      </c>
      <c r="I1574" s="2">
        <f t="shared" si="439"/>
        <v>8.4548643160420892E-2</v>
      </c>
      <c r="J1574" s="4">
        <v>20989.05</v>
      </c>
      <c r="K1574" s="4">
        <v>2863.74</v>
      </c>
      <c r="L1574" s="1">
        <f t="shared" si="440"/>
        <v>23852.79</v>
      </c>
      <c r="M1574" s="2">
        <f t="shared" si="441"/>
        <v>0.8799410886525223</v>
      </c>
      <c r="N1574" s="2">
        <f t="shared" si="442"/>
        <v>0.12005891134747758</v>
      </c>
    </row>
    <row r="1575" spans="1:14" x14ac:dyDescent="0.35">
      <c r="A1575" t="s">
        <v>34</v>
      </c>
      <c r="B1575" t="s">
        <v>19</v>
      </c>
      <c r="C1575">
        <v>2005</v>
      </c>
      <c r="D1575" t="s">
        <v>32</v>
      </c>
      <c r="E1575" s="9">
        <v>24607</v>
      </c>
      <c r="F1575" s="8">
        <v>2400</v>
      </c>
      <c r="G1575" s="1">
        <f t="shared" si="437"/>
        <v>27007</v>
      </c>
      <c r="H1575" s="2">
        <f t="shared" si="438"/>
        <v>0.91113415040545043</v>
      </c>
      <c r="I1575" s="2">
        <f t="shared" si="439"/>
        <v>8.8865849594549559E-2</v>
      </c>
      <c r="J1575" s="4">
        <v>20756.95</v>
      </c>
      <c r="K1575" s="4">
        <v>2907.51</v>
      </c>
      <c r="L1575" s="1">
        <f t="shared" si="440"/>
        <v>23664.46</v>
      </c>
      <c r="M1575" s="2">
        <f t="shared" si="441"/>
        <v>0.87713600901943256</v>
      </c>
      <c r="N1575" s="2">
        <f t="shared" si="442"/>
        <v>0.12286399098056749</v>
      </c>
    </row>
    <row r="1576" spans="1:14" x14ac:dyDescent="0.35">
      <c r="A1576" t="s">
        <v>34</v>
      </c>
      <c r="B1576" t="s">
        <v>20</v>
      </c>
      <c r="C1576">
        <v>2005</v>
      </c>
      <c r="D1576" t="s">
        <v>32</v>
      </c>
      <c r="E1576" s="9">
        <v>24383</v>
      </c>
      <c r="F1576" s="8">
        <v>2444</v>
      </c>
      <c r="G1576" s="1">
        <f t="shared" si="437"/>
        <v>26827</v>
      </c>
      <c r="H1576" s="2">
        <f t="shared" si="438"/>
        <v>0.90889775226450964</v>
      </c>
      <c r="I1576" s="2">
        <f t="shared" si="439"/>
        <v>9.110224773549036E-2</v>
      </c>
      <c r="J1576" s="4">
        <v>20690.86</v>
      </c>
      <c r="K1576" s="4">
        <v>2971.28</v>
      </c>
      <c r="L1576" s="1">
        <f t="shared" si="440"/>
        <v>23662.14</v>
      </c>
      <c r="M1576" s="2">
        <f t="shared" si="441"/>
        <v>0.87442894007050931</v>
      </c>
      <c r="N1576" s="2">
        <f t="shared" si="442"/>
        <v>0.12557105992949075</v>
      </c>
    </row>
    <row r="1577" spans="1:14" x14ac:dyDescent="0.35">
      <c r="A1577" t="s">
        <v>34</v>
      </c>
      <c r="B1577" t="s">
        <v>21</v>
      </c>
      <c r="C1577">
        <v>2005</v>
      </c>
      <c r="D1577" t="s">
        <v>32</v>
      </c>
      <c r="E1577" s="9">
        <v>24210</v>
      </c>
      <c r="F1577" s="8">
        <v>2476</v>
      </c>
      <c r="G1577" s="1">
        <f t="shared" si="437"/>
        <v>26686</v>
      </c>
      <c r="H1577" s="2">
        <f t="shared" si="438"/>
        <v>0.90721726748107623</v>
      </c>
      <c r="I1577" s="2">
        <f t="shared" si="439"/>
        <v>9.2782732518923786E-2</v>
      </c>
      <c r="J1577" s="4">
        <v>20656.61</v>
      </c>
      <c r="K1577" s="4">
        <v>3000.87</v>
      </c>
      <c r="L1577" s="1">
        <f t="shared" si="440"/>
        <v>23657.48</v>
      </c>
      <c r="M1577" s="2">
        <f t="shared" si="441"/>
        <v>0.87315343815148527</v>
      </c>
      <c r="N1577" s="2">
        <f t="shared" si="442"/>
        <v>0.12684656184851473</v>
      </c>
    </row>
    <row r="1578" spans="1:14" x14ac:dyDescent="0.35">
      <c r="A1578" t="s">
        <v>34</v>
      </c>
      <c r="B1578" t="s">
        <v>22</v>
      </c>
      <c r="C1578">
        <v>2005</v>
      </c>
      <c r="D1578" t="s">
        <v>32</v>
      </c>
      <c r="E1578" s="9">
        <v>24020</v>
      </c>
      <c r="F1578" s="8">
        <v>2551</v>
      </c>
      <c r="G1578" s="1">
        <f t="shared" si="437"/>
        <v>26571</v>
      </c>
      <c r="H1578" s="2">
        <f t="shared" si="438"/>
        <v>0.90399307515712624</v>
      </c>
      <c r="I1578" s="2">
        <f t="shared" si="439"/>
        <v>9.6006924842873806E-2</v>
      </c>
      <c r="J1578" s="4">
        <v>20576.810000000001</v>
      </c>
      <c r="K1578" s="4">
        <v>3049.06</v>
      </c>
      <c r="L1578" s="1">
        <f t="shared" si="440"/>
        <v>23625.870000000003</v>
      </c>
      <c r="M1578" s="2">
        <f t="shared" si="441"/>
        <v>0.87094401179723746</v>
      </c>
      <c r="N1578" s="2">
        <f t="shared" si="442"/>
        <v>0.12905598820276246</v>
      </c>
    </row>
    <row r="1579" spans="1:14" x14ac:dyDescent="0.35">
      <c r="A1579" t="s">
        <v>34</v>
      </c>
      <c r="B1579" t="s">
        <v>23</v>
      </c>
      <c r="C1579">
        <v>2005</v>
      </c>
      <c r="D1579" t="s">
        <v>32</v>
      </c>
      <c r="E1579" s="9">
        <v>23887</v>
      </c>
      <c r="F1579" s="8">
        <v>2630</v>
      </c>
      <c r="G1579" s="1">
        <f t="shared" si="437"/>
        <v>26517</v>
      </c>
      <c r="H1579" s="2">
        <f t="shared" si="438"/>
        <v>0.90081834294980578</v>
      </c>
      <c r="I1579" s="2">
        <f t="shared" si="439"/>
        <v>9.9181657050194216E-2</v>
      </c>
      <c r="J1579" s="4">
        <v>20582.3</v>
      </c>
      <c r="K1579" s="4">
        <v>3078.38</v>
      </c>
      <c r="L1579" s="1">
        <f t="shared" si="440"/>
        <v>23660.68</v>
      </c>
      <c r="M1579" s="2">
        <f t="shared" si="441"/>
        <v>0.86989469448891577</v>
      </c>
      <c r="N1579" s="2">
        <f t="shared" si="442"/>
        <v>0.13010530551108421</v>
      </c>
    </row>
    <row r="1580" spans="1:14" x14ac:dyDescent="0.35">
      <c r="A1580" t="s">
        <v>34</v>
      </c>
      <c r="B1580" t="s">
        <v>24</v>
      </c>
      <c r="C1580">
        <v>2005</v>
      </c>
      <c r="D1580" t="s">
        <v>32</v>
      </c>
      <c r="E1580" s="9">
        <v>23705</v>
      </c>
      <c r="F1580" s="8">
        <v>2705</v>
      </c>
      <c r="G1580" s="1">
        <f t="shared" si="437"/>
        <v>26410</v>
      </c>
      <c r="H1580" s="2">
        <f t="shared" si="438"/>
        <v>0.89757667550170395</v>
      </c>
      <c r="I1580" s="2">
        <f t="shared" si="439"/>
        <v>0.10242332449829609</v>
      </c>
      <c r="J1580" s="4">
        <v>20558.349999999999</v>
      </c>
      <c r="K1580" s="4">
        <v>3164.98</v>
      </c>
      <c r="L1580" s="1">
        <f t="shared" si="440"/>
        <v>23723.329999999998</v>
      </c>
      <c r="M1580" s="2">
        <f t="shared" si="441"/>
        <v>0.86658786940956434</v>
      </c>
      <c r="N1580" s="2">
        <f t="shared" si="442"/>
        <v>0.13341213059043566</v>
      </c>
    </row>
    <row r="1581" spans="1:14" x14ac:dyDescent="0.35">
      <c r="A1581" t="s">
        <v>34</v>
      </c>
      <c r="B1581" t="s">
        <v>25</v>
      </c>
      <c r="C1581">
        <v>2005</v>
      </c>
      <c r="D1581" t="s">
        <v>32</v>
      </c>
      <c r="E1581" s="9">
        <v>23441</v>
      </c>
      <c r="F1581" s="8">
        <v>2772</v>
      </c>
      <c r="G1581" s="1">
        <f t="shared" si="437"/>
        <v>26213</v>
      </c>
      <c r="H1581" s="2">
        <f t="shared" si="438"/>
        <v>0.89425094418799833</v>
      </c>
      <c r="I1581" s="2">
        <f t="shared" si="439"/>
        <v>0.10574905581200168</v>
      </c>
      <c r="J1581" s="4">
        <v>20532.13</v>
      </c>
      <c r="K1581" s="4">
        <v>3160.45</v>
      </c>
      <c r="L1581" s="1">
        <f t="shared" si="440"/>
        <v>23692.58</v>
      </c>
      <c r="M1581" s="2">
        <f t="shared" si="441"/>
        <v>0.86660591628265049</v>
      </c>
      <c r="N1581" s="2">
        <f t="shared" si="442"/>
        <v>0.13339408371734945</v>
      </c>
    </row>
    <row r="1582" spans="1:14" x14ac:dyDescent="0.35">
      <c r="A1582" t="s">
        <v>34</v>
      </c>
      <c r="B1582" t="s">
        <v>26</v>
      </c>
      <c r="C1582">
        <v>2005</v>
      </c>
      <c r="D1582" t="s">
        <v>32</v>
      </c>
      <c r="E1582" s="9">
        <v>23270</v>
      </c>
      <c r="F1582" s="8">
        <v>2849</v>
      </c>
      <c r="G1582" s="1">
        <f t="shared" si="437"/>
        <v>26119</v>
      </c>
      <c r="H1582" s="2">
        <f t="shared" si="438"/>
        <v>0.89092231708717795</v>
      </c>
      <c r="I1582" s="2">
        <f t="shared" si="439"/>
        <v>0.10907768291282208</v>
      </c>
      <c r="J1582" s="4">
        <v>20495.95</v>
      </c>
      <c r="K1582" s="4">
        <v>3220.4</v>
      </c>
      <c r="L1582" s="1">
        <f t="shared" si="440"/>
        <v>23716.350000000002</v>
      </c>
      <c r="M1582" s="2">
        <f t="shared" si="441"/>
        <v>0.86421182011565856</v>
      </c>
      <c r="N1582" s="2">
        <f t="shared" si="442"/>
        <v>0.13578817988434139</v>
      </c>
    </row>
    <row r="1583" spans="1:14" x14ac:dyDescent="0.35">
      <c r="A1583" t="s">
        <v>34</v>
      </c>
      <c r="B1583" t="s">
        <v>27</v>
      </c>
      <c r="C1583">
        <v>2005</v>
      </c>
      <c r="D1583" t="s">
        <v>32</v>
      </c>
      <c r="E1583" s="9">
        <v>23055</v>
      </c>
      <c r="F1583" s="8">
        <v>2896</v>
      </c>
      <c r="G1583" s="1">
        <f t="shared" si="437"/>
        <v>25951</v>
      </c>
      <c r="H1583" s="2">
        <f t="shared" si="438"/>
        <v>0.88840507109552613</v>
      </c>
      <c r="I1583" s="2">
        <f t="shared" si="439"/>
        <v>0.11159492890447381</v>
      </c>
      <c r="J1583" s="4">
        <v>20516.86</v>
      </c>
      <c r="K1583" s="4">
        <v>3268.5</v>
      </c>
      <c r="L1583" s="1">
        <f t="shared" si="440"/>
        <v>23785.360000000001</v>
      </c>
      <c r="M1583" s="2">
        <f t="shared" si="441"/>
        <v>0.86258353878183891</v>
      </c>
      <c r="N1583" s="2">
        <f t="shared" si="442"/>
        <v>0.13741646121816109</v>
      </c>
    </row>
    <row r="1584" spans="1:14" x14ac:dyDescent="0.35">
      <c r="A1584" t="s">
        <v>34</v>
      </c>
      <c r="B1584" t="s">
        <v>28</v>
      </c>
      <c r="C1584">
        <v>2005</v>
      </c>
      <c r="D1584" t="s">
        <v>32</v>
      </c>
      <c r="E1584" s="9">
        <v>22870</v>
      </c>
      <c r="F1584" s="8">
        <v>2945</v>
      </c>
      <c r="G1584" s="1">
        <f t="shared" si="437"/>
        <v>25815</v>
      </c>
      <c r="H1584" s="2">
        <f t="shared" si="438"/>
        <v>0.8859190393182258</v>
      </c>
      <c r="I1584" s="2">
        <f t="shared" si="439"/>
        <v>0.11408096068177416</v>
      </c>
      <c r="J1584" s="4">
        <v>20469.75</v>
      </c>
      <c r="K1584" s="4">
        <v>3286.19</v>
      </c>
      <c r="L1584" s="1">
        <f t="shared" si="440"/>
        <v>23755.94</v>
      </c>
      <c r="M1584" s="2">
        <f t="shared" si="441"/>
        <v>0.861668702648685</v>
      </c>
      <c r="N1584" s="2">
        <f t="shared" si="442"/>
        <v>0.13833129735131508</v>
      </c>
    </row>
    <row r="1585" spans="1:14" x14ac:dyDescent="0.35">
      <c r="A1585" t="s">
        <v>34</v>
      </c>
      <c r="B1585" t="s">
        <v>29</v>
      </c>
      <c r="C1585">
        <v>2005</v>
      </c>
      <c r="D1585" t="s">
        <v>32</v>
      </c>
      <c r="E1585" s="9">
        <v>22719</v>
      </c>
      <c r="F1585" s="8">
        <v>3091</v>
      </c>
      <c r="G1585" s="1">
        <f t="shared" si="437"/>
        <v>25810</v>
      </c>
      <c r="H1585" s="2">
        <f t="shared" si="438"/>
        <v>0.88024021697016663</v>
      </c>
      <c r="I1585" s="2">
        <f t="shared" si="439"/>
        <v>0.11975978302983339</v>
      </c>
      <c r="J1585" s="4">
        <v>20322.43</v>
      </c>
      <c r="K1585" s="4">
        <v>3347.58</v>
      </c>
      <c r="L1585" s="1">
        <f t="shared" si="440"/>
        <v>23670.010000000002</v>
      </c>
      <c r="M1585" s="2">
        <f t="shared" si="441"/>
        <v>0.85857293680906765</v>
      </c>
      <c r="N1585" s="2">
        <f t="shared" si="442"/>
        <v>0.14142706319093232</v>
      </c>
    </row>
    <row r="1586" spans="1:14" x14ac:dyDescent="0.35">
      <c r="A1586" t="s">
        <v>34</v>
      </c>
      <c r="B1586" t="s">
        <v>17</v>
      </c>
      <c r="C1586">
        <v>2006</v>
      </c>
      <c r="D1586" t="s">
        <v>32</v>
      </c>
      <c r="E1586" s="9">
        <v>22573</v>
      </c>
      <c r="F1586" s="8">
        <v>3118</v>
      </c>
      <c r="G1586" s="1">
        <f t="shared" si="437"/>
        <v>25691</v>
      </c>
      <c r="H1586" s="2">
        <f t="shared" si="438"/>
        <v>0.87863454127904717</v>
      </c>
      <c r="I1586" s="2">
        <f t="shared" si="439"/>
        <v>0.12136545872095286</v>
      </c>
      <c r="J1586" s="4">
        <v>20362.89</v>
      </c>
      <c r="K1586" s="4">
        <v>3867</v>
      </c>
      <c r="L1586" s="1">
        <f t="shared" si="440"/>
        <v>24229.89</v>
      </c>
      <c r="M1586" s="2">
        <f t="shared" si="441"/>
        <v>0.84040373274496916</v>
      </c>
      <c r="N1586" s="2">
        <f t="shared" si="442"/>
        <v>0.15959626725503087</v>
      </c>
    </row>
    <row r="1587" spans="1:14" x14ac:dyDescent="0.35">
      <c r="A1587" t="s">
        <v>34</v>
      </c>
      <c r="B1587" t="s">
        <v>19</v>
      </c>
      <c r="C1587">
        <v>2006</v>
      </c>
      <c r="D1587" t="s">
        <v>32</v>
      </c>
      <c r="E1587" s="9">
        <v>22398</v>
      </c>
      <c r="F1587" s="8">
        <v>3146</v>
      </c>
      <c r="G1587" s="1">
        <f t="shared" si="437"/>
        <v>25544</v>
      </c>
      <c r="H1587" s="2">
        <f t="shared" si="438"/>
        <v>0.87683996241778894</v>
      </c>
      <c r="I1587" s="2">
        <f t="shared" si="439"/>
        <v>0.12316003758221108</v>
      </c>
      <c r="J1587" s="4">
        <v>20336.939999999999</v>
      </c>
      <c r="K1587" s="4">
        <v>3575</v>
      </c>
      <c r="L1587" s="1">
        <f t="shared" si="440"/>
        <v>23911.94</v>
      </c>
      <c r="M1587" s="2">
        <f t="shared" si="441"/>
        <v>0.85049310093618502</v>
      </c>
      <c r="N1587" s="2">
        <f t="shared" si="442"/>
        <v>0.14950689906381498</v>
      </c>
    </row>
    <row r="1588" spans="1:14" x14ac:dyDescent="0.35">
      <c r="A1588" t="s">
        <v>34</v>
      </c>
      <c r="B1588" t="s">
        <v>20</v>
      </c>
      <c r="C1588">
        <v>2006</v>
      </c>
      <c r="D1588" t="s">
        <v>32</v>
      </c>
      <c r="E1588" s="9">
        <v>22292</v>
      </c>
      <c r="F1588" s="8">
        <v>3145</v>
      </c>
      <c r="G1588" s="1">
        <f t="shared" si="437"/>
        <v>25437</v>
      </c>
      <c r="H1588" s="2">
        <f t="shared" si="438"/>
        <v>0.87636120611707358</v>
      </c>
      <c r="I1588" s="2">
        <f t="shared" si="439"/>
        <v>0.12363879388292645</v>
      </c>
      <c r="J1588" s="4">
        <v>20311.95</v>
      </c>
      <c r="K1588" s="4">
        <v>3599</v>
      </c>
      <c r="L1588" s="1">
        <f t="shared" si="440"/>
        <v>23910.95</v>
      </c>
      <c r="M1588" s="2">
        <f t="shared" si="441"/>
        <v>0.84948318657351551</v>
      </c>
      <c r="N1588" s="2">
        <f t="shared" si="442"/>
        <v>0.15051681342648451</v>
      </c>
    </row>
    <row r="1589" spans="1:14" x14ac:dyDescent="0.35">
      <c r="A1589" t="s">
        <v>34</v>
      </c>
      <c r="B1589" t="s">
        <v>21</v>
      </c>
      <c r="C1589">
        <v>2006</v>
      </c>
      <c r="D1589" t="s">
        <v>32</v>
      </c>
      <c r="E1589" s="9">
        <v>22063</v>
      </c>
      <c r="F1589" s="8">
        <v>3141</v>
      </c>
      <c r="G1589" s="1">
        <f t="shared" si="437"/>
        <v>25204</v>
      </c>
      <c r="H1589" s="2">
        <f t="shared" si="438"/>
        <v>0.87537692429773051</v>
      </c>
      <c r="I1589" s="2">
        <f t="shared" si="439"/>
        <v>0.12462307570226948</v>
      </c>
      <c r="J1589" s="4">
        <v>20295.75</v>
      </c>
      <c r="K1589" s="4">
        <v>3635</v>
      </c>
      <c r="L1589" s="1">
        <f t="shared" si="440"/>
        <v>23930.75</v>
      </c>
      <c r="M1589" s="2">
        <f t="shared" si="441"/>
        <v>0.8481033816324185</v>
      </c>
      <c r="N1589" s="2">
        <f t="shared" si="442"/>
        <v>0.15189661836758145</v>
      </c>
    </row>
    <row r="1590" spans="1:14" x14ac:dyDescent="0.35">
      <c r="A1590" t="s">
        <v>34</v>
      </c>
      <c r="B1590" t="s">
        <v>22</v>
      </c>
      <c r="C1590">
        <v>2006</v>
      </c>
      <c r="D1590" t="s">
        <v>32</v>
      </c>
      <c r="E1590" s="9">
        <v>21899</v>
      </c>
      <c r="F1590" s="8">
        <v>3195</v>
      </c>
      <c r="G1590" s="1">
        <f t="shared" si="437"/>
        <v>25094</v>
      </c>
      <c r="H1590" s="2">
        <f t="shared" si="438"/>
        <v>0.87267872798278467</v>
      </c>
      <c r="I1590" s="2">
        <f t="shared" si="439"/>
        <v>0.12732127201721527</v>
      </c>
      <c r="J1590" s="4">
        <v>20259.349999999999</v>
      </c>
      <c r="K1590" s="4">
        <v>3688</v>
      </c>
      <c r="L1590" s="1">
        <f t="shared" si="440"/>
        <v>23947.35</v>
      </c>
      <c r="M1590" s="2">
        <f t="shared" si="441"/>
        <v>0.84599548593059359</v>
      </c>
      <c r="N1590" s="2">
        <f t="shared" si="442"/>
        <v>0.15400451406940643</v>
      </c>
    </row>
    <row r="1591" spans="1:14" x14ac:dyDescent="0.35">
      <c r="A1591" t="s">
        <v>34</v>
      </c>
      <c r="B1591" t="s">
        <v>23</v>
      </c>
      <c r="C1591">
        <v>2006</v>
      </c>
      <c r="D1591" t="s">
        <v>32</v>
      </c>
      <c r="E1591" s="9">
        <v>21737</v>
      </c>
      <c r="F1591" s="8">
        <v>3248</v>
      </c>
      <c r="G1591" s="1">
        <f t="shared" ref="G1591:G1654" si="443">SUM(E1591:F1591)</f>
        <v>24985</v>
      </c>
      <c r="H1591" s="2">
        <f t="shared" ref="H1591:H1654" si="444">SUM(E1591)/G1591</f>
        <v>0.87000200120072047</v>
      </c>
      <c r="I1591" s="2">
        <f t="shared" ref="I1591:I1654" si="445">SUM(F1591/G1591)</f>
        <v>0.12999799879927956</v>
      </c>
      <c r="J1591" s="4">
        <v>20282.34</v>
      </c>
      <c r="K1591" s="4">
        <v>3768</v>
      </c>
      <c r="L1591" s="1">
        <f t="shared" si="440"/>
        <v>24050.34</v>
      </c>
      <c r="M1591" s="2">
        <f t="shared" si="441"/>
        <v>0.84332861822327665</v>
      </c>
      <c r="N1591" s="2">
        <f t="shared" si="442"/>
        <v>0.15667138177672332</v>
      </c>
    </row>
    <row r="1592" spans="1:14" x14ac:dyDescent="0.35">
      <c r="A1592" t="s">
        <v>34</v>
      </c>
      <c r="B1592" t="s">
        <v>24</v>
      </c>
      <c r="C1592">
        <v>2006</v>
      </c>
      <c r="D1592" t="s">
        <v>32</v>
      </c>
      <c r="E1592" s="9">
        <v>21576</v>
      </c>
      <c r="F1592" s="8">
        <v>3277</v>
      </c>
      <c r="G1592" s="1">
        <f t="shared" si="443"/>
        <v>24853</v>
      </c>
      <c r="H1592" s="2">
        <f t="shared" si="444"/>
        <v>0.86814469078179701</v>
      </c>
      <c r="I1592" s="2">
        <f t="shared" si="445"/>
        <v>0.13185530921820304</v>
      </c>
      <c r="J1592" s="4">
        <v>20534.78</v>
      </c>
      <c r="K1592" s="4">
        <v>3451</v>
      </c>
      <c r="L1592" s="1">
        <f t="shared" si="440"/>
        <v>23985.78</v>
      </c>
      <c r="M1592" s="2">
        <f t="shared" si="441"/>
        <v>0.85612308626194356</v>
      </c>
      <c r="N1592" s="2">
        <f t="shared" si="442"/>
        <v>0.14387691373805647</v>
      </c>
    </row>
    <row r="1593" spans="1:14" x14ac:dyDescent="0.35">
      <c r="A1593" t="s">
        <v>34</v>
      </c>
      <c r="B1593" t="s">
        <v>25</v>
      </c>
      <c r="C1593">
        <v>2006</v>
      </c>
      <c r="D1593" t="s">
        <v>32</v>
      </c>
      <c r="E1593" s="9">
        <v>21384</v>
      </c>
      <c r="F1593" s="8">
        <v>3307</v>
      </c>
      <c r="G1593" s="1">
        <f t="shared" si="443"/>
        <v>24691</v>
      </c>
      <c r="H1593" s="2">
        <f t="shared" si="444"/>
        <v>0.86606455793609005</v>
      </c>
      <c r="I1593" s="2">
        <f t="shared" si="445"/>
        <v>0.13393544206390992</v>
      </c>
      <c r="J1593" s="4">
        <v>20390.55</v>
      </c>
      <c r="K1593" s="4">
        <v>3539</v>
      </c>
      <c r="L1593" s="1">
        <f t="shared" si="440"/>
        <v>23929.55</v>
      </c>
      <c r="M1593" s="2">
        <f t="shared" si="441"/>
        <v>0.8521075406766947</v>
      </c>
      <c r="N1593" s="2">
        <f t="shared" si="442"/>
        <v>0.1478924593233053</v>
      </c>
    </row>
    <row r="1594" spans="1:14" x14ac:dyDescent="0.35">
      <c r="A1594" t="s">
        <v>34</v>
      </c>
      <c r="B1594" t="s">
        <v>26</v>
      </c>
      <c r="C1594">
        <v>2006</v>
      </c>
      <c r="D1594" t="s">
        <v>32</v>
      </c>
      <c r="E1594" s="9">
        <v>21141</v>
      </c>
      <c r="F1594" s="8">
        <v>3387</v>
      </c>
      <c r="G1594" s="1">
        <f t="shared" si="443"/>
        <v>24528</v>
      </c>
      <c r="H1594" s="2">
        <f t="shared" si="444"/>
        <v>0.86191291585127205</v>
      </c>
      <c r="I1594" s="2">
        <f t="shared" si="445"/>
        <v>0.13808708414872797</v>
      </c>
      <c r="J1594" s="4">
        <v>20381.900000000001</v>
      </c>
      <c r="K1594" s="4">
        <v>3584</v>
      </c>
      <c r="L1594" s="1">
        <f t="shared" si="440"/>
        <v>23965.9</v>
      </c>
      <c r="M1594" s="2">
        <f t="shared" si="441"/>
        <v>0.85045418699068265</v>
      </c>
      <c r="N1594" s="2">
        <f t="shared" si="442"/>
        <v>0.14954581300931741</v>
      </c>
    </row>
    <row r="1595" spans="1:14" x14ac:dyDescent="0.35">
      <c r="A1595" t="s">
        <v>34</v>
      </c>
      <c r="B1595" t="s">
        <v>27</v>
      </c>
      <c r="C1595">
        <v>2006</v>
      </c>
      <c r="D1595" t="s">
        <v>32</v>
      </c>
      <c r="E1595" s="9">
        <v>20892</v>
      </c>
      <c r="F1595" s="8">
        <v>3470</v>
      </c>
      <c r="G1595" s="1">
        <f t="shared" si="443"/>
        <v>24362</v>
      </c>
      <c r="H1595" s="2">
        <f t="shared" si="444"/>
        <v>0.85756506033987356</v>
      </c>
      <c r="I1595" s="2">
        <f t="shared" si="445"/>
        <v>0.14243493966012644</v>
      </c>
      <c r="J1595" s="4">
        <v>20328.89</v>
      </c>
      <c r="K1595" s="4">
        <v>3633.34</v>
      </c>
      <c r="L1595" s="1">
        <f t="shared" si="440"/>
        <v>23962.23</v>
      </c>
      <c r="M1595" s="2">
        <f t="shared" si="441"/>
        <v>0.84837220909740041</v>
      </c>
      <c r="N1595" s="2">
        <f t="shared" si="442"/>
        <v>0.15162779090259965</v>
      </c>
    </row>
    <row r="1596" spans="1:14" x14ac:dyDescent="0.35">
      <c r="A1596" t="s">
        <v>34</v>
      </c>
      <c r="B1596" t="s">
        <v>28</v>
      </c>
      <c r="C1596">
        <v>2006</v>
      </c>
      <c r="D1596" t="s">
        <v>32</v>
      </c>
      <c r="E1596" s="9">
        <v>19980</v>
      </c>
      <c r="F1596" s="8">
        <v>3421</v>
      </c>
      <c r="G1596" s="1">
        <f t="shared" si="443"/>
        <v>23401</v>
      </c>
      <c r="H1596" s="2">
        <f t="shared" si="444"/>
        <v>0.8538096662535789</v>
      </c>
      <c r="I1596" s="2">
        <f t="shared" si="445"/>
        <v>0.1461903337464211</v>
      </c>
      <c r="J1596" s="4">
        <v>19964.91</v>
      </c>
      <c r="K1596" s="4">
        <v>4054.41</v>
      </c>
      <c r="L1596" s="1">
        <f t="shared" si="440"/>
        <v>24019.32</v>
      </c>
      <c r="M1596" s="2">
        <f t="shared" si="441"/>
        <v>0.83120213228351181</v>
      </c>
      <c r="N1596" s="2">
        <f t="shared" si="442"/>
        <v>0.16879786771648822</v>
      </c>
    </row>
    <row r="1597" spans="1:14" x14ac:dyDescent="0.35">
      <c r="A1597" t="s">
        <v>34</v>
      </c>
      <c r="B1597" t="s">
        <v>29</v>
      </c>
      <c r="C1597">
        <v>2006</v>
      </c>
      <c r="D1597" t="s">
        <v>32</v>
      </c>
      <c r="E1597" s="9">
        <v>20426</v>
      </c>
      <c r="F1597" s="8">
        <v>3690</v>
      </c>
      <c r="G1597" s="1">
        <f t="shared" si="443"/>
        <v>24116</v>
      </c>
      <c r="H1597" s="2">
        <f t="shared" si="444"/>
        <v>0.8469895505058882</v>
      </c>
      <c r="I1597" s="2">
        <f t="shared" si="445"/>
        <v>0.1530104494941118</v>
      </c>
      <c r="J1597" s="4">
        <v>19842.490000000002</v>
      </c>
      <c r="K1597" s="4">
        <v>4168.66</v>
      </c>
      <c r="L1597" s="1">
        <f t="shared" si="440"/>
        <v>24011.15</v>
      </c>
      <c r="M1597" s="2">
        <f t="shared" si="441"/>
        <v>0.82638649127592811</v>
      </c>
      <c r="N1597" s="2">
        <f t="shared" si="442"/>
        <v>0.17361350872407191</v>
      </c>
    </row>
    <row r="1598" spans="1:14" x14ac:dyDescent="0.35">
      <c r="A1598" t="s">
        <v>34</v>
      </c>
      <c r="B1598" t="s">
        <v>17</v>
      </c>
      <c r="C1598">
        <v>2007</v>
      </c>
      <c r="D1598" t="s">
        <v>32</v>
      </c>
      <c r="E1598" s="9">
        <v>20192</v>
      </c>
      <c r="F1598" s="8">
        <v>3840</v>
      </c>
      <c r="G1598" s="1">
        <f t="shared" si="443"/>
        <v>24032</v>
      </c>
      <c r="H1598" s="2">
        <f t="shared" si="444"/>
        <v>0.84021304926764317</v>
      </c>
      <c r="I1598" s="2">
        <f t="shared" si="445"/>
        <v>0.15978695073235685</v>
      </c>
      <c r="J1598" s="4">
        <v>19396.419999999998</v>
      </c>
      <c r="K1598" s="4">
        <v>4778</v>
      </c>
      <c r="L1598" s="1">
        <f t="shared" si="440"/>
        <v>24174.42</v>
      </c>
      <c r="M1598" s="2">
        <f t="shared" si="441"/>
        <v>0.80235306576124676</v>
      </c>
      <c r="N1598" s="2">
        <f t="shared" si="442"/>
        <v>0.19764693423875321</v>
      </c>
    </row>
    <row r="1599" spans="1:14" x14ac:dyDescent="0.35">
      <c r="A1599" t="s">
        <v>34</v>
      </c>
      <c r="B1599" t="s">
        <v>19</v>
      </c>
      <c r="C1599">
        <v>2007</v>
      </c>
      <c r="D1599" t="s">
        <v>32</v>
      </c>
      <c r="E1599" s="9">
        <v>19956</v>
      </c>
      <c r="F1599" s="8">
        <v>3858</v>
      </c>
      <c r="G1599" s="1">
        <f t="shared" si="443"/>
        <v>23814</v>
      </c>
      <c r="H1599" s="2">
        <f t="shared" si="444"/>
        <v>0.83799445704207609</v>
      </c>
      <c r="I1599" s="2">
        <f t="shared" si="445"/>
        <v>0.16200554295792391</v>
      </c>
      <c r="J1599" s="4">
        <v>19225.919999999998</v>
      </c>
      <c r="K1599" s="4">
        <v>4852</v>
      </c>
      <c r="L1599" s="1">
        <f t="shared" si="440"/>
        <v>24077.919999999998</v>
      </c>
      <c r="M1599" s="2">
        <f t="shared" si="441"/>
        <v>0.79848757700000661</v>
      </c>
      <c r="N1599" s="2">
        <f t="shared" si="442"/>
        <v>0.20151242299999336</v>
      </c>
    </row>
    <row r="1600" spans="1:14" x14ac:dyDescent="0.35">
      <c r="A1600" t="s">
        <v>34</v>
      </c>
      <c r="B1600" t="s">
        <v>20</v>
      </c>
      <c r="C1600">
        <v>2007</v>
      </c>
      <c r="D1600" t="s">
        <v>32</v>
      </c>
      <c r="E1600" s="9">
        <v>19760</v>
      </c>
      <c r="F1600" s="8">
        <v>3906</v>
      </c>
      <c r="G1600" s="1">
        <f t="shared" si="443"/>
        <v>23666</v>
      </c>
      <c r="H1600" s="2">
        <f t="shared" si="444"/>
        <v>0.83495309727034561</v>
      </c>
      <c r="I1600" s="2">
        <f t="shared" si="445"/>
        <v>0.16504690272965436</v>
      </c>
      <c r="J1600" s="4">
        <v>19151.689999999999</v>
      </c>
      <c r="K1600" s="4">
        <v>4941</v>
      </c>
      <c r="L1600" s="1">
        <f t="shared" si="440"/>
        <v>24092.69</v>
      </c>
      <c r="M1600" s="2">
        <f t="shared" si="441"/>
        <v>0.79491704745298264</v>
      </c>
      <c r="N1600" s="2">
        <f t="shared" si="442"/>
        <v>0.20508295254701739</v>
      </c>
    </row>
    <row r="1601" spans="1:14" x14ac:dyDescent="0.35">
      <c r="A1601" t="s">
        <v>34</v>
      </c>
      <c r="B1601" t="s">
        <v>21</v>
      </c>
      <c r="C1601">
        <v>2007</v>
      </c>
      <c r="D1601" t="s">
        <v>32</v>
      </c>
      <c r="E1601" s="9">
        <v>19588</v>
      </c>
      <c r="F1601" s="8">
        <v>4005</v>
      </c>
      <c r="G1601" s="1">
        <f t="shared" si="443"/>
        <v>23593</v>
      </c>
      <c r="H1601" s="2">
        <f t="shared" si="444"/>
        <v>0.8302462594837452</v>
      </c>
      <c r="I1601" s="2">
        <f t="shared" si="445"/>
        <v>0.16975374051625483</v>
      </c>
      <c r="J1601" s="4">
        <v>19020</v>
      </c>
      <c r="K1601" s="4">
        <v>5099</v>
      </c>
      <c r="L1601" s="1">
        <f t="shared" si="440"/>
        <v>24119</v>
      </c>
      <c r="M1601" s="2">
        <f t="shared" si="441"/>
        <v>0.78858990837099385</v>
      </c>
      <c r="N1601" s="2">
        <f t="shared" si="442"/>
        <v>0.21141009162900617</v>
      </c>
    </row>
    <row r="1602" spans="1:14" x14ac:dyDescent="0.35">
      <c r="A1602" t="s">
        <v>34</v>
      </c>
      <c r="B1602" t="s">
        <v>22</v>
      </c>
      <c r="C1602">
        <v>2007</v>
      </c>
      <c r="D1602" t="s">
        <v>32</v>
      </c>
      <c r="E1602" s="9">
        <v>19427</v>
      </c>
      <c r="F1602" s="8">
        <v>4052</v>
      </c>
      <c r="G1602" s="1">
        <f t="shared" si="443"/>
        <v>23479</v>
      </c>
      <c r="H1602" s="2">
        <f t="shared" si="444"/>
        <v>0.82742024788108526</v>
      </c>
      <c r="I1602" s="2">
        <f t="shared" si="445"/>
        <v>0.17257975211891477</v>
      </c>
      <c r="J1602" s="4">
        <v>18977</v>
      </c>
      <c r="K1602" s="4">
        <v>5170</v>
      </c>
      <c r="L1602" s="1">
        <f t="shared" si="440"/>
        <v>24147</v>
      </c>
      <c r="M1602" s="2">
        <f t="shared" si="441"/>
        <v>0.78589472812357641</v>
      </c>
      <c r="N1602" s="2">
        <f t="shared" si="442"/>
        <v>0.21410527187642356</v>
      </c>
    </row>
    <row r="1603" spans="1:14" x14ac:dyDescent="0.35">
      <c r="A1603" t="s">
        <v>34</v>
      </c>
      <c r="B1603" t="s">
        <v>23</v>
      </c>
      <c r="C1603">
        <v>2007</v>
      </c>
      <c r="D1603" t="s">
        <v>32</v>
      </c>
      <c r="E1603" s="9">
        <v>19317</v>
      </c>
      <c r="F1603" s="8">
        <v>4078</v>
      </c>
      <c r="G1603" s="1">
        <f t="shared" si="443"/>
        <v>23395</v>
      </c>
      <c r="H1603" s="2">
        <f t="shared" si="444"/>
        <v>0.82568924983970937</v>
      </c>
      <c r="I1603" s="2">
        <f t="shared" si="445"/>
        <v>0.17431075016029066</v>
      </c>
      <c r="J1603" s="4">
        <v>18959</v>
      </c>
      <c r="K1603" s="4">
        <v>5232</v>
      </c>
      <c r="L1603" s="1">
        <f t="shared" ref="L1603:L1666" si="446">SUM(J1603:K1603)</f>
        <v>24191</v>
      </c>
      <c r="M1603" s="2">
        <f t="shared" ref="M1603:M1666" si="447">SUM(J1603)/L1603</f>
        <v>0.78372121863502953</v>
      </c>
      <c r="N1603" s="2">
        <f t="shared" ref="N1603:N1666" si="448">SUM(K1603/L1603)</f>
        <v>0.21627878136497045</v>
      </c>
    </row>
    <row r="1604" spans="1:14" x14ac:dyDescent="0.35">
      <c r="A1604" t="s">
        <v>34</v>
      </c>
      <c r="B1604" t="s">
        <v>24</v>
      </c>
      <c r="C1604">
        <v>2007</v>
      </c>
      <c r="D1604" t="s">
        <v>32</v>
      </c>
      <c r="E1604" s="9">
        <v>19245</v>
      </c>
      <c r="F1604" s="8">
        <v>4128</v>
      </c>
      <c r="G1604" s="1">
        <f t="shared" si="443"/>
        <v>23373</v>
      </c>
      <c r="H1604" s="2">
        <f t="shared" si="444"/>
        <v>0.82338595815684767</v>
      </c>
      <c r="I1604" s="2">
        <f t="shared" si="445"/>
        <v>0.17661404184315235</v>
      </c>
      <c r="J1604" s="4">
        <v>18941.740000000002</v>
      </c>
      <c r="K1604" s="4">
        <v>5359.34</v>
      </c>
      <c r="L1604" s="1">
        <f t="shared" si="446"/>
        <v>24301.08</v>
      </c>
      <c r="M1604" s="2">
        <f t="shared" si="447"/>
        <v>0.77946083054744897</v>
      </c>
      <c r="N1604" s="2">
        <f t="shared" si="448"/>
        <v>0.22053916945255106</v>
      </c>
    </row>
    <row r="1605" spans="1:14" x14ac:dyDescent="0.35">
      <c r="A1605" t="s">
        <v>34</v>
      </c>
      <c r="B1605" t="s">
        <v>25</v>
      </c>
      <c r="C1605">
        <v>2007</v>
      </c>
      <c r="D1605" t="s">
        <v>32</v>
      </c>
      <c r="E1605" s="9">
        <v>19078</v>
      </c>
      <c r="F1605" s="8">
        <v>4153</v>
      </c>
      <c r="G1605" s="1">
        <f t="shared" si="443"/>
        <v>23231</v>
      </c>
      <c r="H1605" s="2">
        <f t="shared" si="444"/>
        <v>0.82123025267960914</v>
      </c>
      <c r="I1605" s="2">
        <f t="shared" si="445"/>
        <v>0.17876974732039086</v>
      </c>
      <c r="J1605" s="4">
        <v>18911.87</v>
      </c>
      <c r="K1605" s="4">
        <v>5280.63</v>
      </c>
      <c r="L1605" s="1">
        <f t="shared" si="446"/>
        <v>24192.5</v>
      </c>
      <c r="M1605" s="2">
        <f t="shared" si="447"/>
        <v>0.78172450139506044</v>
      </c>
      <c r="N1605" s="2">
        <f t="shared" si="448"/>
        <v>0.21827549860493956</v>
      </c>
    </row>
    <row r="1606" spans="1:14" x14ac:dyDescent="0.35">
      <c r="A1606" t="s">
        <v>34</v>
      </c>
      <c r="B1606" t="s">
        <v>26</v>
      </c>
      <c r="C1606">
        <v>2007</v>
      </c>
      <c r="D1606" t="s">
        <v>32</v>
      </c>
      <c r="E1606" s="9">
        <v>18879</v>
      </c>
      <c r="F1606" s="8">
        <v>4244</v>
      </c>
      <c r="G1606" s="1">
        <f t="shared" si="443"/>
        <v>23123</v>
      </c>
      <c r="H1606" s="2">
        <f t="shared" si="444"/>
        <v>0.81645980192881551</v>
      </c>
      <c r="I1606" s="2">
        <f t="shared" si="445"/>
        <v>0.18354019807118455</v>
      </c>
      <c r="J1606" s="4">
        <v>18863.32</v>
      </c>
      <c r="K1606" s="4">
        <v>5455.82</v>
      </c>
      <c r="L1606" s="1">
        <f t="shared" si="446"/>
        <v>24319.14</v>
      </c>
      <c r="M1606" s="2">
        <f t="shared" si="447"/>
        <v>0.77565736288372045</v>
      </c>
      <c r="N1606" s="2">
        <f t="shared" si="448"/>
        <v>0.22434263711627961</v>
      </c>
    </row>
    <row r="1607" spans="1:14" x14ac:dyDescent="0.35">
      <c r="A1607" t="s">
        <v>34</v>
      </c>
      <c r="B1607" t="s">
        <v>27</v>
      </c>
      <c r="C1607">
        <v>2007</v>
      </c>
      <c r="D1607" t="s">
        <v>32</v>
      </c>
      <c r="E1607" s="9">
        <f>18700</f>
        <v>18700</v>
      </c>
      <c r="F1607" s="8">
        <v>4293</v>
      </c>
      <c r="G1607" s="1">
        <f t="shared" si="443"/>
        <v>22993</v>
      </c>
      <c r="H1607" s="2">
        <f t="shared" si="444"/>
        <v>0.81329100160918544</v>
      </c>
      <c r="I1607" s="2">
        <f t="shared" si="445"/>
        <v>0.18670899839081459</v>
      </c>
      <c r="J1607" s="4">
        <v>18817.02</v>
      </c>
      <c r="K1607" s="4">
        <v>5502.67</v>
      </c>
      <c r="L1607" s="1">
        <f t="shared" si="446"/>
        <v>24319.690000000002</v>
      </c>
      <c r="M1607" s="2">
        <f t="shared" si="447"/>
        <v>0.77373601390478242</v>
      </c>
      <c r="N1607" s="2">
        <f t="shared" si="448"/>
        <v>0.22626398609521747</v>
      </c>
    </row>
    <row r="1608" spans="1:14" x14ac:dyDescent="0.35">
      <c r="A1608" t="s">
        <v>34</v>
      </c>
      <c r="B1608" t="s">
        <v>28</v>
      </c>
      <c r="C1608">
        <v>2007</v>
      </c>
      <c r="D1608" t="s">
        <v>32</v>
      </c>
      <c r="E1608" s="9">
        <v>18578</v>
      </c>
      <c r="F1608" s="8">
        <v>4337</v>
      </c>
      <c r="G1608" s="1">
        <f t="shared" si="443"/>
        <v>22915</v>
      </c>
      <c r="H1608" s="2">
        <f t="shared" si="444"/>
        <v>0.81073532620554223</v>
      </c>
      <c r="I1608" s="2">
        <f t="shared" si="445"/>
        <v>0.18926467379445777</v>
      </c>
      <c r="J1608" s="4">
        <v>18741.28</v>
      </c>
      <c r="K1608" s="4">
        <v>5532.5</v>
      </c>
      <c r="L1608" s="1">
        <f t="shared" si="446"/>
        <v>24273.78</v>
      </c>
      <c r="M1608" s="2">
        <f t="shared" si="447"/>
        <v>0.7720791734950222</v>
      </c>
      <c r="N1608" s="2">
        <f t="shared" si="448"/>
        <v>0.2279208265049778</v>
      </c>
    </row>
    <row r="1609" spans="1:14" x14ac:dyDescent="0.35">
      <c r="A1609" t="s">
        <v>34</v>
      </c>
      <c r="B1609" t="s">
        <v>29</v>
      </c>
      <c r="C1609">
        <v>2007</v>
      </c>
      <c r="D1609" t="s">
        <v>32</v>
      </c>
      <c r="E1609" s="9">
        <v>18487</v>
      </c>
      <c r="F1609" s="8">
        <v>4431</v>
      </c>
      <c r="G1609" s="1">
        <f t="shared" si="443"/>
        <v>22918</v>
      </c>
      <c r="H1609" s="2">
        <f t="shared" si="444"/>
        <v>0.80665852168601104</v>
      </c>
      <c r="I1609" s="2">
        <f t="shared" si="445"/>
        <v>0.19334147831398901</v>
      </c>
      <c r="J1609" s="4">
        <v>18742.34</v>
      </c>
      <c r="K1609" s="4">
        <v>5689.03</v>
      </c>
      <c r="L1609" s="1">
        <f t="shared" si="446"/>
        <v>24431.37</v>
      </c>
      <c r="M1609" s="2">
        <f t="shared" si="447"/>
        <v>0.7671424074867681</v>
      </c>
      <c r="N1609" s="2">
        <f t="shared" si="448"/>
        <v>0.23285759251323196</v>
      </c>
    </row>
    <row r="1610" spans="1:14" x14ac:dyDescent="0.35">
      <c r="A1610" t="s">
        <v>34</v>
      </c>
      <c r="B1610" t="s">
        <v>17</v>
      </c>
      <c r="C1610">
        <v>2008</v>
      </c>
      <c r="D1610" t="s">
        <v>32</v>
      </c>
      <c r="E1610" s="9">
        <v>18374</v>
      </c>
      <c r="F1610" s="8">
        <v>4445</v>
      </c>
      <c r="G1610" s="1">
        <f t="shared" si="443"/>
        <v>22819</v>
      </c>
      <c r="H1610" s="2">
        <f t="shared" si="444"/>
        <v>0.80520618782593456</v>
      </c>
      <c r="I1610" s="2">
        <f t="shared" si="445"/>
        <v>0.19479381217406547</v>
      </c>
      <c r="J1610" s="4">
        <v>18560.22</v>
      </c>
      <c r="K1610" s="4">
        <v>5699.28</v>
      </c>
      <c r="L1610" s="1">
        <f t="shared" si="446"/>
        <v>24259.5</v>
      </c>
      <c r="M1610" s="2">
        <f t="shared" si="447"/>
        <v>0.7650701786928833</v>
      </c>
      <c r="N1610" s="2">
        <f t="shared" si="448"/>
        <v>0.23492982130711679</v>
      </c>
    </row>
    <row r="1611" spans="1:14" x14ac:dyDescent="0.35">
      <c r="A1611" t="s">
        <v>34</v>
      </c>
      <c r="B1611" t="s">
        <v>19</v>
      </c>
      <c r="C1611">
        <v>2008</v>
      </c>
      <c r="D1611" t="s">
        <v>32</v>
      </c>
      <c r="E1611" s="9">
        <v>18260</v>
      </c>
      <c r="F1611" s="8">
        <v>4524</v>
      </c>
      <c r="G1611" s="1">
        <f t="shared" si="443"/>
        <v>22784</v>
      </c>
      <c r="H1611" s="2">
        <f t="shared" si="444"/>
        <v>0.801439606741573</v>
      </c>
      <c r="I1611" s="2">
        <f t="shared" si="445"/>
        <v>0.19856039325842698</v>
      </c>
      <c r="J1611" s="4">
        <v>18625.86</v>
      </c>
      <c r="K1611" s="4">
        <v>5868.43</v>
      </c>
      <c r="L1611" s="1">
        <f t="shared" si="446"/>
        <v>24494.29</v>
      </c>
      <c r="M1611" s="2">
        <f t="shared" si="447"/>
        <v>0.76041640725246573</v>
      </c>
      <c r="N1611" s="2">
        <f t="shared" si="448"/>
        <v>0.23958359274753421</v>
      </c>
    </row>
    <row r="1612" spans="1:14" x14ac:dyDescent="0.35">
      <c r="A1612" t="s">
        <v>34</v>
      </c>
      <c r="B1612" t="s">
        <v>20</v>
      </c>
      <c r="C1612">
        <v>2008</v>
      </c>
      <c r="D1612" t="s">
        <v>32</v>
      </c>
      <c r="E1612" s="9">
        <v>18066</v>
      </c>
      <c r="F1612" s="8">
        <v>4560</v>
      </c>
      <c r="G1612" s="1">
        <f t="shared" si="443"/>
        <v>22626</v>
      </c>
      <c r="H1612" s="2">
        <f t="shared" si="444"/>
        <v>0.79846194643330681</v>
      </c>
      <c r="I1612" s="2">
        <f t="shared" si="445"/>
        <v>0.20153805356669319</v>
      </c>
      <c r="J1612" s="4">
        <v>18466.29</v>
      </c>
      <c r="K1612" s="4">
        <v>5953.86</v>
      </c>
      <c r="L1612" s="1">
        <f t="shared" si="446"/>
        <v>24420.15</v>
      </c>
      <c r="M1612" s="2">
        <f t="shared" si="447"/>
        <v>0.75619068678939316</v>
      </c>
      <c r="N1612" s="2">
        <f t="shared" si="448"/>
        <v>0.24380931321060678</v>
      </c>
    </row>
    <row r="1613" spans="1:14" x14ac:dyDescent="0.35">
      <c r="A1613" t="s">
        <v>34</v>
      </c>
      <c r="B1613" t="s">
        <v>21</v>
      </c>
      <c r="C1613">
        <v>2008</v>
      </c>
      <c r="D1613" t="s">
        <v>32</v>
      </c>
      <c r="E1613" s="9">
        <v>17950</v>
      </c>
      <c r="F1613" s="8">
        <v>4593</v>
      </c>
      <c r="G1613" s="1">
        <f t="shared" si="443"/>
        <v>22543</v>
      </c>
      <c r="H1613" s="2">
        <f t="shared" si="444"/>
        <v>0.79625604400479089</v>
      </c>
      <c r="I1613" s="2">
        <f t="shared" si="445"/>
        <v>0.20374395599520917</v>
      </c>
      <c r="J1613" s="4">
        <v>18403.830000000002</v>
      </c>
      <c r="K1613" s="4">
        <v>5994.19</v>
      </c>
      <c r="L1613" s="1">
        <f t="shared" si="446"/>
        <v>24398.02</v>
      </c>
      <c r="M1613" s="2">
        <f t="shared" si="447"/>
        <v>0.7543165388010995</v>
      </c>
      <c r="N1613" s="2">
        <f t="shared" si="448"/>
        <v>0.24568346119890055</v>
      </c>
    </row>
    <row r="1614" spans="1:14" x14ac:dyDescent="0.35">
      <c r="A1614" t="s">
        <v>34</v>
      </c>
      <c r="B1614" t="s">
        <v>22</v>
      </c>
      <c r="C1614">
        <v>2008</v>
      </c>
      <c r="D1614" t="s">
        <v>32</v>
      </c>
      <c r="E1614" s="9">
        <v>17821</v>
      </c>
      <c r="F1614" s="8">
        <v>4627</v>
      </c>
      <c r="G1614" s="1">
        <f t="shared" si="443"/>
        <v>22448</v>
      </c>
      <c r="H1614" s="2">
        <f t="shared" si="444"/>
        <v>0.79387918745545261</v>
      </c>
      <c r="I1614" s="2">
        <f t="shared" si="445"/>
        <v>0.20612081254454739</v>
      </c>
      <c r="J1614" s="4">
        <v>18221.43</v>
      </c>
      <c r="K1614" s="4">
        <v>6023.76</v>
      </c>
      <c r="L1614" s="1">
        <f t="shared" si="446"/>
        <v>24245.190000000002</v>
      </c>
      <c r="M1614" s="2">
        <f t="shared" si="447"/>
        <v>0.7515482452395712</v>
      </c>
      <c r="N1614" s="2">
        <f t="shared" si="448"/>
        <v>0.24845175476042874</v>
      </c>
    </row>
    <row r="1615" spans="1:14" x14ac:dyDescent="0.35">
      <c r="A1615" t="s">
        <v>34</v>
      </c>
      <c r="B1615" t="s">
        <v>23</v>
      </c>
      <c r="C1615">
        <v>2008</v>
      </c>
      <c r="D1615" t="s">
        <v>32</v>
      </c>
      <c r="E1615" s="9">
        <v>17667</v>
      </c>
      <c r="F1615" s="8">
        <v>4662</v>
      </c>
      <c r="G1615" s="1">
        <f t="shared" si="443"/>
        <v>22329</v>
      </c>
      <c r="H1615" s="2">
        <f t="shared" si="444"/>
        <v>0.79121322047561471</v>
      </c>
      <c r="I1615" s="2">
        <f t="shared" si="445"/>
        <v>0.20878677952438532</v>
      </c>
      <c r="J1615" s="4">
        <v>18490.71</v>
      </c>
      <c r="K1615" s="4">
        <v>6033.86</v>
      </c>
      <c r="L1615" s="1">
        <f t="shared" si="446"/>
        <v>24524.57</v>
      </c>
      <c r="M1615" s="2">
        <f t="shared" si="447"/>
        <v>0.75396673621596622</v>
      </c>
      <c r="N1615" s="2">
        <f t="shared" si="448"/>
        <v>0.24603326378403373</v>
      </c>
    </row>
    <row r="1616" spans="1:14" x14ac:dyDescent="0.35">
      <c r="A1616" t="s">
        <v>34</v>
      </c>
      <c r="B1616" t="s">
        <v>24</v>
      </c>
      <c r="C1616">
        <v>2008</v>
      </c>
      <c r="D1616" t="s">
        <v>32</v>
      </c>
      <c r="E1616" s="9">
        <v>17498</v>
      </c>
      <c r="F1616" s="8">
        <v>4831</v>
      </c>
      <c r="G1616" s="1">
        <f t="shared" si="443"/>
        <v>22329</v>
      </c>
      <c r="H1616" s="2">
        <f t="shared" si="444"/>
        <v>0.78364458775583323</v>
      </c>
      <c r="I1616" s="2">
        <f t="shared" si="445"/>
        <v>0.21635541224416677</v>
      </c>
      <c r="J1616" s="4">
        <v>18174.36</v>
      </c>
      <c r="K1616" s="4">
        <v>6439.98</v>
      </c>
      <c r="L1616" s="1">
        <f t="shared" si="446"/>
        <v>24614.34</v>
      </c>
      <c r="M1616" s="2">
        <f t="shared" si="447"/>
        <v>0.73836470935235321</v>
      </c>
      <c r="N1616" s="2">
        <f t="shared" si="448"/>
        <v>0.26163529064764685</v>
      </c>
    </row>
    <row r="1617" spans="1:14" x14ac:dyDescent="0.35">
      <c r="A1617" t="s">
        <v>34</v>
      </c>
      <c r="B1617" t="s">
        <v>25</v>
      </c>
      <c r="C1617">
        <v>2008</v>
      </c>
      <c r="D1617" t="s">
        <v>32</v>
      </c>
      <c r="E1617" s="9">
        <v>17355</v>
      </c>
      <c r="F1617" s="8">
        <v>4795</v>
      </c>
      <c r="G1617" s="1">
        <f t="shared" si="443"/>
        <v>22150</v>
      </c>
      <c r="H1617" s="2">
        <f t="shared" si="444"/>
        <v>0.78352144469525964</v>
      </c>
      <c r="I1617" s="2">
        <f t="shared" si="445"/>
        <v>0.21647855530474042</v>
      </c>
      <c r="J1617" s="4">
        <v>18126.7</v>
      </c>
      <c r="K1617" s="4">
        <v>6457.9</v>
      </c>
      <c r="L1617" s="1">
        <f t="shared" si="446"/>
        <v>24584.6</v>
      </c>
      <c r="M1617" s="2">
        <f t="shared" si="447"/>
        <v>0.73731929744636893</v>
      </c>
      <c r="N1617" s="2">
        <f t="shared" si="448"/>
        <v>0.26268070255363113</v>
      </c>
    </row>
    <row r="1618" spans="1:14" x14ac:dyDescent="0.35">
      <c r="A1618" t="s">
        <v>34</v>
      </c>
      <c r="B1618" t="s">
        <v>26</v>
      </c>
      <c r="C1618">
        <v>2008</v>
      </c>
      <c r="D1618" t="s">
        <v>32</v>
      </c>
      <c r="E1618" s="9">
        <v>17191</v>
      </c>
      <c r="F1618" s="8">
        <v>4810</v>
      </c>
      <c r="G1618" s="1">
        <f t="shared" si="443"/>
        <v>22001</v>
      </c>
      <c r="H1618" s="2">
        <f t="shared" si="444"/>
        <v>0.78137357392845774</v>
      </c>
      <c r="I1618" s="2">
        <f t="shared" si="445"/>
        <v>0.2186264260715422</v>
      </c>
      <c r="J1618" s="4">
        <v>17762.39</v>
      </c>
      <c r="K1618" s="4">
        <v>6369.08</v>
      </c>
      <c r="L1618" s="1">
        <f t="shared" si="446"/>
        <v>24131.47</v>
      </c>
      <c r="M1618" s="2">
        <f t="shared" si="447"/>
        <v>0.73606746708758308</v>
      </c>
      <c r="N1618" s="2">
        <f t="shared" si="448"/>
        <v>0.26393253291241686</v>
      </c>
    </row>
    <row r="1619" spans="1:14" x14ac:dyDescent="0.35">
      <c r="A1619" t="s">
        <v>34</v>
      </c>
      <c r="B1619" t="s">
        <v>27</v>
      </c>
      <c r="C1619">
        <v>2008</v>
      </c>
      <c r="D1619" t="s">
        <v>32</v>
      </c>
      <c r="E1619" s="9">
        <v>17087</v>
      </c>
      <c r="F1619" s="8">
        <v>4878</v>
      </c>
      <c r="G1619" s="1">
        <f t="shared" si="443"/>
        <v>21965</v>
      </c>
      <c r="H1619" s="2">
        <f t="shared" si="444"/>
        <v>0.77791941725472347</v>
      </c>
      <c r="I1619" s="2">
        <f t="shared" si="445"/>
        <v>0.22208058274527659</v>
      </c>
      <c r="J1619" s="4">
        <v>17751.96</v>
      </c>
      <c r="K1619" s="4">
        <v>6478.86</v>
      </c>
      <c r="L1619" s="1">
        <f t="shared" si="446"/>
        <v>24230.82</v>
      </c>
      <c r="M1619" s="2">
        <f t="shared" si="447"/>
        <v>0.73261903641725701</v>
      </c>
      <c r="N1619" s="2">
        <f t="shared" si="448"/>
        <v>0.26738096358274294</v>
      </c>
    </row>
    <row r="1620" spans="1:14" x14ac:dyDescent="0.35">
      <c r="A1620" t="s">
        <v>34</v>
      </c>
      <c r="B1620" t="s">
        <v>28</v>
      </c>
      <c r="C1620">
        <v>2008</v>
      </c>
      <c r="D1620" t="s">
        <v>32</v>
      </c>
      <c r="E1620" s="9">
        <v>16996</v>
      </c>
      <c r="F1620" s="8">
        <v>4858</v>
      </c>
      <c r="G1620" s="1">
        <f t="shared" si="443"/>
        <v>21854</v>
      </c>
      <c r="H1620" s="2">
        <f t="shared" si="444"/>
        <v>0.77770659833440103</v>
      </c>
      <c r="I1620" s="2">
        <f t="shared" si="445"/>
        <v>0.22229340166559897</v>
      </c>
      <c r="J1620" s="4">
        <v>17685.87</v>
      </c>
      <c r="K1620" s="4">
        <v>6692.33</v>
      </c>
      <c r="L1620" s="1">
        <f t="shared" si="446"/>
        <v>24378.199999999997</v>
      </c>
      <c r="M1620" s="2">
        <f t="shared" si="447"/>
        <v>0.72547891148649213</v>
      </c>
      <c r="N1620" s="2">
        <f t="shared" si="448"/>
        <v>0.27452108851350798</v>
      </c>
    </row>
    <row r="1621" spans="1:14" x14ac:dyDescent="0.35">
      <c r="A1621" t="s">
        <v>34</v>
      </c>
      <c r="B1621" t="s">
        <v>29</v>
      </c>
      <c r="C1621">
        <v>2008</v>
      </c>
      <c r="D1621" t="s">
        <v>32</v>
      </c>
      <c r="E1621" s="9">
        <v>16848</v>
      </c>
      <c r="F1621" s="8">
        <v>4815</v>
      </c>
      <c r="G1621" s="1">
        <f t="shared" si="443"/>
        <v>21663</v>
      </c>
      <c r="H1621" s="2">
        <f t="shared" si="444"/>
        <v>0.77773161611965103</v>
      </c>
      <c r="I1621" s="2">
        <f t="shared" si="445"/>
        <v>0.22226838388034897</v>
      </c>
      <c r="J1621" s="4">
        <v>17641.79</v>
      </c>
      <c r="K1621" s="4">
        <v>6434.84</v>
      </c>
      <c r="L1621" s="1">
        <f t="shared" si="446"/>
        <v>24076.63</v>
      </c>
      <c r="M1621" s="2">
        <f t="shared" si="447"/>
        <v>0.73273502147102809</v>
      </c>
      <c r="N1621" s="2">
        <f t="shared" si="448"/>
        <v>0.26726497852897185</v>
      </c>
    </row>
    <row r="1622" spans="1:14" x14ac:dyDescent="0.35">
      <c r="A1622" t="s">
        <v>34</v>
      </c>
      <c r="B1622" t="s">
        <v>17</v>
      </c>
      <c r="C1622">
        <v>2009</v>
      </c>
      <c r="D1622" t="s">
        <v>32</v>
      </c>
      <c r="E1622" s="3">
        <v>16697</v>
      </c>
      <c r="F1622" s="3">
        <v>4958</v>
      </c>
      <c r="G1622" s="1">
        <f t="shared" si="443"/>
        <v>21655</v>
      </c>
      <c r="H1622" s="2">
        <f t="shared" si="444"/>
        <v>0.77104594781805591</v>
      </c>
      <c r="I1622" s="2">
        <f t="shared" si="445"/>
        <v>0.22895405218194412</v>
      </c>
      <c r="J1622" s="4">
        <v>17608.95</v>
      </c>
      <c r="K1622" s="4">
        <v>6710.77</v>
      </c>
      <c r="L1622" s="1">
        <f t="shared" si="446"/>
        <v>24319.72</v>
      </c>
      <c r="M1622" s="2">
        <f t="shared" si="447"/>
        <v>0.72406055661825053</v>
      </c>
      <c r="N1622" s="2">
        <f t="shared" si="448"/>
        <v>0.27593944338174947</v>
      </c>
    </row>
    <row r="1623" spans="1:14" x14ac:dyDescent="0.35">
      <c r="A1623" t="s">
        <v>34</v>
      </c>
      <c r="B1623" t="s">
        <v>19</v>
      </c>
      <c r="C1623">
        <v>2009</v>
      </c>
      <c r="D1623" t="s">
        <v>32</v>
      </c>
      <c r="E1623" s="3">
        <v>16546</v>
      </c>
      <c r="F1623" s="3">
        <v>5056</v>
      </c>
      <c r="G1623" s="1">
        <f t="shared" si="443"/>
        <v>21602</v>
      </c>
      <c r="H1623" s="2">
        <f t="shared" si="444"/>
        <v>0.76594759744468099</v>
      </c>
      <c r="I1623" s="2">
        <f t="shared" si="445"/>
        <v>0.23405240255531895</v>
      </c>
      <c r="J1623" s="4">
        <v>19222.47</v>
      </c>
      <c r="K1623" s="4">
        <v>6932.94</v>
      </c>
      <c r="L1623" s="1">
        <f t="shared" si="446"/>
        <v>26155.41</v>
      </c>
      <c r="M1623" s="2">
        <f t="shared" si="447"/>
        <v>0.73493284945638404</v>
      </c>
      <c r="N1623" s="2">
        <f t="shared" si="448"/>
        <v>0.26506715054361601</v>
      </c>
    </row>
    <row r="1624" spans="1:14" x14ac:dyDescent="0.35">
      <c r="A1624" t="s">
        <v>34</v>
      </c>
      <c r="B1624" t="s">
        <v>20</v>
      </c>
      <c r="C1624">
        <v>2009</v>
      </c>
      <c r="D1624" t="s">
        <v>32</v>
      </c>
      <c r="E1624" s="3">
        <v>16403</v>
      </c>
      <c r="F1624" s="3">
        <v>5114</v>
      </c>
      <c r="G1624" s="1">
        <f t="shared" si="443"/>
        <v>21517</v>
      </c>
      <c r="H1624" s="2">
        <f t="shared" si="444"/>
        <v>0.76232746200678536</v>
      </c>
      <c r="I1624" s="2">
        <f t="shared" si="445"/>
        <v>0.23767253799321467</v>
      </c>
      <c r="J1624" s="4">
        <v>17746.62</v>
      </c>
      <c r="K1624" s="4">
        <v>6808.86</v>
      </c>
      <c r="L1624" s="1">
        <f t="shared" si="446"/>
        <v>24555.48</v>
      </c>
      <c r="M1624" s="2">
        <f t="shared" si="447"/>
        <v>0.72271525541345549</v>
      </c>
      <c r="N1624" s="2">
        <f t="shared" si="448"/>
        <v>0.2772847445865444</v>
      </c>
    </row>
    <row r="1625" spans="1:14" x14ac:dyDescent="0.35">
      <c r="A1625" t="s">
        <v>34</v>
      </c>
      <c r="B1625" t="s">
        <v>21</v>
      </c>
      <c r="C1625">
        <v>2009</v>
      </c>
      <c r="D1625" t="s">
        <v>32</v>
      </c>
      <c r="E1625" s="3">
        <v>16272</v>
      </c>
      <c r="F1625" s="3">
        <f>5171</f>
        <v>5171</v>
      </c>
      <c r="G1625" s="1">
        <f t="shared" si="443"/>
        <v>21443</v>
      </c>
      <c r="H1625" s="2">
        <f t="shared" si="444"/>
        <v>0.75884904164529221</v>
      </c>
      <c r="I1625" s="2">
        <f t="shared" si="445"/>
        <v>0.24115095835470782</v>
      </c>
      <c r="J1625" s="4">
        <v>17573</v>
      </c>
      <c r="K1625" s="4">
        <v>6879.72</v>
      </c>
      <c r="L1625" s="1">
        <f t="shared" si="446"/>
        <v>24452.720000000001</v>
      </c>
      <c r="M1625" s="2">
        <f t="shared" si="447"/>
        <v>0.71865215812392236</v>
      </c>
      <c r="N1625" s="2">
        <f t="shared" si="448"/>
        <v>0.28134784187607759</v>
      </c>
    </row>
    <row r="1626" spans="1:14" x14ac:dyDescent="0.35">
      <c r="A1626" t="s">
        <v>34</v>
      </c>
      <c r="B1626" t="s">
        <v>22</v>
      </c>
      <c r="C1626">
        <v>2009</v>
      </c>
      <c r="D1626" t="s">
        <v>32</v>
      </c>
      <c r="E1626" s="3">
        <v>16182</v>
      </c>
      <c r="F1626" s="3">
        <v>5232</v>
      </c>
      <c r="G1626" s="1">
        <f t="shared" si="443"/>
        <v>21414</v>
      </c>
      <c r="H1626" s="2">
        <f t="shared" si="444"/>
        <v>0.75567385822359201</v>
      </c>
      <c r="I1626" s="2">
        <f t="shared" si="445"/>
        <v>0.24432614177640796</v>
      </c>
      <c r="J1626" s="4">
        <v>17554.689999999999</v>
      </c>
      <c r="K1626" s="4">
        <v>7056.26</v>
      </c>
      <c r="L1626" s="1">
        <f t="shared" si="446"/>
        <v>24610.949999999997</v>
      </c>
      <c r="M1626" s="2">
        <f t="shared" si="447"/>
        <v>0.7132877845024268</v>
      </c>
      <c r="N1626" s="2">
        <f t="shared" si="448"/>
        <v>0.28671221549757325</v>
      </c>
    </row>
    <row r="1627" spans="1:14" x14ac:dyDescent="0.35">
      <c r="A1627" t="s">
        <v>34</v>
      </c>
      <c r="B1627" t="s">
        <v>23</v>
      </c>
      <c r="C1627">
        <v>2009</v>
      </c>
      <c r="D1627" t="s">
        <v>32</v>
      </c>
      <c r="E1627" s="3">
        <v>16020</v>
      </c>
      <c r="F1627" s="3">
        <v>5310</v>
      </c>
      <c r="G1627" s="1">
        <f t="shared" si="443"/>
        <v>21330</v>
      </c>
      <c r="H1627" s="2">
        <f t="shared" si="444"/>
        <v>0.75105485232067515</v>
      </c>
      <c r="I1627" s="2">
        <f t="shared" si="445"/>
        <v>0.24894514767932491</v>
      </c>
      <c r="J1627" s="4">
        <v>17491.099999999999</v>
      </c>
      <c r="K1627" s="4">
        <v>7288.43</v>
      </c>
      <c r="L1627" s="1">
        <f t="shared" si="446"/>
        <v>24779.53</v>
      </c>
      <c r="M1627" s="2">
        <f t="shared" si="447"/>
        <v>0.70586891680350672</v>
      </c>
      <c r="N1627" s="2">
        <f t="shared" si="448"/>
        <v>0.29413108319649328</v>
      </c>
    </row>
    <row r="1628" spans="1:14" x14ac:dyDescent="0.35">
      <c r="A1628" t="s">
        <v>34</v>
      </c>
      <c r="B1628" t="s">
        <v>24</v>
      </c>
      <c r="C1628">
        <v>2009</v>
      </c>
      <c r="D1628" t="s">
        <v>32</v>
      </c>
      <c r="E1628" s="3">
        <v>15918</v>
      </c>
      <c r="F1628" s="3">
        <v>5460</v>
      </c>
      <c r="G1628" s="1">
        <f t="shared" si="443"/>
        <v>21378</v>
      </c>
      <c r="H1628" s="2">
        <f t="shared" si="444"/>
        <v>0.74459724950884087</v>
      </c>
      <c r="I1628" s="2">
        <f t="shared" si="445"/>
        <v>0.25540275049115913</v>
      </c>
      <c r="J1628" s="4">
        <v>17461.759999999998</v>
      </c>
      <c r="K1628" s="4">
        <v>7525.84</v>
      </c>
      <c r="L1628" s="1">
        <f t="shared" si="446"/>
        <v>24987.599999999999</v>
      </c>
      <c r="M1628" s="2">
        <f t="shared" si="447"/>
        <v>0.69881701323856626</v>
      </c>
      <c r="N1628" s="2">
        <f t="shared" si="448"/>
        <v>0.30118298676143368</v>
      </c>
    </row>
    <row r="1629" spans="1:14" x14ac:dyDescent="0.35">
      <c r="A1629" t="s">
        <v>34</v>
      </c>
      <c r="B1629" t="s">
        <v>25</v>
      </c>
      <c r="C1629">
        <v>2009</v>
      </c>
      <c r="D1629" t="s">
        <v>32</v>
      </c>
      <c r="E1629" s="3">
        <v>15926</v>
      </c>
      <c r="F1629" s="3">
        <v>5680</v>
      </c>
      <c r="G1629" s="1">
        <f t="shared" si="443"/>
        <v>21606</v>
      </c>
      <c r="H1629" s="2">
        <f t="shared" si="444"/>
        <v>0.73711006201980933</v>
      </c>
      <c r="I1629" s="2">
        <f t="shared" si="445"/>
        <v>0.26288993798019067</v>
      </c>
      <c r="J1629" s="4">
        <v>17350.189999999999</v>
      </c>
      <c r="K1629" s="4">
        <v>7409.37</v>
      </c>
      <c r="L1629" s="1">
        <f t="shared" si="446"/>
        <v>24759.559999999998</v>
      </c>
      <c r="M1629" s="2">
        <f t="shared" si="447"/>
        <v>0.70074710536051532</v>
      </c>
      <c r="N1629" s="2">
        <f t="shared" si="448"/>
        <v>0.29925289463948473</v>
      </c>
    </row>
    <row r="1630" spans="1:14" x14ac:dyDescent="0.35">
      <c r="A1630" t="s">
        <v>34</v>
      </c>
      <c r="B1630" t="s">
        <v>26</v>
      </c>
      <c r="C1630">
        <v>2009</v>
      </c>
      <c r="D1630" t="s">
        <v>32</v>
      </c>
      <c r="E1630" s="3">
        <v>15895</v>
      </c>
      <c r="F1630" s="3">
        <v>5939</v>
      </c>
      <c r="G1630" s="1">
        <f t="shared" si="443"/>
        <v>21834</v>
      </c>
      <c r="H1630" s="2">
        <f t="shared" si="444"/>
        <v>0.72799303838050744</v>
      </c>
      <c r="I1630" s="2">
        <f t="shared" si="445"/>
        <v>0.27200696161949256</v>
      </c>
      <c r="J1630" s="4">
        <v>17200.080000000002</v>
      </c>
      <c r="K1630" s="4">
        <v>7618.11</v>
      </c>
      <c r="L1630" s="1">
        <f t="shared" si="446"/>
        <v>24818.190000000002</v>
      </c>
      <c r="M1630" s="2">
        <f t="shared" si="447"/>
        <v>0.6930432880077072</v>
      </c>
      <c r="N1630" s="2">
        <f t="shared" si="448"/>
        <v>0.30695671199229269</v>
      </c>
    </row>
    <row r="1631" spans="1:14" x14ac:dyDescent="0.35">
      <c r="A1631" t="s">
        <v>34</v>
      </c>
      <c r="B1631" t="s">
        <v>27</v>
      </c>
      <c r="C1631">
        <v>2009</v>
      </c>
      <c r="D1631" t="s">
        <v>32</v>
      </c>
      <c r="E1631" s="3">
        <v>15776</v>
      </c>
      <c r="F1631" s="3">
        <v>6134</v>
      </c>
      <c r="G1631" s="1">
        <f t="shared" si="443"/>
        <v>21910</v>
      </c>
      <c r="H1631" s="2">
        <f t="shared" si="444"/>
        <v>0.72003651300775906</v>
      </c>
      <c r="I1631" s="2">
        <f t="shared" si="445"/>
        <v>0.279963486992241</v>
      </c>
      <c r="J1631" s="4">
        <v>16997.54</v>
      </c>
      <c r="K1631" s="4">
        <v>7969.37</v>
      </c>
      <c r="L1631" s="1">
        <f t="shared" si="446"/>
        <v>24966.91</v>
      </c>
      <c r="M1631" s="2">
        <f t="shared" si="447"/>
        <v>0.6808027104675749</v>
      </c>
      <c r="N1631" s="2">
        <f t="shared" si="448"/>
        <v>0.3191972895324251</v>
      </c>
    </row>
    <row r="1632" spans="1:14" x14ac:dyDescent="0.35">
      <c r="A1632" t="s">
        <v>34</v>
      </c>
      <c r="B1632" t="s">
        <v>28</v>
      </c>
      <c r="C1632">
        <v>2009</v>
      </c>
      <c r="D1632" t="s">
        <v>32</v>
      </c>
      <c r="E1632" s="3">
        <v>15636</v>
      </c>
      <c r="F1632" s="3">
        <v>6235</v>
      </c>
      <c r="G1632" s="1">
        <f t="shared" si="443"/>
        <v>21871</v>
      </c>
      <c r="H1632" s="2">
        <f t="shared" si="444"/>
        <v>0.71491929952905675</v>
      </c>
      <c r="I1632" s="2">
        <f t="shared" si="445"/>
        <v>0.28508070047094325</v>
      </c>
      <c r="J1632" s="4">
        <v>16906.18</v>
      </c>
      <c r="K1632" s="4">
        <v>7946.13</v>
      </c>
      <c r="L1632" s="1">
        <f t="shared" si="446"/>
        <v>24852.31</v>
      </c>
      <c r="M1632" s="2">
        <f t="shared" si="447"/>
        <v>0.68026593906160027</v>
      </c>
      <c r="N1632" s="2">
        <f t="shared" si="448"/>
        <v>0.31973406093839968</v>
      </c>
    </row>
    <row r="1633" spans="1:14" x14ac:dyDescent="0.35">
      <c r="A1633" t="s">
        <v>34</v>
      </c>
      <c r="B1633" t="s">
        <v>29</v>
      </c>
      <c r="C1633">
        <v>2009</v>
      </c>
      <c r="D1633" t="s">
        <v>32</v>
      </c>
      <c r="E1633" s="3">
        <v>15456</v>
      </c>
      <c r="F1633" s="3">
        <v>6361</v>
      </c>
      <c r="G1633" s="1">
        <f t="shared" si="443"/>
        <v>21817</v>
      </c>
      <c r="H1633" s="2">
        <f t="shared" si="444"/>
        <v>0.70843837374524454</v>
      </c>
      <c r="I1633" s="2">
        <f t="shared" si="445"/>
        <v>0.29156162625475546</v>
      </c>
      <c r="J1633" s="4">
        <v>16749.900000000001</v>
      </c>
      <c r="K1633" s="4">
        <v>8076.9</v>
      </c>
      <c r="L1633" s="1">
        <f t="shared" si="446"/>
        <v>24826.800000000003</v>
      </c>
      <c r="M1633" s="2">
        <f t="shared" si="447"/>
        <v>0.67467011455362746</v>
      </c>
      <c r="N1633" s="2">
        <f t="shared" si="448"/>
        <v>0.32532988544637242</v>
      </c>
    </row>
    <row r="1634" spans="1:14" x14ac:dyDescent="0.35">
      <c r="A1634" t="s">
        <v>34</v>
      </c>
      <c r="B1634" t="s">
        <v>17</v>
      </c>
      <c r="C1634">
        <v>2010</v>
      </c>
      <c r="D1634" t="s">
        <v>32</v>
      </c>
      <c r="E1634" s="3">
        <v>15277</v>
      </c>
      <c r="F1634" s="3">
        <v>6351</v>
      </c>
      <c r="G1634" s="1">
        <f t="shared" si="443"/>
        <v>21628</v>
      </c>
      <c r="H1634" s="2">
        <f t="shared" si="444"/>
        <v>0.706352875901609</v>
      </c>
      <c r="I1634" s="2">
        <f t="shared" si="445"/>
        <v>0.293647124098391</v>
      </c>
      <c r="J1634" s="4">
        <v>16695.990000000002</v>
      </c>
      <c r="K1634" s="4">
        <v>8221.57</v>
      </c>
      <c r="L1634" s="1">
        <f t="shared" si="446"/>
        <v>24917.56</v>
      </c>
      <c r="M1634" s="2">
        <f t="shared" si="447"/>
        <v>0.67004915409052901</v>
      </c>
      <c r="N1634" s="2">
        <f t="shared" si="448"/>
        <v>0.32995084590947105</v>
      </c>
    </row>
    <row r="1635" spans="1:14" x14ac:dyDescent="0.35">
      <c r="A1635" t="s">
        <v>34</v>
      </c>
      <c r="B1635" t="s">
        <v>19</v>
      </c>
      <c r="C1635">
        <v>2010</v>
      </c>
      <c r="D1635" t="s">
        <v>32</v>
      </c>
      <c r="E1635" s="3">
        <v>15134</v>
      </c>
      <c r="F1635" s="3">
        <v>6402</v>
      </c>
      <c r="G1635" s="1">
        <f t="shared" si="443"/>
        <v>21536</v>
      </c>
      <c r="H1635" s="2">
        <f t="shared" si="444"/>
        <v>0.70273031203566116</v>
      </c>
      <c r="I1635" s="2">
        <f t="shared" si="445"/>
        <v>0.29726968796433878</v>
      </c>
      <c r="J1635" s="4">
        <v>16620.13</v>
      </c>
      <c r="K1635" s="4">
        <v>8238.19</v>
      </c>
      <c r="L1635" s="1">
        <f t="shared" si="446"/>
        <v>24858.32</v>
      </c>
      <c r="M1635" s="2">
        <f t="shared" si="447"/>
        <v>0.6685942573753979</v>
      </c>
      <c r="N1635" s="2">
        <f t="shared" si="448"/>
        <v>0.33140574262460215</v>
      </c>
    </row>
    <row r="1636" spans="1:14" x14ac:dyDescent="0.35">
      <c r="A1636" t="s">
        <v>34</v>
      </c>
      <c r="B1636" t="s">
        <v>20</v>
      </c>
      <c r="C1636">
        <v>2010</v>
      </c>
      <c r="D1636" t="s">
        <v>32</v>
      </c>
      <c r="E1636" s="3">
        <v>14950</v>
      </c>
      <c r="F1636" s="3">
        <v>6418</v>
      </c>
      <c r="G1636" s="1">
        <f t="shared" si="443"/>
        <v>21368</v>
      </c>
      <c r="H1636" s="2">
        <f t="shared" si="444"/>
        <v>0.69964432796705356</v>
      </c>
      <c r="I1636" s="2">
        <f t="shared" si="445"/>
        <v>0.30035567203294644</v>
      </c>
      <c r="J1636" s="4">
        <v>16535.330000000002</v>
      </c>
      <c r="K1636" s="4">
        <v>8361.27</v>
      </c>
      <c r="L1636" s="1">
        <f t="shared" si="446"/>
        <v>24896.600000000002</v>
      </c>
      <c r="M1636" s="2">
        <f t="shared" si="447"/>
        <v>0.66416016644843068</v>
      </c>
      <c r="N1636" s="2">
        <f t="shared" si="448"/>
        <v>0.33583983355156927</v>
      </c>
    </row>
    <row r="1637" spans="1:14" x14ac:dyDescent="0.35">
      <c r="A1637" t="s">
        <v>34</v>
      </c>
      <c r="B1637" t="s">
        <v>21</v>
      </c>
      <c r="C1637">
        <v>2010</v>
      </c>
      <c r="D1637" t="s">
        <v>32</v>
      </c>
      <c r="E1637" s="3">
        <v>14915</v>
      </c>
      <c r="F1637" s="3">
        <v>6502</v>
      </c>
      <c r="G1637" s="1">
        <f t="shared" si="443"/>
        <v>21417</v>
      </c>
      <c r="H1637" s="2">
        <f t="shared" si="444"/>
        <v>0.69640939440631278</v>
      </c>
      <c r="I1637" s="2">
        <f t="shared" si="445"/>
        <v>0.30359060559368728</v>
      </c>
      <c r="J1637" s="4">
        <v>16585.61</v>
      </c>
      <c r="K1637" s="4">
        <v>8422.67</v>
      </c>
      <c r="L1637" s="1">
        <f t="shared" si="446"/>
        <v>25008.28</v>
      </c>
      <c r="M1637" s="2">
        <f t="shared" si="447"/>
        <v>0.66320474658793016</v>
      </c>
      <c r="N1637" s="2">
        <f t="shared" si="448"/>
        <v>0.33679525341206995</v>
      </c>
    </row>
    <row r="1638" spans="1:14" x14ac:dyDescent="0.35">
      <c r="A1638" t="s">
        <v>34</v>
      </c>
      <c r="B1638" t="s">
        <v>22</v>
      </c>
      <c r="C1638">
        <v>2010</v>
      </c>
      <c r="D1638" t="s">
        <v>32</v>
      </c>
      <c r="E1638" s="3">
        <v>14779</v>
      </c>
      <c r="F1638" s="3">
        <v>6553</v>
      </c>
      <c r="G1638" s="1">
        <f t="shared" si="443"/>
        <v>21332</v>
      </c>
      <c r="H1638" s="2">
        <f t="shared" si="444"/>
        <v>0.69280892555784734</v>
      </c>
      <c r="I1638" s="2">
        <f t="shared" si="445"/>
        <v>0.30719107444215266</v>
      </c>
      <c r="J1638" s="4">
        <v>16506.02</v>
      </c>
      <c r="K1638" s="4">
        <v>8439.7199999999993</v>
      </c>
      <c r="L1638" s="1">
        <f t="shared" si="446"/>
        <v>24945.739999999998</v>
      </c>
      <c r="M1638" s="2">
        <f t="shared" si="447"/>
        <v>0.66167690355146813</v>
      </c>
      <c r="N1638" s="2">
        <f t="shared" si="448"/>
        <v>0.33832309644853187</v>
      </c>
    </row>
    <row r="1639" spans="1:14" x14ac:dyDescent="0.35">
      <c r="A1639" t="s">
        <v>34</v>
      </c>
      <c r="B1639" t="s">
        <v>23</v>
      </c>
      <c r="C1639">
        <v>2010</v>
      </c>
      <c r="D1639" t="s">
        <v>32</v>
      </c>
      <c r="E1639" s="3">
        <v>14688</v>
      </c>
      <c r="F1639" s="3">
        <v>6590</v>
      </c>
      <c r="G1639" s="1">
        <f t="shared" si="443"/>
        <v>21278</v>
      </c>
      <c r="H1639" s="2">
        <f t="shared" si="444"/>
        <v>0.69029044083090518</v>
      </c>
      <c r="I1639" s="2">
        <f t="shared" si="445"/>
        <v>0.30970955916909482</v>
      </c>
      <c r="J1639" s="4">
        <v>16470.080000000002</v>
      </c>
      <c r="K1639" s="4">
        <v>8484.94</v>
      </c>
      <c r="L1639" s="1">
        <f t="shared" si="446"/>
        <v>24955.020000000004</v>
      </c>
      <c r="M1639" s="2">
        <f t="shared" si="447"/>
        <v>0.6599906551868121</v>
      </c>
      <c r="N1639" s="2">
        <f t="shared" si="448"/>
        <v>0.34000934481318784</v>
      </c>
    </row>
    <row r="1640" spans="1:14" x14ac:dyDescent="0.35">
      <c r="A1640" t="s">
        <v>34</v>
      </c>
      <c r="B1640" t="s">
        <v>24</v>
      </c>
      <c r="C1640">
        <v>2010</v>
      </c>
      <c r="D1640" t="s">
        <v>32</v>
      </c>
      <c r="E1640" s="3">
        <v>14558</v>
      </c>
      <c r="F1640" s="3">
        <v>5614</v>
      </c>
      <c r="G1640" s="1">
        <f t="shared" si="443"/>
        <v>20172</v>
      </c>
      <c r="H1640" s="2">
        <f t="shared" si="444"/>
        <v>0.72169343644655959</v>
      </c>
      <c r="I1640" s="2">
        <f t="shared" si="445"/>
        <v>0.27830656355344041</v>
      </c>
      <c r="J1640" s="4">
        <v>16381.52</v>
      </c>
      <c r="K1640" s="4">
        <v>8110</v>
      </c>
      <c r="L1640" s="1">
        <f t="shared" si="446"/>
        <v>24491.52</v>
      </c>
      <c r="M1640" s="2">
        <f t="shared" si="447"/>
        <v>0.6688649785721752</v>
      </c>
      <c r="N1640" s="2">
        <f t="shared" si="448"/>
        <v>0.3311350214278248</v>
      </c>
    </row>
    <row r="1641" spans="1:14" x14ac:dyDescent="0.35">
      <c r="A1641" t="s">
        <v>34</v>
      </c>
      <c r="B1641" t="s">
        <v>25</v>
      </c>
      <c r="C1641">
        <v>2010</v>
      </c>
      <c r="D1641" t="s">
        <v>32</v>
      </c>
      <c r="E1641" s="3">
        <v>14452</v>
      </c>
      <c r="F1641" s="3">
        <v>6674</v>
      </c>
      <c r="G1641" s="1">
        <f t="shared" si="443"/>
        <v>21126</v>
      </c>
      <c r="H1641" s="2">
        <f t="shared" si="444"/>
        <v>0.6840859604279087</v>
      </c>
      <c r="I1641" s="2">
        <f t="shared" si="445"/>
        <v>0.31591403957209124</v>
      </c>
      <c r="J1641" s="4">
        <v>16295.02</v>
      </c>
      <c r="K1641" s="4">
        <v>8979.0300000000007</v>
      </c>
      <c r="L1641" s="1">
        <f t="shared" si="446"/>
        <v>25274.050000000003</v>
      </c>
      <c r="M1641" s="2">
        <f t="shared" si="447"/>
        <v>0.64473323428575946</v>
      </c>
      <c r="N1641" s="2">
        <f t="shared" si="448"/>
        <v>0.35526676571424048</v>
      </c>
    </row>
    <row r="1642" spans="1:14" x14ac:dyDescent="0.35">
      <c r="A1642" t="s">
        <v>34</v>
      </c>
      <c r="B1642" t="s">
        <v>26</v>
      </c>
      <c r="C1642">
        <v>2010</v>
      </c>
      <c r="D1642" t="s">
        <v>32</v>
      </c>
      <c r="E1642" s="3">
        <v>14303</v>
      </c>
      <c r="F1642" s="3">
        <v>6714</v>
      </c>
      <c r="G1642" s="1">
        <f t="shared" si="443"/>
        <v>21017</v>
      </c>
      <c r="H1642" s="2">
        <f t="shared" si="444"/>
        <v>0.68054432126373887</v>
      </c>
      <c r="I1642" s="2">
        <f t="shared" si="445"/>
        <v>0.31945567873626113</v>
      </c>
      <c r="J1642" s="4">
        <v>16212.98</v>
      </c>
      <c r="K1642" s="4">
        <v>8709.09</v>
      </c>
      <c r="L1642" s="1">
        <f t="shared" si="446"/>
        <v>24922.07</v>
      </c>
      <c r="M1642" s="2">
        <f t="shared" si="447"/>
        <v>0.65054708537452943</v>
      </c>
      <c r="N1642" s="2">
        <f t="shared" si="448"/>
        <v>0.34945291462547051</v>
      </c>
    </row>
    <row r="1643" spans="1:14" x14ac:dyDescent="0.35">
      <c r="A1643" t="s">
        <v>34</v>
      </c>
      <c r="B1643" t="s">
        <v>27</v>
      </c>
      <c r="C1643">
        <v>2010</v>
      </c>
      <c r="D1643" t="s">
        <v>32</v>
      </c>
      <c r="E1643" s="3">
        <v>14184</v>
      </c>
      <c r="F1643" s="3">
        <v>6772</v>
      </c>
      <c r="G1643" s="1">
        <f t="shared" si="443"/>
        <v>20956</v>
      </c>
      <c r="H1643" s="2">
        <f t="shared" si="444"/>
        <v>0.67684672647451805</v>
      </c>
      <c r="I1643" s="2">
        <f t="shared" si="445"/>
        <v>0.32315327352548195</v>
      </c>
      <c r="J1643" s="4">
        <v>16135.38</v>
      </c>
      <c r="K1643" s="4">
        <v>8858.77</v>
      </c>
      <c r="L1643" s="1">
        <f t="shared" si="446"/>
        <v>24994.15</v>
      </c>
      <c r="M1643" s="2">
        <f t="shared" si="447"/>
        <v>0.64556626250542615</v>
      </c>
      <c r="N1643" s="2">
        <f t="shared" si="448"/>
        <v>0.35443373749457374</v>
      </c>
    </row>
    <row r="1644" spans="1:14" x14ac:dyDescent="0.35">
      <c r="A1644" t="s">
        <v>34</v>
      </c>
      <c r="B1644" t="s">
        <v>28</v>
      </c>
      <c r="C1644">
        <v>2010</v>
      </c>
      <c r="D1644" t="s">
        <v>32</v>
      </c>
      <c r="E1644" s="3">
        <v>14064</v>
      </c>
      <c r="F1644" s="3">
        <v>6848</v>
      </c>
      <c r="G1644" s="1">
        <f t="shared" si="443"/>
        <v>20912</v>
      </c>
      <c r="H1644" s="2">
        <f t="shared" si="444"/>
        <v>0.67253251721499618</v>
      </c>
      <c r="I1644" s="2">
        <f t="shared" si="445"/>
        <v>0.32746748278500382</v>
      </c>
      <c r="J1644" s="4">
        <v>16104.9</v>
      </c>
      <c r="K1644" s="4">
        <v>8857.8799999999992</v>
      </c>
      <c r="L1644" s="1">
        <f t="shared" si="446"/>
        <v>24962.78</v>
      </c>
      <c r="M1644" s="2">
        <f t="shared" si="447"/>
        <v>0.64515650901061505</v>
      </c>
      <c r="N1644" s="2">
        <f t="shared" si="448"/>
        <v>0.354843490989385</v>
      </c>
    </row>
    <row r="1645" spans="1:14" x14ac:dyDescent="0.35">
      <c r="A1645" t="s">
        <v>34</v>
      </c>
      <c r="B1645" t="s">
        <v>29</v>
      </c>
      <c r="C1645">
        <v>2010</v>
      </c>
      <c r="D1645" t="s">
        <v>32</v>
      </c>
      <c r="E1645" s="3">
        <v>13954</v>
      </c>
      <c r="F1645" s="3">
        <v>6896</v>
      </c>
      <c r="G1645" s="1">
        <f t="shared" si="443"/>
        <v>20850</v>
      </c>
      <c r="H1645" s="2">
        <f t="shared" si="444"/>
        <v>0.66925659472422061</v>
      </c>
      <c r="I1645" s="2">
        <f t="shared" si="445"/>
        <v>0.33074340527577939</v>
      </c>
      <c r="J1645" s="4">
        <v>16086.31</v>
      </c>
      <c r="K1645" s="4">
        <v>8960.19</v>
      </c>
      <c r="L1645" s="1">
        <f t="shared" si="446"/>
        <v>25046.5</v>
      </c>
      <c r="M1645" s="2">
        <f t="shared" si="447"/>
        <v>0.64225780049108661</v>
      </c>
      <c r="N1645" s="2">
        <f t="shared" si="448"/>
        <v>0.35774219950891345</v>
      </c>
    </row>
    <row r="1646" spans="1:14" x14ac:dyDescent="0.35">
      <c r="A1646" t="s">
        <v>34</v>
      </c>
      <c r="B1646" t="s">
        <v>17</v>
      </c>
      <c r="C1646">
        <v>2011</v>
      </c>
      <c r="D1646" t="s">
        <v>32</v>
      </c>
      <c r="E1646" s="3">
        <v>13869</v>
      </c>
      <c r="F1646" s="3">
        <v>6949</v>
      </c>
      <c r="G1646" s="1">
        <f t="shared" si="443"/>
        <v>20818</v>
      </c>
      <c r="H1646" s="2">
        <f t="shared" si="444"/>
        <v>0.66620232491113462</v>
      </c>
      <c r="I1646" s="2">
        <f t="shared" si="445"/>
        <v>0.33379767508886543</v>
      </c>
      <c r="J1646" s="4">
        <v>16110.31</v>
      </c>
      <c r="K1646" s="4">
        <v>8994.92</v>
      </c>
      <c r="L1646" s="1">
        <f t="shared" si="446"/>
        <v>25105.23</v>
      </c>
      <c r="M1646" s="2">
        <f t="shared" si="447"/>
        <v>0.64171130875917093</v>
      </c>
      <c r="N1646" s="2">
        <f t="shared" si="448"/>
        <v>0.35828869124082913</v>
      </c>
    </row>
    <row r="1647" spans="1:14" x14ac:dyDescent="0.35">
      <c r="A1647" t="s">
        <v>34</v>
      </c>
      <c r="B1647" t="s">
        <v>19</v>
      </c>
      <c r="C1647">
        <v>2011</v>
      </c>
      <c r="D1647" t="s">
        <v>32</v>
      </c>
      <c r="E1647" s="3">
        <v>13714</v>
      </c>
      <c r="F1647" s="3">
        <v>7034</v>
      </c>
      <c r="G1647" s="1">
        <f t="shared" si="443"/>
        <v>20748</v>
      </c>
      <c r="H1647" s="2">
        <f t="shared" si="444"/>
        <v>0.66097937150568731</v>
      </c>
      <c r="I1647" s="2">
        <f t="shared" si="445"/>
        <v>0.33902062849431269</v>
      </c>
      <c r="J1647" s="4">
        <v>15770.5</v>
      </c>
      <c r="K1647" s="4">
        <v>9191.7199999999993</v>
      </c>
      <c r="L1647" s="1">
        <f t="shared" si="446"/>
        <v>24962.22</v>
      </c>
      <c r="M1647" s="2">
        <f t="shared" si="447"/>
        <v>0.63177473798404149</v>
      </c>
      <c r="N1647" s="2">
        <f t="shared" si="448"/>
        <v>0.36822526201595845</v>
      </c>
    </row>
    <row r="1648" spans="1:14" x14ac:dyDescent="0.35">
      <c r="A1648" t="s">
        <v>34</v>
      </c>
      <c r="B1648" t="s">
        <v>20</v>
      </c>
      <c r="C1648">
        <v>2011</v>
      </c>
      <c r="D1648" t="s">
        <v>32</v>
      </c>
      <c r="E1648" s="3">
        <v>13618</v>
      </c>
      <c r="F1648" s="3">
        <v>7061</v>
      </c>
      <c r="G1648" s="1">
        <f t="shared" si="443"/>
        <v>20679</v>
      </c>
      <c r="H1648" s="2">
        <f t="shared" si="444"/>
        <v>0.65854248271192994</v>
      </c>
      <c r="I1648" s="2">
        <f t="shared" si="445"/>
        <v>0.34145751728807</v>
      </c>
      <c r="J1648" s="4">
        <v>15735.03</v>
      </c>
      <c r="K1648" s="4">
        <v>9299.7000000000007</v>
      </c>
      <c r="L1648" s="1">
        <f t="shared" si="446"/>
        <v>25034.730000000003</v>
      </c>
      <c r="M1648" s="2">
        <f t="shared" si="447"/>
        <v>0.62852804883455893</v>
      </c>
      <c r="N1648" s="2">
        <f t="shared" si="448"/>
        <v>0.37147195116544096</v>
      </c>
    </row>
    <row r="1649" spans="1:14" x14ac:dyDescent="0.35">
      <c r="A1649" t="s">
        <v>34</v>
      </c>
      <c r="B1649" t="s">
        <v>21</v>
      </c>
      <c r="C1649">
        <v>2011</v>
      </c>
      <c r="D1649" t="s">
        <v>32</v>
      </c>
      <c r="E1649" s="3">
        <v>13542</v>
      </c>
      <c r="F1649" s="3">
        <v>7138</v>
      </c>
      <c r="G1649" s="1">
        <f t="shared" si="443"/>
        <v>20680</v>
      </c>
      <c r="H1649" s="2">
        <f t="shared" si="444"/>
        <v>0.65483558994197288</v>
      </c>
      <c r="I1649" s="2">
        <f t="shared" si="445"/>
        <v>0.34516441005802706</v>
      </c>
      <c r="J1649" s="4">
        <v>15688.02</v>
      </c>
      <c r="K1649" s="4">
        <v>9349.49</v>
      </c>
      <c r="L1649" s="1">
        <f t="shared" si="446"/>
        <v>25037.510000000002</v>
      </c>
      <c r="M1649" s="2">
        <f t="shared" si="447"/>
        <v>0.62658067835020337</v>
      </c>
      <c r="N1649" s="2">
        <f t="shared" si="448"/>
        <v>0.37341932164979663</v>
      </c>
    </row>
    <row r="1650" spans="1:14" x14ac:dyDescent="0.35">
      <c r="A1650" t="s">
        <v>34</v>
      </c>
      <c r="B1650" t="s">
        <v>22</v>
      </c>
      <c r="C1650">
        <v>2011</v>
      </c>
      <c r="D1650" t="s">
        <v>32</v>
      </c>
      <c r="E1650" s="3">
        <v>13438</v>
      </c>
      <c r="F1650" s="3">
        <v>7152</v>
      </c>
      <c r="G1650" s="1">
        <f t="shared" si="443"/>
        <v>20590</v>
      </c>
      <c r="H1650" s="2">
        <f t="shared" si="444"/>
        <v>0.65264691597863045</v>
      </c>
      <c r="I1650" s="2">
        <f t="shared" si="445"/>
        <v>0.34735308402136961</v>
      </c>
      <c r="J1650" s="4">
        <v>15629.22</v>
      </c>
      <c r="K1650" s="4">
        <v>9386.39</v>
      </c>
      <c r="L1650" s="1">
        <f t="shared" si="446"/>
        <v>25015.61</v>
      </c>
      <c r="M1650" s="2">
        <f t="shared" si="447"/>
        <v>0.62477868818709592</v>
      </c>
      <c r="N1650" s="2">
        <f t="shared" si="448"/>
        <v>0.37522131181290397</v>
      </c>
    </row>
    <row r="1651" spans="1:14" x14ac:dyDescent="0.35">
      <c r="A1651" t="s">
        <v>34</v>
      </c>
      <c r="B1651" t="s">
        <v>23</v>
      </c>
      <c r="C1651">
        <v>2011</v>
      </c>
      <c r="D1651" t="s">
        <v>32</v>
      </c>
      <c r="E1651" s="3">
        <v>13361</v>
      </c>
      <c r="F1651" s="3">
        <v>7184</v>
      </c>
      <c r="G1651" s="1">
        <f t="shared" si="443"/>
        <v>20545</v>
      </c>
      <c r="H1651" s="2">
        <f t="shared" si="444"/>
        <v>0.65032854709174981</v>
      </c>
      <c r="I1651" s="2">
        <f t="shared" si="445"/>
        <v>0.34967145290825019</v>
      </c>
      <c r="J1651" s="4">
        <v>15662.26</v>
      </c>
      <c r="K1651" s="4">
        <v>9371.75</v>
      </c>
      <c r="L1651" s="1">
        <f t="shared" si="446"/>
        <v>25034.010000000002</v>
      </c>
      <c r="M1651" s="2">
        <f t="shared" si="447"/>
        <v>0.6256392803230485</v>
      </c>
      <c r="N1651" s="2">
        <f t="shared" si="448"/>
        <v>0.37436071967695145</v>
      </c>
    </row>
    <row r="1652" spans="1:14" x14ac:dyDescent="0.35">
      <c r="A1652" t="s">
        <v>34</v>
      </c>
      <c r="B1652" t="s">
        <v>24</v>
      </c>
      <c r="C1652">
        <v>2011</v>
      </c>
      <c r="D1652" t="s">
        <v>32</v>
      </c>
      <c r="E1652" s="3">
        <f>663+12651</f>
        <v>13314</v>
      </c>
      <c r="F1652" s="3">
        <v>7248</v>
      </c>
      <c r="G1652" s="1">
        <f t="shared" si="443"/>
        <v>20562</v>
      </c>
      <c r="H1652" s="2">
        <f t="shared" si="444"/>
        <v>0.6475051065071491</v>
      </c>
      <c r="I1652" s="2">
        <f t="shared" si="445"/>
        <v>0.3524948934928509</v>
      </c>
      <c r="J1652" s="4">
        <v>15663.04</v>
      </c>
      <c r="K1652" s="4">
        <v>9410.7199999999993</v>
      </c>
      <c r="L1652" s="1">
        <f t="shared" si="446"/>
        <v>25073.760000000002</v>
      </c>
      <c r="M1652" s="2">
        <f t="shared" si="447"/>
        <v>0.62467854841076886</v>
      </c>
      <c r="N1652" s="2">
        <f t="shared" si="448"/>
        <v>0.37532145158923108</v>
      </c>
    </row>
    <row r="1653" spans="1:14" x14ac:dyDescent="0.35">
      <c r="A1653" t="s">
        <v>34</v>
      </c>
      <c r="B1653" t="s">
        <v>25</v>
      </c>
      <c r="C1653">
        <v>2011</v>
      </c>
      <c r="D1653" t="s">
        <v>32</v>
      </c>
      <c r="E1653" s="3">
        <f>662+12585</f>
        <v>13247</v>
      </c>
      <c r="F1653" s="9">
        <v>7242</v>
      </c>
      <c r="G1653" s="1">
        <f t="shared" si="443"/>
        <v>20489</v>
      </c>
      <c r="H1653" s="2">
        <f t="shared" si="444"/>
        <v>0.646542046952023</v>
      </c>
      <c r="I1653" s="2">
        <f t="shared" si="445"/>
        <v>0.35345795304797695</v>
      </c>
      <c r="J1653" s="4">
        <v>15631.17</v>
      </c>
      <c r="K1653" s="4">
        <v>9392.06</v>
      </c>
      <c r="L1653" s="1">
        <f t="shared" si="446"/>
        <v>25023.23</v>
      </c>
      <c r="M1653" s="2">
        <f t="shared" si="447"/>
        <v>0.62466636001827103</v>
      </c>
      <c r="N1653" s="2">
        <f t="shared" si="448"/>
        <v>0.37533363998172897</v>
      </c>
    </row>
    <row r="1654" spans="1:14" x14ac:dyDescent="0.35">
      <c r="A1654" t="s">
        <v>34</v>
      </c>
      <c r="B1654" t="s">
        <v>26</v>
      </c>
      <c r="C1654">
        <v>2011</v>
      </c>
      <c r="D1654" t="s">
        <v>32</v>
      </c>
      <c r="E1654" s="3">
        <f>658+12491</f>
        <v>13149</v>
      </c>
      <c r="F1654" s="3">
        <v>7232</v>
      </c>
      <c r="G1654" s="1">
        <f t="shared" si="443"/>
        <v>20381</v>
      </c>
      <c r="H1654" s="2">
        <f t="shared" si="444"/>
        <v>0.64515970757077667</v>
      </c>
      <c r="I1654" s="2">
        <f t="shared" si="445"/>
        <v>0.35484029242922327</v>
      </c>
      <c r="J1654" s="4">
        <v>15618.25</v>
      </c>
      <c r="K1654" s="4">
        <v>9394.25</v>
      </c>
      <c r="L1654" s="1">
        <f t="shared" si="446"/>
        <v>25012.5</v>
      </c>
      <c r="M1654" s="2">
        <f t="shared" si="447"/>
        <v>0.62441779110444773</v>
      </c>
      <c r="N1654" s="2">
        <f t="shared" si="448"/>
        <v>0.37558220889555222</v>
      </c>
    </row>
    <row r="1655" spans="1:14" x14ac:dyDescent="0.35">
      <c r="A1655" t="s">
        <v>34</v>
      </c>
      <c r="B1655" t="s">
        <v>27</v>
      </c>
      <c r="C1655">
        <v>2011</v>
      </c>
      <c r="D1655" t="s">
        <v>32</v>
      </c>
      <c r="E1655" s="3">
        <v>13081</v>
      </c>
      <c r="F1655" s="3">
        <v>7231</v>
      </c>
      <c r="G1655" s="1">
        <f t="shared" ref="G1655:G1718" si="449">SUM(E1655:F1655)</f>
        <v>20312</v>
      </c>
      <c r="H1655" s="2">
        <f t="shared" ref="H1655:H1718" si="450">SUM(E1655)/G1655</f>
        <v>0.64400354470263887</v>
      </c>
      <c r="I1655" s="2">
        <f t="shared" ref="I1655:I1718" si="451">SUM(F1655/G1655)</f>
        <v>0.35599645529736118</v>
      </c>
      <c r="J1655" s="4">
        <v>15600.91</v>
      </c>
      <c r="K1655" s="4">
        <v>9523.36</v>
      </c>
      <c r="L1655" s="1">
        <f t="shared" si="446"/>
        <v>25124.27</v>
      </c>
      <c r="M1655" s="2">
        <f t="shared" si="447"/>
        <v>0.62094978281956048</v>
      </c>
      <c r="N1655" s="2">
        <f t="shared" si="448"/>
        <v>0.37905021718043946</v>
      </c>
    </row>
    <row r="1656" spans="1:14" x14ac:dyDescent="0.35">
      <c r="A1656" t="s">
        <v>34</v>
      </c>
      <c r="B1656" t="s">
        <v>28</v>
      </c>
      <c r="C1656">
        <v>2011</v>
      </c>
      <c r="D1656" t="s">
        <v>32</v>
      </c>
      <c r="E1656" s="3">
        <v>13023</v>
      </c>
      <c r="F1656" s="3">
        <v>7241</v>
      </c>
      <c r="G1656" s="1">
        <f t="shared" si="449"/>
        <v>20264</v>
      </c>
      <c r="H1656" s="2">
        <f t="shared" si="450"/>
        <v>0.64266679826292938</v>
      </c>
      <c r="I1656" s="2">
        <f t="shared" si="451"/>
        <v>0.35733320173707067</v>
      </c>
      <c r="J1656" s="4">
        <v>15572.94</v>
      </c>
      <c r="K1656" s="4">
        <v>9471.39</v>
      </c>
      <c r="L1656" s="1">
        <f t="shared" si="446"/>
        <v>25044.33</v>
      </c>
      <c r="M1656" s="2">
        <f t="shared" si="447"/>
        <v>0.62181499764617376</v>
      </c>
      <c r="N1656" s="2">
        <f t="shared" si="448"/>
        <v>0.37818500235382613</v>
      </c>
    </row>
    <row r="1657" spans="1:14" x14ac:dyDescent="0.35">
      <c r="A1657" t="s">
        <v>34</v>
      </c>
      <c r="B1657" t="s">
        <v>29</v>
      </c>
      <c r="C1657">
        <v>2011</v>
      </c>
      <c r="D1657" t="s">
        <v>32</v>
      </c>
      <c r="E1657" s="3">
        <v>12949</v>
      </c>
      <c r="F1657" s="3">
        <v>7225</v>
      </c>
      <c r="G1657" s="1">
        <f t="shared" si="449"/>
        <v>20174</v>
      </c>
      <c r="H1657" s="2">
        <f t="shared" si="450"/>
        <v>0.64186576781996629</v>
      </c>
      <c r="I1657" s="2">
        <f t="shared" si="451"/>
        <v>0.35813423218003371</v>
      </c>
      <c r="J1657" s="4">
        <v>15616.29</v>
      </c>
      <c r="K1657" s="4">
        <v>9259.7000000000007</v>
      </c>
      <c r="L1657" s="1">
        <f t="shared" si="446"/>
        <v>24875.99</v>
      </c>
      <c r="M1657" s="2">
        <f t="shared" si="447"/>
        <v>0.62776556832511987</v>
      </c>
      <c r="N1657" s="2">
        <f t="shared" si="448"/>
        <v>0.37223443167488007</v>
      </c>
    </row>
    <row r="1658" spans="1:14" x14ac:dyDescent="0.35">
      <c r="A1658" t="s">
        <v>34</v>
      </c>
      <c r="B1658" t="s">
        <v>17</v>
      </c>
      <c r="C1658">
        <v>2012</v>
      </c>
      <c r="D1658" t="s">
        <v>32</v>
      </c>
      <c r="E1658" s="3">
        <v>12875</v>
      </c>
      <c r="F1658" s="3">
        <v>7302</v>
      </c>
      <c r="G1658" s="1">
        <f t="shared" si="449"/>
        <v>20177</v>
      </c>
      <c r="H1658" s="2">
        <f t="shared" si="450"/>
        <v>0.63810279030579375</v>
      </c>
      <c r="I1658" s="2">
        <f t="shared" si="451"/>
        <v>0.3618972096942063</v>
      </c>
      <c r="J1658" s="4">
        <v>15569.91</v>
      </c>
      <c r="K1658" s="4">
        <v>9835.86</v>
      </c>
      <c r="L1658" s="1">
        <f t="shared" si="446"/>
        <v>25405.77</v>
      </c>
      <c r="M1658" s="2">
        <f t="shared" si="447"/>
        <v>0.61284936453411964</v>
      </c>
      <c r="N1658" s="2">
        <f t="shared" si="448"/>
        <v>0.38715063546588041</v>
      </c>
    </row>
    <row r="1659" spans="1:14" x14ac:dyDescent="0.35">
      <c r="A1659" t="s">
        <v>34</v>
      </c>
      <c r="B1659" t="s">
        <v>19</v>
      </c>
      <c r="C1659">
        <v>2012</v>
      </c>
      <c r="D1659" t="s">
        <v>32</v>
      </c>
      <c r="E1659" s="3">
        <v>12797</v>
      </c>
      <c r="F1659" s="3">
        <v>7336</v>
      </c>
      <c r="G1659" s="1">
        <f t="shared" si="449"/>
        <v>20133</v>
      </c>
      <c r="H1659" s="2">
        <f t="shared" si="450"/>
        <v>0.63562310634282027</v>
      </c>
      <c r="I1659" s="2">
        <f t="shared" si="451"/>
        <v>0.36437689365717973</v>
      </c>
      <c r="J1659" s="4">
        <v>15497.98</v>
      </c>
      <c r="K1659" s="4">
        <v>9767.7999999999993</v>
      </c>
      <c r="L1659" s="1">
        <f t="shared" si="446"/>
        <v>25265.78</v>
      </c>
      <c r="M1659" s="2">
        <f t="shared" si="447"/>
        <v>0.61339804272814857</v>
      </c>
      <c r="N1659" s="2">
        <f t="shared" si="448"/>
        <v>0.38660195727185148</v>
      </c>
    </row>
    <row r="1660" spans="1:14" x14ac:dyDescent="0.35">
      <c r="A1660" t="s">
        <v>34</v>
      </c>
      <c r="B1660" t="s">
        <v>20</v>
      </c>
      <c r="C1660">
        <v>2012</v>
      </c>
      <c r="D1660" t="s">
        <v>32</v>
      </c>
      <c r="E1660" s="3">
        <v>12743</v>
      </c>
      <c r="F1660" s="3">
        <v>7364</v>
      </c>
      <c r="G1660" s="1">
        <f t="shared" si="449"/>
        <v>20107</v>
      </c>
      <c r="H1660" s="2">
        <f t="shared" si="450"/>
        <v>0.63375938727806236</v>
      </c>
      <c r="I1660" s="2">
        <f t="shared" si="451"/>
        <v>0.36624061272193764</v>
      </c>
      <c r="J1660" s="4">
        <v>15464.16</v>
      </c>
      <c r="K1660" s="4">
        <v>9671.8700000000008</v>
      </c>
      <c r="L1660" s="1">
        <f t="shared" si="446"/>
        <v>25136.03</v>
      </c>
      <c r="M1660" s="2">
        <f t="shared" si="447"/>
        <v>0.61521887107868667</v>
      </c>
      <c r="N1660" s="2">
        <f t="shared" si="448"/>
        <v>0.38478112892131339</v>
      </c>
    </row>
    <row r="1661" spans="1:14" x14ac:dyDescent="0.35">
      <c r="A1661" t="s">
        <v>34</v>
      </c>
      <c r="B1661" t="s">
        <v>21</v>
      </c>
      <c r="C1661">
        <v>2012</v>
      </c>
      <c r="D1661" t="s">
        <v>32</v>
      </c>
      <c r="E1661" s="3">
        <v>12547</v>
      </c>
      <c r="F1661" s="3">
        <v>7271</v>
      </c>
      <c r="G1661" s="1">
        <f t="shared" si="449"/>
        <v>19818</v>
      </c>
      <c r="H1661" s="2">
        <f t="shared" si="450"/>
        <v>0.63311131294782519</v>
      </c>
      <c r="I1661" s="2">
        <f t="shared" si="451"/>
        <v>0.36688868705217481</v>
      </c>
      <c r="J1661" s="4">
        <v>15325.57</v>
      </c>
      <c r="K1661" s="4">
        <v>9606.48</v>
      </c>
      <c r="L1661" s="1">
        <f t="shared" si="446"/>
        <v>24932.05</v>
      </c>
      <c r="M1661" s="2">
        <f t="shared" si="447"/>
        <v>0.61469353703365748</v>
      </c>
      <c r="N1661" s="2">
        <f t="shared" si="448"/>
        <v>0.38530646296634252</v>
      </c>
    </row>
    <row r="1662" spans="1:14" x14ac:dyDescent="0.35">
      <c r="A1662" t="s">
        <v>34</v>
      </c>
      <c r="B1662" t="s">
        <v>22</v>
      </c>
      <c r="C1662">
        <v>2012</v>
      </c>
      <c r="D1662" t="s">
        <v>32</v>
      </c>
      <c r="E1662" s="3">
        <v>12583</v>
      </c>
      <c r="F1662" s="3">
        <v>7438</v>
      </c>
      <c r="G1662" s="1">
        <f t="shared" si="449"/>
        <v>20021</v>
      </c>
      <c r="H1662" s="2">
        <f t="shared" si="450"/>
        <v>0.62849008541031914</v>
      </c>
      <c r="I1662" s="2">
        <f t="shared" si="451"/>
        <v>0.37150991458968086</v>
      </c>
      <c r="J1662" s="4">
        <v>15391.95</v>
      </c>
      <c r="K1662" s="4">
        <v>9801.01</v>
      </c>
      <c r="L1662" s="1">
        <f t="shared" si="446"/>
        <v>25192.959999999999</v>
      </c>
      <c r="M1662" s="2">
        <f t="shared" si="447"/>
        <v>0.61096234821156392</v>
      </c>
      <c r="N1662" s="2">
        <f t="shared" si="448"/>
        <v>0.38903765178843613</v>
      </c>
    </row>
    <row r="1663" spans="1:14" x14ac:dyDescent="0.35">
      <c r="A1663" t="s">
        <v>34</v>
      </c>
      <c r="B1663" t="s">
        <v>23</v>
      </c>
      <c r="C1663">
        <v>2012</v>
      </c>
      <c r="D1663" t="s">
        <v>32</v>
      </c>
      <c r="E1663" s="3">
        <v>12524</v>
      </c>
      <c r="F1663" s="3">
        <v>7429</v>
      </c>
      <c r="G1663" s="1">
        <f t="shared" si="449"/>
        <v>19953</v>
      </c>
      <c r="H1663" s="2">
        <f t="shared" si="450"/>
        <v>0.62767503633538813</v>
      </c>
      <c r="I1663" s="2">
        <f t="shared" si="451"/>
        <v>0.37232496366461182</v>
      </c>
      <c r="J1663" s="4">
        <v>15342.44</v>
      </c>
      <c r="K1663" s="4">
        <v>9557.2800000000007</v>
      </c>
      <c r="L1663" s="1">
        <f t="shared" si="446"/>
        <v>24899.72</v>
      </c>
      <c r="M1663" s="2">
        <f t="shared" si="447"/>
        <v>0.61616917780601543</v>
      </c>
      <c r="N1663" s="2">
        <f t="shared" si="448"/>
        <v>0.38383082219398451</v>
      </c>
    </row>
    <row r="1664" spans="1:14" x14ac:dyDescent="0.35">
      <c r="A1664" t="s">
        <v>34</v>
      </c>
      <c r="B1664" t="s">
        <v>24</v>
      </c>
      <c r="C1664">
        <v>2012</v>
      </c>
      <c r="D1664" t="s">
        <v>32</v>
      </c>
      <c r="E1664" s="3">
        <v>12416</v>
      </c>
      <c r="F1664" s="3">
        <v>7627</v>
      </c>
      <c r="G1664" s="1">
        <f t="shared" si="449"/>
        <v>20043</v>
      </c>
      <c r="H1664" s="2">
        <f t="shared" si="450"/>
        <v>0.61946814349149326</v>
      </c>
      <c r="I1664" s="2">
        <f t="shared" si="451"/>
        <v>0.38053185650850668</v>
      </c>
      <c r="J1664" s="4">
        <v>15304.65</v>
      </c>
      <c r="K1664" s="4">
        <v>10292.98</v>
      </c>
      <c r="L1664" s="1">
        <f t="shared" si="446"/>
        <v>25597.629999999997</v>
      </c>
      <c r="M1664" s="2">
        <f t="shared" si="447"/>
        <v>0.59789324246033715</v>
      </c>
      <c r="N1664" s="2">
        <f t="shared" si="448"/>
        <v>0.40210675753966285</v>
      </c>
    </row>
    <row r="1665" spans="1:14" x14ac:dyDescent="0.35">
      <c r="A1665" t="s">
        <v>34</v>
      </c>
      <c r="B1665" t="s">
        <v>25</v>
      </c>
      <c r="C1665">
        <v>2012</v>
      </c>
      <c r="D1665" t="s">
        <v>32</v>
      </c>
      <c r="E1665" s="3">
        <v>12295</v>
      </c>
      <c r="F1665" s="3">
        <v>7703</v>
      </c>
      <c r="G1665" s="1">
        <f t="shared" si="449"/>
        <v>19998</v>
      </c>
      <c r="H1665" s="2">
        <f t="shared" si="450"/>
        <v>0.61481148114811479</v>
      </c>
      <c r="I1665" s="2">
        <f t="shared" si="451"/>
        <v>0.38518851885188521</v>
      </c>
      <c r="J1665" s="4">
        <v>15163.61</v>
      </c>
      <c r="K1665" s="4">
        <v>10054.51</v>
      </c>
      <c r="L1665" s="1">
        <f t="shared" si="446"/>
        <v>25218.120000000003</v>
      </c>
      <c r="M1665" s="2">
        <f t="shared" si="447"/>
        <v>0.60129819352116654</v>
      </c>
      <c r="N1665" s="2">
        <f t="shared" si="448"/>
        <v>0.39870180647883346</v>
      </c>
    </row>
    <row r="1666" spans="1:14" x14ac:dyDescent="0.35">
      <c r="A1666" t="s">
        <v>34</v>
      </c>
      <c r="B1666" t="s">
        <v>26</v>
      </c>
      <c r="C1666">
        <v>2012</v>
      </c>
      <c r="D1666" t="s">
        <v>32</v>
      </c>
      <c r="E1666" s="3">
        <v>12235</v>
      </c>
      <c r="F1666" s="3">
        <v>7761</v>
      </c>
      <c r="G1666" s="1">
        <f t="shared" si="449"/>
        <v>19996</v>
      </c>
      <c r="H1666" s="2">
        <f t="shared" si="450"/>
        <v>0.61187237447489495</v>
      </c>
      <c r="I1666" s="2">
        <f t="shared" si="451"/>
        <v>0.38812762552510505</v>
      </c>
      <c r="J1666" s="4">
        <v>15165.01</v>
      </c>
      <c r="K1666" s="4">
        <v>10096.66</v>
      </c>
      <c r="L1666" s="1">
        <f t="shared" si="446"/>
        <v>25261.67</v>
      </c>
      <c r="M1666" s="2">
        <f t="shared" si="447"/>
        <v>0.60031700200343052</v>
      </c>
      <c r="N1666" s="2">
        <f t="shared" si="448"/>
        <v>0.39968299799656953</v>
      </c>
    </row>
    <row r="1667" spans="1:14" x14ac:dyDescent="0.35">
      <c r="A1667" t="s">
        <v>34</v>
      </c>
      <c r="B1667" t="s">
        <v>27</v>
      </c>
      <c r="C1667">
        <v>2012</v>
      </c>
      <c r="D1667" t="s">
        <v>32</v>
      </c>
      <c r="E1667" s="3">
        <v>12168</v>
      </c>
      <c r="F1667" s="3">
        <v>7716</v>
      </c>
      <c r="G1667" s="1">
        <f t="shared" si="449"/>
        <v>19884</v>
      </c>
      <c r="H1667" s="2">
        <f t="shared" si="450"/>
        <v>0.61194930597465302</v>
      </c>
      <c r="I1667" s="2">
        <f t="shared" si="451"/>
        <v>0.38805069402534703</v>
      </c>
      <c r="J1667" s="4">
        <v>15183.47</v>
      </c>
      <c r="K1667" s="4">
        <v>10056.120000000001</v>
      </c>
      <c r="L1667" s="1">
        <f t="shared" ref="L1667:L1730" si="452">SUM(J1667:K1667)</f>
        <v>25239.59</v>
      </c>
      <c r="M1667" s="2">
        <f t="shared" ref="M1667:M1730" si="453">SUM(J1667)/L1667</f>
        <v>0.60157355963389259</v>
      </c>
      <c r="N1667" s="2">
        <f t="shared" ref="N1667:N1730" si="454">SUM(K1667/L1667)</f>
        <v>0.39842644036610741</v>
      </c>
    </row>
    <row r="1668" spans="1:14" x14ac:dyDescent="0.35">
      <c r="A1668" t="s">
        <v>34</v>
      </c>
      <c r="B1668" t="s">
        <v>28</v>
      </c>
      <c r="C1668">
        <v>2012</v>
      </c>
      <c r="D1668" t="s">
        <v>32</v>
      </c>
      <c r="E1668" s="3">
        <v>12070</v>
      </c>
      <c r="F1668" s="3">
        <v>7751</v>
      </c>
      <c r="G1668" s="1">
        <f t="shared" si="449"/>
        <v>19821</v>
      </c>
      <c r="H1668" s="2">
        <f t="shared" si="450"/>
        <v>0.60895010342565969</v>
      </c>
      <c r="I1668" s="2">
        <f t="shared" si="451"/>
        <v>0.39104989657434036</v>
      </c>
      <c r="J1668" s="4">
        <v>15093.55</v>
      </c>
      <c r="K1668" s="4">
        <v>9895.77</v>
      </c>
      <c r="L1668" s="1">
        <f t="shared" si="452"/>
        <v>24989.32</v>
      </c>
      <c r="M1668" s="2">
        <f t="shared" si="453"/>
        <v>0.60400002881230863</v>
      </c>
      <c r="N1668" s="2">
        <f t="shared" si="454"/>
        <v>0.39599997118769142</v>
      </c>
    </row>
    <row r="1669" spans="1:14" x14ac:dyDescent="0.35">
      <c r="A1669" t="s">
        <v>34</v>
      </c>
      <c r="B1669" t="s">
        <v>29</v>
      </c>
      <c r="C1669">
        <v>2012</v>
      </c>
      <c r="D1669" t="s">
        <v>32</v>
      </c>
      <c r="E1669" s="3">
        <v>11993</v>
      </c>
      <c r="F1669" s="3">
        <v>7790</v>
      </c>
      <c r="G1669" s="1">
        <f t="shared" si="449"/>
        <v>19783</v>
      </c>
      <c r="H1669" s="2">
        <f t="shared" si="450"/>
        <v>0.6062275691250063</v>
      </c>
      <c r="I1669" s="2">
        <f t="shared" si="451"/>
        <v>0.3937724308749937</v>
      </c>
      <c r="J1669" s="6">
        <v>15072.01</v>
      </c>
      <c r="K1669" s="6">
        <v>10428.08</v>
      </c>
      <c r="L1669" s="1">
        <f t="shared" si="452"/>
        <v>25500.09</v>
      </c>
      <c r="M1669" s="2">
        <f t="shared" si="453"/>
        <v>0.59105712960228773</v>
      </c>
      <c r="N1669" s="2">
        <f t="shared" si="454"/>
        <v>0.40894287039771232</v>
      </c>
    </row>
    <row r="1670" spans="1:14" x14ac:dyDescent="0.35">
      <c r="A1670" t="s">
        <v>34</v>
      </c>
      <c r="B1670" t="s">
        <v>17</v>
      </c>
      <c r="C1670">
        <v>2013</v>
      </c>
      <c r="D1670" t="s">
        <v>32</v>
      </c>
      <c r="E1670" s="3">
        <v>11948</v>
      </c>
      <c r="F1670" s="3">
        <v>7820</v>
      </c>
      <c r="G1670" s="1">
        <f t="shared" si="449"/>
        <v>19768</v>
      </c>
      <c r="H1670" s="2">
        <f t="shared" si="450"/>
        <v>0.60441116956697694</v>
      </c>
      <c r="I1670" s="2">
        <f t="shared" si="451"/>
        <v>0.39558883043302306</v>
      </c>
      <c r="J1670" s="6">
        <v>15089.74</v>
      </c>
      <c r="K1670" s="6">
        <v>10309.66</v>
      </c>
      <c r="L1670" s="1">
        <f t="shared" si="452"/>
        <v>25399.4</v>
      </c>
      <c r="M1670" s="2">
        <f t="shared" si="453"/>
        <v>0.59409828578627832</v>
      </c>
      <c r="N1670" s="2">
        <f t="shared" si="454"/>
        <v>0.40590171421372157</v>
      </c>
    </row>
    <row r="1671" spans="1:14" x14ac:dyDescent="0.35">
      <c r="A1671" t="s">
        <v>34</v>
      </c>
      <c r="B1671" t="s">
        <v>19</v>
      </c>
      <c r="C1671">
        <v>2013</v>
      </c>
      <c r="D1671" t="s">
        <v>32</v>
      </c>
      <c r="E1671" s="3">
        <v>11849</v>
      </c>
      <c r="F1671" s="3">
        <v>7846</v>
      </c>
      <c r="G1671" s="1">
        <f t="shared" si="449"/>
        <v>19695</v>
      </c>
      <c r="H1671" s="2">
        <f t="shared" si="450"/>
        <v>0.60162477786240165</v>
      </c>
      <c r="I1671" s="2">
        <f t="shared" si="451"/>
        <v>0.39837522213759835</v>
      </c>
      <c r="J1671" s="6">
        <v>15027.38</v>
      </c>
      <c r="K1671" s="6">
        <v>10306.94</v>
      </c>
      <c r="L1671" s="1">
        <f t="shared" si="452"/>
        <v>25334.32</v>
      </c>
      <c r="M1671" s="2">
        <f t="shared" si="453"/>
        <v>0.5931629504956123</v>
      </c>
      <c r="N1671" s="2">
        <f t="shared" si="454"/>
        <v>0.40683704950438776</v>
      </c>
    </row>
    <row r="1672" spans="1:14" x14ac:dyDescent="0.35">
      <c r="A1672" t="s">
        <v>34</v>
      </c>
      <c r="B1672" t="s">
        <v>20</v>
      </c>
      <c r="C1672">
        <v>2013</v>
      </c>
      <c r="D1672" t="s">
        <v>32</v>
      </c>
      <c r="E1672" s="3">
        <v>11785</v>
      </c>
      <c r="F1672" s="3">
        <v>7931</v>
      </c>
      <c r="G1672" s="1">
        <f t="shared" si="449"/>
        <v>19716</v>
      </c>
      <c r="H1672" s="2">
        <f t="shared" si="450"/>
        <v>0.59773787786569288</v>
      </c>
      <c r="I1672" s="2">
        <f t="shared" si="451"/>
        <v>0.40226212213430718</v>
      </c>
      <c r="J1672" s="6">
        <v>14999.5</v>
      </c>
      <c r="K1672" s="6">
        <v>10381.23</v>
      </c>
      <c r="L1672" s="1">
        <f t="shared" si="452"/>
        <v>25380.73</v>
      </c>
      <c r="M1672" s="2">
        <f t="shared" si="453"/>
        <v>0.5909798496733546</v>
      </c>
      <c r="N1672" s="2">
        <f t="shared" si="454"/>
        <v>0.40902015032664546</v>
      </c>
    </row>
    <row r="1673" spans="1:14" x14ac:dyDescent="0.35">
      <c r="A1673" t="s">
        <v>34</v>
      </c>
      <c r="B1673" t="s">
        <v>21</v>
      </c>
      <c r="C1673">
        <v>2013</v>
      </c>
      <c r="D1673" t="s">
        <v>32</v>
      </c>
      <c r="E1673" s="3">
        <v>11754</v>
      </c>
      <c r="F1673" s="3">
        <v>7950</v>
      </c>
      <c r="G1673" s="1">
        <f t="shared" si="449"/>
        <v>19704</v>
      </c>
      <c r="H1673" s="2">
        <f t="shared" si="450"/>
        <v>0.59652862362971981</v>
      </c>
      <c r="I1673" s="2">
        <f t="shared" si="451"/>
        <v>0.40347137637028013</v>
      </c>
      <c r="J1673" s="6">
        <v>15005.18</v>
      </c>
      <c r="K1673" s="6">
        <v>10312.57</v>
      </c>
      <c r="L1673" s="1">
        <f t="shared" si="452"/>
        <v>25317.75</v>
      </c>
      <c r="M1673" s="2">
        <f t="shared" si="453"/>
        <v>0.59267430952592548</v>
      </c>
      <c r="N1673" s="2">
        <f t="shared" si="454"/>
        <v>0.40732569047407452</v>
      </c>
    </row>
    <row r="1674" spans="1:14" x14ac:dyDescent="0.35">
      <c r="A1674" t="s">
        <v>34</v>
      </c>
      <c r="B1674" t="s">
        <v>22</v>
      </c>
      <c r="C1674">
        <v>2013</v>
      </c>
      <c r="D1674" t="s">
        <v>32</v>
      </c>
      <c r="E1674" s="3">
        <v>11674</v>
      </c>
      <c r="F1674" s="3">
        <v>7922</v>
      </c>
      <c r="G1674" s="1">
        <f t="shared" si="449"/>
        <v>19596</v>
      </c>
      <c r="H1674" s="2">
        <f t="shared" si="450"/>
        <v>0.59573382322923041</v>
      </c>
      <c r="I1674" s="2">
        <f t="shared" si="451"/>
        <v>0.40426617677076954</v>
      </c>
      <c r="J1674" s="6">
        <v>15080.2</v>
      </c>
      <c r="K1674" s="6">
        <v>10229.34</v>
      </c>
      <c r="L1674" s="1">
        <f t="shared" si="452"/>
        <v>25309.54</v>
      </c>
      <c r="M1674" s="2">
        <f t="shared" si="453"/>
        <v>0.59583066306222876</v>
      </c>
      <c r="N1674" s="2">
        <f t="shared" si="454"/>
        <v>0.4041693369377713</v>
      </c>
    </row>
    <row r="1675" spans="1:14" x14ac:dyDescent="0.35">
      <c r="A1675" t="s">
        <v>34</v>
      </c>
      <c r="B1675" t="s">
        <v>23</v>
      </c>
      <c r="C1675">
        <v>2013</v>
      </c>
      <c r="D1675" t="s">
        <v>32</v>
      </c>
      <c r="E1675" s="3">
        <v>11620</v>
      </c>
      <c r="F1675" s="3">
        <v>7977</v>
      </c>
      <c r="G1675" s="1">
        <f t="shared" si="449"/>
        <v>19597</v>
      </c>
      <c r="H1675" s="2">
        <f t="shared" si="450"/>
        <v>0.59294790018880439</v>
      </c>
      <c r="I1675" s="2">
        <f t="shared" si="451"/>
        <v>0.40705209981119561</v>
      </c>
      <c r="J1675" s="6">
        <v>15167.03</v>
      </c>
      <c r="K1675" s="6">
        <v>10249.42</v>
      </c>
      <c r="L1675" s="1">
        <f t="shared" si="452"/>
        <v>25416.45</v>
      </c>
      <c r="M1675" s="2">
        <f t="shared" si="453"/>
        <v>0.59674069352722348</v>
      </c>
      <c r="N1675" s="2">
        <f t="shared" si="454"/>
        <v>0.40325930647277647</v>
      </c>
    </row>
    <row r="1676" spans="1:14" x14ac:dyDescent="0.35">
      <c r="A1676" t="s">
        <v>34</v>
      </c>
      <c r="B1676" t="s">
        <v>24</v>
      </c>
      <c r="C1676">
        <v>2013</v>
      </c>
      <c r="D1676" t="s">
        <v>32</v>
      </c>
      <c r="E1676" s="3">
        <f>10938+629</f>
        <v>11567</v>
      </c>
      <c r="F1676" s="3">
        <v>7963</v>
      </c>
      <c r="G1676" s="1">
        <f t="shared" si="449"/>
        <v>19530</v>
      </c>
      <c r="H1676" s="2">
        <f t="shared" si="450"/>
        <v>0.59226830517153095</v>
      </c>
      <c r="I1676" s="2">
        <f t="shared" si="451"/>
        <v>0.40773169482846905</v>
      </c>
      <c r="J1676" s="4">
        <v>15000.39</v>
      </c>
      <c r="K1676" s="4">
        <v>10190.14</v>
      </c>
      <c r="L1676" s="1">
        <f t="shared" si="452"/>
        <v>25190.53</v>
      </c>
      <c r="M1676" s="2">
        <f t="shared" si="453"/>
        <v>0.59547734803515451</v>
      </c>
      <c r="N1676" s="2">
        <f t="shared" si="454"/>
        <v>0.40452265196484549</v>
      </c>
    </row>
    <row r="1677" spans="1:14" x14ac:dyDescent="0.35">
      <c r="A1677" t="s">
        <v>34</v>
      </c>
      <c r="B1677" t="s">
        <v>25</v>
      </c>
      <c r="C1677">
        <v>2013</v>
      </c>
      <c r="D1677" t="s">
        <v>32</v>
      </c>
      <c r="E1677" s="3">
        <f>10912+632</f>
        <v>11544</v>
      </c>
      <c r="F1677" s="3">
        <v>7980</v>
      </c>
      <c r="G1677" s="1">
        <f t="shared" si="449"/>
        <v>19524</v>
      </c>
      <c r="H1677" s="2">
        <f t="shared" si="450"/>
        <v>0.59127228027043643</v>
      </c>
      <c r="I1677" s="2">
        <f t="shared" si="451"/>
        <v>0.40872771972956362</v>
      </c>
      <c r="J1677" s="4">
        <v>15067.38</v>
      </c>
      <c r="K1677" s="4">
        <v>10294.879999999999</v>
      </c>
      <c r="L1677" s="1">
        <f t="shared" si="452"/>
        <v>25362.26</v>
      </c>
      <c r="M1677" s="2">
        <f t="shared" si="453"/>
        <v>0.59408664685244927</v>
      </c>
      <c r="N1677" s="2">
        <f t="shared" si="454"/>
        <v>0.40591335314755073</v>
      </c>
    </row>
    <row r="1678" spans="1:14" x14ac:dyDescent="0.35">
      <c r="A1678" t="s">
        <v>34</v>
      </c>
      <c r="B1678" t="s">
        <v>26</v>
      </c>
      <c r="C1678">
        <v>2013</v>
      </c>
      <c r="D1678" t="s">
        <v>32</v>
      </c>
      <c r="E1678" s="3">
        <f>10866+637</f>
        <v>11503</v>
      </c>
      <c r="F1678" s="3">
        <v>7958</v>
      </c>
      <c r="G1678" s="1">
        <f t="shared" si="449"/>
        <v>19461</v>
      </c>
      <c r="H1678" s="2">
        <f t="shared" si="450"/>
        <v>0.5910795950876111</v>
      </c>
      <c r="I1678" s="2">
        <f t="shared" si="451"/>
        <v>0.4089204049123889</v>
      </c>
      <c r="J1678" s="4">
        <v>15024.09</v>
      </c>
      <c r="K1678" s="4">
        <v>10282.030000000001</v>
      </c>
      <c r="L1678" s="1">
        <f t="shared" si="452"/>
        <v>25306.120000000003</v>
      </c>
      <c r="M1678" s="2">
        <f t="shared" si="453"/>
        <v>0.59369393648650992</v>
      </c>
      <c r="N1678" s="2">
        <f t="shared" si="454"/>
        <v>0.40630606351349002</v>
      </c>
    </row>
    <row r="1679" spans="1:14" x14ac:dyDescent="0.35">
      <c r="A1679" t="s">
        <v>34</v>
      </c>
      <c r="B1679" t="s">
        <v>27</v>
      </c>
      <c r="C1679">
        <v>2013</v>
      </c>
      <c r="D1679" t="s">
        <v>32</v>
      </c>
      <c r="E1679" s="3">
        <v>11454</v>
      </c>
      <c r="F1679" s="3">
        <v>7944</v>
      </c>
      <c r="G1679" s="1">
        <f t="shared" si="449"/>
        <v>19398</v>
      </c>
      <c r="H1679" s="2">
        <f t="shared" si="450"/>
        <v>0.59047324466439843</v>
      </c>
      <c r="I1679" s="2">
        <f t="shared" si="451"/>
        <v>0.40952675533560162</v>
      </c>
      <c r="J1679" s="4">
        <v>15005.44</v>
      </c>
      <c r="K1679" s="4">
        <v>10365.99</v>
      </c>
      <c r="L1679" s="1">
        <f t="shared" si="452"/>
        <v>25371.43</v>
      </c>
      <c r="M1679" s="2">
        <f t="shared" si="453"/>
        <v>0.59143059732935832</v>
      </c>
      <c r="N1679" s="2">
        <f t="shared" si="454"/>
        <v>0.40856940267064173</v>
      </c>
    </row>
    <row r="1680" spans="1:14" x14ac:dyDescent="0.35">
      <c r="A1680" t="s">
        <v>34</v>
      </c>
      <c r="B1680" t="s">
        <v>28</v>
      </c>
      <c r="C1680">
        <v>2013</v>
      </c>
      <c r="D1680" t="s">
        <v>32</v>
      </c>
      <c r="E1680" s="3">
        <v>11405</v>
      </c>
      <c r="F1680" s="3">
        <v>8423</v>
      </c>
      <c r="G1680" s="1">
        <f t="shared" si="449"/>
        <v>19828</v>
      </c>
      <c r="H1680" s="2">
        <f t="shared" si="450"/>
        <v>0.57519669154730679</v>
      </c>
      <c r="I1680" s="2">
        <f t="shared" si="451"/>
        <v>0.42480330845269315</v>
      </c>
      <c r="J1680" s="4">
        <v>15066.27</v>
      </c>
      <c r="K1680" s="4">
        <v>10278.66</v>
      </c>
      <c r="L1680" s="1">
        <f t="shared" si="452"/>
        <v>25344.93</v>
      </c>
      <c r="M1680" s="2">
        <f t="shared" si="453"/>
        <v>0.59444906732825853</v>
      </c>
      <c r="N1680" s="2">
        <f t="shared" si="454"/>
        <v>0.40555093267174142</v>
      </c>
    </row>
    <row r="1681" spans="1:14" x14ac:dyDescent="0.35">
      <c r="A1681" t="s">
        <v>34</v>
      </c>
      <c r="B1681" t="s">
        <v>29</v>
      </c>
      <c r="C1681">
        <v>2013</v>
      </c>
      <c r="D1681" t="s">
        <v>32</v>
      </c>
      <c r="E1681" s="3">
        <v>11359</v>
      </c>
      <c r="F1681" s="3">
        <v>7989</v>
      </c>
      <c r="G1681" s="1">
        <f t="shared" si="449"/>
        <v>19348</v>
      </c>
      <c r="H1681" s="2">
        <f t="shared" si="450"/>
        <v>0.58708910481703536</v>
      </c>
      <c r="I1681" s="2">
        <f t="shared" si="451"/>
        <v>0.41291089518296464</v>
      </c>
      <c r="J1681" s="4">
        <v>15101.52</v>
      </c>
      <c r="K1681" s="4">
        <v>10450.879999999999</v>
      </c>
      <c r="L1681" s="1">
        <f t="shared" si="452"/>
        <v>25552.400000000001</v>
      </c>
      <c r="M1681" s="2">
        <f t="shared" si="453"/>
        <v>0.59100201937978425</v>
      </c>
      <c r="N1681" s="2">
        <f t="shared" si="454"/>
        <v>0.40899798062021564</v>
      </c>
    </row>
    <row r="1682" spans="1:14" x14ac:dyDescent="0.35">
      <c r="A1682" t="s">
        <v>34</v>
      </c>
      <c r="B1682" t="s">
        <v>17</v>
      </c>
      <c r="C1682">
        <v>2014</v>
      </c>
      <c r="D1682" t="s">
        <v>32</v>
      </c>
      <c r="E1682" s="3">
        <v>11313</v>
      </c>
      <c r="F1682" s="3">
        <v>8314</v>
      </c>
      <c r="G1682" s="1">
        <f t="shared" si="449"/>
        <v>19627</v>
      </c>
      <c r="H1682" s="2">
        <f t="shared" si="450"/>
        <v>0.57639985733937937</v>
      </c>
      <c r="I1682" s="2">
        <f t="shared" si="451"/>
        <v>0.42360014266062057</v>
      </c>
      <c r="J1682" s="4">
        <v>15080.23</v>
      </c>
      <c r="K1682" s="4">
        <v>10400.780000000001</v>
      </c>
      <c r="L1682" s="1">
        <f t="shared" si="452"/>
        <v>25481.010000000002</v>
      </c>
      <c r="M1682" s="2">
        <f t="shared" si="453"/>
        <v>0.5918223021771899</v>
      </c>
      <c r="N1682" s="2">
        <f t="shared" si="454"/>
        <v>0.40817769782280999</v>
      </c>
    </row>
    <row r="1683" spans="1:14" x14ac:dyDescent="0.35">
      <c r="A1683" t="s">
        <v>34</v>
      </c>
      <c r="B1683" t="s">
        <v>19</v>
      </c>
      <c r="C1683">
        <v>2014</v>
      </c>
      <c r="D1683" t="s">
        <v>32</v>
      </c>
      <c r="E1683" s="3">
        <v>11202</v>
      </c>
      <c r="F1683" s="3">
        <v>8150</v>
      </c>
      <c r="G1683" s="1">
        <f t="shared" si="449"/>
        <v>19352</v>
      </c>
      <c r="H1683" s="2">
        <f t="shared" si="450"/>
        <v>0.57885489871847873</v>
      </c>
      <c r="I1683" s="2">
        <f t="shared" si="451"/>
        <v>0.42114510128152127</v>
      </c>
      <c r="J1683" s="4">
        <v>15104.41</v>
      </c>
      <c r="K1683" s="4">
        <v>10489.88</v>
      </c>
      <c r="L1683" s="1">
        <f t="shared" si="452"/>
        <v>25594.29</v>
      </c>
      <c r="M1683" s="2">
        <f t="shared" si="453"/>
        <v>0.59014764621327642</v>
      </c>
      <c r="N1683" s="2">
        <f t="shared" si="454"/>
        <v>0.40985235378672347</v>
      </c>
    </row>
    <row r="1684" spans="1:14" x14ac:dyDescent="0.35">
      <c r="A1684" t="s">
        <v>34</v>
      </c>
      <c r="B1684" t="s">
        <v>20</v>
      </c>
      <c r="C1684">
        <v>2014</v>
      </c>
      <c r="D1684" t="s">
        <v>32</v>
      </c>
      <c r="E1684" s="3">
        <v>11092</v>
      </c>
      <c r="F1684" s="3">
        <v>8180</v>
      </c>
      <c r="G1684" s="1">
        <f t="shared" si="449"/>
        <v>19272</v>
      </c>
      <c r="H1684" s="2">
        <f t="shared" si="450"/>
        <v>0.57555002075550021</v>
      </c>
      <c r="I1684" s="2">
        <f t="shared" si="451"/>
        <v>0.42444997924449979</v>
      </c>
      <c r="J1684" s="4">
        <v>15147.73</v>
      </c>
      <c r="K1684" s="4">
        <v>10393.540000000001</v>
      </c>
      <c r="L1684" s="1">
        <f t="shared" si="452"/>
        <v>25541.27</v>
      </c>
      <c r="M1684" s="2">
        <f t="shared" si="453"/>
        <v>0.5930687863211187</v>
      </c>
      <c r="N1684" s="2">
        <f t="shared" si="454"/>
        <v>0.4069312136788813</v>
      </c>
    </row>
    <row r="1685" spans="1:14" x14ac:dyDescent="0.35">
      <c r="A1685" t="s">
        <v>34</v>
      </c>
      <c r="B1685" t="s">
        <v>21</v>
      </c>
      <c r="C1685">
        <v>2014</v>
      </c>
      <c r="D1685" t="s">
        <v>32</v>
      </c>
      <c r="E1685" s="3">
        <v>11058</v>
      </c>
      <c r="F1685" s="3">
        <v>8231</v>
      </c>
      <c r="G1685" s="1">
        <f t="shared" si="449"/>
        <v>19289</v>
      </c>
      <c r="H1685" s="2">
        <f t="shared" si="450"/>
        <v>0.57328010783348027</v>
      </c>
      <c r="I1685" s="2">
        <f t="shared" si="451"/>
        <v>0.42671989216651979</v>
      </c>
      <c r="J1685" s="4">
        <v>15090.07</v>
      </c>
      <c r="K1685" s="4">
        <v>10368.120000000001</v>
      </c>
      <c r="L1685" s="1">
        <f t="shared" si="452"/>
        <v>25458.190000000002</v>
      </c>
      <c r="M1685" s="2">
        <f t="shared" si="453"/>
        <v>0.59273931100364941</v>
      </c>
      <c r="N1685" s="2">
        <f t="shared" si="454"/>
        <v>0.40726068899635048</v>
      </c>
    </row>
    <row r="1686" spans="1:14" x14ac:dyDescent="0.35">
      <c r="A1686" t="s">
        <v>34</v>
      </c>
      <c r="B1686" t="s">
        <v>22</v>
      </c>
      <c r="C1686">
        <v>2014</v>
      </c>
      <c r="D1686" t="s">
        <v>32</v>
      </c>
      <c r="E1686" s="3">
        <v>11057</v>
      </c>
      <c r="F1686" s="3">
        <v>8253</v>
      </c>
      <c r="G1686" s="1">
        <f t="shared" si="449"/>
        <v>19310</v>
      </c>
      <c r="H1686" s="2">
        <f t="shared" si="450"/>
        <v>0.57260486794407039</v>
      </c>
      <c r="I1686" s="2">
        <f t="shared" si="451"/>
        <v>0.42739513205592955</v>
      </c>
      <c r="J1686" s="4">
        <v>15115.18</v>
      </c>
      <c r="K1686" s="4">
        <v>10440.01</v>
      </c>
      <c r="L1686" s="1">
        <f t="shared" si="452"/>
        <v>25555.190000000002</v>
      </c>
      <c r="M1686" s="2">
        <f t="shared" si="453"/>
        <v>0.59147202583897829</v>
      </c>
      <c r="N1686" s="2">
        <f t="shared" si="454"/>
        <v>0.40852797416102166</v>
      </c>
    </row>
    <row r="1687" spans="1:14" x14ac:dyDescent="0.35">
      <c r="A1687" t="s">
        <v>34</v>
      </c>
      <c r="B1687" t="s">
        <v>23</v>
      </c>
      <c r="C1687">
        <v>2014</v>
      </c>
      <c r="D1687" t="s">
        <v>32</v>
      </c>
      <c r="E1687" s="3">
        <v>11022</v>
      </c>
      <c r="F1687" s="3">
        <v>8171</v>
      </c>
      <c r="G1687" s="1">
        <f t="shared" si="449"/>
        <v>19193</v>
      </c>
      <c r="H1687" s="2">
        <f t="shared" si="450"/>
        <v>0.57427186995258683</v>
      </c>
      <c r="I1687" s="2">
        <f t="shared" si="451"/>
        <v>0.42572813004741311</v>
      </c>
      <c r="J1687" s="4">
        <v>15153.1</v>
      </c>
      <c r="K1687" s="4">
        <v>10339.950000000001</v>
      </c>
      <c r="L1687" s="1">
        <f t="shared" si="452"/>
        <v>25493.050000000003</v>
      </c>
      <c r="M1687" s="2">
        <f t="shared" si="453"/>
        <v>0.59440121915580912</v>
      </c>
      <c r="N1687" s="2">
        <f t="shared" si="454"/>
        <v>0.40559878084419088</v>
      </c>
    </row>
    <row r="1688" spans="1:14" x14ac:dyDescent="0.35">
      <c r="A1688" t="s">
        <v>34</v>
      </c>
      <c r="B1688" t="s">
        <v>24</v>
      </c>
      <c r="C1688">
        <v>2014</v>
      </c>
      <c r="D1688" t="s">
        <v>32</v>
      </c>
      <c r="E1688" s="3">
        <v>10992</v>
      </c>
      <c r="F1688" s="3">
        <v>8198</v>
      </c>
      <c r="G1688" s="1">
        <f t="shared" si="449"/>
        <v>19190</v>
      </c>
      <c r="H1688" s="2">
        <f t="shared" si="450"/>
        <v>0.57279833246482548</v>
      </c>
      <c r="I1688" s="2">
        <f t="shared" si="451"/>
        <v>0.42720166753517458</v>
      </c>
      <c r="J1688" s="4">
        <v>15195.57</v>
      </c>
      <c r="K1688" s="4">
        <v>10417.030000000001</v>
      </c>
      <c r="L1688" s="1">
        <f t="shared" si="452"/>
        <v>25612.6</v>
      </c>
      <c r="M1688" s="2">
        <f t="shared" si="453"/>
        <v>0.59328494569079282</v>
      </c>
      <c r="N1688" s="2">
        <f t="shared" si="454"/>
        <v>0.40671505430920724</v>
      </c>
    </row>
    <row r="1689" spans="1:14" x14ac:dyDescent="0.35">
      <c r="A1689" t="s">
        <v>34</v>
      </c>
      <c r="B1689" t="s">
        <v>25</v>
      </c>
      <c r="C1689">
        <v>2014</v>
      </c>
      <c r="D1689" t="s">
        <v>32</v>
      </c>
      <c r="E1689" s="3">
        <v>10930</v>
      </c>
      <c r="F1689" s="3">
        <v>8202</v>
      </c>
      <c r="G1689" s="1">
        <f t="shared" si="449"/>
        <v>19132</v>
      </c>
      <c r="H1689" s="2">
        <f t="shared" si="450"/>
        <v>0.57129416684089485</v>
      </c>
      <c r="I1689" s="2">
        <f t="shared" si="451"/>
        <v>0.42870583315910515</v>
      </c>
      <c r="J1689" s="4">
        <v>15133.39</v>
      </c>
      <c r="K1689" s="4">
        <v>10319.93</v>
      </c>
      <c r="L1689" s="1">
        <f t="shared" si="452"/>
        <v>25453.32</v>
      </c>
      <c r="M1689" s="2">
        <f t="shared" si="453"/>
        <v>0.59455465927431073</v>
      </c>
      <c r="N1689" s="2">
        <f t="shared" si="454"/>
        <v>0.40544534072568922</v>
      </c>
    </row>
    <row r="1690" spans="1:14" x14ac:dyDescent="0.35">
      <c r="A1690" t="s">
        <v>34</v>
      </c>
      <c r="B1690" t="s">
        <v>26</v>
      </c>
      <c r="C1690">
        <v>2014</v>
      </c>
      <c r="D1690" t="s">
        <v>32</v>
      </c>
      <c r="E1690" s="3">
        <v>10891</v>
      </c>
      <c r="F1690" s="3">
        <v>8224</v>
      </c>
      <c r="G1690" s="1">
        <f t="shared" si="449"/>
        <v>19115</v>
      </c>
      <c r="H1690" s="2">
        <f t="shared" si="450"/>
        <v>0.56976196704159032</v>
      </c>
      <c r="I1690" s="2">
        <f t="shared" si="451"/>
        <v>0.43023803295840962</v>
      </c>
      <c r="J1690" s="4">
        <v>15254.97</v>
      </c>
      <c r="K1690" s="4">
        <v>10439.370000000001</v>
      </c>
      <c r="L1690" s="1">
        <f t="shared" si="452"/>
        <v>25694.34</v>
      </c>
      <c r="M1690" s="2">
        <f t="shared" si="453"/>
        <v>0.59370935388883306</v>
      </c>
      <c r="N1690" s="2">
        <f t="shared" si="454"/>
        <v>0.40629064611116694</v>
      </c>
    </row>
    <row r="1691" spans="1:14" x14ac:dyDescent="0.35">
      <c r="A1691" t="s">
        <v>34</v>
      </c>
      <c r="B1691" t="s">
        <v>27</v>
      </c>
      <c r="C1691">
        <v>2014</v>
      </c>
      <c r="D1691" t="s">
        <v>32</v>
      </c>
      <c r="E1691" s="3">
        <v>10849</v>
      </c>
      <c r="F1691" s="3">
        <v>8227</v>
      </c>
      <c r="G1691" s="1">
        <f t="shared" si="449"/>
        <v>19076</v>
      </c>
      <c r="H1691" s="2">
        <f t="shared" si="450"/>
        <v>0.56872509960159368</v>
      </c>
      <c r="I1691" s="2">
        <f t="shared" si="451"/>
        <v>0.43127490039840638</v>
      </c>
      <c r="J1691" s="4">
        <v>15203.41</v>
      </c>
      <c r="K1691" s="4">
        <v>10551.31</v>
      </c>
      <c r="L1691" s="1">
        <f t="shared" si="452"/>
        <v>25754.720000000001</v>
      </c>
      <c r="M1691" s="2">
        <f t="shared" si="453"/>
        <v>0.59031548391906408</v>
      </c>
      <c r="N1691" s="2">
        <f t="shared" si="454"/>
        <v>0.40968451608093581</v>
      </c>
    </row>
    <row r="1692" spans="1:14" x14ac:dyDescent="0.35">
      <c r="A1692" t="s">
        <v>34</v>
      </c>
      <c r="B1692" t="s">
        <v>28</v>
      </c>
      <c r="C1692">
        <v>2014</v>
      </c>
      <c r="D1692" t="s">
        <v>32</v>
      </c>
      <c r="E1692" s="3">
        <v>10792</v>
      </c>
      <c r="F1692" s="3">
        <v>8233</v>
      </c>
      <c r="G1692" s="1">
        <f t="shared" si="449"/>
        <v>19025</v>
      </c>
      <c r="H1692" s="2">
        <f t="shared" si="450"/>
        <v>0.56725361366622862</v>
      </c>
      <c r="I1692" s="2">
        <f t="shared" si="451"/>
        <v>0.43274638633377133</v>
      </c>
      <c r="J1692" s="4">
        <v>14596.67</v>
      </c>
      <c r="K1692" s="4">
        <v>10492.06</v>
      </c>
      <c r="L1692" s="1">
        <f t="shared" si="452"/>
        <v>25088.73</v>
      </c>
      <c r="M1692" s="2">
        <f t="shared" si="453"/>
        <v>0.58180186880722939</v>
      </c>
      <c r="N1692" s="2">
        <f t="shared" si="454"/>
        <v>0.41819813119277061</v>
      </c>
    </row>
    <row r="1693" spans="1:14" x14ac:dyDescent="0.35">
      <c r="A1693" t="s">
        <v>34</v>
      </c>
      <c r="B1693" t="s">
        <v>29</v>
      </c>
      <c r="C1693">
        <v>2014</v>
      </c>
      <c r="D1693" t="s">
        <v>32</v>
      </c>
      <c r="E1693" s="3">
        <v>10749</v>
      </c>
      <c r="F1693" s="3">
        <v>8240</v>
      </c>
      <c r="G1693" s="1">
        <f t="shared" si="449"/>
        <v>18989</v>
      </c>
      <c r="H1693" s="2">
        <f t="shared" si="450"/>
        <v>0.56606456369477065</v>
      </c>
      <c r="I1693" s="2">
        <f t="shared" si="451"/>
        <v>0.43393543630522935</v>
      </c>
      <c r="J1693" s="4">
        <v>16090.46</v>
      </c>
      <c r="K1693" s="4">
        <v>10532.09</v>
      </c>
      <c r="L1693" s="1">
        <f t="shared" si="452"/>
        <v>26622.55</v>
      </c>
      <c r="M1693" s="2">
        <f t="shared" si="453"/>
        <v>0.60439214124867824</v>
      </c>
      <c r="N1693" s="2">
        <f t="shared" si="454"/>
        <v>0.39560785875132176</v>
      </c>
    </row>
    <row r="1694" spans="1:14" x14ac:dyDescent="0.35">
      <c r="A1694" t="s">
        <v>34</v>
      </c>
      <c r="B1694" t="s">
        <v>17</v>
      </c>
      <c r="C1694">
        <v>2015</v>
      </c>
      <c r="D1694" t="s">
        <v>32</v>
      </c>
      <c r="E1694" s="3">
        <v>10706</v>
      </c>
      <c r="F1694" s="3">
        <v>8279</v>
      </c>
      <c r="G1694" s="1">
        <f t="shared" si="449"/>
        <v>18985</v>
      </c>
      <c r="H1694" s="2">
        <f t="shared" si="450"/>
        <v>0.56391888332894391</v>
      </c>
      <c r="I1694" s="2">
        <f t="shared" si="451"/>
        <v>0.43608111667105609</v>
      </c>
      <c r="J1694" s="4">
        <v>15273.74</v>
      </c>
      <c r="K1694" s="4">
        <v>10677.45</v>
      </c>
      <c r="L1694" s="1">
        <f t="shared" si="452"/>
        <v>25951.190000000002</v>
      </c>
      <c r="M1694" s="2">
        <f t="shared" si="453"/>
        <v>0.58855643999369578</v>
      </c>
      <c r="N1694" s="2">
        <f t="shared" si="454"/>
        <v>0.41144356000630411</v>
      </c>
    </row>
    <row r="1695" spans="1:14" x14ac:dyDescent="0.35">
      <c r="A1695" t="s">
        <v>34</v>
      </c>
      <c r="B1695" t="s">
        <v>19</v>
      </c>
      <c r="C1695">
        <v>2015</v>
      </c>
      <c r="D1695" t="s">
        <v>32</v>
      </c>
      <c r="E1695" s="3">
        <v>10638</v>
      </c>
      <c r="F1695" s="3">
        <v>8314</v>
      </c>
      <c r="G1695" s="1">
        <f t="shared" si="449"/>
        <v>18952</v>
      </c>
      <c r="H1695" s="2">
        <f t="shared" si="450"/>
        <v>0.56131279020683833</v>
      </c>
      <c r="I1695" s="2">
        <f t="shared" si="451"/>
        <v>0.43868720979316167</v>
      </c>
      <c r="J1695" s="4">
        <v>15151.45</v>
      </c>
      <c r="K1695" s="4">
        <v>10496.66</v>
      </c>
      <c r="L1695" s="1">
        <f t="shared" si="452"/>
        <v>25648.11</v>
      </c>
      <c r="M1695" s="2">
        <f t="shared" si="453"/>
        <v>0.59074333352438058</v>
      </c>
      <c r="N1695" s="2">
        <f t="shared" si="454"/>
        <v>0.40925666647561942</v>
      </c>
    </row>
    <row r="1696" spans="1:14" x14ac:dyDescent="0.35">
      <c r="A1696" t="s">
        <v>34</v>
      </c>
      <c r="B1696" t="s">
        <v>20</v>
      </c>
      <c r="C1696">
        <v>2015</v>
      </c>
      <c r="D1696" t="s">
        <v>32</v>
      </c>
      <c r="E1696" s="3">
        <v>10576</v>
      </c>
      <c r="F1696" s="3">
        <v>8327</v>
      </c>
      <c r="G1696" s="1">
        <f t="shared" si="449"/>
        <v>18903</v>
      </c>
      <c r="H1696" s="2">
        <f t="shared" si="450"/>
        <v>0.55948791197164471</v>
      </c>
      <c r="I1696" s="2">
        <f t="shared" si="451"/>
        <v>0.44051208802835529</v>
      </c>
      <c r="J1696" s="4">
        <v>15344.38</v>
      </c>
      <c r="K1696" s="4">
        <v>10690.17</v>
      </c>
      <c r="L1696" s="1">
        <f t="shared" si="452"/>
        <v>26034.55</v>
      </c>
      <c r="M1696" s="2">
        <f t="shared" si="453"/>
        <v>0.58938525920363516</v>
      </c>
      <c r="N1696" s="2">
        <f t="shared" si="454"/>
        <v>0.41061474079636484</v>
      </c>
    </row>
    <row r="1697" spans="1:14" x14ac:dyDescent="0.35">
      <c r="A1697" t="s">
        <v>34</v>
      </c>
      <c r="B1697" t="s">
        <v>21</v>
      </c>
      <c r="C1697">
        <v>2015</v>
      </c>
      <c r="D1697" t="s">
        <v>32</v>
      </c>
      <c r="E1697" s="3">
        <v>10536</v>
      </c>
      <c r="F1697" s="3">
        <v>8347</v>
      </c>
      <c r="G1697" s="1">
        <f t="shared" si="449"/>
        <v>18883</v>
      </c>
      <c r="H1697" s="2">
        <f t="shared" si="450"/>
        <v>0.55796218821161891</v>
      </c>
      <c r="I1697" s="2">
        <f t="shared" si="451"/>
        <v>0.44203781178838109</v>
      </c>
      <c r="J1697" s="4">
        <v>15054.36</v>
      </c>
      <c r="K1697" s="4">
        <v>10629.77</v>
      </c>
      <c r="L1697" s="1">
        <f t="shared" si="452"/>
        <v>25684.13</v>
      </c>
      <c r="M1697" s="2">
        <f t="shared" si="453"/>
        <v>0.58613470652889543</v>
      </c>
      <c r="N1697" s="2">
        <f t="shared" si="454"/>
        <v>0.41386529347110451</v>
      </c>
    </row>
    <row r="1698" spans="1:14" x14ac:dyDescent="0.35">
      <c r="A1698" t="s">
        <v>34</v>
      </c>
      <c r="B1698" t="s">
        <v>22</v>
      </c>
      <c r="C1698">
        <v>2015</v>
      </c>
      <c r="D1698" t="s">
        <v>32</v>
      </c>
      <c r="E1698" s="3">
        <v>10487</v>
      </c>
      <c r="F1698" s="3">
        <v>8372</v>
      </c>
      <c r="G1698" s="1">
        <f t="shared" si="449"/>
        <v>18859</v>
      </c>
      <c r="H1698" s="2">
        <f t="shared" si="450"/>
        <v>0.55607402301288511</v>
      </c>
      <c r="I1698" s="2">
        <f t="shared" si="451"/>
        <v>0.44392597698711489</v>
      </c>
      <c r="J1698" s="4">
        <v>14952.09</v>
      </c>
      <c r="K1698" s="4">
        <v>10629.15</v>
      </c>
      <c r="L1698" s="1">
        <f t="shared" si="452"/>
        <v>25581.239999999998</v>
      </c>
      <c r="M1698" s="2">
        <f t="shared" si="453"/>
        <v>0.58449434038381254</v>
      </c>
      <c r="N1698" s="2">
        <f t="shared" si="454"/>
        <v>0.41550565961618752</v>
      </c>
    </row>
    <row r="1699" spans="1:14" x14ac:dyDescent="0.35">
      <c r="A1699" t="s">
        <v>34</v>
      </c>
      <c r="B1699" t="s">
        <v>23</v>
      </c>
      <c r="C1699">
        <v>2015</v>
      </c>
      <c r="D1699" t="s">
        <v>32</v>
      </c>
      <c r="E1699" s="3">
        <v>10449</v>
      </c>
      <c r="F1699" s="3">
        <v>8399</v>
      </c>
      <c r="G1699" s="1">
        <f t="shared" si="449"/>
        <v>18848</v>
      </c>
      <c r="H1699" s="2">
        <f t="shared" si="450"/>
        <v>0.55438242784380309</v>
      </c>
      <c r="I1699" s="2">
        <f t="shared" si="451"/>
        <v>0.44561757215619696</v>
      </c>
      <c r="J1699" s="4">
        <v>14818.32</v>
      </c>
      <c r="K1699" s="4">
        <v>10658.59</v>
      </c>
      <c r="L1699" s="1">
        <f t="shared" si="452"/>
        <v>25476.91</v>
      </c>
      <c r="M1699" s="2">
        <f t="shared" si="453"/>
        <v>0.58163725506743169</v>
      </c>
      <c r="N1699" s="2">
        <f t="shared" si="454"/>
        <v>0.41836274493256836</v>
      </c>
    </row>
    <row r="1700" spans="1:14" x14ac:dyDescent="0.35">
      <c r="A1700" t="s">
        <v>34</v>
      </c>
      <c r="B1700" t="s">
        <v>24</v>
      </c>
      <c r="C1700">
        <v>2015</v>
      </c>
      <c r="D1700" t="s">
        <v>32</v>
      </c>
      <c r="E1700" s="3">
        <v>10404</v>
      </c>
      <c r="F1700" s="3">
        <v>8427</v>
      </c>
      <c r="G1700" s="1">
        <f t="shared" si="449"/>
        <v>18831</v>
      </c>
      <c r="H1700" s="2">
        <f t="shared" si="450"/>
        <v>0.5524932292496415</v>
      </c>
      <c r="I1700" s="2">
        <f t="shared" si="451"/>
        <v>0.44750677075035844</v>
      </c>
      <c r="J1700" s="4">
        <v>12786.34</v>
      </c>
      <c r="K1700" s="4">
        <v>10680.15</v>
      </c>
      <c r="L1700" s="1">
        <f t="shared" si="452"/>
        <v>23466.489999999998</v>
      </c>
      <c r="M1700" s="2">
        <f t="shared" si="453"/>
        <v>0.54487654523535478</v>
      </c>
      <c r="N1700" s="2">
        <f t="shared" si="454"/>
        <v>0.45512345476464527</v>
      </c>
    </row>
    <row r="1701" spans="1:14" x14ac:dyDescent="0.35">
      <c r="A1701" t="s">
        <v>34</v>
      </c>
      <c r="B1701" t="s">
        <v>25</v>
      </c>
      <c r="C1701">
        <v>2015</v>
      </c>
      <c r="D1701" t="s">
        <v>32</v>
      </c>
      <c r="E1701" s="3">
        <v>10347</v>
      </c>
      <c r="F1701" s="3">
        <v>8424</v>
      </c>
      <c r="G1701" s="1">
        <f t="shared" si="449"/>
        <v>18771</v>
      </c>
      <c r="H1701" s="2">
        <f t="shared" si="450"/>
        <v>0.55122263065366794</v>
      </c>
      <c r="I1701" s="2">
        <f t="shared" si="451"/>
        <v>0.44877736934633211</v>
      </c>
      <c r="J1701" s="4">
        <v>11273.92</v>
      </c>
      <c r="K1701" s="4">
        <v>10710.56</v>
      </c>
      <c r="L1701" s="1">
        <f t="shared" si="452"/>
        <v>21984.48</v>
      </c>
      <c r="M1701" s="2">
        <f t="shared" si="453"/>
        <v>0.51281267512354167</v>
      </c>
      <c r="N1701" s="2">
        <f t="shared" si="454"/>
        <v>0.48718732487645827</v>
      </c>
    </row>
    <row r="1702" spans="1:14" x14ac:dyDescent="0.35">
      <c r="A1702" t="s">
        <v>34</v>
      </c>
      <c r="B1702" t="s">
        <v>26</v>
      </c>
      <c r="C1702">
        <v>2015</v>
      </c>
      <c r="D1702" t="s">
        <v>32</v>
      </c>
      <c r="E1702" s="3">
        <v>10291</v>
      </c>
      <c r="F1702" s="3">
        <v>8457</v>
      </c>
      <c r="G1702" s="1">
        <f t="shared" si="449"/>
        <v>18748</v>
      </c>
      <c r="H1702" s="2">
        <f t="shared" si="450"/>
        <v>0.54891188393428636</v>
      </c>
      <c r="I1702" s="2">
        <f t="shared" si="451"/>
        <v>0.4510881160657137</v>
      </c>
      <c r="J1702" s="4">
        <v>19646.41</v>
      </c>
      <c r="K1702" s="4">
        <v>10714.85</v>
      </c>
      <c r="L1702" s="1">
        <f t="shared" si="452"/>
        <v>30361.260000000002</v>
      </c>
      <c r="M1702" s="2">
        <f t="shared" si="453"/>
        <v>0.64708809845177695</v>
      </c>
      <c r="N1702" s="2">
        <f t="shared" si="454"/>
        <v>0.35291190154822294</v>
      </c>
    </row>
    <row r="1703" spans="1:14" x14ac:dyDescent="0.35">
      <c r="A1703" t="s">
        <v>34</v>
      </c>
      <c r="B1703" t="s">
        <v>27</v>
      </c>
      <c r="C1703">
        <v>2015</v>
      </c>
      <c r="D1703" t="s">
        <v>32</v>
      </c>
      <c r="E1703" s="3">
        <v>10254</v>
      </c>
      <c r="F1703" s="3">
        <v>8431</v>
      </c>
      <c r="G1703" s="1">
        <f t="shared" si="449"/>
        <v>18685</v>
      </c>
      <c r="H1703" s="2">
        <f t="shared" si="450"/>
        <v>0.54878244581214874</v>
      </c>
      <c r="I1703" s="2">
        <f t="shared" si="451"/>
        <v>0.4512175541878512</v>
      </c>
      <c r="J1703" s="4">
        <v>20017.52</v>
      </c>
      <c r="K1703" s="4">
        <v>10834.81</v>
      </c>
      <c r="L1703" s="1">
        <f t="shared" si="452"/>
        <v>30852.33</v>
      </c>
      <c r="M1703" s="2">
        <f t="shared" si="453"/>
        <v>0.6488171233744745</v>
      </c>
      <c r="N1703" s="2">
        <f t="shared" si="454"/>
        <v>0.3511828766255255</v>
      </c>
    </row>
    <row r="1704" spans="1:14" x14ac:dyDescent="0.35">
      <c r="A1704" t="s">
        <v>34</v>
      </c>
      <c r="B1704" t="s">
        <v>28</v>
      </c>
      <c r="C1704">
        <v>2015</v>
      </c>
      <c r="D1704" t="s">
        <v>32</v>
      </c>
      <c r="E1704" s="3">
        <v>10212</v>
      </c>
      <c r="F1704" s="3">
        <v>8453</v>
      </c>
      <c r="G1704" s="1">
        <f t="shared" si="449"/>
        <v>18665</v>
      </c>
      <c r="H1704" s="2">
        <f t="shared" si="450"/>
        <v>0.54712027859630319</v>
      </c>
      <c r="I1704" s="2">
        <f t="shared" si="451"/>
        <v>0.45287972140369676</v>
      </c>
      <c r="J1704" s="4">
        <v>13782.67</v>
      </c>
      <c r="K1704" s="4">
        <v>10846.12</v>
      </c>
      <c r="L1704" s="1">
        <f t="shared" si="452"/>
        <v>24628.79</v>
      </c>
      <c r="M1704" s="2">
        <f t="shared" si="453"/>
        <v>0.55961620526221545</v>
      </c>
      <c r="N1704" s="2">
        <f t="shared" si="454"/>
        <v>0.44038379473778455</v>
      </c>
    </row>
    <row r="1705" spans="1:14" x14ac:dyDescent="0.35">
      <c r="A1705" t="s">
        <v>34</v>
      </c>
      <c r="B1705" t="s">
        <v>29</v>
      </c>
      <c r="C1705">
        <v>2015</v>
      </c>
      <c r="D1705" t="s">
        <v>32</v>
      </c>
      <c r="E1705" s="3">
        <v>10161</v>
      </c>
      <c r="F1705" s="3">
        <v>8495</v>
      </c>
      <c r="G1705" s="1">
        <f t="shared" si="449"/>
        <v>18656</v>
      </c>
      <c r="H1705" s="2">
        <f t="shared" si="450"/>
        <v>0.54465051457975988</v>
      </c>
      <c r="I1705" s="2">
        <f t="shared" si="451"/>
        <v>0.45534948542024012</v>
      </c>
      <c r="J1705" s="4">
        <v>13316.28</v>
      </c>
      <c r="K1705" s="4">
        <v>10930.96</v>
      </c>
      <c r="L1705" s="1">
        <f t="shared" si="452"/>
        <v>24247.239999999998</v>
      </c>
      <c r="M1705" s="2">
        <f t="shared" si="453"/>
        <v>0.54918745391228041</v>
      </c>
      <c r="N1705" s="2">
        <f t="shared" si="454"/>
        <v>0.4508125460877197</v>
      </c>
    </row>
    <row r="1706" spans="1:14" x14ac:dyDescent="0.35">
      <c r="A1706" t="s">
        <v>34</v>
      </c>
      <c r="B1706" t="s">
        <v>17</v>
      </c>
      <c r="C1706">
        <v>2016</v>
      </c>
      <c r="D1706" t="s">
        <v>32</v>
      </c>
      <c r="E1706" s="3">
        <v>10107</v>
      </c>
      <c r="F1706" s="3">
        <v>8494</v>
      </c>
      <c r="G1706" s="1">
        <f t="shared" si="449"/>
        <v>18601</v>
      </c>
      <c r="H1706" s="2">
        <f t="shared" si="450"/>
        <v>0.54335788398473195</v>
      </c>
      <c r="I1706" s="2">
        <f t="shared" si="451"/>
        <v>0.456642116015268</v>
      </c>
      <c r="J1706" s="4">
        <v>13236.45</v>
      </c>
      <c r="K1706" s="4">
        <v>11036.44</v>
      </c>
      <c r="L1706" s="1">
        <f t="shared" si="452"/>
        <v>24272.89</v>
      </c>
      <c r="M1706" s="2">
        <f t="shared" si="453"/>
        <v>0.54531825423342672</v>
      </c>
      <c r="N1706" s="2">
        <f t="shared" si="454"/>
        <v>0.45468174576657333</v>
      </c>
    </row>
    <row r="1707" spans="1:14" x14ac:dyDescent="0.35">
      <c r="A1707" t="s">
        <v>34</v>
      </c>
      <c r="B1707" t="s">
        <v>19</v>
      </c>
      <c r="C1707">
        <v>2016</v>
      </c>
      <c r="D1707" t="s">
        <v>32</v>
      </c>
      <c r="E1707" s="3">
        <v>10069</v>
      </c>
      <c r="F1707" s="3">
        <v>8535</v>
      </c>
      <c r="G1707" s="1">
        <f t="shared" si="449"/>
        <v>18604</v>
      </c>
      <c r="H1707" s="2">
        <f t="shared" si="450"/>
        <v>0.54122769296925388</v>
      </c>
      <c r="I1707" s="2">
        <f t="shared" si="451"/>
        <v>0.45877230703074606</v>
      </c>
      <c r="J1707" s="4">
        <v>13046.36</v>
      </c>
      <c r="K1707" s="4">
        <v>11035.76</v>
      </c>
      <c r="L1707" s="1">
        <f t="shared" si="452"/>
        <v>24082.120000000003</v>
      </c>
      <c r="M1707" s="2">
        <f t="shared" si="453"/>
        <v>0.54174466367578933</v>
      </c>
      <c r="N1707" s="2">
        <f t="shared" si="454"/>
        <v>0.45825533632421062</v>
      </c>
    </row>
    <row r="1708" spans="1:14" x14ac:dyDescent="0.35">
      <c r="A1708" t="s">
        <v>34</v>
      </c>
      <c r="B1708" t="s">
        <v>20</v>
      </c>
      <c r="C1708">
        <v>2016</v>
      </c>
      <c r="D1708" t="s">
        <v>32</v>
      </c>
      <c r="E1708" s="3">
        <v>10035</v>
      </c>
      <c r="F1708" s="3">
        <v>8581</v>
      </c>
      <c r="G1708" s="1">
        <f t="shared" si="449"/>
        <v>18616</v>
      </c>
      <c r="H1708" s="2">
        <f t="shared" si="450"/>
        <v>0.53905242801890851</v>
      </c>
      <c r="I1708" s="2">
        <f t="shared" si="451"/>
        <v>0.46094757198109154</v>
      </c>
      <c r="J1708" s="4">
        <v>12769.75</v>
      </c>
      <c r="K1708" s="4">
        <v>11075.3</v>
      </c>
      <c r="L1708" s="1">
        <f t="shared" si="452"/>
        <v>23845.05</v>
      </c>
      <c r="M1708" s="2">
        <f t="shared" si="453"/>
        <v>0.53553043503788</v>
      </c>
      <c r="N1708" s="2">
        <f t="shared" si="454"/>
        <v>0.46446956496212</v>
      </c>
    </row>
    <row r="1709" spans="1:14" x14ac:dyDescent="0.35">
      <c r="A1709" t="s">
        <v>34</v>
      </c>
      <c r="B1709" t="s">
        <v>21</v>
      </c>
      <c r="C1709">
        <v>2016</v>
      </c>
      <c r="D1709" t="s">
        <v>32</v>
      </c>
      <c r="E1709" s="3">
        <v>10009</v>
      </c>
      <c r="F1709" s="3">
        <v>8595</v>
      </c>
      <c r="G1709" s="1">
        <f t="shared" si="449"/>
        <v>18604</v>
      </c>
      <c r="H1709" s="2">
        <f t="shared" si="450"/>
        <v>0.53800258009030311</v>
      </c>
      <c r="I1709" s="2">
        <f t="shared" si="451"/>
        <v>0.46199741990969684</v>
      </c>
      <c r="J1709" s="4">
        <v>12524.89</v>
      </c>
      <c r="K1709" s="4">
        <v>11107.97</v>
      </c>
      <c r="L1709" s="1">
        <f t="shared" si="452"/>
        <v>23632.86</v>
      </c>
      <c r="M1709" s="2">
        <f t="shared" si="453"/>
        <v>0.52997775131744529</v>
      </c>
      <c r="N1709" s="2">
        <f t="shared" si="454"/>
        <v>0.47002224868255466</v>
      </c>
    </row>
    <row r="1710" spans="1:14" x14ac:dyDescent="0.35">
      <c r="A1710" t="s">
        <v>34</v>
      </c>
      <c r="B1710" t="s">
        <v>22</v>
      </c>
      <c r="C1710">
        <v>2016</v>
      </c>
      <c r="D1710" t="s">
        <v>32</v>
      </c>
      <c r="E1710" s="3">
        <v>9989</v>
      </c>
      <c r="F1710" s="3">
        <v>8590</v>
      </c>
      <c r="G1710" s="1">
        <f t="shared" si="449"/>
        <v>18579</v>
      </c>
      <c r="H1710" s="2">
        <f t="shared" si="450"/>
        <v>0.5376500349857366</v>
      </c>
      <c r="I1710" s="2">
        <f t="shared" si="451"/>
        <v>0.4623499650142634</v>
      </c>
      <c r="J1710" s="4">
        <v>12320.26</v>
      </c>
      <c r="K1710" s="4">
        <v>11177.94</v>
      </c>
      <c r="L1710" s="1">
        <f t="shared" si="452"/>
        <v>23498.2</v>
      </c>
      <c r="M1710" s="2">
        <f t="shared" si="453"/>
        <v>0.52430654262879706</v>
      </c>
      <c r="N1710" s="2">
        <f t="shared" si="454"/>
        <v>0.47569345737120289</v>
      </c>
    </row>
    <row r="1711" spans="1:14" x14ac:dyDescent="0.35">
      <c r="A1711" t="s">
        <v>34</v>
      </c>
      <c r="B1711" t="s">
        <v>23</v>
      </c>
      <c r="C1711">
        <v>2016</v>
      </c>
      <c r="D1711" t="s">
        <v>32</v>
      </c>
      <c r="E1711" s="3">
        <v>9967</v>
      </c>
      <c r="F1711" s="3">
        <v>8605</v>
      </c>
      <c r="G1711" s="1">
        <f t="shared" si="449"/>
        <v>18572</v>
      </c>
      <c r="H1711" s="2">
        <f t="shared" si="450"/>
        <v>0.53666810251992247</v>
      </c>
      <c r="I1711" s="2">
        <f t="shared" si="451"/>
        <v>0.46333189748007753</v>
      </c>
      <c r="J1711" s="4">
        <v>12301.38</v>
      </c>
      <c r="K1711" s="4">
        <v>11054.18</v>
      </c>
      <c r="L1711" s="1">
        <f t="shared" si="452"/>
        <v>23355.559999999998</v>
      </c>
      <c r="M1711" s="2">
        <f t="shared" si="453"/>
        <v>0.52670028036150707</v>
      </c>
      <c r="N1711" s="2">
        <f t="shared" si="454"/>
        <v>0.47329971963849299</v>
      </c>
    </row>
    <row r="1712" spans="1:14" x14ac:dyDescent="0.35">
      <c r="A1712" t="s">
        <v>34</v>
      </c>
      <c r="B1712" t="s">
        <v>24</v>
      </c>
      <c r="C1712">
        <v>2016</v>
      </c>
      <c r="D1712" t="s">
        <v>32</v>
      </c>
      <c r="E1712" s="3">
        <v>9967</v>
      </c>
      <c r="F1712" s="3">
        <v>8581</v>
      </c>
      <c r="G1712" s="1">
        <f t="shared" si="449"/>
        <v>18548</v>
      </c>
      <c r="H1712" s="2">
        <f t="shared" si="450"/>
        <v>0.537362518869959</v>
      </c>
      <c r="I1712" s="2">
        <f t="shared" si="451"/>
        <v>0.462637481130041</v>
      </c>
      <c r="J1712" s="4">
        <v>12957.6</v>
      </c>
      <c r="K1712" s="4">
        <v>11041.37</v>
      </c>
      <c r="L1712" s="1">
        <f t="shared" si="452"/>
        <v>23998.97</v>
      </c>
      <c r="M1712" s="2">
        <f t="shared" si="453"/>
        <v>0.53992317170278559</v>
      </c>
      <c r="N1712" s="2">
        <f t="shared" si="454"/>
        <v>0.46007682829721441</v>
      </c>
    </row>
    <row r="1713" spans="1:14" x14ac:dyDescent="0.35">
      <c r="A1713" t="s">
        <v>34</v>
      </c>
      <c r="B1713" t="s">
        <v>25</v>
      </c>
      <c r="C1713">
        <v>2016</v>
      </c>
      <c r="D1713" t="s">
        <v>32</v>
      </c>
      <c r="E1713" s="3">
        <v>9950</v>
      </c>
      <c r="F1713" s="3">
        <v>8599</v>
      </c>
      <c r="G1713" s="1">
        <f t="shared" si="449"/>
        <v>18549</v>
      </c>
      <c r="H1713" s="2">
        <f t="shared" si="450"/>
        <v>0.53641705752331659</v>
      </c>
      <c r="I1713" s="2">
        <f t="shared" si="451"/>
        <v>0.46358294247668336</v>
      </c>
      <c r="J1713" s="4">
        <v>12165.47</v>
      </c>
      <c r="K1713" s="4">
        <v>11061.59</v>
      </c>
      <c r="L1713" s="1">
        <f t="shared" si="452"/>
        <v>23227.059999999998</v>
      </c>
      <c r="M1713" s="2">
        <f t="shared" si="453"/>
        <v>0.52376280080216786</v>
      </c>
      <c r="N1713" s="2">
        <f t="shared" si="454"/>
        <v>0.47623719919783225</v>
      </c>
    </row>
    <row r="1714" spans="1:14" x14ac:dyDescent="0.35">
      <c r="A1714" t="s">
        <v>34</v>
      </c>
      <c r="B1714" t="s">
        <v>26</v>
      </c>
      <c r="C1714">
        <v>2016</v>
      </c>
      <c r="D1714" t="s">
        <v>32</v>
      </c>
      <c r="E1714" s="3">
        <v>9928</v>
      </c>
      <c r="F1714" s="3">
        <v>8595</v>
      </c>
      <c r="G1714" s="1">
        <f t="shared" si="449"/>
        <v>18523</v>
      </c>
      <c r="H1714" s="2">
        <f t="shared" si="450"/>
        <v>0.53598229228526695</v>
      </c>
      <c r="I1714" s="2">
        <f t="shared" si="451"/>
        <v>0.46401770771473305</v>
      </c>
      <c r="J1714" s="4">
        <v>12199.6</v>
      </c>
      <c r="K1714" s="4">
        <v>11463.68</v>
      </c>
      <c r="L1714" s="1">
        <f t="shared" si="452"/>
        <v>23663.279999999999</v>
      </c>
      <c r="M1714" s="2">
        <f t="shared" si="453"/>
        <v>0.51554983079268812</v>
      </c>
      <c r="N1714" s="2">
        <f t="shared" si="454"/>
        <v>0.48445016920731193</v>
      </c>
    </row>
    <row r="1715" spans="1:14" x14ac:dyDescent="0.35">
      <c r="A1715" t="s">
        <v>34</v>
      </c>
      <c r="B1715" t="s">
        <v>27</v>
      </c>
      <c r="C1715">
        <v>2016</v>
      </c>
      <c r="D1715" t="s">
        <v>32</v>
      </c>
      <c r="E1715" s="3">
        <v>9873</v>
      </c>
      <c r="F1715" s="3">
        <v>8616</v>
      </c>
      <c r="G1715" s="1">
        <f t="shared" si="449"/>
        <v>18489</v>
      </c>
      <c r="H1715" s="2">
        <f t="shared" si="450"/>
        <v>0.53399318513710858</v>
      </c>
      <c r="I1715" s="2">
        <f t="shared" si="451"/>
        <v>0.46600681486289147</v>
      </c>
      <c r="J1715" s="4">
        <v>12052.35</v>
      </c>
      <c r="K1715" s="4">
        <v>11129.97</v>
      </c>
      <c r="L1715" s="1">
        <f t="shared" si="452"/>
        <v>23182.32</v>
      </c>
      <c r="M1715" s="2">
        <f t="shared" si="453"/>
        <v>0.51989403994078243</v>
      </c>
      <c r="N1715" s="2">
        <f t="shared" si="454"/>
        <v>0.48010596005921752</v>
      </c>
    </row>
    <row r="1716" spans="1:14" x14ac:dyDescent="0.35">
      <c r="A1716" t="s">
        <v>34</v>
      </c>
      <c r="B1716" t="s">
        <v>28</v>
      </c>
      <c r="C1716">
        <v>2016</v>
      </c>
      <c r="D1716" t="s">
        <v>32</v>
      </c>
      <c r="E1716" s="3">
        <v>9822</v>
      </c>
      <c r="F1716" s="3">
        <v>8632</v>
      </c>
      <c r="G1716" s="1">
        <f t="shared" si="449"/>
        <v>18454</v>
      </c>
      <c r="H1716" s="2">
        <f t="shared" si="450"/>
        <v>0.5322423322856833</v>
      </c>
      <c r="I1716" s="2">
        <f t="shared" si="451"/>
        <v>0.4677576677143167</v>
      </c>
      <c r="J1716" s="4">
        <v>11944.91</v>
      </c>
      <c r="K1716" s="4">
        <v>11142.05</v>
      </c>
      <c r="L1716" s="1">
        <f t="shared" si="452"/>
        <v>23086.959999999999</v>
      </c>
      <c r="M1716" s="2">
        <f t="shared" si="453"/>
        <v>0.51738773749337286</v>
      </c>
      <c r="N1716" s="2">
        <f t="shared" si="454"/>
        <v>0.48261226250662709</v>
      </c>
    </row>
    <row r="1717" spans="1:14" x14ac:dyDescent="0.35">
      <c r="A1717" t="s">
        <v>34</v>
      </c>
      <c r="B1717" t="s">
        <v>29</v>
      </c>
      <c r="C1717">
        <v>2016</v>
      </c>
      <c r="D1717" t="s">
        <v>32</v>
      </c>
      <c r="E1717" s="3">
        <v>9764</v>
      </c>
      <c r="F1717" s="3">
        <v>8665</v>
      </c>
      <c r="G1717" s="1">
        <f t="shared" si="449"/>
        <v>18429</v>
      </c>
      <c r="H1717" s="2">
        <f t="shared" si="450"/>
        <v>0.5298171360355961</v>
      </c>
      <c r="I1717" s="2">
        <f t="shared" si="451"/>
        <v>0.47018286396440395</v>
      </c>
      <c r="J1717" s="4">
        <v>11408.82</v>
      </c>
      <c r="K1717" s="4">
        <v>11163.41</v>
      </c>
      <c r="L1717" s="1">
        <f t="shared" si="452"/>
        <v>22572.23</v>
      </c>
      <c r="M1717" s="2">
        <f t="shared" si="453"/>
        <v>0.50543610445224063</v>
      </c>
      <c r="N1717" s="2">
        <f t="shared" si="454"/>
        <v>0.49456389554775937</v>
      </c>
    </row>
    <row r="1718" spans="1:14" x14ac:dyDescent="0.35">
      <c r="A1718" t="s">
        <v>34</v>
      </c>
      <c r="B1718" t="s">
        <v>17</v>
      </c>
      <c r="C1718">
        <v>2017</v>
      </c>
      <c r="D1718" t="s">
        <v>32</v>
      </c>
      <c r="E1718" s="3">
        <v>9730</v>
      </c>
      <c r="F1718" s="3">
        <v>8712</v>
      </c>
      <c r="G1718" s="1">
        <f t="shared" si="449"/>
        <v>18442</v>
      </c>
      <c r="H1718" s="2">
        <f t="shared" si="450"/>
        <v>0.52760004337924304</v>
      </c>
      <c r="I1718" s="2">
        <f t="shared" si="451"/>
        <v>0.47239995662075696</v>
      </c>
      <c r="J1718" s="4">
        <v>11943.67</v>
      </c>
      <c r="K1718" s="4">
        <v>11080.39</v>
      </c>
      <c r="L1718" s="1">
        <f t="shared" si="452"/>
        <v>23024.059999999998</v>
      </c>
      <c r="M1718" s="2">
        <f t="shared" si="453"/>
        <v>0.51874734516848897</v>
      </c>
      <c r="N1718" s="2">
        <f t="shared" si="454"/>
        <v>0.48125265483151108</v>
      </c>
    </row>
    <row r="1719" spans="1:14" x14ac:dyDescent="0.35">
      <c r="A1719" t="s">
        <v>34</v>
      </c>
      <c r="B1719" t="s">
        <v>19</v>
      </c>
      <c r="C1719">
        <v>2017</v>
      </c>
      <c r="D1719" t="s">
        <v>32</v>
      </c>
      <c r="E1719" s="3">
        <v>9656</v>
      </c>
      <c r="F1719" s="3">
        <v>8801</v>
      </c>
      <c r="G1719" s="1">
        <f t="shared" ref="G1719:G1782" si="455">SUM(E1719:F1719)</f>
        <v>18457</v>
      </c>
      <c r="H1719" s="2">
        <f t="shared" ref="H1719:H1782" si="456">SUM(E1719)/G1719</f>
        <v>0.52316194397789462</v>
      </c>
      <c r="I1719" s="2">
        <f t="shared" ref="I1719:I1782" si="457">SUM(F1719/G1719)</f>
        <v>0.47683805602210544</v>
      </c>
      <c r="J1719" s="4">
        <v>11479.93</v>
      </c>
      <c r="K1719" s="4">
        <v>11113.09</v>
      </c>
      <c r="L1719" s="1">
        <f t="shared" si="452"/>
        <v>22593.02</v>
      </c>
      <c r="M1719" s="2">
        <f t="shared" si="453"/>
        <v>0.50811843657908506</v>
      </c>
      <c r="N1719" s="2">
        <f t="shared" si="454"/>
        <v>0.49188156342091494</v>
      </c>
    </row>
    <row r="1720" spans="1:14" x14ac:dyDescent="0.35">
      <c r="A1720" t="s">
        <v>34</v>
      </c>
      <c r="B1720" t="s">
        <v>20</v>
      </c>
      <c r="C1720">
        <v>2017</v>
      </c>
      <c r="D1720" t="s">
        <v>32</v>
      </c>
      <c r="E1720" s="3">
        <v>9597</v>
      </c>
      <c r="F1720" s="3">
        <v>8850</v>
      </c>
      <c r="G1720" s="1">
        <f t="shared" si="455"/>
        <v>18447</v>
      </c>
      <c r="H1720" s="2">
        <f t="shared" si="456"/>
        <v>0.52024719466579927</v>
      </c>
      <c r="I1720" s="2">
        <f t="shared" si="457"/>
        <v>0.47975280533420067</v>
      </c>
      <c r="J1720" s="4">
        <v>11353.67</v>
      </c>
      <c r="K1720" s="4">
        <v>11173.14</v>
      </c>
      <c r="L1720" s="1">
        <f t="shared" si="452"/>
        <v>22526.809999999998</v>
      </c>
      <c r="M1720" s="2">
        <f t="shared" si="453"/>
        <v>0.5040070032108408</v>
      </c>
      <c r="N1720" s="2">
        <f t="shared" si="454"/>
        <v>0.49599299678915926</v>
      </c>
    </row>
    <row r="1721" spans="1:14" x14ac:dyDescent="0.35">
      <c r="A1721" t="s">
        <v>34</v>
      </c>
      <c r="B1721" t="s">
        <v>21</v>
      </c>
      <c r="C1721">
        <v>2017</v>
      </c>
      <c r="D1721" t="s">
        <v>32</v>
      </c>
      <c r="E1721" s="3">
        <v>9485</v>
      </c>
      <c r="F1721" s="3">
        <v>8787</v>
      </c>
      <c r="G1721" s="1">
        <f t="shared" si="455"/>
        <v>18272</v>
      </c>
      <c r="H1721" s="2">
        <f t="shared" si="456"/>
        <v>0.51910026269702281</v>
      </c>
      <c r="I1721" s="2">
        <f t="shared" si="457"/>
        <v>0.48089973730297725</v>
      </c>
      <c r="J1721" s="4">
        <v>11131.87</v>
      </c>
      <c r="K1721" s="4">
        <v>11175.12</v>
      </c>
      <c r="L1721" s="1">
        <f t="shared" si="452"/>
        <v>22306.99</v>
      </c>
      <c r="M1721" s="2">
        <f t="shared" si="453"/>
        <v>0.49903057292803737</v>
      </c>
      <c r="N1721" s="2">
        <f t="shared" si="454"/>
        <v>0.50096942707196268</v>
      </c>
    </row>
    <row r="1722" spans="1:14" x14ac:dyDescent="0.35">
      <c r="A1722" t="s">
        <v>34</v>
      </c>
      <c r="B1722" t="s">
        <v>22</v>
      </c>
      <c r="C1722">
        <v>2017</v>
      </c>
      <c r="D1722" t="s">
        <v>32</v>
      </c>
      <c r="E1722" s="3">
        <v>9425</v>
      </c>
      <c r="F1722" s="3">
        <v>8834</v>
      </c>
      <c r="G1722" s="1">
        <f t="shared" si="455"/>
        <v>18259</v>
      </c>
      <c r="H1722" s="2">
        <f t="shared" si="456"/>
        <v>0.51618379976997641</v>
      </c>
      <c r="I1722" s="2">
        <f t="shared" si="457"/>
        <v>0.48381620023002353</v>
      </c>
      <c r="J1722" s="4">
        <v>11000.35</v>
      </c>
      <c r="K1722" s="4">
        <v>11530.37</v>
      </c>
      <c r="L1722" s="1">
        <f t="shared" si="452"/>
        <v>22530.720000000001</v>
      </c>
      <c r="M1722" s="2">
        <f t="shared" si="453"/>
        <v>0.48823783705092422</v>
      </c>
      <c r="N1722" s="2">
        <f t="shared" si="454"/>
        <v>0.51176216294907573</v>
      </c>
    </row>
    <row r="1723" spans="1:14" x14ac:dyDescent="0.35">
      <c r="A1723" t="s">
        <v>34</v>
      </c>
      <c r="B1723" t="s">
        <v>23</v>
      </c>
      <c r="C1723">
        <v>2017</v>
      </c>
      <c r="D1723" t="s">
        <v>32</v>
      </c>
      <c r="E1723" s="3">
        <v>9325</v>
      </c>
      <c r="F1723" s="3">
        <v>8894</v>
      </c>
      <c r="G1723" s="1">
        <f t="shared" si="455"/>
        <v>18219</v>
      </c>
      <c r="H1723" s="2">
        <f t="shared" si="456"/>
        <v>0.51182831110379279</v>
      </c>
      <c r="I1723" s="2">
        <f t="shared" si="457"/>
        <v>0.48817168889620727</v>
      </c>
      <c r="J1723" s="4">
        <v>10634.7</v>
      </c>
      <c r="K1723" s="4">
        <v>11473.36</v>
      </c>
      <c r="L1723" s="1">
        <f t="shared" si="452"/>
        <v>22108.06</v>
      </c>
      <c r="M1723" s="2">
        <f t="shared" si="453"/>
        <v>0.4810327093376805</v>
      </c>
      <c r="N1723" s="2">
        <f t="shared" si="454"/>
        <v>0.5189672906623195</v>
      </c>
    </row>
    <row r="1724" spans="1:14" x14ac:dyDescent="0.35">
      <c r="A1724" t="s">
        <v>34</v>
      </c>
      <c r="B1724" t="s">
        <v>24</v>
      </c>
      <c r="C1724">
        <v>2017</v>
      </c>
      <c r="D1724" t="s">
        <v>32</v>
      </c>
      <c r="E1724" s="3">
        <v>9249</v>
      </c>
      <c r="F1724" s="3">
        <v>8894</v>
      </c>
      <c r="G1724" s="1">
        <f t="shared" si="455"/>
        <v>18143</v>
      </c>
      <c r="H1724" s="2">
        <f t="shared" si="456"/>
        <v>0.50978338753238162</v>
      </c>
      <c r="I1724" s="2">
        <f t="shared" si="457"/>
        <v>0.49021661246761838</v>
      </c>
      <c r="J1724" s="4">
        <v>9752.65</v>
      </c>
      <c r="K1724" s="4">
        <v>11454.82</v>
      </c>
      <c r="L1724" s="1">
        <f t="shared" si="452"/>
        <v>21207.47</v>
      </c>
      <c r="M1724" s="2">
        <f t="shared" si="453"/>
        <v>0.459868621763935</v>
      </c>
      <c r="N1724" s="2">
        <f t="shared" si="454"/>
        <v>0.54013137823606494</v>
      </c>
    </row>
    <row r="1725" spans="1:14" x14ac:dyDescent="0.35">
      <c r="A1725" t="s">
        <v>34</v>
      </c>
      <c r="B1725" t="s">
        <v>25</v>
      </c>
      <c r="C1725">
        <v>2017</v>
      </c>
      <c r="D1725" t="s">
        <v>32</v>
      </c>
      <c r="E1725" s="3">
        <v>9184</v>
      </c>
      <c r="F1725" s="3">
        <v>9007</v>
      </c>
      <c r="G1725" s="1">
        <f t="shared" si="455"/>
        <v>18191</v>
      </c>
      <c r="H1725" s="2">
        <f t="shared" si="456"/>
        <v>0.50486504315320768</v>
      </c>
      <c r="I1725" s="2">
        <f t="shared" si="457"/>
        <v>0.49513495684679237</v>
      </c>
      <c r="J1725" s="4">
        <v>10863.96</v>
      </c>
      <c r="K1725" s="4">
        <v>11603.31</v>
      </c>
      <c r="L1725" s="1">
        <f t="shared" si="452"/>
        <v>22467.269999999997</v>
      </c>
      <c r="M1725" s="2">
        <f t="shared" si="453"/>
        <v>0.48354606500923347</v>
      </c>
      <c r="N1725" s="2">
        <f t="shared" si="454"/>
        <v>0.51645393499076664</v>
      </c>
    </row>
    <row r="1726" spans="1:14" x14ac:dyDescent="0.35">
      <c r="A1726" t="s">
        <v>34</v>
      </c>
      <c r="B1726" t="s">
        <v>26</v>
      </c>
      <c r="C1726">
        <v>2017</v>
      </c>
      <c r="D1726" t="s">
        <v>32</v>
      </c>
      <c r="E1726" s="3">
        <v>9128</v>
      </c>
      <c r="F1726" s="3">
        <v>9046</v>
      </c>
      <c r="G1726" s="1">
        <f t="shared" si="455"/>
        <v>18174</v>
      </c>
      <c r="H1726" s="2">
        <f t="shared" si="456"/>
        <v>0.50225597006712885</v>
      </c>
      <c r="I1726" s="2">
        <f t="shared" si="457"/>
        <v>0.49774402993287115</v>
      </c>
      <c r="J1726" s="4">
        <v>10093.6</v>
      </c>
      <c r="K1726" s="4">
        <v>11619.06</v>
      </c>
      <c r="L1726" s="1">
        <f t="shared" si="452"/>
        <v>21712.66</v>
      </c>
      <c r="M1726" s="2">
        <f t="shared" si="453"/>
        <v>0.46487164631141464</v>
      </c>
      <c r="N1726" s="2">
        <f t="shared" si="454"/>
        <v>0.53512835368858536</v>
      </c>
    </row>
    <row r="1727" spans="1:14" x14ac:dyDescent="0.35">
      <c r="A1727" t="s">
        <v>34</v>
      </c>
      <c r="B1727" t="s">
        <v>27</v>
      </c>
      <c r="C1727">
        <v>2017</v>
      </c>
      <c r="D1727" t="s">
        <v>32</v>
      </c>
      <c r="E1727" s="3">
        <v>9079</v>
      </c>
      <c r="F1727" s="3">
        <v>9059</v>
      </c>
      <c r="G1727" s="1">
        <f t="shared" si="455"/>
        <v>18138</v>
      </c>
      <c r="H1727" s="2">
        <f t="shared" si="456"/>
        <v>0.50055132870217223</v>
      </c>
      <c r="I1727" s="2">
        <f t="shared" si="457"/>
        <v>0.49944867129782777</v>
      </c>
      <c r="J1727" s="4">
        <v>9334.19</v>
      </c>
      <c r="K1727" s="4">
        <v>11659.43</v>
      </c>
      <c r="L1727" s="1">
        <f t="shared" si="452"/>
        <v>20993.620000000003</v>
      </c>
      <c r="M1727" s="2">
        <f t="shared" si="453"/>
        <v>0.44462031798232032</v>
      </c>
      <c r="N1727" s="2">
        <f t="shared" si="454"/>
        <v>0.55537968201767962</v>
      </c>
    </row>
    <row r="1728" spans="1:14" x14ac:dyDescent="0.35">
      <c r="A1728" t="s">
        <v>34</v>
      </c>
      <c r="B1728" t="s">
        <v>28</v>
      </c>
      <c r="C1728">
        <v>2017</v>
      </c>
      <c r="D1728" t="s">
        <v>32</v>
      </c>
      <c r="E1728" s="3">
        <v>9009</v>
      </c>
      <c r="F1728" s="3">
        <v>9082</v>
      </c>
      <c r="G1728" s="1">
        <f t="shared" si="455"/>
        <v>18091</v>
      </c>
      <c r="H1728" s="2">
        <f t="shared" si="456"/>
        <v>0.49798242219888345</v>
      </c>
      <c r="I1728" s="2">
        <f t="shared" si="457"/>
        <v>0.50201757780111655</v>
      </c>
      <c r="J1728" s="4">
        <v>9571.4699999999993</v>
      </c>
      <c r="K1728" s="4">
        <v>11703.83</v>
      </c>
      <c r="L1728" s="1">
        <f t="shared" si="452"/>
        <v>21275.3</v>
      </c>
      <c r="M1728" s="2">
        <f t="shared" si="453"/>
        <v>0.4498864880871245</v>
      </c>
      <c r="N1728" s="2">
        <f t="shared" si="454"/>
        <v>0.5501135119128755</v>
      </c>
    </row>
    <row r="1729" spans="1:14" x14ac:dyDescent="0.35">
      <c r="A1729" t="s">
        <v>34</v>
      </c>
      <c r="B1729" t="s">
        <v>29</v>
      </c>
      <c r="C1729">
        <v>2017</v>
      </c>
      <c r="D1729" t="s">
        <v>32</v>
      </c>
      <c r="E1729" s="3">
        <v>8927</v>
      </c>
      <c r="F1729" s="3">
        <v>9137</v>
      </c>
      <c r="G1729" s="1">
        <f t="shared" si="455"/>
        <v>18064</v>
      </c>
      <c r="H1729" s="2">
        <f t="shared" si="456"/>
        <v>0.49418733392382641</v>
      </c>
      <c r="I1729" s="2">
        <f t="shared" si="457"/>
        <v>0.50581266607617359</v>
      </c>
      <c r="J1729" s="4">
        <v>10015.27</v>
      </c>
      <c r="K1729" s="4">
        <v>11766.36</v>
      </c>
      <c r="L1729" s="1">
        <f t="shared" si="452"/>
        <v>21781.63</v>
      </c>
      <c r="M1729" s="2">
        <f t="shared" si="453"/>
        <v>0.45980351332751496</v>
      </c>
      <c r="N1729" s="2">
        <f t="shared" si="454"/>
        <v>0.54019648667248499</v>
      </c>
    </row>
    <row r="1730" spans="1:14" x14ac:dyDescent="0.35">
      <c r="A1730" t="s">
        <v>34</v>
      </c>
      <c r="B1730" t="s">
        <v>17</v>
      </c>
      <c r="C1730">
        <v>2002</v>
      </c>
      <c r="D1730" t="s">
        <v>33</v>
      </c>
      <c r="E1730" s="1">
        <f>SUM(E962+E1154+E1346+E1538)</f>
        <v>1377672</v>
      </c>
      <c r="F1730" s="1">
        <f>SUM(F962+F1154+F1346+F1538)</f>
        <v>31903</v>
      </c>
      <c r="G1730" s="1">
        <f t="shared" si="455"/>
        <v>1409575</v>
      </c>
      <c r="H1730" s="2">
        <f t="shared" si="456"/>
        <v>0.97736693684266529</v>
      </c>
      <c r="I1730" s="2">
        <f t="shared" si="457"/>
        <v>2.2633063157334658E-2</v>
      </c>
      <c r="J1730" s="1">
        <f>SUM(J962+J1154+J1346+J1538)</f>
        <v>2970549.29</v>
      </c>
      <c r="K1730" s="1">
        <f>SUM(K962+K1154+K1346+K1538)</f>
        <v>201968.30599999998</v>
      </c>
      <c r="L1730" s="1">
        <f t="shared" si="452"/>
        <v>3172517.5959999999</v>
      </c>
      <c r="M1730" s="2">
        <f t="shared" si="453"/>
        <v>0.93633816050235708</v>
      </c>
      <c r="N1730" s="2">
        <f t="shared" si="454"/>
        <v>6.3661839497642925E-2</v>
      </c>
    </row>
    <row r="1731" spans="1:14" x14ac:dyDescent="0.35">
      <c r="A1731" t="s">
        <v>34</v>
      </c>
      <c r="B1731" t="s">
        <v>19</v>
      </c>
      <c r="C1731">
        <v>2002</v>
      </c>
      <c r="D1731" t="s">
        <v>33</v>
      </c>
      <c r="E1731" s="1">
        <f>SUM(E963+E1155+E1347+E1539)</f>
        <v>1377672</v>
      </c>
      <c r="F1731" s="1">
        <f t="shared" ref="F1731:F1794" si="458">SUM(F963+F1155+F1347+F1539)</f>
        <v>52260</v>
      </c>
      <c r="G1731" s="1">
        <f t="shared" si="455"/>
        <v>1429932</v>
      </c>
      <c r="H1731" s="2">
        <f t="shared" si="456"/>
        <v>0.96345280754609308</v>
      </c>
      <c r="I1731" s="2">
        <f t="shared" si="457"/>
        <v>3.6547192453906897E-2</v>
      </c>
      <c r="J1731" s="1">
        <f t="shared" ref="J1731:K1731" si="459">SUM(J963+J1155+J1347+J1539)</f>
        <v>2970549.29</v>
      </c>
      <c r="K1731" s="1">
        <f t="shared" si="459"/>
        <v>770268.40199999989</v>
      </c>
      <c r="L1731" s="1">
        <f t="shared" ref="L1731:L1794" si="460">SUM(J1731:K1731)</f>
        <v>3740817.6919999998</v>
      </c>
      <c r="M1731" s="2">
        <f t="shared" ref="M1731:M1794" si="461">SUM(J1731)/L1731</f>
        <v>0.7940909005944683</v>
      </c>
      <c r="N1731" s="2">
        <f t="shared" ref="N1731:N1794" si="462">SUM(K1731/L1731)</f>
        <v>0.20590909940553176</v>
      </c>
    </row>
    <row r="1732" spans="1:14" x14ac:dyDescent="0.35">
      <c r="A1732" t="s">
        <v>34</v>
      </c>
      <c r="B1732" t="s">
        <v>20</v>
      </c>
      <c r="C1732">
        <v>2002</v>
      </c>
      <c r="D1732" t="s">
        <v>33</v>
      </c>
      <c r="E1732" s="1">
        <f t="shared" ref="E1732" si="463">SUM(E964+E1156+E1348+E1540)</f>
        <v>1717273</v>
      </c>
      <c r="F1732" s="1">
        <f t="shared" si="458"/>
        <v>59178</v>
      </c>
      <c r="G1732" s="1">
        <f t="shared" si="455"/>
        <v>1776451</v>
      </c>
      <c r="H1732" s="2">
        <f t="shared" si="456"/>
        <v>0.96668751347490023</v>
      </c>
      <c r="I1732" s="2">
        <f t="shared" si="457"/>
        <v>3.3312486525099765E-2</v>
      </c>
      <c r="J1732" s="1">
        <f t="shared" ref="J1732:K1732" si="464">SUM(J964+J1156+J1348+J1540)</f>
        <v>2973806.6210000003</v>
      </c>
      <c r="K1732" s="1">
        <f t="shared" si="464"/>
        <v>1479391.567</v>
      </c>
      <c r="L1732" s="1">
        <f t="shared" si="460"/>
        <v>4453198.1880000001</v>
      </c>
      <c r="M1732" s="2">
        <f t="shared" si="461"/>
        <v>0.66779121329328994</v>
      </c>
      <c r="N1732" s="2">
        <f t="shared" si="462"/>
        <v>0.33220878670671011</v>
      </c>
    </row>
    <row r="1733" spans="1:14" x14ac:dyDescent="0.35">
      <c r="A1733" t="s">
        <v>34</v>
      </c>
      <c r="B1733" t="s">
        <v>21</v>
      </c>
      <c r="C1733">
        <v>2002</v>
      </c>
      <c r="D1733" t="s">
        <v>33</v>
      </c>
      <c r="E1733" s="1">
        <f t="shared" ref="E1733" si="465">SUM(E965+E1157+E1349+E1541)</f>
        <v>1713926</v>
      </c>
      <c r="F1733" s="1">
        <f t="shared" si="458"/>
        <v>62531</v>
      </c>
      <c r="G1733" s="1">
        <f t="shared" si="455"/>
        <v>1776457</v>
      </c>
      <c r="H1733" s="2">
        <f t="shared" si="456"/>
        <v>0.96480016121977619</v>
      </c>
      <c r="I1733" s="2">
        <f t="shared" si="457"/>
        <v>3.5199838780223786E-2</v>
      </c>
      <c r="J1733" s="1">
        <f t="shared" ref="J1733:K1733" si="466">SUM(J965+J1157+J1349+J1541)</f>
        <v>3572330.7950000004</v>
      </c>
      <c r="K1733" s="1">
        <f t="shared" si="466"/>
        <v>1247141.7349999999</v>
      </c>
      <c r="L1733" s="1">
        <f t="shared" si="460"/>
        <v>4819472.53</v>
      </c>
      <c r="M1733" s="2">
        <f t="shared" si="461"/>
        <v>0.74122858316198359</v>
      </c>
      <c r="N1733" s="2">
        <f t="shared" si="462"/>
        <v>0.25877141683801647</v>
      </c>
    </row>
    <row r="1734" spans="1:14" x14ac:dyDescent="0.35">
      <c r="A1734" t="s">
        <v>34</v>
      </c>
      <c r="B1734" t="s">
        <v>22</v>
      </c>
      <c r="C1734">
        <v>2002</v>
      </c>
      <c r="D1734" t="s">
        <v>33</v>
      </c>
      <c r="E1734" s="1">
        <f t="shared" ref="E1734" si="467">SUM(E966+E1158+E1350+E1542)</f>
        <v>1699333</v>
      </c>
      <c r="F1734" s="1">
        <f t="shared" si="458"/>
        <v>80419</v>
      </c>
      <c r="G1734" s="1">
        <f t="shared" si="455"/>
        <v>1779752</v>
      </c>
      <c r="H1734" s="2">
        <f t="shared" si="456"/>
        <v>0.95481449100773585</v>
      </c>
      <c r="I1734" s="2">
        <f t="shared" si="457"/>
        <v>4.518550899226409E-2</v>
      </c>
      <c r="J1734" s="1">
        <f t="shared" ref="J1734:K1734" si="468">SUM(J966+J1158+J1350+J1542)</f>
        <v>4135163.4899999998</v>
      </c>
      <c r="K1734" s="1">
        <f t="shared" si="468"/>
        <v>1509987.3229999999</v>
      </c>
      <c r="L1734" s="1">
        <f t="shared" si="460"/>
        <v>5645150.8129999992</v>
      </c>
      <c r="M1734" s="2">
        <f t="shared" si="461"/>
        <v>0.73251603490863204</v>
      </c>
      <c r="N1734" s="2">
        <f t="shared" si="462"/>
        <v>0.26748396509136807</v>
      </c>
    </row>
    <row r="1735" spans="1:14" x14ac:dyDescent="0.35">
      <c r="A1735" t="s">
        <v>34</v>
      </c>
      <c r="B1735" t="s">
        <v>23</v>
      </c>
      <c r="C1735">
        <v>2002</v>
      </c>
      <c r="D1735" t="s">
        <v>33</v>
      </c>
      <c r="E1735" s="1">
        <f t="shared" ref="E1735" si="469">SUM(E967+E1159+E1351+E1543)</f>
        <v>1684861</v>
      </c>
      <c r="F1735" s="1">
        <f t="shared" si="458"/>
        <v>104459</v>
      </c>
      <c r="G1735" s="1">
        <f t="shared" si="455"/>
        <v>1789320</v>
      </c>
      <c r="H1735" s="2">
        <f t="shared" si="456"/>
        <v>0.94162083920148432</v>
      </c>
      <c r="I1735" s="2">
        <f t="shared" si="457"/>
        <v>5.8379160798515635E-2</v>
      </c>
      <c r="J1735" s="1">
        <f t="shared" ref="J1735:K1735" si="470">SUM(J967+J1159+J1351+J1543)</f>
        <v>4406298.3530000001</v>
      </c>
      <c r="K1735" s="1">
        <f t="shared" si="470"/>
        <v>1330292.584</v>
      </c>
      <c r="L1735" s="1">
        <f t="shared" si="460"/>
        <v>5736590.9369999999</v>
      </c>
      <c r="M1735" s="2">
        <f t="shared" si="461"/>
        <v>0.76810398394979718</v>
      </c>
      <c r="N1735" s="2">
        <f t="shared" si="462"/>
        <v>0.23189601605020282</v>
      </c>
    </row>
    <row r="1736" spans="1:14" x14ac:dyDescent="0.35">
      <c r="A1736" t="s">
        <v>34</v>
      </c>
      <c r="B1736" t="s">
        <v>24</v>
      </c>
      <c r="C1736">
        <v>2002</v>
      </c>
      <c r="D1736" t="s">
        <v>33</v>
      </c>
      <c r="E1736" s="1">
        <f t="shared" ref="E1736" si="471">SUM(E968+E1160+E1352+E1544)</f>
        <v>1690815</v>
      </c>
      <c r="F1736" s="1">
        <f t="shared" si="458"/>
        <v>99148</v>
      </c>
      <c r="G1736" s="1">
        <f t="shared" si="455"/>
        <v>1789963</v>
      </c>
      <c r="H1736" s="2">
        <f t="shared" si="456"/>
        <v>0.94460891091044896</v>
      </c>
      <c r="I1736" s="2">
        <f t="shared" si="457"/>
        <v>5.539108908955101E-2</v>
      </c>
      <c r="J1736" s="1">
        <f t="shared" ref="J1736:K1736" si="472">SUM(J968+J1160+J1352+J1544)</f>
        <v>4904946.4589999998</v>
      </c>
      <c r="K1736" s="1">
        <f t="shared" si="472"/>
        <v>1963080.8320000002</v>
      </c>
      <c r="L1736" s="1">
        <f t="shared" si="460"/>
        <v>6868027.2910000002</v>
      </c>
      <c r="M1736" s="2">
        <f t="shared" si="461"/>
        <v>0.71417107870662355</v>
      </c>
      <c r="N1736" s="2">
        <f t="shared" si="462"/>
        <v>0.28582892129337639</v>
      </c>
    </row>
    <row r="1737" spans="1:14" x14ac:dyDescent="0.35">
      <c r="A1737" t="s">
        <v>34</v>
      </c>
      <c r="B1737" t="s">
        <v>25</v>
      </c>
      <c r="C1737">
        <v>2002</v>
      </c>
      <c r="D1737" t="s">
        <v>33</v>
      </c>
      <c r="E1737" s="1">
        <f t="shared" ref="E1737" si="473">SUM(E969+E1161+E1353+E1545)</f>
        <v>1638940</v>
      </c>
      <c r="F1737" s="1">
        <f t="shared" si="458"/>
        <v>159076</v>
      </c>
      <c r="G1737" s="1">
        <f t="shared" si="455"/>
        <v>1798016</v>
      </c>
      <c r="H1737" s="2">
        <f t="shared" si="456"/>
        <v>0.91152692745782016</v>
      </c>
      <c r="I1737" s="2">
        <f t="shared" si="457"/>
        <v>8.8473072542179829E-2</v>
      </c>
      <c r="J1737" s="1">
        <f t="shared" ref="J1737:K1737" si="474">SUM(J969+J1161+J1353+J1545)</f>
        <v>5374690.7110000001</v>
      </c>
      <c r="K1737" s="1">
        <f t="shared" si="474"/>
        <v>1542745.9450000005</v>
      </c>
      <c r="L1737" s="1">
        <f t="shared" si="460"/>
        <v>6917436.6560000004</v>
      </c>
      <c r="M1737" s="2">
        <f t="shared" si="461"/>
        <v>0.77697722122805946</v>
      </c>
      <c r="N1737" s="2">
        <f t="shared" si="462"/>
        <v>0.22302277877194057</v>
      </c>
    </row>
    <row r="1738" spans="1:14" x14ac:dyDescent="0.35">
      <c r="A1738" t="s">
        <v>34</v>
      </c>
      <c r="B1738" t="s">
        <v>26</v>
      </c>
      <c r="C1738">
        <v>2002</v>
      </c>
      <c r="D1738" t="s">
        <v>33</v>
      </c>
      <c r="E1738" s="1">
        <f t="shared" ref="E1738" si="475">SUM(E970+E1162+E1354+E1546)</f>
        <v>1637745</v>
      </c>
      <c r="F1738" s="1">
        <f t="shared" si="458"/>
        <v>167597</v>
      </c>
      <c r="G1738" s="1">
        <f t="shared" si="455"/>
        <v>1805342</v>
      </c>
      <c r="H1738" s="2">
        <f t="shared" si="456"/>
        <v>0.90716606604178041</v>
      </c>
      <c r="I1738" s="2">
        <f t="shared" si="457"/>
        <v>9.2833933958219553E-2</v>
      </c>
      <c r="J1738" s="1">
        <f t="shared" ref="J1738:K1738" si="476">SUM(J970+J1162+J1354+J1546)</f>
        <v>5160916.6260000002</v>
      </c>
      <c r="K1738" s="1">
        <f t="shared" si="476"/>
        <v>1914981.4030000002</v>
      </c>
      <c r="L1738" s="1">
        <f t="shared" si="460"/>
        <v>7075898.0290000001</v>
      </c>
      <c r="M1738" s="2">
        <f t="shared" si="461"/>
        <v>0.72936560205480605</v>
      </c>
      <c r="N1738" s="2">
        <f t="shared" si="462"/>
        <v>0.27063439794519406</v>
      </c>
    </row>
    <row r="1739" spans="1:14" x14ac:dyDescent="0.35">
      <c r="A1739" t="s">
        <v>34</v>
      </c>
      <c r="B1739" t="s">
        <v>27</v>
      </c>
      <c r="C1739">
        <v>2002</v>
      </c>
      <c r="D1739" t="s">
        <v>33</v>
      </c>
      <c r="E1739" s="1">
        <f t="shared" ref="E1739" si="477">SUM(E971+E1163+E1355+E1547)</f>
        <v>1641708</v>
      </c>
      <c r="F1739" s="1">
        <f t="shared" si="458"/>
        <v>173285</v>
      </c>
      <c r="G1739" s="1">
        <f t="shared" si="455"/>
        <v>1814993</v>
      </c>
      <c r="H1739" s="2">
        <f t="shared" si="456"/>
        <v>0.90452580257885296</v>
      </c>
      <c r="I1739" s="2">
        <f t="shared" si="457"/>
        <v>9.5474197421147072E-2</v>
      </c>
      <c r="J1739" s="1">
        <f t="shared" ref="J1739:K1739" si="478">SUM(J971+J1163+J1355+J1547)</f>
        <v>4672116.1529999999</v>
      </c>
      <c r="K1739" s="1">
        <f t="shared" si="478"/>
        <v>1877847.6719999998</v>
      </c>
      <c r="L1739" s="1">
        <f t="shared" si="460"/>
        <v>6549963.8249999993</v>
      </c>
      <c r="M1739" s="2">
        <f t="shared" si="461"/>
        <v>0.71330411553837869</v>
      </c>
      <c r="N1739" s="2">
        <f t="shared" si="462"/>
        <v>0.28669588446162142</v>
      </c>
    </row>
    <row r="1740" spans="1:14" x14ac:dyDescent="0.35">
      <c r="A1740" t="s">
        <v>34</v>
      </c>
      <c r="B1740" t="s">
        <v>28</v>
      </c>
      <c r="C1740">
        <v>2002</v>
      </c>
      <c r="D1740" t="s">
        <v>33</v>
      </c>
      <c r="E1740" s="1">
        <f t="shared" ref="E1740" si="479">SUM(E972+E1164+E1356+E1548)</f>
        <v>1642832</v>
      </c>
      <c r="F1740" s="1">
        <f t="shared" si="458"/>
        <v>174890</v>
      </c>
      <c r="G1740" s="1">
        <f t="shared" si="455"/>
        <v>1817722</v>
      </c>
      <c r="H1740" s="2">
        <f t="shared" si="456"/>
        <v>0.90378616752176621</v>
      </c>
      <c r="I1740" s="2">
        <f t="shared" si="457"/>
        <v>9.6213832478233743E-2</v>
      </c>
      <c r="J1740" s="1">
        <f t="shared" ref="J1740:K1740" si="480">SUM(J972+J1164+J1356+J1548)</f>
        <v>3656356.6689999998</v>
      </c>
      <c r="K1740" s="1">
        <f t="shared" si="480"/>
        <v>2446185.2040000004</v>
      </c>
      <c r="L1740" s="1">
        <f t="shared" si="460"/>
        <v>6102541.8729999997</v>
      </c>
      <c r="M1740" s="2">
        <f t="shared" si="461"/>
        <v>0.59915306524599732</v>
      </c>
      <c r="N1740" s="2">
        <f t="shared" si="462"/>
        <v>0.40084693475400274</v>
      </c>
    </row>
    <row r="1741" spans="1:14" x14ac:dyDescent="0.35">
      <c r="A1741" t="s">
        <v>34</v>
      </c>
      <c r="B1741" t="s">
        <v>29</v>
      </c>
      <c r="C1741">
        <v>2002</v>
      </c>
      <c r="D1741" t="s">
        <v>33</v>
      </c>
      <c r="E1741" s="1">
        <f t="shared" ref="E1741" si="481">SUM(E973+E1165+E1357+E1549)</f>
        <v>1642707</v>
      </c>
      <c r="F1741" s="1">
        <f t="shared" si="458"/>
        <v>177655</v>
      </c>
      <c r="G1741" s="1">
        <f t="shared" si="455"/>
        <v>1820362</v>
      </c>
      <c r="H1741" s="2">
        <f t="shared" si="456"/>
        <v>0.90240677403725189</v>
      </c>
      <c r="I1741" s="2">
        <f t="shared" si="457"/>
        <v>9.7593225962748067E-2</v>
      </c>
      <c r="J1741" s="1">
        <f t="shared" ref="J1741:K1741" si="482">SUM(J973+J1165+J1357+J1549)</f>
        <v>3104150.6810000003</v>
      </c>
      <c r="K1741" s="1">
        <f t="shared" si="482"/>
        <v>1765401.8429999992</v>
      </c>
      <c r="L1741" s="1">
        <f t="shared" si="460"/>
        <v>4869552.5239999993</v>
      </c>
      <c r="M1741" s="2">
        <f t="shared" si="461"/>
        <v>0.63746117650460332</v>
      </c>
      <c r="N1741" s="2">
        <f t="shared" si="462"/>
        <v>0.36253882349539668</v>
      </c>
    </row>
    <row r="1742" spans="1:14" x14ac:dyDescent="0.35">
      <c r="A1742" t="s">
        <v>34</v>
      </c>
      <c r="B1742" t="s">
        <v>17</v>
      </c>
      <c r="C1742">
        <v>2003</v>
      </c>
      <c r="D1742" t="s">
        <v>33</v>
      </c>
      <c r="E1742" s="1">
        <f t="shared" ref="E1742" si="483">SUM(E974+E1166+E1358+E1550)</f>
        <v>1628265</v>
      </c>
      <c r="F1742" s="1">
        <f t="shared" si="458"/>
        <v>181921</v>
      </c>
      <c r="G1742" s="1">
        <f t="shared" si="455"/>
        <v>1810186</v>
      </c>
      <c r="H1742" s="2">
        <f t="shared" si="456"/>
        <v>0.89950148769242499</v>
      </c>
      <c r="I1742" s="2">
        <f t="shared" si="457"/>
        <v>0.10049851230757502</v>
      </c>
      <c r="J1742" s="1">
        <f t="shared" ref="J1742:K1742" si="484">SUM(J974+J1166+J1358+J1550)</f>
        <v>3527835</v>
      </c>
      <c r="K1742" s="1">
        <f t="shared" si="484"/>
        <v>1713821</v>
      </c>
      <c r="L1742" s="1">
        <f t="shared" si="460"/>
        <v>5241656</v>
      </c>
      <c r="M1742" s="2">
        <f t="shared" si="461"/>
        <v>0.67303825355956204</v>
      </c>
      <c r="N1742" s="2">
        <f t="shared" si="462"/>
        <v>0.32696174644043791</v>
      </c>
    </row>
    <row r="1743" spans="1:14" x14ac:dyDescent="0.35">
      <c r="A1743" t="s">
        <v>34</v>
      </c>
      <c r="B1743" t="s">
        <v>19</v>
      </c>
      <c r="C1743">
        <v>2003</v>
      </c>
      <c r="D1743" t="s">
        <v>33</v>
      </c>
      <c r="E1743" s="1">
        <f t="shared" ref="E1743" si="485">SUM(E975+E1167+E1359+E1551)</f>
        <v>1631057</v>
      </c>
      <c r="F1743" s="1">
        <f t="shared" si="458"/>
        <v>186561</v>
      </c>
      <c r="G1743" s="1">
        <f t="shared" si="455"/>
        <v>1817618</v>
      </c>
      <c r="H1743" s="2">
        <f t="shared" si="456"/>
        <v>0.89735962121853985</v>
      </c>
      <c r="I1743" s="2">
        <f t="shared" si="457"/>
        <v>0.10264037878146014</v>
      </c>
      <c r="J1743" s="1">
        <f t="shared" ref="J1743:K1743" si="486">SUM(J975+J1167+J1359+J1551)</f>
        <v>3471354</v>
      </c>
      <c r="K1743" s="1">
        <f t="shared" si="486"/>
        <v>1848280</v>
      </c>
      <c r="L1743" s="1">
        <f t="shared" si="460"/>
        <v>5319634</v>
      </c>
      <c r="M1743" s="2">
        <f t="shared" si="461"/>
        <v>0.65255504420040933</v>
      </c>
      <c r="N1743" s="2">
        <f t="shared" si="462"/>
        <v>0.34744495579959073</v>
      </c>
    </row>
    <row r="1744" spans="1:14" x14ac:dyDescent="0.35">
      <c r="A1744" t="s">
        <v>34</v>
      </c>
      <c r="B1744" t="s">
        <v>20</v>
      </c>
      <c r="C1744">
        <v>2003</v>
      </c>
      <c r="D1744" t="s">
        <v>33</v>
      </c>
      <c r="E1744" s="1">
        <f t="shared" ref="E1744" si="487">SUM(E976+E1168+E1360+E1552)</f>
        <v>1632681</v>
      </c>
      <c r="F1744" s="1">
        <f t="shared" si="458"/>
        <v>191933</v>
      </c>
      <c r="G1744" s="1">
        <f t="shared" si="455"/>
        <v>1824614</v>
      </c>
      <c r="H1744" s="2">
        <f t="shared" si="456"/>
        <v>0.8948089842563961</v>
      </c>
      <c r="I1744" s="2">
        <f t="shared" si="457"/>
        <v>0.10519101574360386</v>
      </c>
      <c r="J1744" s="1">
        <f t="shared" ref="J1744:K1744" si="488">SUM(J976+J1168+J1360+J1552)</f>
        <v>3213287</v>
      </c>
      <c r="K1744" s="1">
        <f t="shared" si="488"/>
        <v>1646314</v>
      </c>
      <c r="L1744" s="1">
        <f t="shared" si="460"/>
        <v>4859601</v>
      </c>
      <c r="M1744" s="2">
        <f t="shared" si="461"/>
        <v>0.66122445032009824</v>
      </c>
      <c r="N1744" s="2">
        <f t="shared" si="462"/>
        <v>0.3387755496799017</v>
      </c>
    </row>
    <row r="1745" spans="1:14" x14ac:dyDescent="0.35">
      <c r="A1745" t="s">
        <v>34</v>
      </c>
      <c r="B1745" t="s">
        <v>21</v>
      </c>
      <c r="C1745">
        <v>2003</v>
      </c>
      <c r="D1745" t="s">
        <v>33</v>
      </c>
      <c r="E1745" s="1">
        <f t="shared" ref="E1745" si="489">SUM(E977+E1169+E1361+E1553)</f>
        <v>1636799</v>
      </c>
      <c r="F1745" s="1">
        <f t="shared" si="458"/>
        <v>195202</v>
      </c>
      <c r="G1745" s="1">
        <f t="shared" si="455"/>
        <v>1832001</v>
      </c>
      <c r="H1745" s="2">
        <f t="shared" si="456"/>
        <v>0.89344874811749553</v>
      </c>
      <c r="I1745" s="2">
        <f t="shared" si="457"/>
        <v>0.10655125188250443</v>
      </c>
      <c r="J1745" s="1">
        <f t="shared" ref="J1745:K1745" si="490">SUM(J977+J1169+J1361+J1553)</f>
        <v>2940430.98</v>
      </c>
      <c r="K1745" s="1">
        <f t="shared" si="490"/>
        <v>1623046.27</v>
      </c>
      <c r="L1745" s="1">
        <f t="shared" si="460"/>
        <v>4563477.25</v>
      </c>
      <c r="M1745" s="2">
        <f t="shared" si="461"/>
        <v>0.64434001067935642</v>
      </c>
      <c r="N1745" s="2">
        <f t="shared" si="462"/>
        <v>0.35565998932064358</v>
      </c>
    </row>
    <row r="1746" spans="1:14" x14ac:dyDescent="0.35">
      <c r="A1746" t="s">
        <v>34</v>
      </c>
      <c r="B1746" t="s">
        <v>22</v>
      </c>
      <c r="C1746">
        <v>2003</v>
      </c>
      <c r="D1746" t="s">
        <v>33</v>
      </c>
      <c r="E1746" s="1">
        <f t="shared" ref="E1746" si="491">SUM(E978+E1170+E1362+E1554)</f>
        <v>1638776</v>
      </c>
      <c r="F1746" s="1">
        <f t="shared" si="458"/>
        <v>197872</v>
      </c>
      <c r="G1746" s="1">
        <f t="shared" si="455"/>
        <v>1836648</v>
      </c>
      <c r="H1746" s="2">
        <f t="shared" si="456"/>
        <v>0.89226460377818717</v>
      </c>
      <c r="I1746" s="2">
        <f t="shared" si="457"/>
        <v>0.10773539622181279</v>
      </c>
      <c r="J1746" s="1">
        <f t="shared" ref="J1746:K1746" si="492">SUM(J978+J1170+J1362+J1554)</f>
        <v>3500986.92</v>
      </c>
      <c r="K1746" s="1">
        <f t="shared" si="492"/>
        <v>2221183.8800000004</v>
      </c>
      <c r="L1746" s="1">
        <f t="shared" si="460"/>
        <v>5722170.8000000007</v>
      </c>
      <c r="M1746" s="2">
        <f t="shared" si="461"/>
        <v>0.61182845503318417</v>
      </c>
      <c r="N1746" s="2">
        <f t="shared" si="462"/>
        <v>0.38817154496681577</v>
      </c>
    </row>
    <row r="1747" spans="1:14" x14ac:dyDescent="0.35">
      <c r="A1747" t="s">
        <v>34</v>
      </c>
      <c r="B1747" t="s">
        <v>23</v>
      </c>
      <c r="C1747">
        <v>2003</v>
      </c>
      <c r="D1747" t="s">
        <v>33</v>
      </c>
      <c r="E1747" s="1">
        <f t="shared" ref="E1747" si="493">SUM(E979+E1171+E1363+E1555)</f>
        <v>1642339</v>
      </c>
      <c r="F1747" s="1">
        <f t="shared" si="458"/>
        <v>200022</v>
      </c>
      <c r="G1747" s="1">
        <f t="shared" si="455"/>
        <v>1842361</v>
      </c>
      <c r="H1747" s="2">
        <f t="shared" si="456"/>
        <v>0.89143170095328761</v>
      </c>
      <c r="I1747" s="2">
        <f t="shared" si="457"/>
        <v>0.10856829904671235</v>
      </c>
      <c r="J1747" s="1">
        <f t="shared" ref="J1747:K1747" si="494">SUM(J979+J1171+J1363+J1555)</f>
        <v>4431628.254999999</v>
      </c>
      <c r="K1747" s="1">
        <f t="shared" si="494"/>
        <v>2324107.98</v>
      </c>
      <c r="L1747" s="1">
        <f t="shared" si="460"/>
        <v>6755736.2349999994</v>
      </c>
      <c r="M1747" s="2">
        <f t="shared" si="461"/>
        <v>0.65598005914450852</v>
      </c>
      <c r="N1747" s="2">
        <f t="shared" si="462"/>
        <v>0.34401994085549142</v>
      </c>
    </row>
    <row r="1748" spans="1:14" x14ac:dyDescent="0.35">
      <c r="A1748" t="s">
        <v>34</v>
      </c>
      <c r="B1748" t="s">
        <v>24</v>
      </c>
      <c r="C1748">
        <v>2003</v>
      </c>
      <c r="D1748" t="s">
        <v>33</v>
      </c>
      <c r="E1748" s="1">
        <f t="shared" ref="E1748" si="495">SUM(E980+E1172+E1364+E1556)</f>
        <v>1643388</v>
      </c>
      <c r="F1748" s="1">
        <f t="shared" si="458"/>
        <v>206525</v>
      </c>
      <c r="G1748" s="1">
        <f t="shared" si="455"/>
        <v>1849913</v>
      </c>
      <c r="H1748" s="2">
        <f t="shared" si="456"/>
        <v>0.88835961474945035</v>
      </c>
      <c r="I1748" s="2">
        <f t="shared" si="457"/>
        <v>0.11164038525054962</v>
      </c>
      <c r="J1748" s="1">
        <f t="shared" ref="J1748:K1748" si="496">SUM(J980+J1172+J1364+J1556)</f>
        <v>4691896.0199999996</v>
      </c>
      <c r="K1748" s="1">
        <f t="shared" si="496"/>
        <v>2266370.0499999998</v>
      </c>
      <c r="L1748" s="1">
        <f t="shared" si="460"/>
        <v>6958266.0699999994</v>
      </c>
      <c r="M1748" s="2">
        <f t="shared" si="461"/>
        <v>0.67429097605633814</v>
      </c>
      <c r="N1748" s="2">
        <f t="shared" si="462"/>
        <v>0.32570902394366186</v>
      </c>
    </row>
    <row r="1749" spans="1:14" x14ac:dyDescent="0.35">
      <c r="A1749" t="s">
        <v>34</v>
      </c>
      <c r="B1749" t="s">
        <v>25</v>
      </c>
      <c r="C1749">
        <v>2003</v>
      </c>
      <c r="D1749" t="s">
        <v>33</v>
      </c>
      <c r="E1749" s="1">
        <f t="shared" ref="E1749" si="497">SUM(E981+E1173+E1365+E1557)</f>
        <v>1641876</v>
      </c>
      <c r="F1749" s="1">
        <f t="shared" si="458"/>
        <v>213391</v>
      </c>
      <c r="G1749" s="1">
        <f t="shared" si="455"/>
        <v>1855267</v>
      </c>
      <c r="H1749" s="2">
        <f t="shared" si="456"/>
        <v>0.88498097578407853</v>
      </c>
      <c r="I1749" s="2">
        <f t="shared" si="457"/>
        <v>0.11501902421592149</v>
      </c>
      <c r="J1749" s="1">
        <f t="shared" ref="J1749:K1749" si="498">SUM(J981+J1173+J1365+J1557)</f>
        <v>4747632.8900000006</v>
      </c>
      <c r="K1749" s="1">
        <f t="shared" si="498"/>
        <v>2300487.7799999998</v>
      </c>
      <c r="L1749" s="1">
        <f t="shared" si="460"/>
        <v>7048120.6699999999</v>
      </c>
      <c r="M1749" s="2">
        <f t="shared" si="461"/>
        <v>0.67360266832661941</v>
      </c>
      <c r="N1749" s="2">
        <f t="shared" si="462"/>
        <v>0.32639733167338064</v>
      </c>
    </row>
    <row r="1750" spans="1:14" x14ac:dyDescent="0.35">
      <c r="A1750" t="s">
        <v>34</v>
      </c>
      <c r="B1750" t="s">
        <v>26</v>
      </c>
      <c r="C1750">
        <v>2003</v>
      </c>
      <c r="D1750" t="s">
        <v>33</v>
      </c>
      <c r="E1750" s="1">
        <f t="shared" ref="E1750" si="499">SUM(E982+E1174+E1366+E1558)</f>
        <v>1638788</v>
      </c>
      <c r="F1750" s="1">
        <f t="shared" si="458"/>
        <v>221717</v>
      </c>
      <c r="G1750" s="1">
        <f t="shared" si="455"/>
        <v>1860505</v>
      </c>
      <c r="H1750" s="2">
        <f t="shared" si="456"/>
        <v>0.88082966721400913</v>
      </c>
      <c r="I1750" s="2">
        <f t="shared" si="457"/>
        <v>0.1191703327859909</v>
      </c>
      <c r="J1750" s="1">
        <f t="shared" ref="J1750:K1750" si="500">SUM(J982+J1174+J1366+J1558)</f>
        <v>4845012.5299999993</v>
      </c>
      <c r="K1750" s="1">
        <f t="shared" si="500"/>
        <v>2442368.3299999996</v>
      </c>
      <c r="L1750" s="1">
        <f t="shared" si="460"/>
        <v>7287380.8599999994</v>
      </c>
      <c r="M1750" s="2">
        <f t="shared" si="461"/>
        <v>0.66484963844746814</v>
      </c>
      <c r="N1750" s="2">
        <f t="shared" si="462"/>
        <v>0.33515036155253175</v>
      </c>
    </row>
    <row r="1751" spans="1:14" x14ac:dyDescent="0.35">
      <c r="A1751" t="s">
        <v>34</v>
      </c>
      <c r="B1751" t="s">
        <v>27</v>
      </c>
      <c r="C1751">
        <v>2003</v>
      </c>
      <c r="D1751" t="s">
        <v>33</v>
      </c>
      <c r="E1751" s="1">
        <f t="shared" ref="E1751" si="501">SUM(E983+E1175+E1367+E1559)</f>
        <v>1632395</v>
      </c>
      <c r="F1751" s="1">
        <f t="shared" si="458"/>
        <v>232803</v>
      </c>
      <c r="G1751" s="1">
        <f t="shared" si="455"/>
        <v>1865198</v>
      </c>
      <c r="H1751" s="2">
        <f t="shared" si="456"/>
        <v>0.87518590519612394</v>
      </c>
      <c r="I1751" s="2">
        <f t="shared" si="457"/>
        <v>0.12481409480387605</v>
      </c>
      <c r="J1751" s="1">
        <f t="shared" ref="J1751:K1751" si="502">SUM(J983+J1175+J1367+J1559)</f>
        <v>3970876.9</v>
      </c>
      <c r="K1751" s="1">
        <f t="shared" si="502"/>
        <v>2209803.61</v>
      </c>
      <c r="L1751" s="1">
        <f t="shared" si="460"/>
        <v>6180680.5099999998</v>
      </c>
      <c r="M1751" s="2">
        <f t="shared" si="461"/>
        <v>0.64246597014282492</v>
      </c>
      <c r="N1751" s="2">
        <f t="shared" si="462"/>
        <v>0.35753402985717503</v>
      </c>
    </row>
    <row r="1752" spans="1:14" x14ac:dyDescent="0.35">
      <c r="A1752" t="s">
        <v>34</v>
      </c>
      <c r="B1752" t="s">
        <v>28</v>
      </c>
      <c r="C1752">
        <v>2003</v>
      </c>
      <c r="D1752" t="s">
        <v>33</v>
      </c>
      <c r="E1752" s="1">
        <f t="shared" ref="E1752" si="503">SUM(E984+E1176+E1368+E1560)</f>
        <v>1622858</v>
      </c>
      <c r="F1752" s="1">
        <f t="shared" si="458"/>
        <v>243101</v>
      </c>
      <c r="G1752" s="1">
        <f t="shared" si="455"/>
        <v>1865959</v>
      </c>
      <c r="H1752" s="2">
        <f t="shared" si="456"/>
        <v>0.86971793056546254</v>
      </c>
      <c r="I1752" s="2">
        <f t="shared" si="457"/>
        <v>0.13028206943453741</v>
      </c>
      <c r="J1752" s="1">
        <f t="shared" ref="J1752:K1752" si="504">SUM(J984+J1176+J1368+J1560)</f>
        <v>3416555.16</v>
      </c>
      <c r="K1752" s="1">
        <f t="shared" si="504"/>
        <v>2281360.8699999996</v>
      </c>
      <c r="L1752" s="1">
        <f t="shared" si="460"/>
        <v>5697916.0299999993</v>
      </c>
      <c r="M1752" s="2">
        <f t="shared" si="461"/>
        <v>0.5996148665602572</v>
      </c>
      <c r="N1752" s="2">
        <f t="shared" si="462"/>
        <v>0.40038513343974286</v>
      </c>
    </row>
    <row r="1753" spans="1:14" x14ac:dyDescent="0.35">
      <c r="A1753" t="s">
        <v>34</v>
      </c>
      <c r="B1753" t="s">
        <v>29</v>
      </c>
      <c r="C1753">
        <v>2003</v>
      </c>
      <c r="D1753" t="s">
        <v>33</v>
      </c>
      <c r="E1753" s="1">
        <f t="shared" ref="E1753" si="505">SUM(E985+E1177+E1369+E1561)</f>
        <v>1617480</v>
      </c>
      <c r="F1753" s="1">
        <f t="shared" si="458"/>
        <v>254996</v>
      </c>
      <c r="G1753" s="1">
        <f t="shared" si="455"/>
        <v>1872476</v>
      </c>
      <c r="H1753" s="2">
        <f t="shared" si="456"/>
        <v>0.8638188153012375</v>
      </c>
      <c r="I1753" s="2">
        <f t="shared" si="457"/>
        <v>0.1361811846987625</v>
      </c>
      <c r="J1753" s="1">
        <f t="shared" ref="J1753:K1753" si="506">SUM(J985+J1177+J1369+J1561)</f>
        <v>3111195.29</v>
      </c>
      <c r="K1753" s="1">
        <f t="shared" si="506"/>
        <v>2005680.85</v>
      </c>
      <c r="L1753" s="1">
        <f t="shared" si="460"/>
        <v>5116876.1400000006</v>
      </c>
      <c r="M1753" s="2">
        <f t="shared" si="461"/>
        <v>0.60802630450226214</v>
      </c>
      <c r="N1753" s="2">
        <f t="shared" si="462"/>
        <v>0.39197369549773775</v>
      </c>
    </row>
    <row r="1754" spans="1:14" x14ac:dyDescent="0.35">
      <c r="A1754" t="s">
        <v>34</v>
      </c>
      <c r="B1754" t="s">
        <v>17</v>
      </c>
      <c r="C1754">
        <v>2004</v>
      </c>
      <c r="D1754" t="s">
        <v>33</v>
      </c>
      <c r="E1754" s="1">
        <f t="shared" ref="E1754" si="507">SUM(E986+E1178+E1370+E1562)</f>
        <v>1611916</v>
      </c>
      <c r="F1754" s="1">
        <f t="shared" si="458"/>
        <v>263303</v>
      </c>
      <c r="G1754" s="1">
        <f t="shared" si="455"/>
        <v>1875219</v>
      </c>
      <c r="H1754" s="2">
        <f t="shared" si="456"/>
        <v>0.85958813343934759</v>
      </c>
      <c r="I1754" s="2">
        <f t="shared" si="457"/>
        <v>0.14041186656065238</v>
      </c>
      <c r="J1754" s="1">
        <f t="shared" ref="J1754:K1754" si="508">SUM(J986+J1178+J1370+J1562)</f>
        <v>3246368.65</v>
      </c>
      <c r="K1754" s="1">
        <f t="shared" si="508"/>
        <v>2211616.6199999996</v>
      </c>
      <c r="L1754" s="1">
        <f t="shared" si="460"/>
        <v>5457985.2699999996</v>
      </c>
      <c r="M1754" s="2">
        <f t="shared" si="461"/>
        <v>0.59479249016001834</v>
      </c>
      <c r="N1754" s="2">
        <f t="shared" si="462"/>
        <v>0.40520750983998166</v>
      </c>
    </row>
    <row r="1755" spans="1:14" x14ac:dyDescent="0.35">
      <c r="A1755" t="s">
        <v>34</v>
      </c>
      <c r="B1755" t="s">
        <v>19</v>
      </c>
      <c r="C1755">
        <v>2004</v>
      </c>
      <c r="D1755" t="s">
        <v>33</v>
      </c>
      <c r="E1755" s="1">
        <f t="shared" ref="E1755" si="509">SUM(E987+E1179+E1371+E1563)</f>
        <v>1608173</v>
      </c>
      <c r="F1755" s="1">
        <f t="shared" si="458"/>
        <v>268140</v>
      </c>
      <c r="G1755" s="1">
        <f t="shared" si="455"/>
        <v>1876313</v>
      </c>
      <c r="H1755" s="2">
        <f t="shared" si="456"/>
        <v>0.85709207365722029</v>
      </c>
      <c r="I1755" s="2">
        <f t="shared" si="457"/>
        <v>0.14290792634277968</v>
      </c>
      <c r="J1755" s="1">
        <f t="shared" ref="J1755:K1755" si="510">SUM(J987+J1179+J1371+J1563)</f>
        <v>3031467.5600000005</v>
      </c>
      <c r="K1755" s="1">
        <f t="shared" si="510"/>
        <v>2275429.54</v>
      </c>
      <c r="L1755" s="1">
        <f t="shared" si="460"/>
        <v>5306897.1000000006</v>
      </c>
      <c r="M1755" s="2">
        <f t="shared" si="461"/>
        <v>0.57123164494747791</v>
      </c>
      <c r="N1755" s="2">
        <f t="shared" si="462"/>
        <v>0.42876835505252209</v>
      </c>
    </row>
    <row r="1756" spans="1:14" x14ac:dyDescent="0.35">
      <c r="A1756" t="s">
        <v>34</v>
      </c>
      <c r="B1756" t="s">
        <v>20</v>
      </c>
      <c r="C1756">
        <v>2004</v>
      </c>
      <c r="D1756" t="s">
        <v>33</v>
      </c>
      <c r="E1756" s="1">
        <f t="shared" ref="E1756" si="511">SUM(E988+E1180+E1372+E1564)</f>
        <v>1603661</v>
      </c>
      <c r="F1756" s="1">
        <f t="shared" si="458"/>
        <v>277154</v>
      </c>
      <c r="G1756" s="1">
        <f t="shared" si="455"/>
        <v>1880815</v>
      </c>
      <c r="H1756" s="2">
        <f t="shared" si="456"/>
        <v>0.85264154103407297</v>
      </c>
      <c r="I1756" s="2">
        <f t="shared" si="457"/>
        <v>0.147358458965927</v>
      </c>
      <c r="J1756" s="1">
        <f t="shared" ref="J1756:K1756" si="512">SUM(J988+J1180+J1372+J1564)</f>
        <v>2869279.29</v>
      </c>
      <c r="K1756" s="1">
        <f t="shared" si="512"/>
        <v>2000879</v>
      </c>
      <c r="L1756" s="1">
        <f t="shared" si="460"/>
        <v>4870158.29</v>
      </c>
      <c r="M1756" s="2">
        <f t="shared" si="461"/>
        <v>0.58915524283708653</v>
      </c>
      <c r="N1756" s="2">
        <f t="shared" si="462"/>
        <v>0.41084475716291347</v>
      </c>
    </row>
    <row r="1757" spans="1:14" x14ac:dyDescent="0.35">
      <c r="A1757" t="s">
        <v>34</v>
      </c>
      <c r="B1757" t="s">
        <v>21</v>
      </c>
      <c r="C1757">
        <v>2004</v>
      </c>
      <c r="D1757" t="s">
        <v>33</v>
      </c>
      <c r="E1757" s="1">
        <f t="shared" ref="E1757" si="513">SUM(E989+E1181+E1373+E1565)</f>
        <v>1600862</v>
      </c>
      <c r="F1757" s="1">
        <f t="shared" si="458"/>
        <v>284654</v>
      </c>
      <c r="G1757" s="1">
        <f t="shared" si="455"/>
        <v>1885516</v>
      </c>
      <c r="H1757" s="2">
        <f t="shared" si="456"/>
        <v>0.84903124661896268</v>
      </c>
      <c r="I1757" s="2">
        <f t="shared" si="457"/>
        <v>0.15096875338103735</v>
      </c>
      <c r="J1757" s="1">
        <f t="shared" ref="J1757:K1757" si="514">SUM(J989+J1181+J1373+J1565)</f>
        <v>2863346.59</v>
      </c>
      <c r="K1757" s="1">
        <f t="shared" si="514"/>
        <v>2400938.94</v>
      </c>
      <c r="L1757" s="1">
        <f t="shared" si="460"/>
        <v>5264285.5299999993</v>
      </c>
      <c r="M1757" s="2">
        <f t="shared" si="461"/>
        <v>0.54391931700558804</v>
      </c>
      <c r="N1757" s="2">
        <f t="shared" si="462"/>
        <v>0.45608068299441201</v>
      </c>
    </row>
    <row r="1758" spans="1:14" x14ac:dyDescent="0.35">
      <c r="A1758" t="s">
        <v>34</v>
      </c>
      <c r="B1758" t="s">
        <v>22</v>
      </c>
      <c r="C1758">
        <v>2004</v>
      </c>
      <c r="D1758" t="s">
        <v>33</v>
      </c>
      <c r="E1758" s="1">
        <f t="shared" ref="E1758" si="515">SUM(E990+E1182+E1374+E1566)</f>
        <v>1598415</v>
      </c>
      <c r="F1758" s="1">
        <f t="shared" si="458"/>
        <v>292577</v>
      </c>
      <c r="G1758" s="1">
        <f t="shared" si="455"/>
        <v>1890992</v>
      </c>
      <c r="H1758" s="2">
        <f t="shared" si="456"/>
        <v>0.84527856278609326</v>
      </c>
      <c r="I1758" s="2">
        <f t="shared" si="457"/>
        <v>0.15472143721390677</v>
      </c>
      <c r="J1758" s="1">
        <f t="shared" ref="J1758:K1758" si="516">SUM(J990+J1182+J1374+J1566)</f>
        <v>3051668.21</v>
      </c>
      <c r="K1758" s="1">
        <f t="shared" si="516"/>
        <v>2474121.6899999995</v>
      </c>
      <c r="L1758" s="1">
        <f t="shared" si="460"/>
        <v>5525789.8999999994</v>
      </c>
      <c r="M1758" s="2">
        <f t="shared" si="461"/>
        <v>0.5522591819859094</v>
      </c>
      <c r="N1758" s="2">
        <f t="shared" si="462"/>
        <v>0.44774081801409055</v>
      </c>
    </row>
    <row r="1759" spans="1:14" x14ac:dyDescent="0.35">
      <c r="A1759" t="s">
        <v>34</v>
      </c>
      <c r="B1759" t="s">
        <v>23</v>
      </c>
      <c r="C1759">
        <v>2004</v>
      </c>
      <c r="D1759" t="s">
        <v>33</v>
      </c>
      <c r="E1759" s="1">
        <f t="shared" ref="E1759" si="517">SUM(E991+E1183+E1375+E1567)</f>
        <v>1592905</v>
      </c>
      <c r="F1759" s="1">
        <f t="shared" si="458"/>
        <v>305314</v>
      </c>
      <c r="G1759" s="1">
        <f t="shared" si="455"/>
        <v>1898219</v>
      </c>
      <c r="H1759" s="2">
        <f t="shared" si="456"/>
        <v>0.83915765251533148</v>
      </c>
      <c r="I1759" s="2">
        <f t="shared" si="457"/>
        <v>0.16084234748466852</v>
      </c>
      <c r="J1759" s="1">
        <f t="shared" ref="J1759:K1759" si="518">SUM(J991+J1183+J1375+J1567)</f>
        <v>3615653.4800000004</v>
      </c>
      <c r="K1759" s="1">
        <f t="shared" si="518"/>
        <v>2743109.34</v>
      </c>
      <c r="L1759" s="1">
        <f t="shared" si="460"/>
        <v>6358762.8200000003</v>
      </c>
      <c r="M1759" s="2">
        <f t="shared" si="461"/>
        <v>0.56860958371144288</v>
      </c>
      <c r="N1759" s="2">
        <f t="shared" si="462"/>
        <v>0.43139041628855718</v>
      </c>
    </row>
    <row r="1760" spans="1:14" x14ac:dyDescent="0.35">
      <c r="A1760" t="s">
        <v>34</v>
      </c>
      <c r="B1760" t="s">
        <v>24</v>
      </c>
      <c r="C1760">
        <v>2004</v>
      </c>
      <c r="D1760" t="s">
        <v>33</v>
      </c>
      <c r="E1760" s="1">
        <f t="shared" ref="E1760" si="519">SUM(E992+E1184+E1376+E1568)</f>
        <v>1581779</v>
      </c>
      <c r="F1760" s="1">
        <f t="shared" si="458"/>
        <v>320231</v>
      </c>
      <c r="G1760" s="1">
        <f t="shared" si="455"/>
        <v>1902010</v>
      </c>
      <c r="H1760" s="2">
        <f t="shared" si="456"/>
        <v>0.83163548036025048</v>
      </c>
      <c r="I1760" s="2">
        <f t="shared" si="457"/>
        <v>0.16836451963974952</v>
      </c>
      <c r="J1760" s="1">
        <f t="shared" ref="J1760:K1760" si="520">SUM(J992+J1184+J1376+J1568)</f>
        <v>4140352.61</v>
      </c>
      <c r="K1760" s="1">
        <f t="shared" si="520"/>
        <v>2917539.48</v>
      </c>
      <c r="L1760" s="1">
        <f t="shared" si="460"/>
        <v>7057892.0899999999</v>
      </c>
      <c r="M1760" s="2">
        <f t="shared" si="461"/>
        <v>0.5866273608612228</v>
      </c>
      <c r="N1760" s="2">
        <f t="shared" si="462"/>
        <v>0.4133726391387772</v>
      </c>
    </row>
    <row r="1761" spans="1:14" x14ac:dyDescent="0.35">
      <c r="A1761" t="s">
        <v>34</v>
      </c>
      <c r="B1761" t="s">
        <v>25</v>
      </c>
      <c r="C1761">
        <v>2004</v>
      </c>
      <c r="D1761" t="s">
        <v>33</v>
      </c>
      <c r="E1761" s="1">
        <f t="shared" ref="E1761" si="521">SUM(E993+E1185+E1377+E1569)</f>
        <v>1572184</v>
      </c>
      <c r="F1761" s="1">
        <f t="shared" si="458"/>
        <v>335378</v>
      </c>
      <c r="G1761" s="1">
        <f t="shared" si="455"/>
        <v>1907562</v>
      </c>
      <c r="H1761" s="2">
        <f t="shared" si="456"/>
        <v>0.8241850068307085</v>
      </c>
      <c r="I1761" s="2">
        <f t="shared" si="457"/>
        <v>0.17581499316929147</v>
      </c>
      <c r="J1761" s="1">
        <f t="shared" ref="J1761:K1761" si="522">SUM(J993+J1185+J1377+J1569)</f>
        <v>4384921.580000001</v>
      </c>
      <c r="K1761" s="1">
        <f t="shared" si="522"/>
        <v>3114680.76</v>
      </c>
      <c r="L1761" s="1">
        <f t="shared" si="460"/>
        <v>7499602.3400000008</v>
      </c>
      <c r="M1761" s="2">
        <f t="shared" si="461"/>
        <v>0.58468721156220671</v>
      </c>
      <c r="N1761" s="2">
        <f t="shared" si="462"/>
        <v>0.41531278843779329</v>
      </c>
    </row>
    <row r="1762" spans="1:14" x14ac:dyDescent="0.35">
      <c r="A1762" t="s">
        <v>34</v>
      </c>
      <c r="B1762" t="s">
        <v>26</v>
      </c>
      <c r="C1762">
        <v>2004</v>
      </c>
      <c r="D1762" t="s">
        <v>33</v>
      </c>
      <c r="E1762" s="1">
        <f t="shared" ref="E1762" si="523">SUM(E994+E1186+E1378+E1570)</f>
        <v>1560753</v>
      </c>
      <c r="F1762" s="1">
        <f t="shared" si="458"/>
        <v>351432</v>
      </c>
      <c r="G1762" s="1">
        <f t="shared" si="455"/>
        <v>1912185</v>
      </c>
      <c r="H1762" s="2">
        <f t="shared" si="456"/>
        <v>0.81621443531875837</v>
      </c>
      <c r="I1762" s="2">
        <f t="shared" si="457"/>
        <v>0.1837855646812416</v>
      </c>
      <c r="J1762" s="1">
        <f t="shared" ref="J1762:K1762" si="524">SUM(J994+J1186+J1378+J1570)</f>
        <v>4166563.63</v>
      </c>
      <c r="K1762" s="1">
        <f t="shared" si="524"/>
        <v>3090453.77</v>
      </c>
      <c r="L1762" s="1">
        <f t="shared" si="460"/>
        <v>7257017.4000000004</v>
      </c>
      <c r="M1762" s="2">
        <f t="shared" si="461"/>
        <v>0.57414270909699072</v>
      </c>
      <c r="N1762" s="2">
        <f t="shared" si="462"/>
        <v>0.42585729090300928</v>
      </c>
    </row>
    <row r="1763" spans="1:14" x14ac:dyDescent="0.35">
      <c r="A1763" t="s">
        <v>34</v>
      </c>
      <c r="B1763" t="s">
        <v>27</v>
      </c>
      <c r="C1763">
        <v>2004</v>
      </c>
      <c r="D1763" t="s">
        <v>33</v>
      </c>
      <c r="E1763" s="1">
        <f t="shared" ref="E1763" si="525">SUM(E995+E1187+E1379+E1571)</f>
        <v>1551576</v>
      </c>
      <c r="F1763" s="1">
        <f t="shared" si="458"/>
        <v>364413</v>
      </c>
      <c r="G1763" s="1">
        <f t="shared" si="455"/>
        <v>1915989</v>
      </c>
      <c r="H1763" s="2">
        <f t="shared" si="456"/>
        <v>0.80980423165268689</v>
      </c>
      <c r="I1763" s="2">
        <f t="shared" si="457"/>
        <v>0.19019576834731305</v>
      </c>
      <c r="J1763" s="1">
        <f t="shared" ref="J1763:K1763" si="526">SUM(J995+J1187+J1379+J1571)</f>
        <v>3979219.2369999993</v>
      </c>
      <c r="K1763" s="1">
        <f t="shared" si="526"/>
        <v>3118427.82</v>
      </c>
      <c r="L1763" s="1">
        <f t="shared" si="460"/>
        <v>7097647.0569999991</v>
      </c>
      <c r="M1763" s="2">
        <f t="shared" si="461"/>
        <v>0.5606392097329671</v>
      </c>
      <c r="N1763" s="2">
        <f t="shared" si="462"/>
        <v>0.4393607902670329</v>
      </c>
    </row>
    <row r="1764" spans="1:14" x14ac:dyDescent="0.35">
      <c r="A1764" t="s">
        <v>34</v>
      </c>
      <c r="B1764" t="s">
        <v>28</v>
      </c>
      <c r="C1764">
        <v>2004</v>
      </c>
      <c r="D1764" t="s">
        <v>33</v>
      </c>
      <c r="E1764" s="1">
        <f t="shared" ref="E1764" si="527">SUM(E996+E1188+E1380+E1572)</f>
        <v>1543123</v>
      </c>
      <c r="F1764" s="1">
        <f t="shared" si="458"/>
        <v>376546</v>
      </c>
      <c r="G1764" s="1">
        <f t="shared" si="455"/>
        <v>1919669</v>
      </c>
      <c r="H1764" s="2">
        <f t="shared" si="456"/>
        <v>0.80384847596122044</v>
      </c>
      <c r="I1764" s="2">
        <f t="shared" si="457"/>
        <v>0.19615152403877961</v>
      </c>
      <c r="J1764" s="1">
        <f t="shared" ref="J1764:K1764" si="528">SUM(J996+J1188+J1380+J1572)</f>
        <v>3362835.6940000006</v>
      </c>
      <c r="K1764" s="1">
        <f t="shared" si="528"/>
        <v>2896886.7230000002</v>
      </c>
      <c r="L1764" s="1">
        <f t="shared" si="460"/>
        <v>6259722.4170000013</v>
      </c>
      <c r="M1764" s="2">
        <f t="shared" si="461"/>
        <v>0.53721802181951284</v>
      </c>
      <c r="N1764" s="2">
        <f t="shared" si="462"/>
        <v>0.46278197818048705</v>
      </c>
    </row>
    <row r="1765" spans="1:14" x14ac:dyDescent="0.35">
      <c r="A1765" t="s">
        <v>34</v>
      </c>
      <c r="B1765" t="s">
        <v>29</v>
      </c>
      <c r="C1765">
        <v>2004</v>
      </c>
      <c r="D1765" t="s">
        <v>33</v>
      </c>
      <c r="E1765" s="1">
        <f t="shared" ref="E1765" si="529">SUM(E997+E1189+E1381+E1573)</f>
        <v>1530401</v>
      </c>
      <c r="F1765" s="1">
        <f t="shared" si="458"/>
        <v>388805</v>
      </c>
      <c r="G1765" s="1">
        <f t="shared" si="455"/>
        <v>1919206</v>
      </c>
      <c r="H1765" s="2">
        <f t="shared" si="456"/>
        <v>0.79741361792324539</v>
      </c>
      <c r="I1765" s="2">
        <f t="shared" si="457"/>
        <v>0.20258638207675467</v>
      </c>
      <c r="J1765" s="1">
        <f t="shared" ref="J1765:K1765" si="530">SUM(J997+J1189+J1381+J1573)</f>
        <v>2762318.1389999995</v>
      </c>
      <c r="K1765" s="1">
        <f t="shared" si="530"/>
        <v>2613747.2230000002</v>
      </c>
      <c r="L1765" s="1">
        <f t="shared" si="460"/>
        <v>5376065.3619999997</v>
      </c>
      <c r="M1765" s="2">
        <f t="shared" si="461"/>
        <v>0.51381781154021611</v>
      </c>
      <c r="N1765" s="2">
        <f t="shared" si="462"/>
        <v>0.48618218845978389</v>
      </c>
    </row>
    <row r="1766" spans="1:14" x14ac:dyDescent="0.35">
      <c r="A1766" t="s">
        <v>34</v>
      </c>
      <c r="B1766" t="s">
        <v>17</v>
      </c>
      <c r="C1766">
        <v>2005</v>
      </c>
      <c r="D1766" t="s">
        <v>33</v>
      </c>
      <c r="E1766" s="1">
        <f t="shared" ref="E1766" si="531">SUM(E998+E1190+E1382+E1574)</f>
        <v>1521551</v>
      </c>
      <c r="F1766" s="1">
        <f t="shared" si="458"/>
        <v>399566</v>
      </c>
      <c r="G1766" s="1">
        <f t="shared" si="455"/>
        <v>1921117</v>
      </c>
      <c r="H1766" s="2">
        <f t="shared" si="456"/>
        <v>0.7920137086913499</v>
      </c>
      <c r="I1766" s="2">
        <f t="shared" si="457"/>
        <v>0.20798629130865012</v>
      </c>
      <c r="J1766" s="1">
        <f t="shared" ref="J1766:K1766" si="532">SUM(J998+J1190+J1382+J1574)</f>
        <v>3031951.49</v>
      </c>
      <c r="K1766" s="1">
        <f t="shared" si="532"/>
        <v>2742758.99</v>
      </c>
      <c r="L1766" s="1">
        <f t="shared" si="460"/>
        <v>5774710.4800000004</v>
      </c>
      <c r="M1766" s="2">
        <f t="shared" si="461"/>
        <v>0.52503956700527088</v>
      </c>
      <c r="N1766" s="2">
        <f t="shared" si="462"/>
        <v>0.47496043299472912</v>
      </c>
    </row>
    <row r="1767" spans="1:14" x14ac:dyDescent="0.35">
      <c r="A1767" t="s">
        <v>34</v>
      </c>
      <c r="B1767" t="s">
        <v>19</v>
      </c>
      <c r="C1767">
        <v>2005</v>
      </c>
      <c r="D1767" t="s">
        <v>33</v>
      </c>
      <c r="E1767" s="1">
        <f t="shared" ref="E1767" si="533">SUM(E999+E1191+E1383+E1575)</f>
        <v>1509728</v>
      </c>
      <c r="F1767" s="1">
        <f t="shared" si="458"/>
        <v>412520</v>
      </c>
      <c r="G1767" s="1">
        <f t="shared" si="455"/>
        <v>1922248</v>
      </c>
      <c r="H1767" s="2">
        <f t="shared" si="456"/>
        <v>0.78539709756493437</v>
      </c>
      <c r="I1767" s="2">
        <f t="shared" si="457"/>
        <v>0.21460290243506561</v>
      </c>
      <c r="J1767" s="1">
        <f t="shared" ref="J1767:K1767" si="534">SUM(J999+J1191+J1383+J1575)</f>
        <v>2891653.95</v>
      </c>
      <c r="K1767" s="1">
        <f t="shared" si="534"/>
        <v>2471785.92</v>
      </c>
      <c r="L1767" s="1">
        <f t="shared" si="460"/>
        <v>5363439.87</v>
      </c>
      <c r="M1767" s="2">
        <f t="shared" si="461"/>
        <v>0.53914167401675372</v>
      </c>
      <c r="N1767" s="2">
        <f t="shared" si="462"/>
        <v>0.46085832598324622</v>
      </c>
    </row>
    <row r="1768" spans="1:14" x14ac:dyDescent="0.35">
      <c r="A1768" t="s">
        <v>34</v>
      </c>
      <c r="B1768" t="s">
        <v>20</v>
      </c>
      <c r="C1768">
        <v>2005</v>
      </c>
      <c r="D1768" t="s">
        <v>33</v>
      </c>
      <c r="E1768" s="1">
        <f t="shared" ref="E1768" si="535">SUM(E1000+E1192+E1384+E1576)</f>
        <v>1501083</v>
      </c>
      <c r="F1768" s="1">
        <f t="shared" si="458"/>
        <v>423708</v>
      </c>
      <c r="G1768" s="1">
        <f t="shared" si="455"/>
        <v>1924791</v>
      </c>
      <c r="H1768" s="2">
        <f t="shared" si="456"/>
        <v>0.77986804801144649</v>
      </c>
      <c r="I1768" s="2">
        <f t="shared" si="457"/>
        <v>0.22013195198855356</v>
      </c>
      <c r="J1768" s="1">
        <f t="shared" ref="J1768:K1768" si="536">SUM(J1000+J1192+J1384+J1576)</f>
        <v>2544560.4699999997</v>
      </c>
      <c r="K1768" s="1">
        <f t="shared" si="536"/>
        <v>2543573.11</v>
      </c>
      <c r="L1768" s="1">
        <f t="shared" si="460"/>
        <v>5088133.58</v>
      </c>
      <c r="M1768" s="2">
        <f t="shared" si="461"/>
        <v>0.50009702575457926</v>
      </c>
      <c r="N1768" s="2">
        <f t="shared" si="462"/>
        <v>0.49990297424542063</v>
      </c>
    </row>
    <row r="1769" spans="1:14" x14ac:dyDescent="0.35">
      <c r="A1769" t="s">
        <v>34</v>
      </c>
      <c r="B1769" t="s">
        <v>21</v>
      </c>
      <c r="C1769">
        <v>2005</v>
      </c>
      <c r="D1769" t="s">
        <v>33</v>
      </c>
      <c r="E1769" s="1">
        <f t="shared" ref="E1769" si="537">SUM(E1001+E1193+E1385+E1577)</f>
        <v>1493533</v>
      </c>
      <c r="F1769" s="1">
        <f t="shared" si="458"/>
        <v>442099</v>
      </c>
      <c r="G1769" s="1">
        <f t="shared" si="455"/>
        <v>1935632</v>
      </c>
      <c r="H1769" s="2">
        <f t="shared" si="456"/>
        <v>0.77159966357241461</v>
      </c>
      <c r="I1769" s="2">
        <f t="shared" si="457"/>
        <v>0.22840033642758542</v>
      </c>
      <c r="J1769" s="1">
        <f t="shared" ref="J1769:K1769" si="538">SUM(J1001+J1193+J1385+J1577)</f>
        <v>2692122.1</v>
      </c>
      <c r="K1769" s="1">
        <f t="shared" si="538"/>
        <v>2639276.5</v>
      </c>
      <c r="L1769" s="1">
        <f t="shared" si="460"/>
        <v>5331398.5999999996</v>
      </c>
      <c r="M1769" s="2">
        <f t="shared" si="461"/>
        <v>0.5049560728773872</v>
      </c>
      <c r="N1769" s="2">
        <f t="shared" si="462"/>
        <v>0.49504392712261286</v>
      </c>
    </row>
    <row r="1770" spans="1:14" x14ac:dyDescent="0.35">
      <c r="A1770" t="s">
        <v>34</v>
      </c>
      <c r="B1770" t="s">
        <v>22</v>
      </c>
      <c r="C1770">
        <v>2005</v>
      </c>
      <c r="D1770" t="s">
        <v>33</v>
      </c>
      <c r="E1770" s="1">
        <f t="shared" ref="E1770" si="539">SUM(E1002+E1194+E1386+E1578)</f>
        <v>1485478</v>
      </c>
      <c r="F1770" s="1">
        <f t="shared" si="458"/>
        <v>457007</v>
      </c>
      <c r="G1770" s="1">
        <f t="shared" si="455"/>
        <v>1942485</v>
      </c>
      <c r="H1770" s="2">
        <f t="shared" si="456"/>
        <v>0.76473074438155253</v>
      </c>
      <c r="I1770" s="2">
        <f t="shared" si="457"/>
        <v>0.2352692556184475</v>
      </c>
      <c r="J1770" s="1">
        <f t="shared" ref="J1770:K1770" si="540">SUM(J1002+J1194+J1386+J1578)</f>
        <v>2671375.9</v>
      </c>
      <c r="K1770" s="1">
        <f t="shared" si="540"/>
        <v>2600147.19</v>
      </c>
      <c r="L1770" s="1">
        <f t="shared" si="460"/>
        <v>5271523.09</v>
      </c>
      <c r="M1770" s="2">
        <f t="shared" si="461"/>
        <v>0.50675598956733392</v>
      </c>
      <c r="N1770" s="2">
        <f t="shared" si="462"/>
        <v>0.49324401043266608</v>
      </c>
    </row>
    <row r="1771" spans="1:14" x14ac:dyDescent="0.35">
      <c r="A1771" t="s">
        <v>34</v>
      </c>
      <c r="B1771" t="s">
        <v>23</v>
      </c>
      <c r="C1771">
        <v>2005</v>
      </c>
      <c r="D1771" t="s">
        <v>33</v>
      </c>
      <c r="E1771" s="1">
        <f t="shared" ref="E1771" si="541">SUM(E1003+E1195+E1387+E1579)</f>
        <v>1475142</v>
      </c>
      <c r="F1771" s="1">
        <f t="shared" si="458"/>
        <v>474455</v>
      </c>
      <c r="G1771" s="1">
        <f t="shared" si="455"/>
        <v>1949597</v>
      </c>
      <c r="H1771" s="2">
        <f t="shared" si="456"/>
        <v>0.75663944907588598</v>
      </c>
      <c r="I1771" s="2">
        <f t="shared" si="457"/>
        <v>0.24336055092411407</v>
      </c>
      <c r="J1771" s="1">
        <f t="shared" ref="J1771:K1771" si="542">SUM(J1003+J1195+J1387+J1579)</f>
        <v>3376586.9499999997</v>
      </c>
      <c r="K1771" s="1">
        <f t="shared" si="542"/>
        <v>3000802.53</v>
      </c>
      <c r="L1771" s="1">
        <f t="shared" si="460"/>
        <v>6377389.4799999995</v>
      </c>
      <c r="M1771" s="2">
        <f t="shared" si="461"/>
        <v>0.52946224479299009</v>
      </c>
      <c r="N1771" s="2">
        <f t="shared" si="462"/>
        <v>0.47053775520700986</v>
      </c>
    </row>
    <row r="1772" spans="1:14" x14ac:dyDescent="0.35">
      <c r="A1772" t="s">
        <v>34</v>
      </c>
      <c r="B1772" t="s">
        <v>24</v>
      </c>
      <c r="C1772">
        <v>2005</v>
      </c>
      <c r="D1772" t="s">
        <v>33</v>
      </c>
      <c r="E1772" s="1">
        <f t="shared" ref="E1772" si="543">SUM(E1004+E1196+E1388+E1580)</f>
        <v>1463867</v>
      </c>
      <c r="F1772" s="1">
        <f t="shared" si="458"/>
        <v>492822</v>
      </c>
      <c r="G1772" s="1">
        <f t="shared" si="455"/>
        <v>1956689</v>
      </c>
      <c r="H1772" s="2">
        <f t="shared" si="456"/>
        <v>0.74813473168193823</v>
      </c>
      <c r="I1772" s="2">
        <f t="shared" si="457"/>
        <v>0.25186526831806177</v>
      </c>
      <c r="J1772" s="1">
        <f t="shared" ref="J1772:K1772" si="544">SUM(J1004+J1196+J1388+J1580)</f>
        <v>4165355.12</v>
      </c>
      <c r="K1772" s="1">
        <f t="shared" si="544"/>
        <v>3415243.0400000005</v>
      </c>
      <c r="L1772" s="1">
        <f t="shared" si="460"/>
        <v>7580598.1600000001</v>
      </c>
      <c r="M1772" s="2">
        <f t="shared" si="461"/>
        <v>0.54947578437530586</v>
      </c>
      <c r="N1772" s="2">
        <f t="shared" si="462"/>
        <v>0.45052421562469425</v>
      </c>
    </row>
    <row r="1773" spans="1:14" x14ac:dyDescent="0.35">
      <c r="A1773" t="s">
        <v>34</v>
      </c>
      <c r="B1773" t="s">
        <v>25</v>
      </c>
      <c r="C1773">
        <v>2005</v>
      </c>
      <c r="D1773" t="s">
        <v>33</v>
      </c>
      <c r="E1773" s="1">
        <f t="shared" ref="E1773" si="545">SUM(E1005+E1197+E1389+E1581)</f>
        <v>1445670</v>
      </c>
      <c r="F1773" s="1">
        <f t="shared" si="458"/>
        <v>516539</v>
      </c>
      <c r="G1773" s="1">
        <f t="shared" si="455"/>
        <v>1962209</v>
      </c>
      <c r="H1773" s="2">
        <f t="shared" si="456"/>
        <v>0.73675638018172374</v>
      </c>
      <c r="I1773" s="2">
        <f t="shared" si="457"/>
        <v>0.26324361981827626</v>
      </c>
      <c r="J1773" s="1">
        <f t="shared" ref="J1773:K1773" si="546">SUM(J1005+J1197+J1389+J1581)</f>
        <v>3969904.8299999996</v>
      </c>
      <c r="K1773" s="1">
        <f t="shared" si="546"/>
        <v>3416995.24</v>
      </c>
      <c r="L1773" s="1">
        <f t="shared" si="460"/>
        <v>7386900.0700000003</v>
      </c>
      <c r="M1773" s="2">
        <f t="shared" si="461"/>
        <v>0.5374250081062758</v>
      </c>
      <c r="N1773" s="2">
        <f t="shared" si="462"/>
        <v>0.46257499189372409</v>
      </c>
    </row>
    <row r="1774" spans="1:14" x14ac:dyDescent="0.35">
      <c r="A1774" t="s">
        <v>34</v>
      </c>
      <c r="B1774" t="s">
        <v>26</v>
      </c>
      <c r="C1774">
        <v>2005</v>
      </c>
      <c r="D1774" t="s">
        <v>33</v>
      </c>
      <c r="E1774" s="1">
        <f t="shared" ref="E1774" si="547">SUM(E1006+E1198+E1390+E1582)</f>
        <v>1424247</v>
      </c>
      <c r="F1774" s="1">
        <f t="shared" si="458"/>
        <v>540258</v>
      </c>
      <c r="G1774" s="1">
        <f t="shared" si="455"/>
        <v>1964505</v>
      </c>
      <c r="H1774" s="2">
        <f t="shared" si="456"/>
        <v>0.72499026472317452</v>
      </c>
      <c r="I1774" s="2">
        <f t="shared" si="457"/>
        <v>0.27500973527682548</v>
      </c>
      <c r="J1774" s="1">
        <f t="shared" ref="J1774:K1774" si="548">SUM(J1006+J1198+J1390+J1582)</f>
        <v>3925971.92</v>
      </c>
      <c r="K1774" s="1">
        <f t="shared" si="548"/>
        <v>3598956.7599999993</v>
      </c>
      <c r="L1774" s="1">
        <f t="shared" si="460"/>
        <v>7524928.6799999997</v>
      </c>
      <c r="M1774" s="2">
        <f t="shared" si="461"/>
        <v>0.52172878799962263</v>
      </c>
      <c r="N1774" s="2">
        <f t="shared" si="462"/>
        <v>0.47827121200037731</v>
      </c>
    </row>
    <row r="1775" spans="1:14" x14ac:dyDescent="0.35">
      <c r="A1775" t="s">
        <v>34</v>
      </c>
      <c r="B1775" t="s">
        <v>27</v>
      </c>
      <c r="C1775">
        <v>2005</v>
      </c>
      <c r="D1775" t="s">
        <v>33</v>
      </c>
      <c r="E1775" s="1">
        <f t="shared" ref="E1775" si="549">SUM(E1007+E1199+E1391+E1583)</f>
        <v>1406504</v>
      </c>
      <c r="F1775" s="1">
        <f t="shared" si="458"/>
        <v>559992</v>
      </c>
      <c r="G1775" s="1">
        <f t="shared" si="455"/>
        <v>1966496</v>
      </c>
      <c r="H1775" s="2">
        <f t="shared" si="456"/>
        <v>0.71523359315249058</v>
      </c>
      <c r="I1775" s="2">
        <f t="shared" si="457"/>
        <v>0.28476640684750948</v>
      </c>
      <c r="J1775" s="1">
        <f t="shared" ref="J1775:K1775" si="550">SUM(J1007+J1199+J1391+J1583)</f>
        <v>3797021.8999999994</v>
      </c>
      <c r="K1775" s="1">
        <f t="shared" si="550"/>
        <v>3398586.7300000004</v>
      </c>
      <c r="L1775" s="1">
        <f t="shared" si="460"/>
        <v>7195608.6299999999</v>
      </c>
      <c r="M1775" s="2">
        <f t="shared" si="461"/>
        <v>0.52768599506224112</v>
      </c>
      <c r="N1775" s="2">
        <f t="shared" si="462"/>
        <v>0.47231400493775888</v>
      </c>
    </row>
    <row r="1776" spans="1:14" x14ac:dyDescent="0.35">
      <c r="A1776" t="s">
        <v>34</v>
      </c>
      <c r="B1776" t="s">
        <v>28</v>
      </c>
      <c r="C1776">
        <v>2005</v>
      </c>
      <c r="D1776" t="s">
        <v>33</v>
      </c>
      <c r="E1776" s="1">
        <f t="shared" ref="E1776" si="551">SUM(E1008+E1200+E1392+E1584)</f>
        <v>1398717</v>
      </c>
      <c r="F1776" s="1">
        <f t="shared" si="458"/>
        <v>575708</v>
      </c>
      <c r="G1776" s="1">
        <f t="shared" si="455"/>
        <v>1974425</v>
      </c>
      <c r="H1776" s="2">
        <f t="shared" si="456"/>
        <v>0.70841738734061821</v>
      </c>
      <c r="I1776" s="2">
        <f t="shared" si="457"/>
        <v>0.29158261265938185</v>
      </c>
      <c r="J1776" s="1">
        <f t="shared" ref="J1776:K1776" si="552">SUM(J1008+J1200+J1392+J1584)</f>
        <v>2837499.7</v>
      </c>
      <c r="K1776" s="1">
        <f t="shared" si="552"/>
        <v>2946073.47</v>
      </c>
      <c r="L1776" s="1">
        <f t="shared" si="460"/>
        <v>5783573.1699999999</v>
      </c>
      <c r="M1776" s="2">
        <f t="shared" si="461"/>
        <v>0.49061360798864073</v>
      </c>
      <c r="N1776" s="2">
        <f t="shared" si="462"/>
        <v>0.50938639201135938</v>
      </c>
    </row>
    <row r="1777" spans="1:14" x14ac:dyDescent="0.35">
      <c r="A1777" t="s">
        <v>34</v>
      </c>
      <c r="B1777" t="s">
        <v>29</v>
      </c>
      <c r="C1777">
        <v>2005</v>
      </c>
      <c r="D1777" t="s">
        <v>33</v>
      </c>
      <c r="E1777" s="1">
        <f t="shared" ref="E1777" si="553">SUM(E1009+E1201+E1393+E1585)</f>
        <v>1396429</v>
      </c>
      <c r="F1777" s="1">
        <f t="shared" si="458"/>
        <v>587591</v>
      </c>
      <c r="G1777" s="1">
        <f t="shared" si="455"/>
        <v>1984020</v>
      </c>
      <c r="H1777" s="2">
        <f t="shared" si="456"/>
        <v>0.70383816695396217</v>
      </c>
      <c r="I1777" s="2">
        <f t="shared" si="457"/>
        <v>0.29616183304603783</v>
      </c>
      <c r="J1777" s="1">
        <f t="shared" ref="J1777:K1777" si="554">SUM(J1009+J1201+J1393+J1585)</f>
        <v>2674483.8200000003</v>
      </c>
      <c r="K1777" s="1">
        <f t="shared" si="554"/>
        <v>2894652.8600000003</v>
      </c>
      <c r="L1777" s="1">
        <f t="shared" si="460"/>
        <v>5569136.6800000006</v>
      </c>
      <c r="M1777" s="2">
        <f t="shared" si="461"/>
        <v>0.48023310859018098</v>
      </c>
      <c r="N1777" s="2">
        <f t="shared" si="462"/>
        <v>0.51976689140981902</v>
      </c>
    </row>
    <row r="1778" spans="1:14" x14ac:dyDescent="0.35">
      <c r="A1778" t="s">
        <v>34</v>
      </c>
      <c r="B1778" t="s">
        <v>17</v>
      </c>
      <c r="C1778">
        <v>2006</v>
      </c>
      <c r="D1778" t="s">
        <v>33</v>
      </c>
      <c r="E1778" s="1">
        <f t="shared" ref="E1778" si="555">SUM(E1010+E1202+E1394+E1586)</f>
        <v>1396739</v>
      </c>
      <c r="F1778" s="1">
        <f t="shared" si="458"/>
        <v>592257</v>
      </c>
      <c r="G1778" s="1">
        <f t="shared" si="455"/>
        <v>1988996</v>
      </c>
      <c r="H1778" s="2">
        <f t="shared" si="456"/>
        <v>0.7022331869948456</v>
      </c>
      <c r="I1778" s="2">
        <f t="shared" si="457"/>
        <v>0.29776681300515434</v>
      </c>
      <c r="J1778" s="1">
        <f t="shared" ref="J1778:K1778" si="556">SUM(J1010+J1202+J1394+J1586)</f>
        <v>2738587.75</v>
      </c>
      <c r="K1778" s="1">
        <f t="shared" si="556"/>
        <v>2829707</v>
      </c>
      <c r="L1778" s="1">
        <f t="shared" si="460"/>
        <v>5568294.75</v>
      </c>
      <c r="M1778" s="2">
        <f t="shared" si="461"/>
        <v>0.49181802920903206</v>
      </c>
      <c r="N1778" s="2">
        <f t="shared" si="462"/>
        <v>0.50818197079096794</v>
      </c>
    </row>
    <row r="1779" spans="1:14" x14ac:dyDescent="0.35">
      <c r="A1779" t="s">
        <v>34</v>
      </c>
      <c r="B1779" t="s">
        <v>19</v>
      </c>
      <c r="C1779">
        <v>2006</v>
      </c>
      <c r="D1779" t="s">
        <v>33</v>
      </c>
      <c r="E1779" s="1">
        <f t="shared" ref="E1779" si="557">SUM(E1011+E1203+E1395+E1587)</f>
        <v>1392922</v>
      </c>
      <c r="F1779" s="1">
        <f t="shared" si="458"/>
        <v>595590</v>
      </c>
      <c r="G1779" s="1">
        <f t="shared" si="455"/>
        <v>1988512</v>
      </c>
      <c r="H1779" s="2">
        <f t="shared" si="456"/>
        <v>0.70048458344732145</v>
      </c>
      <c r="I1779" s="2">
        <f t="shared" si="457"/>
        <v>0.2995154165526786</v>
      </c>
      <c r="J1779" s="1">
        <f t="shared" ref="J1779:K1779" si="558">SUM(J1011+J1203+J1395+J1587)</f>
        <v>2470024.8400000003</v>
      </c>
      <c r="K1779" s="1">
        <f t="shared" si="558"/>
        <v>2656223</v>
      </c>
      <c r="L1779" s="1">
        <f t="shared" si="460"/>
        <v>5126247.84</v>
      </c>
      <c r="M1779" s="2">
        <f t="shared" si="461"/>
        <v>0.48183874777306912</v>
      </c>
      <c r="N1779" s="2">
        <f t="shared" si="462"/>
        <v>0.51816125222693099</v>
      </c>
    </row>
    <row r="1780" spans="1:14" x14ac:dyDescent="0.35">
      <c r="A1780" t="s">
        <v>34</v>
      </c>
      <c r="B1780" t="s">
        <v>20</v>
      </c>
      <c r="C1780">
        <v>2006</v>
      </c>
      <c r="D1780" t="s">
        <v>33</v>
      </c>
      <c r="E1780" s="1">
        <f t="shared" ref="E1780" si="559">SUM(E1012+E1204+E1396+E1588)</f>
        <v>1393978</v>
      </c>
      <c r="F1780" s="1">
        <f t="shared" si="458"/>
        <v>599203</v>
      </c>
      <c r="G1780" s="1">
        <f t="shared" si="455"/>
        <v>1993181</v>
      </c>
      <c r="H1780" s="2">
        <f t="shared" si="456"/>
        <v>0.69937351399596925</v>
      </c>
      <c r="I1780" s="2">
        <f t="shared" si="457"/>
        <v>0.30062648600403075</v>
      </c>
      <c r="J1780" s="1">
        <f t="shared" ref="J1780:K1780" si="560">SUM(J1012+J1204+J1396+J1588)</f>
        <v>2513380.1400000006</v>
      </c>
      <c r="K1780" s="1">
        <f t="shared" si="560"/>
        <v>2795196</v>
      </c>
      <c r="L1780" s="1">
        <f t="shared" si="460"/>
        <v>5308576.1400000006</v>
      </c>
      <c r="M1780" s="2">
        <f t="shared" si="461"/>
        <v>0.47345654912279367</v>
      </c>
      <c r="N1780" s="2">
        <f t="shared" si="462"/>
        <v>0.52654345087720633</v>
      </c>
    </row>
    <row r="1781" spans="1:14" x14ac:dyDescent="0.35">
      <c r="A1781" t="s">
        <v>34</v>
      </c>
      <c r="B1781" t="s">
        <v>21</v>
      </c>
      <c r="C1781">
        <v>2006</v>
      </c>
      <c r="D1781" t="s">
        <v>33</v>
      </c>
      <c r="E1781" s="1">
        <f t="shared" ref="E1781" si="561">SUM(E1013+E1205+E1397+E1589)</f>
        <v>1390214</v>
      </c>
      <c r="F1781" s="1">
        <f t="shared" si="458"/>
        <v>607847</v>
      </c>
      <c r="G1781" s="1">
        <f t="shared" si="455"/>
        <v>1998061</v>
      </c>
      <c r="H1781" s="2">
        <f t="shared" si="456"/>
        <v>0.69578156022263582</v>
      </c>
      <c r="I1781" s="2">
        <f t="shared" si="457"/>
        <v>0.30421843977736418</v>
      </c>
      <c r="J1781" s="1">
        <f t="shared" ref="J1781:K1781" si="562">SUM(J1013+J1205+J1397+J1589)</f>
        <v>2624089.92</v>
      </c>
      <c r="K1781" s="1">
        <f t="shared" si="562"/>
        <v>3137009</v>
      </c>
      <c r="L1781" s="1">
        <f t="shared" si="460"/>
        <v>5761098.9199999999</v>
      </c>
      <c r="M1781" s="2">
        <f t="shared" si="461"/>
        <v>0.45548426722726709</v>
      </c>
      <c r="N1781" s="2">
        <f t="shared" si="462"/>
        <v>0.54451573277273291</v>
      </c>
    </row>
    <row r="1782" spans="1:14" x14ac:dyDescent="0.35">
      <c r="A1782" t="s">
        <v>34</v>
      </c>
      <c r="B1782" t="s">
        <v>22</v>
      </c>
      <c r="C1782">
        <v>2006</v>
      </c>
      <c r="D1782" t="s">
        <v>33</v>
      </c>
      <c r="E1782" s="1">
        <f t="shared" ref="E1782" si="563">SUM(E1014+E1206+E1398+E1590)</f>
        <v>1383949</v>
      </c>
      <c r="F1782" s="1">
        <f t="shared" si="458"/>
        <v>620908</v>
      </c>
      <c r="G1782" s="1">
        <f t="shared" si="455"/>
        <v>2004857</v>
      </c>
      <c r="H1782" s="2">
        <f t="shared" si="456"/>
        <v>0.69029811103734584</v>
      </c>
      <c r="I1782" s="2">
        <f t="shared" si="457"/>
        <v>0.30970188896265421</v>
      </c>
      <c r="J1782" s="1">
        <f t="shared" ref="J1782:K1782" si="564">SUM(J1014+J1206+J1398+J1590)</f>
        <v>2965299.49</v>
      </c>
      <c r="K1782" s="1">
        <f t="shared" si="564"/>
        <v>3263894</v>
      </c>
      <c r="L1782" s="1">
        <f t="shared" si="460"/>
        <v>6229193.4900000002</v>
      </c>
      <c r="M1782" s="2">
        <f t="shared" si="461"/>
        <v>0.47603265089779706</v>
      </c>
      <c r="N1782" s="2">
        <f t="shared" si="462"/>
        <v>0.52396734910220288</v>
      </c>
    </row>
    <row r="1783" spans="1:14" x14ac:dyDescent="0.35">
      <c r="A1783" t="s">
        <v>34</v>
      </c>
      <c r="B1783" t="s">
        <v>23</v>
      </c>
      <c r="C1783">
        <v>2006</v>
      </c>
      <c r="D1783" t="s">
        <v>33</v>
      </c>
      <c r="E1783" s="1">
        <f t="shared" ref="E1783" si="565">SUM(E1015+E1207+E1399+E1591)</f>
        <v>1372907</v>
      </c>
      <c r="F1783" s="1">
        <f t="shared" si="458"/>
        <v>638965</v>
      </c>
      <c r="G1783" s="1">
        <f t="shared" ref="G1783:G1846" si="566">SUM(E1783:F1783)</f>
        <v>2011872</v>
      </c>
      <c r="H1783" s="2">
        <f t="shared" ref="H1783:H1846" si="567">SUM(E1783)/G1783</f>
        <v>0.68240275723306454</v>
      </c>
      <c r="I1783" s="2">
        <f t="shared" ref="I1783:I1846" si="568">SUM(F1783/G1783)</f>
        <v>0.31759724276693546</v>
      </c>
      <c r="J1783" s="1">
        <f t="shared" ref="J1783:K1783" si="569">SUM(J1015+J1207+J1399+J1591)</f>
        <v>3349529.1499999994</v>
      </c>
      <c r="K1783" s="1">
        <f t="shared" si="569"/>
        <v>3469502</v>
      </c>
      <c r="L1783" s="1">
        <f t="shared" si="460"/>
        <v>6819031.1499999994</v>
      </c>
      <c r="M1783" s="2">
        <f t="shared" si="461"/>
        <v>0.49120308681974562</v>
      </c>
      <c r="N1783" s="2">
        <f t="shared" si="462"/>
        <v>0.50879691318025444</v>
      </c>
    </row>
    <row r="1784" spans="1:14" x14ac:dyDescent="0.35">
      <c r="A1784" t="s">
        <v>34</v>
      </c>
      <c r="B1784" t="s">
        <v>24</v>
      </c>
      <c r="C1784">
        <v>2006</v>
      </c>
      <c r="D1784" t="s">
        <v>33</v>
      </c>
      <c r="E1784" s="1">
        <f t="shared" ref="E1784" si="570">SUM(E1016+E1208+E1400+E1592)</f>
        <v>1354276</v>
      </c>
      <c r="F1784" s="1">
        <f t="shared" si="458"/>
        <v>664229</v>
      </c>
      <c r="G1784" s="1">
        <f t="shared" si="566"/>
        <v>2018505</v>
      </c>
      <c r="H1784" s="2">
        <f t="shared" si="567"/>
        <v>0.67093021815650689</v>
      </c>
      <c r="I1784" s="2">
        <f t="shared" si="568"/>
        <v>0.32906978184349306</v>
      </c>
      <c r="J1784" s="1">
        <f t="shared" ref="J1784:K1784" si="571">SUM(J1016+J1208+J1400+J1592)</f>
        <v>3673083.55</v>
      </c>
      <c r="K1784" s="1">
        <f t="shared" si="571"/>
        <v>3788360</v>
      </c>
      <c r="L1784" s="1">
        <f t="shared" si="460"/>
        <v>7461443.5499999998</v>
      </c>
      <c r="M1784" s="2">
        <f t="shared" si="461"/>
        <v>0.49227519117262503</v>
      </c>
      <c r="N1784" s="2">
        <f t="shared" si="462"/>
        <v>0.50772480882737503</v>
      </c>
    </row>
    <row r="1785" spans="1:14" x14ac:dyDescent="0.35">
      <c r="A1785" t="s">
        <v>34</v>
      </c>
      <c r="B1785" t="s">
        <v>25</v>
      </c>
      <c r="C1785">
        <v>2006</v>
      </c>
      <c r="D1785" t="s">
        <v>33</v>
      </c>
      <c r="E1785" s="1">
        <f t="shared" ref="E1785" si="572">SUM(E1017+E1209+E1401+E1593)</f>
        <v>1339519</v>
      </c>
      <c r="F1785" s="1">
        <f t="shared" si="458"/>
        <v>680659</v>
      </c>
      <c r="G1785" s="1">
        <f t="shared" si="566"/>
        <v>2020178</v>
      </c>
      <c r="H1785" s="2">
        <f t="shared" si="567"/>
        <v>0.66306978889979007</v>
      </c>
      <c r="I1785" s="2">
        <f t="shared" si="568"/>
        <v>0.33693021110020999</v>
      </c>
      <c r="J1785" s="1">
        <f t="shared" ref="J1785:K1785" si="573">SUM(J1017+J1209+J1401+J1593)</f>
        <v>3736397.71</v>
      </c>
      <c r="K1785" s="1">
        <f t="shared" si="573"/>
        <v>3776657</v>
      </c>
      <c r="L1785" s="1">
        <f t="shared" si="460"/>
        <v>7513054.71</v>
      </c>
      <c r="M1785" s="2">
        <f t="shared" si="461"/>
        <v>0.49732071097882369</v>
      </c>
      <c r="N1785" s="2">
        <f t="shared" si="462"/>
        <v>0.50267928902117631</v>
      </c>
    </row>
    <row r="1786" spans="1:14" x14ac:dyDescent="0.35">
      <c r="A1786" t="s">
        <v>34</v>
      </c>
      <c r="B1786" t="s">
        <v>26</v>
      </c>
      <c r="C1786">
        <v>2006</v>
      </c>
      <c r="D1786" t="s">
        <v>33</v>
      </c>
      <c r="E1786" s="1">
        <f t="shared" ref="E1786" si="574">SUM(E1018+E1210+E1402+E1594)</f>
        <v>1322529</v>
      </c>
      <c r="F1786" s="1">
        <f t="shared" si="458"/>
        <v>699507</v>
      </c>
      <c r="G1786" s="1">
        <f t="shared" si="566"/>
        <v>2022036</v>
      </c>
      <c r="H1786" s="2">
        <f t="shared" si="567"/>
        <v>0.65405808798656406</v>
      </c>
      <c r="I1786" s="2">
        <f t="shared" si="568"/>
        <v>0.34594191201343594</v>
      </c>
      <c r="J1786" s="1">
        <f t="shared" ref="J1786:K1786" si="575">SUM(J1018+J1210+J1402+J1594)</f>
        <v>3853162.0099999993</v>
      </c>
      <c r="K1786" s="1">
        <f t="shared" si="575"/>
        <v>3932968</v>
      </c>
      <c r="L1786" s="1">
        <f t="shared" si="460"/>
        <v>7786130.0099999998</v>
      </c>
      <c r="M1786" s="2">
        <f t="shared" si="461"/>
        <v>0.49487511832595243</v>
      </c>
      <c r="N1786" s="2">
        <f t="shared" si="462"/>
        <v>0.50512488167404745</v>
      </c>
    </row>
    <row r="1787" spans="1:14" x14ac:dyDescent="0.35">
      <c r="A1787" t="s">
        <v>34</v>
      </c>
      <c r="B1787" t="s">
        <v>27</v>
      </c>
      <c r="C1787">
        <v>2006</v>
      </c>
      <c r="D1787" t="s">
        <v>33</v>
      </c>
      <c r="E1787" s="1">
        <f t="shared" ref="E1787" si="576">SUM(E1019+E1211+E1403+E1595)</f>
        <v>1306457</v>
      </c>
      <c r="F1787" s="1">
        <f t="shared" si="458"/>
        <v>717767</v>
      </c>
      <c r="G1787" s="1">
        <f t="shared" si="566"/>
        <v>2024224</v>
      </c>
      <c r="H1787" s="2">
        <f t="shared" si="567"/>
        <v>0.64541127859367342</v>
      </c>
      <c r="I1787" s="2">
        <f t="shared" si="568"/>
        <v>0.35458872140632658</v>
      </c>
      <c r="J1787" s="1">
        <f t="shared" ref="J1787:K1787" si="577">SUM(J1019+J1211+J1403+J1595)</f>
        <v>3354090.52</v>
      </c>
      <c r="K1787" s="1">
        <f t="shared" si="577"/>
        <v>3744224.6599999997</v>
      </c>
      <c r="L1787" s="1">
        <f t="shared" si="460"/>
        <v>7098315.1799999997</v>
      </c>
      <c r="M1787" s="2">
        <f t="shared" si="461"/>
        <v>0.47251924364395442</v>
      </c>
      <c r="N1787" s="2">
        <f t="shared" si="462"/>
        <v>0.52748075635604563</v>
      </c>
    </row>
    <row r="1788" spans="1:14" x14ac:dyDescent="0.35">
      <c r="A1788" t="s">
        <v>34</v>
      </c>
      <c r="B1788" t="s">
        <v>28</v>
      </c>
      <c r="C1788">
        <v>2006</v>
      </c>
      <c r="D1788" t="s">
        <v>33</v>
      </c>
      <c r="E1788" s="1">
        <f t="shared" ref="E1788" si="578">SUM(E1020+E1212+E1404+E1596)</f>
        <v>1292157</v>
      </c>
      <c r="F1788" s="1">
        <f t="shared" si="458"/>
        <v>734376</v>
      </c>
      <c r="G1788" s="1">
        <f t="shared" si="566"/>
        <v>2026533</v>
      </c>
      <c r="H1788" s="2">
        <f t="shared" si="567"/>
        <v>0.63761952062956784</v>
      </c>
      <c r="I1788" s="2">
        <f t="shared" si="568"/>
        <v>0.36238047937043216</v>
      </c>
      <c r="J1788" s="1">
        <f t="shared" ref="J1788:K1788" si="579">SUM(J1020+J1212+J1404+J1596)</f>
        <v>2645596.2200000002</v>
      </c>
      <c r="K1788" s="1">
        <f t="shared" si="579"/>
        <v>3113753.5300000003</v>
      </c>
      <c r="L1788" s="1">
        <f t="shared" si="460"/>
        <v>5759349.75</v>
      </c>
      <c r="M1788" s="2">
        <f t="shared" si="461"/>
        <v>0.45935675637688095</v>
      </c>
      <c r="N1788" s="2">
        <f t="shared" si="462"/>
        <v>0.54064324362311911</v>
      </c>
    </row>
    <row r="1789" spans="1:14" x14ac:dyDescent="0.35">
      <c r="A1789" t="s">
        <v>34</v>
      </c>
      <c r="B1789" t="s">
        <v>29</v>
      </c>
      <c r="C1789">
        <v>2006</v>
      </c>
      <c r="D1789" t="s">
        <v>33</v>
      </c>
      <c r="E1789" s="1">
        <f t="shared" ref="E1789" si="580">SUM(E1021+E1213+E1405+E1597)</f>
        <v>1273478</v>
      </c>
      <c r="F1789" s="1">
        <f t="shared" si="458"/>
        <v>747323</v>
      </c>
      <c r="G1789" s="1">
        <f t="shared" si="566"/>
        <v>2020801</v>
      </c>
      <c r="H1789" s="2">
        <f t="shared" si="567"/>
        <v>0.63018476336858498</v>
      </c>
      <c r="I1789" s="2">
        <f t="shared" si="568"/>
        <v>0.36981523663141497</v>
      </c>
      <c r="J1789" s="1">
        <f t="shared" ref="J1789:K1789" si="581">SUM(J1021+J1213+J1405+J1597)</f>
        <v>2453599.9300000002</v>
      </c>
      <c r="K1789" s="1">
        <f t="shared" si="581"/>
        <v>2980982.99</v>
      </c>
      <c r="L1789" s="1">
        <f t="shared" si="460"/>
        <v>5434582.9199999999</v>
      </c>
      <c r="M1789" s="2">
        <f t="shared" si="461"/>
        <v>0.45147897568558953</v>
      </c>
      <c r="N1789" s="2">
        <f t="shared" si="462"/>
        <v>0.54852102431441052</v>
      </c>
    </row>
    <row r="1790" spans="1:14" x14ac:dyDescent="0.35">
      <c r="A1790" t="s">
        <v>34</v>
      </c>
      <c r="B1790" t="s">
        <v>17</v>
      </c>
      <c r="C1790">
        <v>2007</v>
      </c>
      <c r="D1790" t="s">
        <v>33</v>
      </c>
      <c r="E1790" s="1">
        <f t="shared" ref="E1790" si="582">SUM(E1022+E1214+E1406+E1598)</f>
        <v>1259430</v>
      </c>
      <c r="F1790" s="1">
        <f t="shared" si="458"/>
        <v>761288</v>
      </c>
      <c r="G1790" s="1">
        <f t="shared" si="566"/>
        <v>2020718</v>
      </c>
      <c r="H1790" s="2">
        <f t="shared" si="567"/>
        <v>0.62325866350475423</v>
      </c>
      <c r="I1790" s="2">
        <f t="shared" si="568"/>
        <v>0.37674133649524577</v>
      </c>
      <c r="J1790" s="1">
        <f t="shared" ref="J1790:K1790" si="583">SUM(J1022+J1214+J1406+J1598)</f>
        <v>2633436.67</v>
      </c>
      <c r="K1790" s="1">
        <f t="shared" si="583"/>
        <v>3017746</v>
      </c>
      <c r="L1790" s="1">
        <f t="shared" si="460"/>
        <v>5651182.6699999999</v>
      </c>
      <c r="M1790" s="2">
        <f t="shared" si="461"/>
        <v>0.46599744226636369</v>
      </c>
      <c r="N1790" s="2">
        <f t="shared" si="462"/>
        <v>0.53400255773363636</v>
      </c>
    </row>
    <row r="1791" spans="1:14" x14ac:dyDescent="0.35">
      <c r="A1791" t="s">
        <v>34</v>
      </c>
      <c r="B1791" t="s">
        <v>19</v>
      </c>
      <c r="C1791">
        <v>2007</v>
      </c>
      <c r="D1791" t="s">
        <v>33</v>
      </c>
      <c r="E1791" s="1">
        <f t="shared" ref="E1791" si="584">SUM(E1023+E1215+E1407+E1599)</f>
        <v>1250283</v>
      </c>
      <c r="F1791" s="1">
        <f t="shared" si="458"/>
        <v>773798</v>
      </c>
      <c r="G1791" s="1">
        <f t="shared" si="566"/>
        <v>2024081</v>
      </c>
      <c r="H1791" s="2">
        <f t="shared" si="567"/>
        <v>0.61770403457173895</v>
      </c>
      <c r="I1791" s="2">
        <f t="shared" si="568"/>
        <v>0.382295965428261</v>
      </c>
      <c r="J1791" s="1">
        <f t="shared" ref="J1791:K1791" si="585">SUM(J1023+J1215+J1407+J1599)</f>
        <v>2640508.48</v>
      </c>
      <c r="K1791" s="1">
        <f t="shared" si="585"/>
        <v>3052971</v>
      </c>
      <c r="L1791" s="1">
        <f t="shared" si="460"/>
        <v>5693479.4800000004</v>
      </c>
      <c r="M1791" s="2">
        <f t="shared" si="461"/>
        <v>0.46377764059316495</v>
      </c>
      <c r="N1791" s="2">
        <f t="shared" si="462"/>
        <v>0.53622235940683494</v>
      </c>
    </row>
    <row r="1792" spans="1:14" x14ac:dyDescent="0.35">
      <c r="A1792" t="s">
        <v>34</v>
      </c>
      <c r="B1792" t="s">
        <v>20</v>
      </c>
      <c r="C1792">
        <v>2007</v>
      </c>
      <c r="D1792" t="s">
        <v>33</v>
      </c>
      <c r="E1792" s="1">
        <f t="shared" ref="E1792" si="586">SUM(E1024+E1216+E1408+E1600)</f>
        <v>1240649</v>
      </c>
      <c r="F1792" s="1">
        <f t="shared" si="458"/>
        <v>788304</v>
      </c>
      <c r="G1792" s="1">
        <f t="shared" si="566"/>
        <v>2028953</v>
      </c>
      <c r="H1792" s="2">
        <f t="shared" si="567"/>
        <v>0.61147251809184344</v>
      </c>
      <c r="I1792" s="2">
        <f t="shared" si="568"/>
        <v>0.38852748190815656</v>
      </c>
      <c r="J1792" s="1">
        <f t="shared" ref="J1792:K1792" si="587">SUM(J1024+J1216+J1408+J1600)</f>
        <v>2323275.61</v>
      </c>
      <c r="K1792" s="1">
        <f t="shared" si="587"/>
        <v>2840880</v>
      </c>
      <c r="L1792" s="1">
        <f t="shared" si="460"/>
        <v>5164155.6099999994</v>
      </c>
      <c r="M1792" s="2">
        <f t="shared" si="461"/>
        <v>0.44988489609049565</v>
      </c>
      <c r="N1792" s="2">
        <f t="shared" si="462"/>
        <v>0.55011510390950447</v>
      </c>
    </row>
    <row r="1793" spans="1:14" x14ac:dyDescent="0.35">
      <c r="A1793" t="s">
        <v>34</v>
      </c>
      <c r="B1793" t="s">
        <v>21</v>
      </c>
      <c r="C1793">
        <v>2007</v>
      </c>
      <c r="D1793" t="s">
        <v>33</v>
      </c>
      <c r="E1793" s="1">
        <f t="shared" ref="E1793" si="588">SUM(E1025+E1217+E1409+E1601)</f>
        <v>1238457</v>
      </c>
      <c r="F1793" s="1">
        <f t="shared" si="458"/>
        <v>800778</v>
      </c>
      <c r="G1793" s="1">
        <f t="shared" si="566"/>
        <v>2039235</v>
      </c>
      <c r="H1793" s="2">
        <f t="shared" si="567"/>
        <v>0.60731450764624972</v>
      </c>
      <c r="I1793" s="2">
        <f t="shared" si="568"/>
        <v>0.39268549235375028</v>
      </c>
      <c r="J1793" s="1">
        <f t="shared" ref="J1793:K1793" si="589">SUM(J1025+J1217+J1409+J1601)</f>
        <v>2406185</v>
      </c>
      <c r="K1793" s="1">
        <f t="shared" si="589"/>
        <v>3229617</v>
      </c>
      <c r="L1793" s="1">
        <f t="shared" si="460"/>
        <v>5635802</v>
      </c>
      <c r="M1793" s="2">
        <f t="shared" si="461"/>
        <v>0.42694633345884048</v>
      </c>
      <c r="N1793" s="2">
        <f t="shared" si="462"/>
        <v>0.57305366654115952</v>
      </c>
    </row>
    <row r="1794" spans="1:14" x14ac:dyDescent="0.35">
      <c r="A1794" t="s">
        <v>34</v>
      </c>
      <c r="B1794" t="s">
        <v>22</v>
      </c>
      <c r="C1794">
        <v>2007</v>
      </c>
      <c r="D1794" t="s">
        <v>33</v>
      </c>
      <c r="E1794" s="1">
        <f t="shared" ref="E1794" si="590">SUM(E1026+E1218+E1410+E1602)</f>
        <v>1235111</v>
      </c>
      <c r="F1794" s="1">
        <f t="shared" si="458"/>
        <v>811307</v>
      </c>
      <c r="G1794" s="1">
        <f t="shared" si="566"/>
        <v>2046418</v>
      </c>
      <c r="H1794" s="2">
        <f t="shared" si="567"/>
        <v>0.60354776003729438</v>
      </c>
      <c r="I1794" s="2">
        <f t="shared" si="568"/>
        <v>0.39645223996270557</v>
      </c>
      <c r="J1794" s="1">
        <f t="shared" ref="J1794:K1794" si="591">SUM(J1026+J1218+J1410+J1602)</f>
        <v>2466166</v>
      </c>
      <c r="K1794" s="1">
        <f t="shared" si="591"/>
        <v>3216305</v>
      </c>
      <c r="L1794" s="1">
        <f t="shared" si="460"/>
        <v>5682471</v>
      </c>
      <c r="M1794" s="2">
        <f t="shared" si="461"/>
        <v>0.43399535167007453</v>
      </c>
      <c r="N1794" s="2">
        <f t="shared" si="462"/>
        <v>0.56600464832992547</v>
      </c>
    </row>
    <row r="1795" spans="1:14" x14ac:dyDescent="0.35">
      <c r="A1795" t="s">
        <v>34</v>
      </c>
      <c r="B1795" t="s">
        <v>23</v>
      </c>
      <c r="C1795">
        <v>2007</v>
      </c>
      <c r="D1795" t="s">
        <v>33</v>
      </c>
      <c r="E1795" s="1">
        <f t="shared" ref="E1795:F1795" si="592">SUM(E1027+E1219+E1411+E1603)</f>
        <v>1230471</v>
      </c>
      <c r="F1795" s="1">
        <f t="shared" si="592"/>
        <v>823975</v>
      </c>
      <c r="G1795" s="1">
        <f t="shared" si="566"/>
        <v>2054446</v>
      </c>
      <c r="H1795" s="2">
        <f t="shared" si="567"/>
        <v>0.59893080665055198</v>
      </c>
      <c r="I1795" s="2">
        <f t="shared" si="568"/>
        <v>0.40106919334944796</v>
      </c>
      <c r="J1795" s="1">
        <f t="shared" ref="J1795:K1795" si="593">SUM(J1027+J1219+J1411+J1603)</f>
        <v>2933099</v>
      </c>
      <c r="K1795" s="1">
        <f t="shared" si="593"/>
        <v>3611509</v>
      </c>
      <c r="L1795" s="1">
        <f t="shared" ref="L1795:L1858" si="594">SUM(J1795:K1795)</f>
        <v>6544608</v>
      </c>
      <c r="M1795" s="2">
        <f t="shared" ref="M1795:M1858" si="595">SUM(J1795)/L1795</f>
        <v>0.44817031058239087</v>
      </c>
      <c r="N1795" s="2">
        <f t="shared" ref="N1795:N1858" si="596">SUM(K1795/L1795)</f>
        <v>0.55182968941760913</v>
      </c>
    </row>
    <row r="1796" spans="1:14" x14ac:dyDescent="0.35">
      <c r="A1796" t="s">
        <v>34</v>
      </c>
      <c r="B1796" t="s">
        <v>24</v>
      </c>
      <c r="C1796">
        <v>2007</v>
      </c>
      <c r="D1796" t="s">
        <v>33</v>
      </c>
      <c r="E1796" s="1">
        <f t="shared" ref="E1796:F1796" si="597">SUM(E1028+E1220+E1412+E1604)</f>
        <v>1224263</v>
      </c>
      <c r="F1796" s="1">
        <f t="shared" si="597"/>
        <v>835980</v>
      </c>
      <c r="G1796" s="1">
        <f t="shared" si="566"/>
        <v>2060243</v>
      </c>
      <c r="H1796" s="2">
        <f t="shared" si="567"/>
        <v>0.59423233084640992</v>
      </c>
      <c r="I1796" s="2">
        <f t="shared" si="568"/>
        <v>0.40576766915359014</v>
      </c>
      <c r="J1796" s="1">
        <f t="shared" ref="J1796:K1796" si="598">SUM(J1028+J1220+J1412+J1604)</f>
        <v>3402547.6399999997</v>
      </c>
      <c r="K1796" s="1">
        <f t="shared" si="598"/>
        <v>4010376.5700000003</v>
      </c>
      <c r="L1796" s="1">
        <f t="shared" si="594"/>
        <v>7412924.21</v>
      </c>
      <c r="M1796" s="2">
        <f t="shared" si="595"/>
        <v>0.45900208117735491</v>
      </c>
      <c r="N1796" s="2">
        <f t="shared" si="596"/>
        <v>0.54099791882264503</v>
      </c>
    </row>
    <row r="1797" spans="1:14" x14ac:dyDescent="0.35">
      <c r="A1797" t="s">
        <v>34</v>
      </c>
      <c r="B1797" t="s">
        <v>25</v>
      </c>
      <c r="C1797">
        <v>2007</v>
      </c>
      <c r="D1797" t="s">
        <v>33</v>
      </c>
      <c r="E1797" s="1">
        <f t="shared" ref="E1797:F1797" si="599">SUM(E1029+E1221+E1413+E1605)</f>
        <v>1217022</v>
      </c>
      <c r="F1797" s="1">
        <f t="shared" si="599"/>
        <v>845081</v>
      </c>
      <c r="G1797" s="1">
        <f t="shared" si="566"/>
        <v>2062103</v>
      </c>
      <c r="H1797" s="2">
        <f t="shared" si="567"/>
        <v>0.59018487437339451</v>
      </c>
      <c r="I1797" s="2">
        <f t="shared" si="568"/>
        <v>0.40981512562660544</v>
      </c>
      <c r="J1797" s="1">
        <f t="shared" ref="J1797:K1797" si="600">SUM(J1029+J1221+J1413+J1605)</f>
        <v>3369878.25</v>
      </c>
      <c r="K1797" s="1">
        <f t="shared" si="600"/>
        <v>3889606.298</v>
      </c>
      <c r="L1797" s="1">
        <f t="shared" si="594"/>
        <v>7259484.5480000004</v>
      </c>
      <c r="M1797" s="2">
        <f t="shared" si="595"/>
        <v>0.46420351578934166</v>
      </c>
      <c r="N1797" s="2">
        <f t="shared" si="596"/>
        <v>0.53579648421065829</v>
      </c>
    </row>
    <row r="1798" spans="1:14" x14ac:dyDescent="0.35">
      <c r="A1798" t="s">
        <v>34</v>
      </c>
      <c r="B1798" t="s">
        <v>26</v>
      </c>
      <c r="C1798">
        <v>2007</v>
      </c>
      <c r="D1798" t="s">
        <v>33</v>
      </c>
      <c r="E1798" s="1">
        <f t="shared" ref="E1798:F1798" si="601">SUM(E1030+E1222+E1414+E1606)</f>
        <v>1209531</v>
      </c>
      <c r="F1798" s="1">
        <f t="shared" si="601"/>
        <v>861584</v>
      </c>
      <c r="G1798" s="1">
        <f t="shared" si="566"/>
        <v>2071115</v>
      </c>
      <c r="H1798" s="2">
        <f t="shared" si="567"/>
        <v>0.58399992274692614</v>
      </c>
      <c r="I1798" s="2">
        <f t="shared" si="568"/>
        <v>0.41600007725307381</v>
      </c>
      <c r="J1798" s="1">
        <f t="shared" ref="J1798:K1798" si="602">SUM(J1030+J1222+J1414+J1606)</f>
        <v>3625436.7199999997</v>
      </c>
      <c r="K1798" s="1">
        <f t="shared" si="602"/>
        <v>4138513.6799999997</v>
      </c>
      <c r="L1798" s="1">
        <f t="shared" si="594"/>
        <v>7763950.3999999994</v>
      </c>
      <c r="M1798" s="2">
        <f t="shared" si="595"/>
        <v>0.46695773842140981</v>
      </c>
      <c r="N1798" s="2">
        <f t="shared" si="596"/>
        <v>0.53304226157859025</v>
      </c>
    </row>
    <row r="1799" spans="1:14" x14ac:dyDescent="0.35">
      <c r="A1799" t="s">
        <v>34</v>
      </c>
      <c r="B1799" t="s">
        <v>27</v>
      </c>
      <c r="C1799">
        <v>2007</v>
      </c>
      <c r="D1799" t="s">
        <v>33</v>
      </c>
      <c r="E1799" s="1">
        <f t="shared" ref="E1799:F1799" si="603">SUM(E1031+E1223+E1415+E1607)</f>
        <v>1200396</v>
      </c>
      <c r="F1799" s="1">
        <f t="shared" si="603"/>
        <v>873903</v>
      </c>
      <c r="G1799" s="1">
        <f t="shared" si="566"/>
        <v>2074299</v>
      </c>
      <c r="H1799" s="2">
        <f t="shared" si="567"/>
        <v>0.5786995992381041</v>
      </c>
      <c r="I1799" s="2">
        <f t="shared" si="568"/>
        <v>0.42130040076189595</v>
      </c>
      <c r="J1799" s="1">
        <f t="shared" ref="J1799:K1799" si="604">SUM(J1031+J1223+J1415+J1607)</f>
        <v>3361801.64</v>
      </c>
      <c r="K1799" s="1">
        <f t="shared" si="604"/>
        <v>3930938.34</v>
      </c>
      <c r="L1799" s="1">
        <f t="shared" si="594"/>
        <v>7292739.9800000004</v>
      </c>
      <c r="M1799" s="2">
        <f t="shared" si="595"/>
        <v>0.46097922717930223</v>
      </c>
      <c r="N1799" s="2">
        <f t="shared" si="596"/>
        <v>0.53902077282069771</v>
      </c>
    </row>
    <row r="1800" spans="1:14" x14ac:dyDescent="0.35">
      <c r="A1800" t="s">
        <v>34</v>
      </c>
      <c r="B1800" t="s">
        <v>28</v>
      </c>
      <c r="C1800">
        <v>2007</v>
      </c>
      <c r="D1800" t="s">
        <v>33</v>
      </c>
      <c r="E1800" s="1">
        <f t="shared" ref="E1800:F1800" si="605">SUM(E1032+E1224+E1416+E1608)</f>
        <v>1179396</v>
      </c>
      <c r="F1800" s="1">
        <f t="shared" si="605"/>
        <v>885339</v>
      </c>
      <c r="G1800" s="1">
        <f t="shared" si="566"/>
        <v>2064735</v>
      </c>
      <c r="H1800" s="2">
        <f t="shared" si="567"/>
        <v>0.57120938038053315</v>
      </c>
      <c r="I1800" s="2">
        <f t="shared" si="568"/>
        <v>0.42879061961946691</v>
      </c>
      <c r="J1800" s="1">
        <f t="shared" ref="J1800:K1800" si="606">SUM(J1032+J1224+J1416+J1608)</f>
        <v>2757542.3799999994</v>
      </c>
      <c r="K1800" s="1">
        <f t="shared" si="606"/>
        <v>3456746</v>
      </c>
      <c r="L1800" s="1">
        <f t="shared" si="594"/>
        <v>6214288.379999999</v>
      </c>
      <c r="M1800" s="2">
        <f t="shared" si="595"/>
        <v>0.44374226160389418</v>
      </c>
      <c r="N1800" s="2">
        <f t="shared" si="596"/>
        <v>0.55625773839610593</v>
      </c>
    </row>
    <row r="1801" spans="1:14" x14ac:dyDescent="0.35">
      <c r="A1801" t="s">
        <v>34</v>
      </c>
      <c r="B1801" t="s">
        <v>29</v>
      </c>
      <c r="C1801">
        <v>2007</v>
      </c>
      <c r="D1801" t="s">
        <v>33</v>
      </c>
      <c r="E1801" s="1">
        <f t="shared" ref="E1801:F1801" si="607">SUM(E1033+E1225+E1417+E1609)</f>
        <v>1179805</v>
      </c>
      <c r="F1801" s="1">
        <f t="shared" si="607"/>
        <v>899910</v>
      </c>
      <c r="G1801" s="1">
        <f t="shared" si="566"/>
        <v>2079715</v>
      </c>
      <c r="H1801" s="2">
        <f t="shared" si="567"/>
        <v>0.56729167217623566</v>
      </c>
      <c r="I1801" s="2">
        <f t="shared" si="568"/>
        <v>0.43270832782376434</v>
      </c>
      <c r="J1801" s="1">
        <f t="shared" ref="J1801:K1801" si="608">SUM(J1033+J1225+J1417+J1609)</f>
        <v>2524775.5299999998</v>
      </c>
      <c r="K1801" s="1">
        <f t="shared" si="608"/>
        <v>3308780.28</v>
      </c>
      <c r="L1801" s="1">
        <f t="shared" si="594"/>
        <v>5833555.8099999996</v>
      </c>
      <c r="M1801" s="2">
        <f t="shared" si="595"/>
        <v>0.43280215570612668</v>
      </c>
      <c r="N1801" s="2">
        <f t="shared" si="596"/>
        <v>0.56719784429387332</v>
      </c>
    </row>
    <row r="1802" spans="1:14" x14ac:dyDescent="0.35">
      <c r="A1802" t="s">
        <v>34</v>
      </c>
      <c r="B1802" t="s">
        <v>17</v>
      </c>
      <c r="C1802">
        <v>2008</v>
      </c>
      <c r="D1802" t="s">
        <v>33</v>
      </c>
      <c r="E1802" s="1">
        <f t="shared" ref="E1802:F1802" si="609">SUM(E1034+E1226+E1418+E1610)</f>
        <v>1170414</v>
      </c>
      <c r="F1802" s="1">
        <f t="shared" si="609"/>
        <v>909677</v>
      </c>
      <c r="G1802" s="1">
        <f t="shared" si="566"/>
        <v>2080091</v>
      </c>
      <c r="H1802" s="2">
        <f t="shared" si="567"/>
        <v>0.56267442145559976</v>
      </c>
      <c r="I1802" s="2">
        <f t="shared" si="568"/>
        <v>0.43732557854440024</v>
      </c>
      <c r="J1802" s="1">
        <f t="shared" ref="J1802:K1802" si="610">SUM(J1034+J1226+J1418+J1610)</f>
        <v>2572988.4700000002</v>
      </c>
      <c r="K1802" s="1">
        <f t="shared" si="610"/>
        <v>3189651.82</v>
      </c>
      <c r="L1802" s="1">
        <f t="shared" si="594"/>
        <v>5762640.29</v>
      </c>
      <c r="M1802" s="2">
        <f t="shared" si="595"/>
        <v>0.44649472125909845</v>
      </c>
      <c r="N1802" s="2">
        <f t="shared" si="596"/>
        <v>0.55350527874090161</v>
      </c>
    </row>
    <row r="1803" spans="1:14" x14ac:dyDescent="0.35">
      <c r="A1803" t="s">
        <v>34</v>
      </c>
      <c r="B1803" t="s">
        <v>19</v>
      </c>
      <c r="C1803">
        <v>2008</v>
      </c>
      <c r="D1803" t="s">
        <v>33</v>
      </c>
      <c r="E1803" s="1">
        <f t="shared" ref="E1803:F1803" si="611">SUM(E1035+E1227+E1419+E1611)</f>
        <v>1163184</v>
      </c>
      <c r="F1803" s="1">
        <f t="shared" si="611"/>
        <v>919650</v>
      </c>
      <c r="G1803" s="1">
        <f t="shared" si="566"/>
        <v>2082834</v>
      </c>
      <c r="H1803" s="2">
        <f t="shared" si="567"/>
        <v>0.55846217221343608</v>
      </c>
      <c r="I1803" s="2">
        <f t="shared" si="568"/>
        <v>0.44153782778656386</v>
      </c>
      <c r="J1803" s="1">
        <f t="shared" ref="J1803:K1803" si="612">SUM(J1035+J1227+J1419+J1611)</f>
        <v>2503081.19</v>
      </c>
      <c r="K1803" s="1">
        <f t="shared" si="612"/>
        <v>3024817.98</v>
      </c>
      <c r="L1803" s="1">
        <f t="shared" si="594"/>
        <v>5527899.1699999999</v>
      </c>
      <c r="M1803" s="2">
        <f t="shared" si="595"/>
        <v>0.45280876387620506</v>
      </c>
      <c r="N1803" s="2">
        <f t="shared" si="596"/>
        <v>0.54719123612379494</v>
      </c>
    </row>
    <row r="1804" spans="1:14" x14ac:dyDescent="0.35">
      <c r="A1804" t="s">
        <v>34</v>
      </c>
      <c r="B1804" t="s">
        <v>20</v>
      </c>
      <c r="C1804">
        <v>2008</v>
      </c>
      <c r="D1804" t="s">
        <v>33</v>
      </c>
      <c r="E1804" s="1">
        <f t="shared" ref="E1804:F1804" si="613">SUM(E1036+E1228+E1420+E1612)</f>
        <v>1155876</v>
      </c>
      <c r="F1804" s="1">
        <f t="shared" si="613"/>
        <v>932284</v>
      </c>
      <c r="G1804" s="1">
        <f t="shared" si="566"/>
        <v>2088160</v>
      </c>
      <c r="H1804" s="2">
        <f t="shared" si="567"/>
        <v>0.5535380430618343</v>
      </c>
      <c r="I1804" s="2">
        <f t="shared" si="568"/>
        <v>0.44646195693816565</v>
      </c>
      <c r="J1804" s="1">
        <f t="shared" ref="J1804:K1804" si="614">SUM(J1036+J1228+J1420+J1612)</f>
        <v>2340101.2000000002</v>
      </c>
      <c r="K1804" s="1">
        <f t="shared" si="614"/>
        <v>3057068.39</v>
      </c>
      <c r="L1804" s="1">
        <f t="shared" si="594"/>
        <v>5397169.5899999999</v>
      </c>
      <c r="M1804" s="2">
        <f t="shared" si="595"/>
        <v>0.43357933468234788</v>
      </c>
      <c r="N1804" s="2">
        <f t="shared" si="596"/>
        <v>0.56642066531765223</v>
      </c>
    </row>
    <row r="1805" spans="1:14" x14ac:dyDescent="0.35">
      <c r="A1805" t="s">
        <v>34</v>
      </c>
      <c r="B1805" t="s">
        <v>21</v>
      </c>
      <c r="C1805">
        <v>2008</v>
      </c>
      <c r="D1805" t="s">
        <v>33</v>
      </c>
      <c r="E1805" s="1">
        <f t="shared" ref="E1805:F1805" si="615">SUM(E1037+E1229+E1421+E1613)</f>
        <v>1148875</v>
      </c>
      <c r="F1805" s="1">
        <f t="shared" si="615"/>
        <v>947172</v>
      </c>
      <c r="G1805" s="1">
        <f t="shared" si="566"/>
        <v>2096047</v>
      </c>
      <c r="H1805" s="2">
        <f t="shared" si="567"/>
        <v>0.54811509474739828</v>
      </c>
      <c r="I1805" s="2">
        <f t="shared" si="568"/>
        <v>0.45188490525260167</v>
      </c>
      <c r="J1805" s="1">
        <f t="shared" ref="J1805:K1805" si="616">SUM(J1037+J1229+J1421+J1613)</f>
        <v>2370572.6800000002</v>
      </c>
      <c r="K1805" s="1">
        <f t="shared" si="616"/>
        <v>3304677.5500000003</v>
      </c>
      <c r="L1805" s="1">
        <f t="shared" si="594"/>
        <v>5675250.2300000004</v>
      </c>
      <c r="M1805" s="2">
        <f t="shared" si="595"/>
        <v>0.41770364017940403</v>
      </c>
      <c r="N1805" s="2">
        <f t="shared" si="596"/>
        <v>0.58229635982059602</v>
      </c>
    </row>
    <row r="1806" spans="1:14" x14ac:dyDescent="0.35">
      <c r="A1806" t="s">
        <v>34</v>
      </c>
      <c r="B1806" t="s">
        <v>22</v>
      </c>
      <c r="C1806">
        <v>2008</v>
      </c>
      <c r="D1806" t="s">
        <v>33</v>
      </c>
      <c r="E1806" s="1">
        <f t="shared" ref="E1806:F1806" si="617">SUM(E1038+E1230+E1422+E1614)</f>
        <v>1142632</v>
      </c>
      <c r="F1806" s="1">
        <f t="shared" si="617"/>
        <v>959252</v>
      </c>
      <c r="G1806" s="1">
        <f t="shared" si="566"/>
        <v>2101884</v>
      </c>
      <c r="H1806" s="2">
        <f t="shared" si="567"/>
        <v>0.54362276890637162</v>
      </c>
      <c r="I1806" s="2">
        <f t="shared" si="568"/>
        <v>0.45637723109362838</v>
      </c>
      <c r="J1806" s="1">
        <f t="shared" ref="J1806:K1806" si="618">SUM(J1038+J1230+J1422+J1614)</f>
        <v>2456946.02</v>
      </c>
      <c r="K1806" s="1">
        <f t="shared" si="618"/>
        <v>3318511.87</v>
      </c>
      <c r="L1806" s="1">
        <f t="shared" si="594"/>
        <v>5775457.8900000006</v>
      </c>
      <c r="M1806" s="2">
        <f t="shared" si="595"/>
        <v>0.42541146811131886</v>
      </c>
      <c r="N1806" s="2">
        <f t="shared" si="596"/>
        <v>0.57458853188868109</v>
      </c>
    </row>
    <row r="1807" spans="1:14" x14ac:dyDescent="0.35">
      <c r="A1807" t="s">
        <v>34</v>
      </c>
      <c r="B1807" t="s">
        <v>23</v>
      </c>
      <c r="C1807">
        <v>2008</v>
      </c>
      <c r="D1807" t="s">
        <v>33</v>
      </c>
      <c r="E1807" s="1">
        <f t="shared" ref="E1807:F1807" si="619">SUM(E1039+E1231+E1423+E1615)</f>
        <v>1145317</v>
      </c>
      <c r="F1807" s="1">
        <f t="shared" si="619"/>
        <v>976270</v>
      </c>
      <c r="G1807" s="1">
        <f t="shared" si="566"/>
        <v>2121587</v>
      </c>
      <c r="H1807" s="2">
        <f t="shared" si="567"/>
        <v>0.53983975203467971</v>
      </c>
      <c r="I1807" s="2">
        <f t="shared" si="568"/>
        <v>0.46016024796532029</v>
      </c>
      <c r="J1807" s="1">
        <f t="shared" ref="J1807:K1807" si="620">SUM(J1039+J1231+J1423+J1615)</f>
        <v>3100036.4</v>
      </c>
      <c r="K1807" s="1">
        <f t="shared" si="620"/>
        <v>4018908.42</v>
      </c>
      <c r="L1807" s="1">
        <f t="shared" si="594"/>
        <v>7118944.8200000003</v>
      </c>
      <c r="M1807" s="2">
        <f t="shared" si="595"/>
        <v>0.43546290614456534</v>
      </c>
      <c r="N1807" s="2">
        <f t="shared" si="596"/>
        <v>0.5645370938554346</v>
      </c>
    </row>
    <row r="1808" spans="1:14" x14ac:dyDescent="0.35">
      <c r="A1808" t="s">
        <v>34</v>
      </c>
      <c r="B1808" t="s">
        <v>24</v>
      </c>
      <c r="C1808">
        <v>2008</v>
      </c>
      <c r="D1808" t="s">
        <v>33</v>
      </c>
      <c r="E1808" s="1">
        <f t="shared" ref="E1808:F1808" si="621">SUM(E1040+E1232+E1424+E1616)</f>
        <v>1153318</v>
      </c>
      <c r="F1808" s="1">
        <f t="shared" si="621"/>
        <v>964569</v>
      </c>
      <c r="G1808" s="1">
        <f t="shared" si="566"/>
        <v>2117887</v>
      </c>
      <c r="H1808" s="2">
        <f t="shared" si="567"/>
        <v>0.54456068713769901</v>
      </c>
      <c r="I1808" s="2">
        <f t="shared" si="568"/>
        <v>0.45543931286230094</v>
      </c>
      <c r="J1808" s="1">
        <f t="shared" ref="J1808:K1808" si="622">SUM(J1040+J1232+J1424+J1616)</f>
        <v>3434729.3800000004</v>
      </c>
      <c r="K1808" s="1">
        <f t="shared" si="622"/>
        <v>4254023.7100000009</v>
      </c>
      <c r="L1808" s="1">
        <f t="shared" si="594"/>
        <v>7688753.0900000017</v>
      </c>
      <c r="M1808" s="2">
        <f t="shared" si="595"/>
        <v>0.44672124852951933</v>
      </c>
      <c r="N1808" s="2">
        <f t="shared" si="596"/>
        <v>0.55327875147048067</v>
      </c>
    </row>
    <row r="1809" spans="1:14" x14ac:dyDescent="0.35">
      <c r="A1809" t="s">
        <v>34</v>
      </c>
      <c r="B1809" t="s">
        <v>25</v>
      </c>
      <c r="C1809">
        <v>2008</v>
      </c>
      <c r="D1809" t="s">
        <v>33</v>
      </c>
      <c r="E1809" s="1">
        <f t="shared" ref="E1809:F1809" si="623">SUM(E1041+E1233+E1425+E1617)</f>
        <v>1152607</v>
      </c>
      <c r="F1809" s="1">
        <f t="shared" si="623"/>
        <v>968408</v>
      </c>
      <c r="G1809" s="1">
        <f t="shared" si="566"/>
        <v>2121015</v>
      </c>
      <c r="H1809" s="2">
        <f t="shared" si="567"/>
        <v>0.54342237089318091</v>
      </c>
      <c r="I1809" s="2">
        <f t="shared" si="568"/>
        <v>0.45657762910681915</v>
      </c>
      <c r="J1809" s="1">
        <f t="shared" ref="J1809:K1809" si="624">SUM(J1041+J1233+J1425+J1617)</f>
        <v>3522384.3400000003</v>
      </c>
      <c r="K1809" s="1">
        <f t="shared" si="624"/>
        <v>4226126.1000000006</v>
      </c>
      <c r="L1809" s="1">
        <f t="shared" si="594"/>
        <v>7748510.4400000013</v>
      </c>
      <c r="M1809" s="2">
        <f t="shared" si="595"/>
        <v>0.45458857767248484</v>
      </c>
      <c r="N1809" s="2">
        <f t="shared" si="596"/>
        <v>0.54541142232751505</v>
      </c>
    </row>
    <row r="1810" spans="1:14" x14ac:dyDescent="0.35">
      <c r="A1810" t="s">
        <v>34</v>
      </c>
      <c r="B1810" t="s">
        <v>26</v>
      </c>
      <c r="C1810">
        <v>2008</v>
      </c>
      <c r="D1810" t="s">
        <v>33</v>
      </c>
      <c r="E1810" s="1">
        <f t="shared" ref="E1810:F1810" si="625">SUM(E1042+E1234+E1426+E1618)</f>
        <v>1141200</v>
      </c>
      <c r="F1810" s="1">
        <f t="shared" si="625"/>
        <v>972337</v>
      </c>
      <c r="G1810" s="1">
        <f t="shared" si="566"/>
        <v>2113537</v>
      </c>
      <c r="H1810" s="2">
        <f t="shared" si="567"/>
        <v>0.5399479640053616</v>
      </c>
      <c r="I1810" s="2">
        <f t="shared" si="568"/>
        <v>0.4600520359946384</v>
      </c>
      <c r="J1810" s="1">
        <f t="shared" ref="J1810:K1810" si="626">SUM(J1042+J1234+J1426+J1618)</f>
        <v>3437683.35</v>
      </c>
      <c r="K1810" s="1">
        <f t="shared" si="626"/>
        <v>4184866.59</v>
      </c>
      <c r="L1810" s="1">
        <f t="shared" si="594"/>
        <v>7622549.9399999995</v>
      </c>
      <c r="M1810" s="2">
        <f t="shared" si="595"/>
        <v>0.45098862940345658</v>
      </c>
      <c r="N1810" s="2">
        <f t="shared" si="596"/>
        <v>0.54901137059654348</v>
      </c>
    </row>
    <row r="1811" spans="1:14" x14ac:dyDescent="0.35">
      <c r="A1811" t="s">
        <v>34</v>
      </c>
      <c r="B1811" t="s">
        <v>27</v>
      </c>
      <c r="C1811">
        <v>2008</v>
      </c>
      <c r="D1811" t="s">
        <v>33</v>
      </c>
      <c r="E1811" s="1">
        <f t="shared" ref="E1811:F1811" si="627">SUM(E1043+E1235+E1427+E1619)</f>
        <v>1125846</v>
      </c>
      <c r="F1811" s="1">
        <f t="shared" si="627"/>
        <v>961129</v>
      </c>
      <c r="G1811" s="1">
        <f t="shared" si="566"/>
        <v>2086975</v>
      </c>
      <c r="H1811" s="2">
        <f t="shared" si="567"/>
        <v>0.53946309850381535</v>
      </c>
      <c r="I1811" s="2">
        <f t="shared" si="568"/>
        <v>0.46053690149618465</v>
      </c>
      <c r="J1811" s="1">
        <f t="shared" ref="J1811:K1811" si="628">SUM(J1043+J1235+J1427+J1619)</f>
        <v>1807796.6099999999</v>
      </c>
      <c r="K1811" s="1">
        <f t="shared" si="628"/>
        <v>2361050.1199999996</v>
      </c>
      <c r="L1811" s="1">
        <f t="shared" si="594"/>
        <v>4168846.7299999995</v>
      </c>
      <c r="M1811" s="2">
        <f t="shared" si="595"/>
        <v>0.43364429711235752</v>
      </c>
      <c r="N1811" s="2">
        <f t="shared" si="596"/>
        <v>0.56635570288764248</v>
      </c>
    </row>
    <row r="1812" spans="1:14" x14ac:dyDescent="0.35">
      <c r="A1812" t="s">
        <v>34</v>
      </c>
      <c r="B1812" t="s">
        <v>28</v>
      </c>
      <c r="C1812">
        <v>2008</v>
      </c>
      <c r="D1812" t="s">
        <v>33</v>
      </c>
      <c r="E1812" s="1">
        <f t="shared" ref="E1812:F1812" si="629">SUM(E1044+E1236+E1428+E1620)</f>
        <v>1094892</v>
      </c>
      <c r="F1812" s="1">
        <f t="shared" si="629"/>
        <v>942807</v>
      </c>
      <c r="G1812" s="1">
        <f t="shared" si="566"/>
        <v>2037699</v>
      </c>
      <c r="H1812" s="2">
        <f t="shared" si="567"/>
        <v>0.53731782760849367</v>
      </c>
      <c r="I1812" s="2">
        <f t="shared" si="568"/>
        <v>0.46268217239150627</v>
      </c>
      <c r="J1812" s="1">
        <f t="shared" ref="J1812:K1812" si="630">SUM(J1044+J1236+J1428+J1620)</f>
        <v>2833614.71</v>
      </c>
      <c r="K1812" s="1">
        <f t="shared" si="630"/>
        <v>3961352.9700000007</v>
      </c>
      <c r="L1812" s="1">
        <f t="shared" si="594"/>
        <v>6794967.6800000006</v>
      </c>
      <c r="M1812" s="2">
        <f t="shared" si="595"/>
        <v>0.41701665753912748</v>
      </c>
      <c r="N1812" s="2">
        <f t="shared" si="596"/>
        <v>0.58298334246087247</v>
      </c>
    </row>
    <row r="1813" spans="1:14" x14ac:dyDescent="0.35">
      <c r="A1813" t="s">
        <v>34</v>
      </c>
      <c r="B1813" t="s">
        <v>29</v>
      </c>
      <c r="C1813">
        <v>2008</v>
      </c>
      <c r="D1813" t="s">
        <v>33</v>
      </c>
      <c r="E1813" s="1">
        <f t="shared" ref="E1813:F1813" si="631">SUM(E1045+E1237+E1429+E1621)</f>
        <v>1119002</v>
      </c>
      <c r="F1813" s="1">
        <f t="shared" si="631"/>
        <v>977820</v>
      </c>
      <c r="G1813" s="1">
        <f t="shared" si="566"/>
        <v>2096822</v>
      </c>
      <c r="H1813" s="2">
        <f t="shared" si="567"/>
        <v>0.53366570934490387</v>
      </c>
      <c r="I1813" s="2">
        <f t="shared" si="568"/>
        <v>0.46633429065509613</v>
      </c>
      <c r="J1813" s="1">
        <f t="shared" ref="J1813:K1813" si="632">SUM(J1045+J1237+J1429+J1621)</f>
        <v>2226259.67</v>
      </c>
      <c r="K1813" s="1">
        <f t="shared" si="632"/>
        <v>3165372.3899999997</v>
      </c>
      <c r="L1813" s="1">
        <f t="shared" si="594"/>
        <v>5391632.0599999996</v>
      </c>
      <c r="M1813" s="2">
        <f t="shared" si="595"/>
        <v>0.41291016249354379</v>
      </c>
      <c r="N1813" s="2">
        <f t="shared" si="596"/>
        <v>0.58708983750645627</v>
      </c>
    </row>
    <row r="1814" spans="1:14" x14ac:dyDescent="0.35">
      <c r="A1814" t="s">
        <v>34</v>
      </c>
      <c r="B1814" t="s">
        <v>17</v>
      </c>
      <c r="C1814">
        <v>2009</v>
      </c>
      <c r="D1814" t="s">
        <v>33</v>
      </c>
      <c r="E1814" s="1">
        <f t="shared" ref="E1814:F1814" si="633">SUM(E1046+E1238+E1430+E1622)</f>
        <v>1122336</v>
      </c>
      <c r="F1814" s="1">
        <f t="shared" si="633"/>
        <v>987307</v>
      </c>
      <c r="G1814" s="1">
        <f t="shared" si="566"/>
        <v>2109643</v>
      </c>
      <c r="H1814" s="2">
        <f t="shared" si="567"/>
        <v>0.5320028080580459</v>
      </c>
      <c r="I1814" s="2">
        <f t="shared" si="568"/>
        <v>0.46799719194195416</v>
      </c>
      <c r="J1814" s="1">
        <f t="shared" ref="J1814:K1814" si="634">SUM(J1046+J1238+J1430+J1622)</f>
        <v>2437372.3600000003</v>
      </c>
      <c r="K1814" s="1">
        <f t="shared" si="634"/>
        <v>3273655.8000000003</v>
      </c>
      <c r="L1814" s="1">
        <f t="shared" si="594"/>
        <v>5711028.1600000001</v>
      </c>
      <c r="M1814" s="2">
        <f t="shared" si="595"/>
        <v>0.42678346030078063</v>
      </c>
      <c r="N1814" s="2">
        <f t="shared" si="596"/>
        <v>0.57321653969921949</v>
      </c>
    </row>
    <row r="1815" spans="1:14" x14ac:dyDescent="0.35">
      <c r="A1815" t="s">
        <v>34</v>
      </c>
      <c r="B1815" t="s">
        <v>19</v>
      </c>
      <c r="C1815">
        <v>2009</v>
      </c>
      <c r="D1815" t="s">
        <v>33</v>
      </c>
      <c r="E1815" s="1">
        <f t="shared" ref="E1815:F1815" si="635">SUM(E1047+E1239+E1431+E1623)</f>
        <v>1116034</v>
      </c>
      <c r="F1815" s="1">
        <f t="shared" si="635"/>
        <v>995146</v>
      </c>
      <c r="G1815" s="1">
        <f t="shared" si="566"/>
        <v>2111180</v>
      </c>
      <c r="H1815" s="2">
        <f t="shared" si="567"/>
        <v>0.52863043416477984</v>
      </c>
      <c r="I1815" s="2">
        <f t="shared" si="568"/>
        <v>0.47136956583522011</v>
      </c>
      <c r="J1815" s="1">
        <f t="shared" ref="J1815:K1815" si="636">SUM(J1047+J1239+J1431+J1623)</f>
        <v>2109237.63</v>
      </c>
      <c r="K1815" s="1">
        <f t="shared" si="636"/>
        <v>3081137.3699999996</v>
      </c>
      <c r="L1815" s="1">
        <f t="shared" si="594"/>
        <v>5190375</v>
      </c>
      <c r="M1815" s="2">
        <f t="shared" si="595"/>
        <v>0.40637480528863518</v>
      </c>
      <c r="N1815" s="2">
        <f t="shared" si="596"/>
        <v>0.59362519471136477</v>
      </c>
    </row>
    <row r="1816" spans="1:14" x14ac:dyDescent="0.35">
      <c r="A1816" t="s">
        <v>34</v>
      </c>
      <c r="B1816" t="s">
        <v>20</v>
      </c>
      <c r="C1816">
        <v>2009</v>
      </c>
      <c r="D1816" t="s">
        <v>33</v>
      </c>
      <c r="E1816" s="1">
        <f t="shared" ref="E1816:F1816" si="637">SUM(E1048+E1240+E1432+E1624)</f>
        <v>1109637</v>
      </c>
      <c r="F1816" s="1">
        <f t="shared" si="637"/>
        <v>1008284</v>
      </c>
      <c r="G1816" s="1">
        <f t="shared" si="566"/>
        <v>2117921</v>
      </c>
      <c r="H1816" s="2">
        <f t="shared" si="567"/>
        <v>0.52392747415980101</v>
      </c>
      <c r="I1816" s="2">
        <f t="shared" si="568"/>
        <v>0.47607252584019893</v>
      </c>
      <c r="J1816" s="1">
        <f t="shared" ref="J1816:K1816" si="638">SUM(J1048+J1240+J1432+J1624)</f>
        <v>1952050.27</v>
      </c>
      <c r="K1816" s="1">
        <f t="shared" si="638"/>
        <v>3059561.23</v>
      </c>
      <c r="L1816" s="1">
        <f t="shared" si="594"/>
        <v>5011611.5</v>
      </c>
      <c r="M1816" s="2">
        <f t="shared" si="595"/>
        <v>0.38950550536489109</v>
      </c>
      <c r="N1816" s="2">
        <f t="shared" si="596"/>
        <v>0.61049449463510885</v>
      </c>
    </row>
    <row r="1817" spans="1:14" x14ac:dyDescent="0.35">
      <c r="A1817" t="s">
        <v>34</v>
      </c>
      <c r="B1817" t="s">
        <v>21</v>
      </c>
      <c r="C1817">
        <v>2009</v>
      </c>
      <c r="D1817" t="s">
        <v>33</v>
      </c>
      <c r="E1817" s="1">
        <f t="shared" ref="E1817:F1817" si="639">SUM(E1049+E1241+E1433+E1625)</f>
        <v>1101427</v>
      </c>
      <c r="F1817" s="1">
        <f t="shared" si="639"/>
        <v>1023078</v>
      </c>
      <c r="G1817" s="1">
        <f t="shared" si="566"/>
        <v>2124505</v>
      </c>
      <c r="H1817" s="2">
        <f t="shared" si="567"/>
        <v>0.51843935410836872</v>
      </c>
      <c r="I1817" s="2">
        <f t="shared" si="568"/>
        <v>0.48156064589163122</v>
      </c>
      <c r="J1817" s="1">
        <f t="shared" ref="J1817:K1817" si="640">SUM(J1049+J1241+J1433+J1625)</f>
        <v>2014353.13</v>
      </c>
      <c r="K1817" s="1">
        <f t="shared" si="640"/>
        <v>3056838.5400000005</v>
      </c>
      <c r="L1817" s="1">
        <f t="shared" si="594"/>
        <v>5071191.67</v>
      </c>
      <c r="M1817" s="2">
        <f t="shared" si="595"/>
        <v>0.39721494691601744</v>
      </c>
      <c r="N1817" s="2">
        <f t="shared" si="596"/>
        <v>0.60278505308398267</v>
      </c>
    </row>
    <row r="1818" spans="1:14" x14ac:dyDescent="0.35">
      <c r="A1818" t="s">
        <v>34</v>
      </c>
      <c r="B1818" t="s">
        <v>22</v>
      </c>
      <c r="C1818">
        <v>2009</v>
      </c>
      <c r="D1818" t="s">
        <v>33</v>
      </c>
      <c r="E1818" s="1">
        <f t="shared" ref="E1818:F1818" si="641">SUM(E1050+E1242+E1434+E1626)</f>
        <v>1093379</v>
      </c>
      <c r="F1818" s="1">
        <f t="shared" si="641"/>
        <v>1036498</v>
      </c>
      <c r="G1818" s="1">
        <f t="shared" si="566"/>
        <v>2129877</v>
      </c>
      <c r="H1818" s="2">
        <f t="shared" si="567"/>
        <v>0.51335311851341647</v>
      </c>
      <c r="I1818" s="2">
        <f t="shared" si="568"/>
        <v>0.48664688148658347</v>
      </c>
      <c r="J1818" s="1">
        <f t="shared" ref="J1818:K1818" si="642">SUM(J1050+J1242+J1434+J1626)</f>
        <v>2183121.63</v>
      </c>
      <c r="K1818" s="1">
        <f t="shared" si="642"/>
        <v>3402074.05</v>
      </c>
      <c r="L1818" s="1">
        <f t="shared" si="594"/>
        <v>5585195.6799999997</v>
      </c>
      <c r="M1818" s="2">
        <f t="shared" si="595"/>
        <v>0.39087648044589191</v>
      </c>
      <c r="N1818" s="2">
        <f t="shared" si="596"/>
        <v>0.60912351955410804</v>
      </c>
    </row>
    <row r="1819" spans="1:14" x14ac:dyDescent="0.35">
      <c r="A1819" t="s">
        <v>34</v>
      </c>
      <c r="B1819" t="s">
        <v>23</v>
      </c>
      <c r="C1819">
        <v>2009</v>
      </c>
      <c r="D1819" t="s">
        <v>33</v>
      </c>
      <c r="E1819" s="1">
        <f t="shared" ref="E1819:F1819" si="643">SUM(E1051+E1243+E1435+E1627)</f>
        <v>1085231</v>
      </c>
      <c r="F1819" s="1">
        <f t="shared" si="643"/>
        <v>1050402</v>
      </c>
      <c r="G1819" s="1">
        <f t="shared" si="566"/>
        <v>2135633</v>
      </c>
      <c r="H1819" s="2">
        <f t="shared" si="567"/>
        <v>0.50815425684094595</v>
      </c>
      <c r="I1819" s="2">
        <f t="shared" si="568"/>
        <v>0.49184574315905399</v>
      </c>
      <c r="J1819" s="1">
        <f t="shared" ref="J1819:K1819" si="644">SUM(J1051+J1243+J1435+J1627)</f>
        <v>2635403.4899999998</v>
      </c>
      <c r="K1819" s="1">
        <f t="shared" si="644"/>
        <v>4060990.6700000004</v>
      </c>
      <c r="L1819" s="1">
        <f t="shared" si="594"/>
        <v>6696394.1600000001</v>
      </c>
      <c r="M1819" s="2">
        <f t="shared" si="595"/>
        <v>0.393555610233075</v>
      </c>
      <c r="N1819" s="2">
        <f t="shared" si="596"/>
        <v>0.60644438976692494</v>
      </c>
    </row>
    <row r="1820" spans="1:14" x14ac:dyDescent="0.35">
      <c r="A1820" t="s">
        <v>34</v>
      </c>
      <c r="B1820" t="s">
        <v>24</v>
      </c>
      <c r="C1820">
        <v>2009</v>
      </c>
      <c r="D1820" t="s">
        <v>33</v>
      </c>
      <c r="E1820" s="1">
        <f t="shared" ref="E1820:F1820" si="645">SUM(E1052+E1244+E1436+E1628)</f>
        <v>1076442</v>
      </c>
      <c r="F1820" s="1">
        <f t="shared" si="645"/>
        <v>1060282</v>
      </c>
      <c r="G1820" s="1">
        <f t="shared" si="566"/>
        <v>2136724</v>
      </c>
      <c r="H1820" s="2">
        <f t="shared" si="567"/>
        <v>0.50378148979465764</v>
      </c>
      <c r="I1820" s="2">
        <f t="shared" si="568"/>
        <v>0.49621851020534241</v>
      </c>
      <c r="J1820" s="1">
        <f t="shared" ref="J1820:K1820" si="646">SUM(J1052+J1244+J1436+J1628)</f>
        <v>3076251.48</v>
      </c>
      <c r="K1820" s="1">
        <f t="shared" si="646"/>
        <v>4826086.37</v>
      </c>
      <c r="L1820" s="1">
        <f t="shared" si="594"/>
        <v>7902337.8499999996</v>
      </c>
      <c r="M1820" s="2">
        <f t="shared" si="595"/>
        <v>0.38928372063970917</v>
      </c>
      <c r="N1820" s="2">
        <f t="shared" si="596"/>
        <v>0.61071627936029083</v>
      </c>
    </row>
    <row r="1821" spans="1:14" x14ac:dyDescent="0.35">
      <c r="A1821" t="s">
        <v>34</v>
      </c>
      <c r="B1821" t="s">
        <v>25</v>
      </c>
      <c r="C1821">
        <v>2009</v>
      </c>
      <c r="D1821" t="s">
        <v>33</v>
      </c>
      <c r="E1821" s="1">
        <f t="shared" ref="E1821:F1821" si="647">SUM(E1053+E1245+E1437+E1629)</f>
        <v>1066700</v>
      </c>
      <c r="F1821" s="1">
        <f t="shared" si="647"/>
        <v>1075294</v>
      </c>
      <c r="G1821" s="1">
        <f t="shared" si="566"/>
        <v>2141994</v>
      </c>
      <c r="H1821" s="2">
        <f t="shared" si="567"/>
        <v>0.49799392528643871</v>
      </c>
      <c r="I1821" s="2">
        <f t="shared" si="568"/>
        <v>0.50200607471356129</v>
      </c>
      <c r="J1821" s="1">
        <f t="shared" ref="J1821:K1821" si="648">SUM(J1053+J1245+J1437+J1629)</f>
        <v>3150591.78</v>
      </c>
      <c r="K1821" s="1">
        <f t="shared" si="648"/>
        <v>5032509.3600000003</v>
      </c>
      <c r="L1821" s="1">
        <f t="shared" si="594"/>
        <v>8183101.1400000006</v>
      </c>
      <c r="M1821" s="2">
        <f t="shared" si="595"/>
        <v>0.38501195648181852</v>
      </c>
      <c r="N1821" s="2">
        <f t="shared" si="596"/>
        <v>0.61498804351818137</v>
      </c>
    </row>
    <row r="1822" spans="1:14" x14ac:dyDescent="0.35">
      <c r="A1822" t="s">
        <v>34</v>
      </c>
      <c r="B1822" t="s">
        <v>26</v>
      </c>
      <c r="C1822">
        <v>2009</v>
      </c>
      <c r="D1822" t="s">
        <v>33</v>
      </c>
      <c r="E1822" s="1">
        <f t="shared" ref="E1822:F1822" si="649">SUM(E1054+E1246+E1438+E1630)</f>
        <v>1060230</v>
      </c>
      <c r="F1822" s="1">
        <f t="shared" si="649"/>
        <v>1099598</v>
      </c>
      <c r="G1822" s="1">
        <f t="shared" si="566"/>
        <v>2159828</v>
      </c>
      <c r="H1822" s="2">
        <f t="shared" si="567"/>
        <v>0.4908863113173827</v>
      </c>
      <c r="I1822" s="2">
        <f t="shared" si="568"/>
        <v>0.5091136886826173</v>
      </c>
      <c r="J1822" s="1">
        <f t="shared" ref="J1822:K1822" si="650">SUM(J1054+J1246+J1438+J1630)</f>
        <v>2926343.51</v>
      </c>
      <c r="K1822" s="1">
        <f t="shared" si="650"/>
        <v>4876739.5100000007</v>
      </c>
      <c r="L1822" s="1">
        <f t="shared" si="594"/>
        <v>7803083.0200000005</v>
      </c>
      <c r="M1822" s="2">
        <f t="shared" si="595"/>
        <v>0.37502401326495172</v>
      </c>
      <c r="N1822" s="2">
        <f t="shared" si="596"/>
        <v>0.62497598673504828</v>
      </c>
    </row>
    <row r="1823" spans="1:14" x14ac:dyDescent="0.35">
      <c r="A1823" t="s">
        <v>34</v>
      </c>
      <c r="B1823" t="s">
        <v>27</v>
      </c>
      <c r="C1823">
        <v>2009</v>
      </c>
      <c r="D1823" t="s">
        <v>33</v>
      </c>
      <c r="E1823" s="1">
        <f t="shared" ref="E1823:F1823" si="651">SUM(E1055+E1247+E1439+E1631)</f>
        <v>1044544</v>
      </c>
      <c r="F1823" s="1">
        <f t="shared" si="651"/>
        <v>1110412</v>
      </c>
      <c r="G1823" s="1">
        <f t="shared" si="566"/>
        <v>2154956</v>
      </c>
      <c r="H1823" s="2">
        <f t="shared" si="567"/>
        <v>0.4847170893512443</v>
      </c>
      <c r="I1823" s="2">
        <f t="shared" si="568"/>
        <v>0.51528291064875575</v>
      </c>
      <c r="J1823" s="1">
        <f t="shared" ref="J1823:K1823" si="652">SUM(J1055+J1247+J1439+J1631)</f>
        <v>2398060.77</v>
      </c>
      <c r="K1823" s="1">
        <f t="shared" si="652"/>
        <v>4240009.1700000009</v>
      </c>
      <c r="L1823" s="1">
        <f t="shared" si="594"/>
        <v>6638069.9400000013</v>
      </c>
      <c r="M1823" s="2">
        <f t="shared" si="595"/>
        <v>0.36125873810844472</v>
      </c>
      <c r="N1823" s="2">
        <f t="shared" si="596"/>
        <v>0.63874126189155522</v>
      </c>
    </row>
    <row r="1824" spans="1:14" x14ac:dyDescent="0.35">
      <c r="A1824" t="s">
        <v>34</v>
      </c>
      <c r="B1824" t="s">
        <v>28</v>
      </c>
      <c r="C1824">
        <v>2009</v>
      </c>
      <c r="D1824" t="s">
        <v>33</v>
      </c>
      <c r="E1824" s="1">
        <f t="shared" ref="E1824:F1824" si="653">SUM(E1056+E1248+E1440+E1632)</f>
        <v>1035009</v>
      </c>
      <c r="F1824" s="1">
        <f t="shared" si="653"/>
        <v>1114744</v>
      </c>
      <c r="G1824" s="1">
        <f t="shared" si="566"/>
        <v>2149753</v>
      </c>
      <c r="H1824" s="2">
        <f t="shared" si="567"/>
        <v>0.48145484620791318</v>
      </c>
      <c r="I1824" s="2">
        <f t="shared" si="568"/>
        <v>0.51854515379208677</v>
      </c>
      <c r="J1824" s="1">
        <f t="shared" ref="J1824:K1824" si="654">SUM(J1056+J1248+J1440+J1632)</f>
        <v>2008346.4799999997</v>
      </c>
      <c r="K1824" s="1">
        <f t="shared" si="654"/>
        <v>3859291.9899999998</v>
      </c>
      <c r="L1824" s="1">
        <f t="shared" si="594"/>
        <v>5867638.4699999997</v>
      </c>
      <c r="M1824" s="2">
        <f t="shared" si="595"/>
        <v>0.34227508907855392</v>
      </c>
      <c r="N1824" s="2">
        <f t="shared" si="596"/>
        <v>0.65772491092144603</v>
      </c>
    </row>
    <row r="1825" spans="1:14" x14ac:dyDescent="0.35">
      <c r="A1825" t="s">
        <v>34</v>
      </c>
      <c r="B1825" t="s">
        <v>29</v>
      </c>
      <c r="C1825">
        <v>2009</v>
      </c>
      <c r="D1825" t="s">
        <v>33</v>
      </c>
      <c r="E1825" s="1">
        <f t="shared" ref="E1825:F1825" si="655">SUM(E1057+E1249+E1441+E1633)</f>
        <v>1027740</v>
      </c>
      <c r="F1825" s="1">
        <f t="shared" si="655"/>
        <v>1123782</v>
      </c>
      <c r="G1825" s="1">
        <f t="shared" si="566"/>
        <v>2151522</v>
      </c>
      <c r="H1825" s="2">
        <f t="shared" si="567"/>
        <v>0.47768045132701409</v>
      </c>
      <c r="I1825" s="2">
        <f t="shared" si="568"/>
        <v>0.52231954867298591</v>
      </c>
      <c r="J1825" s="1">
        <f t="shared" ref="J1825:K1825" si="656">SUM(J1057+J1249+J1441+J1633)</f>
        <v>1785368.8599999999</v>
      </c>
      <c r="K1825" s="1">
        <f t="shared" si="656"/>
        <v>3524755.0399999996</v>
      </c>
      <c r="L1825" s="1">
        <f t="shared" si="594"/>
        <v>5310123.8999999994</v>
      </c>
      <c r="M1825" s="2">
        <f t="shared" si="595"/>
        <v>0.3362198121215213</v>
      </c>
      <c r="N1825" s="2">
        <f t="shared" si="596"/>
        <v>0.6637801878784787</v>
      </c>
    </row>
    <row r="1826" spans="1:14" x14ac:dyDescent="0.35">
      <c r="A1826" t="s">
        <v>34</v>
      </c>
      <c r="B1826" t="s">
        <v>17</v>
      </c>
      <c r="C1826">
        <v>2010</v>
      </c>
      <c r="D1826" t="s">
        <v>33</v>
      </c>
      <c r="E1826" s="1">
        <f t="shared" ref="E1826:F1826" si="657">SUM(E1058+E1250+E1442+E1634)</f>
        <v>1020700</v>
      </c>
      <c r="F1826" s="1">
        <f t="shared" si="657"/>
        <v>1128884</v>
      </c>
      <c r="G1826" s="1">
        <f t="shared" si="566"/>
        <v>2149584</v>
      </c>
      <c r="H1826" s="2">
        <f t="shared" si="567"/>
        <v>0.47483606130302419</v>
      </c>
      <c r="I1826" s="2">
        <f t="shared" si="568"/>
        <v>0.52516393869697575</v>
      </c>
      <c r="J1826" s="1">
        <f t="shared" ref="J1826:K1826" si="658">SUM(J1058+J1250+J1442+J1634)</f>
        <v>2097289.29</v>
      </c>
      <c r="K1826" s="1">
        <f t="shared" si="658"/>
        <v>3888916.1700000004</v>
      </c>
      <c r="L1826" s="1">
        <f t="shared" si="594"/>
        <v>5986205.4600000009</v>
      </c>
      <c r="M1826" s="2">
        <f t="shared" si="595"/>
        <v>0.35035370971045815</v>
      </c>
      <c r="N1826" s="2">
        <f t="shared" si="596"/>
        <v>0.64964629028954179</v>
      </c>
    </row>
    <row r="1827" spans="1:14" x14ac:dyDescent="0.35">
      <c r="A1827" t="s">
        <v>34</v>
      </c>
      <c r="B1827" t="s">
        <v>19</v>
      </c>
      <c r="C1827">
        <v>2010</v>
      </c>
      <c r="D1827" t="s">
        <v>33</v>
      </c>
      <c r="E1827" s="1">
        <f t="shared" ref="E1827:F1827" si="659">SUM(E1059+E1251+E1443+E1635)</f>
        <v>1014634</v>
      </c>
      <c r="F1827" s="1">
        <f t="shared" si="659"/>
        <v>1136874</v>
      </c>
      <c r="G1827" s="1">
        <f t="shared" si="566"/>
        <v>2151508</v>
      </c>
      <c r="H1827" s="2">
        <f t="shared" si="567"/>
        <v>0.47159201824952546</v>
      </c>
      <c r="I1827" s="2">
        <f t="shared" si="568"/>
        <v>0.52840798175047454</v>
      </c>
      <c r="J1827" s="1">
        <f t="shared" ref="J1827:K1827" si="660">SUM(J1059+J1251+J1443+J1635)</f>
        <v>1780715.5299999998</v>
      </c>
      <c r="K1827" s="1">
        <f t="shared" si="660"/>
        <v>3656880.87</v>
      </c>
      <c r="L1827" s="1">
        <f t="shared" si="594"/>
        <v>5437596.4000000004</v>
      </c>
      <c r="M1827" s="2">
        <f t="shared" si="595"/>
        <v>0.32748210771950631</v>
      </c>
      <c r="N1827" s="2">
        <f t="shared" si="596"/>
        <v>0.67251789228049363</v>
      </c>
    </row>
    <row r="1828" spans="1:14" x14ac:dyDescent="0.35">
      <c r="A1828" t="s">
        <v>34</v>
      </c>
      <c r="B1828" t="s">
        <v>20</v>
      </c>
      <c r="C1828">
        <v>2010</v>
      </c>
      <c r="D1828" t="s">
        <v>33</v>
      </c>
      <c r="E1828" s="1">
        <f t="shared" ref="E1828:F1828" si="661">SUM(E1060+E1252+E1444+E1636)</f>
        <v>1008258</v>
      </c>
      <c r="F1828" s="1">
        <f t="shared" si="661"/>
        <v>1141953</v>
      </c>
      <c r="G1828" s="1">
        <f t="shared" si="566"/>
        <v>2150211</v>
      </c>
      <c r="H1828" s="2">
        <f t="shared" si="567"/>
        <v>0.46891119057618064</v>
      </c>
      <c r="I1828" s="2">
        <f t="shared" si="568"/>
        <v>0.53108880942381931</v>
      </c>
      <c r="J1828" s="1">
        <f t="shared" ref="J1828:K1828" si="662">SUM(J1060+J1252+J1444+J1636)</f>
        <v>1724840.06</v>
      </c>
      <c r="K1828" s="1">
        <f t="shared" si="662"/>
        <v>3723065.36</v>
      </c>
      <c r="L1828" s="1">
        <f t="shared" si="594"/>
        <v>5447905.4199999999</v>
      </c>
      <c r="M1828" s="2">
        <f t="shared" si="595"/>
        <v>0.31660609482460511</v>
      </c>
      <c r="N1828" s="2">
        <f t="shared" si="596"/>
        <v>0.68339390517539489</v>
      </c>
    </row>
    <row r="1829" spans="1:14" x14ac:dyDescent="0.35">
      <c r="A1829" t="s">
        <v>34</v>
      </c>
      <c r="B1829" t="s">
        <v>21</v>
      </c>
      <c r="C1829">
        <v>2010</v>
      </c>
      <c r="D1829" t="s">
        <v>33</v>
      </c>
      <c r="E1829" s="1">
        <f t="shared" ref="E1829:F1829" si="663">SUM(E1061+E1253+E1445+E1637)</f>
        <v>1007720</v>
      </c>
      <c r="F1829" s="1">
        <f t="shared" si="663"/>
        <v>1154729</v>
      </c>
      <c r="G1829" s="1">
        <f t="shared" si="566"/>
        <v>2162449</v>
      </c>
      <c r="H1829" s="2">
        <f t="shared" si="567"/>
        <v>0.46600867812373842</v>
      </c>
      <c r="I1829" s="2">
        <f t="shared" si="568"/>
        <v>0.53399132187626164</v>
      </c>
      <c r="J1829" s="1">
        <f t="shared" ref="J1829:K1829" si="664">SUM(J1061+J1253+J1445+J1637)</f>
        <v>1622099.72</v>
      </c>
      <c r="K1829" s="1">
        <f t="shared" si="664"/>
        <v>3756314.88</v>
      </c>
      <c r="L1829" s="1">
        <f t="shared" si="594"/>
        <v>5378414.5999999996</v>
      </c>
      <c r="M1829" s="2">
        <f t="shared" si="595"/>
        <v>0.30159439921199083</v>
      </c>
      <c r="N1829" s="2">
        <f t="shared" si="596"/>
        <v>0.69840560078800917</v>
      </c>
    </row>
    <row r="1830" spans="1:14" x14ac:dyDescent="0.35">
      <c r="A1830" t="s">
        <v>34</v>
      </c>
      <c r="B1830" t="s">
        <v>22</v>
      </c>
      <c r="C1830">
        <v>2010</v>
      </c>
      <c r="D1830" t="s">
        <v>33</v>
      </c>
      <c r="E1830" s="1">
        <f t="shared" ref="E1830:F1830" si="665">SUM(E1062+E1254+E1446+E1638)</f>
        <v>1001993</v>
      </c>
      <c r="F1830" s="1">
        <f t="shared" si="665"/>
        <v>1162396</v>
      </c>
      <c r="G1830" s="1">
        <f t="shared" si="566"/>
        <v>2164389</v>
      </c>
      <c r="H1830" s="2">
        <f t="shared" si="567"/>
        <v>0.46294496968890525</v>
      </c>
      <c r="I1830" s="2">
        <f t="shared" si="568"/>
        <v>0.53705503031109469</v>
      </c>
      <c r="J1830" s="1">
        <f t="shared" ref="J1830:K1830" si="666">SUM(J1062+J1254+J1446+J1638)</f>
        <v>1653033.07</v>
      </c>
      <c r="K1830" s="1">
        <f t="shared" si="666"/>
        <v>4019385.8300000005</v>
      </c>
      <c r="L1830" s="1">
        <f t="shared" si="594"/>
        <v>5672418.9000000004</v>
      </c>
      <c r="M1830" s="2">
        <f t="shared" si="595"/>
        <v>0.29141590195322137</v>
      </c>
      <c r="N1830" s="2">
        <f t="shared" si="596"/>
        <v>0.70858409804677869</v>
      </c>
    </row>
    <row r="1831" spans="1:14" x14ac:dyDescent="0.35">
      <c r="A1831" t="s">
        <v>34</v>
      </c>
      <c r="B1831" t="s">
        <v>23</v>
      </c>
      <c r="C1831">
        <v>2010</v>
      </c>
      <c r="D1831" t="s">
        <v>33</v>
      </c>
      <c r="E1831" s="1">
        <f t="shared" ref="E1831:F1831" si="667">SUM(E1063+E1255+E1447+E1639)</f>
        <v>997426</v>
      </c>
      <c r="F1831" s="1">
        <f t="shared" si="667"/>
        <v>1175832</v>
      </c>
      <c r="G1831" s="1">
        <f t="shared" si="566"/>
        <v>2173258</v>
      </c>
      <c r="H1831" s="2">
        <f t="shared" si="567"/>
        <v>0.45895425209524132</v>
      </c>
      <c r="I1831" s="2">
        <f t="shared" si="568"/>
        <v>0.54104574790475868</v>
      </c>
      <c r="J1831" s="1">
        <f t="shared" ref="J1831:K1831" si="668">SUM(J1063+J1255+J1447+J1639)</f>
        <v>2243531.7400000002</v>
      </c>
      <c r="K1831" s="1">
        <f t="shared" si="668"/>
        <v>4615730.7700000005</v>
      </c>
      <c r="L1831" s="1">
        <f t="shared" si="594"/>
        <v>6859262.5100000007</v>
      </c>
      <c r="M1831" s="2">
        <f t="shared" si="595"/>
        <v>0.32708060622103236</v>
      </c>
      <c r="N1831" s="2">
        <f t="shared" si="596"/>
        <v>0.6729193937789677</v>
      </c>
    </row>
    <row r="1832" spans="1:14" x14ac:dyDescent="0.35">
      <c r="A1832" t="s">
        <v>34</v>
      </c>
      <c r="B1832" t="s">
        <v>24</v>
      </c>
      <c r="C1832">
        <v>2010</v>
      </c>
      <c r="D1832" t="s">
        <v>33</v>
      </c>
      <c r="E1832" s="1">
        <f t="shared" ref="E1832:F1832" si="669">SUM(E1064+E1256+E1448+E1640)</f>
        <v>987529</v>
      </c>
      <c r="F1832" s="1">
        <f t="shared" si="669"/>
        <v>1185507</v>
      </c>
      <c r="G1832" s="1">
        <f t="shared" si="566"/>
        <v>2173036</v>
      </c>
      <c r="H1832" s="2">
        <f t="shared" si="567"/>
        <v>0.45444668196937371</v>
      </c>
      <c r="I1832" s="2">
        <f t="shared" si="568"/>
        <v>0.54555331803062623</v>
      </c>
      <c r="J1832" s="1">
        <f t="shared" ref="J1832:K1832" si="670">SUM(J1064+J1256+J1448+J1640)</f>
        <v>2554930.9</v>
      </c>
      <c r="K1832" s="1">
        <f t="shared" si="670"/>
        <v>5202748.93</v>
      </c>
      <c r="L1832" s="1">
        <f t="shared" si="594"/>
        <v>7757679.8300000001</v>
      </c>
      <c r="M1832" s="2">
        <f t="shared" si="595"/>
        <v>0.32934214301030257</v>
      </c>
      <c r="N1832" s="2">
        <f t="shared" si="596"/>
        <v>0.67065785698969738</v>
      </c>
    </row>
    <row r="1833" spans="1:14" x14ac:dyDescent="0.35">
      <c r="A1833" t="s">
        <v>34</v>
      </c>
      <c r="B1833" t="s">
        <v>25</v>
      </c>
      <c r="C1833">
        <v>2010</v>
      </c>
      <c r="D1833" t="s">
        <v>33</v>
      </c>
      <c r="E1833" s="1">
        <f t="shared" ref="E1833:F1833" si="671">SUM(E1065+E1257+E1449+E1641)</f>
        <v>979348</v>
      </c>
      <c r="F1833" s="1">
        <f t="shared" si="671"/>
        <v>1197730</v>
      </c>
      <c r="G1833" s="1">
        <f t="shared" si="566"/>
        <v>2177078</v>
      </c>
      <c r="H1833" s="2">
        <f t="shared" si="567"/>
        <v>0.4498451594292901</v>
      </c>
      <c r="I1833" s="2">
        <f t="shared" si="568"/>
        <v>0.55015484057070996</v>
      </c>
      <c r="J1833" s="1">
        <f t="shared" ref="J1833:K1833" si="672">SUM(J1065+J1257+J1449+J1641)</f>
        <v>2513614.0399999996</v>
      </c>
      <c r="K1833" s="1">
        <f t="shared" si="672"/>
        <v>5227292.8800000008</v>
      </c>
      <c r="L1833" s="1">
        <f t="shared" si="594"/>
        <v>7740906.9199999999</v>
      </c>
      <c r="M1833" s="2">
        <f t="shared" si="595"/>
        <v>0.32471828766027838</v>
      </c>
      <c r="N1833" s="2">
        <f t="shared" si="596"/>
        <v>0.67528171233972167</v>
      </c>
    </row>
    <row r="1834" spans="1:14" x14ac:dyDescent="0.35">
      <c r="A1834" t="s">
        <v>34</v>
      </c>
      <c r="B1834" t="s">
        <v>26</v>
      </c>
      <c r="C1834">
        <v>2010</v>
      </c>
      <c r="D1834" t="s">
        <v>33</v>
      </c>
      <c r="E1834" s="1">
        <f t="shared" ref="E1834:F1834" si="673">SUM(E1066+E1258+E1450+E1642)</f>
        <v>972043</v>
      </c>
      <c r="F1834" s="1">
        <f t="shared" si="673"/>
        <v>1203777</v>
      </c>
      <c r="G1834" s="1">
        <f t="shared" si="566"/>
        <v>2175820</v>
      </c>
      <c r="H1834" s="2">
        <f t="shared" si="567"/>
        <v>0.44674789274848103</v>
      </c>
      <c r="I1834" s="2">
        <f t="shared" si="568"/>
        <v>0.55325210725151897</v>
      </c>
      <c r="J1834" s="1">
        <f t="shared" ref="J1834:K1834" si="674">SUM(J1066+J1258+J1450+J1642)</f>
        <v>2656077.4499999997</v>
      </c>
      <c r="K1834" s="1">
        <f t="shared" si="674"/>
        <v>5426909.2400000002</v>
      </c>
      <c r="L1834" s="1">
        <f t="shared" si="594"/>
        <v>8082986.6899999995</v>
      </c>
      <c r="M1834" s="2">
        <f t="shared" si="595"/>
        <v>0.3286009926610432</v>
      </c>
      <c r="N1834" s="2">
        <f t="shared" si="596"/>
        <v>0.67139900733895685</v>
      </c>
    </row>
    <row r="1835" spans="1:14" x14ac:dyDescent="0.35">
      <c r="A1835" t="s">
        <v>34</v>
      </c>
      <c r="B1835" t="s">
        <v>27</v>
      </c>
      <c r="C1835">
        <v>2010</v>
      </c>
      <c r="D1835" t="s">
        <v>33</v>
      </c>
      <c r="E1835" s="1">
        <f t="shared" ref="E1835:F1835" si="675">SUM(E1067+E1259+E1451+E1643)</f>
        <v>967952</v>
      </c>
      <c r="F1835" s="1">
        <f t="shared" si="675"/>
        <v>1208841</v>
      </c>
      <c r="G1835" s="1">
        <f t="shared" si="566"/>
        <v>2176793</v>
      </c>
      <c r="H1835" s="2">
        <f t="shared" si="567"/>
        <v>0.44466883162523951</v>
      </c>
      <c r="I1835" s="2">
        <f t="shared" si="568"/>
        <v>0.55533116837476049</v>
      </c>
      <c r="J1835" s="1">
        <f t="shared" ref="J1835:K1835" si="676">SUM(J1067+J1259+J1451+J1643)</f>
        <v>2252077.3099999996</v>
      </c>
      <c r="K1835" s="1">
        <f t="shared" si="676"/>
        <v>4820449.9799999995</v>
      </c>
      <c r="L1835" s="1">
        <f t="shared" si="594"/>
        <v>7072527.2899999991</v>
      </c>
      <c r="M1835" s="2">
        <f t="shared" si="595"/>
        <v>0.31842610394508636</v>
      </c>
      <c r="N1835" s="2">
        <f t="shared" si="596"/>
        <v>0.6815738960549137</v>
      </c>
    </row>
    <row r="1836" spans="1:14" x14ac:dyDescent="0.35">
      <c r="A1836" t="s">
        <v>34</v>
      </c>
      <c r="B1836" t="s">
        <v>28</v>
      </c>
      <c r="C1836">
        <v>2010</v>
      </c>
      <c r="D1836" t="s">
        <v>33</v>
      </c>
      <c r="E1836" s="1">
        <f t="shared" ref="E1836:F1836" si="677">SUM(E1068+E1260+E1452+E1644)</f>
        <v>962062</v>
      </c>
      <c r="F1836" s="1">
        <f t="shared" si="677"/>
        <v>1212930</v>
      </c>
      <c r="G1836" s="1">
        <f t="shared" si="566"/>
        <v>2174992</v>
      </c>
      <c r="H1836" s="2">
        <f t="shared" si="567"/>
        <v>0.44232898327901898</v>
      </c>
      <c r="I1836" s="2">
        <f t="shared" si="568"/>
        <v>0.55767101672098107</v>
      </c>
      <c r="J1836" s="1">
        <f t="shared" ref="J1836:K1836" si="678">SUM(J1068+J1260+J1452+J1644)</f>
        <v>1753661.19</v>
      </c>
      <c r="K1836" s="1">
        <f t="shared" si="678"/>
        <v>4142498.46</v>
      </c>
      <c r="L1836" s="1">
        <f t="shared" si="594"/>
        <v>5896159.6500000004</v>
      </c>
      <c r="M1836" s="2">
        <f t="shared" si="595"/>
        <v>0.29742430566648581</v>
      </c>
      <c r="N1836" s="2">
        <f t="shared" si="596"/>
        <v>0.70257569433351419</v>
      </c>
    </row>
    <row r="1837" spans="1:14" x14ac:dyDescent="0.35">
      <c r="A1837" t="s">
        <v>34</v>
      </c>
      <c r="B1837" t="s">
        <v>29</v>
      </c>
      <c r="C1837">
        <v>2010</v>
      </c>
      <c r="D1837" t="s">
        <v>33</v>
      </c>
      <c r="E1837" s="1">
        <f t="shared" ref="E1837:F1837" si="679">SUM(E1069+E1261+E1453+E1645)</f>
        <v>957998</v>
      </c>
      <c r="F1837" s="1">
        <f t="shared" si="679"/>
        <v>1218871</v>
      </c>
      <c r="G1837" s="1">
        <f t="shared" si="566"/>
        <v>2176869</v>
      </c>
      <c r="H1837" s="2">
        <f t="shared" si="567"/>
        <v>0.44008068468979988</v>
      </c>
      <c r="I1837" s="2">
        <f t="shared" si="568"/>
        <v>0.55991931531020012</v>
      </c>
      <c r="J1837" s="1">
        <f t="shared" ref="J1837:K1837" si="680">SUM(J1069+J1261+J1453+J1645)</f>
        <v>1584373.8200000003</v>
      </c>
      <c r="K1837" s="1">
        <f t="shared" si="680"/>
        <v>3969153.4899999998</v>
      </c>
      <c r="L1837" s="1">
        <f t="shared" si="594"/>
        <v>5553527.3100000005</v>
      </c>
      <c r="M1837" s="2">
        <f t="shared" si="595"/>
        <v>0.28529144299823389</v>
      </c>
      <c r="N1837" s="2">
        <f t="shared" si="596"/>
        <v>0.71470855700176605</v>
      </c>
    </row>
    <row r="1838" spans="1:14" x14ac:dyDescent="0.35">
      <c r="A1838" t="s">
        <v>34</v>
      </c>
      <c r="B1838" t="s">
        <v>17</v>
      </c>
      <c r="C1838">
        <v>2011</v>
      </c>
      <c r="D1838" t="s">
        <v>33</v>
      </c>
      <c r="E1838" s="1">
        <f t="shared" ref="E1838:F1838" si="681">SUM(E1070+E1262+E1454+E1646)</f>
        <v>954950</v>
      </c>
      <c r="F1838" s="1">
        <f t="shared" si="681"/>
        <v>1226562</v>
      </c>
      <c r="G1838" s="1">
        <f t="shared" si="566"/>
        <v>2181512</v>
      </c>
      <c r="H1838" s="2">
        <f t="shared" si="567"/>
        <v>0.43774684714088208</v>
      </c>
      <c r="I1838" s="2">
        <f t="shared" si="568"/>
        <v>0.56225315285911792</v>
      </c>
      <c r="J1838" s="1">
        <f t="shared" ref="J1838:K1838" si="682">SUM(J1070+J1262+J1454+J1646)</f>
        <v>1719445.7800000003</v>
      </c>
      <c r="K1838" s="1">
        <f t="shared" si="682"/>
        <v>4169383.37</v>
      </c>
      <c r="L1838" s="1">
        <f t="shared" si="594"/>
        <v>5888829.1500000004</v>
      </c>
      <c r="M1838" s="2">
        <f t="shared" si="595"/>
        <v>0.29198432085603981</v>
      </c>
      <c r="N1838" s="2">
        <f t="shared" si="596"/>
        <v>0.70801567914396024</v>
      </c>
    </row>
    <row r="1839" spans="1:14" x14ac:dyDescent="0.35">
      <c r="A1839" t="s">
        <v>34</v>
      </c>
      <c r="B1839" t="s">
        <v>19</v>
      </c>
      <c r="C1839">
        <v>2011</v>
      </c>
      <c r="D1839" t="s">
        <v>33</v>
      </c>
      <c r="E1839" s="1">
        <f t="shared" ref="E1839:F1839" si="683">SUM(E1071+E1263+E1455+E1647)</f>
        <v>952835</v>
      </c>
      <c r="F1839" s="1">
        <f t="shared" si="683"/>
        <v>1228840</v>
      </c>
      <c r="G1839" s="1">
        <f t="shared" si="566"/>
        <v>2181675</v>
      </c>
      <c r="H1839" s="2">
        <f t="shared" si="567"/>
        <v>0.43674470303780355</v>
      </c>
      <c r="I1839" s="2">
        <f t="shared" si="568"/>
        <v>0.56325529696219645</v>
      </c>
      <c r="J1839" s="1">
        <f t="shared" ref="J1839:K1839" si="684">SUM(J1071+J1263+J1455+J1647)</f>
        <v>1707882.7599999998</v>
      </c>
      <c r="K1839" s="1">
        <f t="shared" si="684"/>
        <v>4031363.4</v>
      </c>
      <c r="L1839" s="1">
        <f t="shared" si="594"/>
        <v>5739246.1600000001</v>
      </c>
      <c r="M1839" s="2">
        <f t="shared" si="595"/>
        <v>0.29757963195640308</v>
      </c>
      <c r="N1839" s="2">
        <f t="shared" si="596"/>
        <v>0.70242036804359687</v>
      </c>
    </row>
    <row r="1840" spans="1:14" x14ac:dyDescent="0.35">
      <c r="A1840" t="s">
        <v>34</v>
      </c>
      <c r="B1840" t="s">
        <v>20</v>
      </c>
      <c r="C1840">
        <v>2011</v>
      </c>
      <c r="D1840" t="s">
        <v>33</v>
      </c>
      <c r="E1840" s="1">
        <f t="shared" ref="E1840:F1840" si="685">SUM(E1072+E1264+E1456+E1648)</f>
        <v>951785</v>
      </c>
      <c r="F1840" s="1">
        <f t="shared" si="685"/>
        <v>1237604</v>
      </c>
      <c r="G1840" s="1">
        <f t="shared" si="566"/>
        <v>2189389</v>
      </c>
      <c r="H1840" s="2">
        <f t="shared" si="567"/>
        <v>0.43472630948634527</v>
      </c>
      <c r="I1840" s="2">
        <f t="shared" si="568"/>
        <v>0.56527369051365473</v>
      </c>
      <c r="J1840" s="1">
        <f t="shared" ref="J1840:K1840" si="686">SUM(J1072+J1264+J1456+J1648)</f>
        <v>1551149.9900000002</v>
      </c>
      <c r="K1840" s="1">
        <f t="shared" si="686"/>
        <v>3769827.39</v>
      </c>
      <c r="L1840" s="1">
        <f t="shared" si="594"/>
        <v>5320977.3800000008</v>
      </c>
      <c r="M1840" s="2">
        <f t="shared" si="595"/>
        <v>0.29151599024463432</v>
      </c>
      <c r="N1840" s="2">
        <f t="shared" si="596"/>
        <v>0.70848400975536552</v>
      </c>
    </row>
    <row r="1841" spans="1:14" x14ac:dyDescent="0.35">
      <c r="A1841" t="s">
        <v>34</v>
      </c>
      <c r="B1841" t="s">
        <v>21</v>
      </c>
      <c r="C1841">
        <v>2011</v>
      </c>
      <c r="D1841" t="s">
        <v>33</v>
      </c>
      <c r="E1841" s="1">
        <f t="shared" ref="E1841:F1841" si="687">SUM(E1073+E1265+E1457+E1649)</f>
        <v>949351</v>
      </c>
      <c r="F1841" s="1">
        <f t="shared" si="687"/>
        <v>1247169</v>
      </c>
      <c r="G1841" s="1">
        <f t="shared" si="566"/>
        <v>2196520</v>
      </c>
      <c r="H1841" s="2">
        <f t="shared" si="567"/>
        <v>0.432206854478903</v>
      </c>
      <c r="I1841" s="2">
        <f t="shared" si="568"/>
        <v>0.56779314552109705</v>
      </c>
      <c r="J1841" s="1">
        <f t="shared" ref="J1841:K1841" si="688">SUM(J1073+J1265+J1457+J1649)</f>
        <v>1562007.8900000001</v>
      </c>
      <c r="K1841" s="1">
        <f t="shared" si="688"/>
        <v>3963097.4600000004</v>
      </c>
      <c r="L1841" s="1">
        <f t="shared" si="594"/>
        <v>5525105.3500000006</v>
      </c>
      <c r="M1841" s="2">
        <f t="shared" si="595"/>
        <v>0.28271096948404795</v>
      </c>
      <c r="N1841" s="2">
        <f t="shared" si="596"/>
        <v>0.71728903051595205</v>
      </c>
    </row>
    <row r="1842" spans="1:14" x14ac:dyDescent="0.35">
      <c r="A1842" t="s">
        <v>34</v>
      </c>
      <c r="B1842" t="s">
        <v>22</v>
      </c>
      <c r="C1842">
        <v>2011</v>
      </c>
      <c r="D1842" t="s">
        <v>33</v>
      </c>
      <c r="E1842" s="1">
        <f t="shared" ref="E1842:F1842" si="689">SUM(E1074+E1266+E1458+E1650)</f>
        <v>946997</v>
      </c>
      <c r="F1842" s="1">
        <f t="shared" si="689"/>
        <v>1252349</v>
      </c>
      <c r="G1842" s="1">
        <f t="shared" si="566"/>
        <v>2199346</v>
      </c>
      <c r="H1842" s="2">
        <f t="shared" si="567"/>
        <v>0.43058118186042577</v>
      </c>
      <c r="I1842" s="2">
        <f t="shared" si="568"/>
        <v>0.56941881813957418</v>
      </c>
      <c r="J1842" s="1">
        <f t="shared" ref="J1842:K1842" si="690">SUM(J1074+J1266+J1458+J1650)</f>
        <v>1859706.31</v>
      </c>
      <c r="K1842" s="1">
        <f t="shared" si="690"/>
        <v>4452014.169999999</v>
      </c>
      <c r="L1842" s="1">
        <f t="shared" si="594"/>
        <v>6311720.4799999986</v>
      </c>
      <c r="M1842" s="2">
        <f t="shared" si="595"/>
        <v>0.29464332520631531</v>
      </c>
      <c r="N1842" s="2">
        <f t="shared" si="596"/>
        <v>0.7053566747936848</v>
      </c>
    </row>
    <row r="1843" spans="1:14" x14ac:dyDescent="0.35">
      <c r="A1843" t="s">
        <v>34</v>
      </c>
      <c r="B1843" t="s">
        <v>23</v>
      </c>
      <c r="C1843">
        <v>2011</v>
      </c>
      <c r="D1843" t="s">
        <v>33</v>
      </c>
      <c r="E1843" s="1">
        <f t="shared" ref="E1843:F1843" si="691">SUM(E1075+E1267+E1459+E1651)</f>
        <v>947058</v>
      </c>
      <c r="F1843" s="1">
        <f t="shared" si="691"/>
        <v>1262639</v>
      </c>
      <c r="G1843" s="1">
        <f t="shared" si="566"/>
        <v>2209697</v>
      </c>
      <c r="H1843" s="2">
        <f t="shared" si="567"/>
        <v>0.4285917933544735</v>
      </c>
      <c r="I1843" s="2">
        <f t="shared" si="568"/>
        <v>0.5714082066455265</v>
      </c>
      <c r="J1843" s="1">
        <f t="shared" ref="J1843:K1843" si="692">SUM(J1075+J1267+J1459+J1651)</f>
        <v>2163932.11</v>
      </c>
      <c r="K1843" s="1">
        <f t="shared" si="692"/>
        <v>4973742.4399999995</v>
      </c>
      <c r="L1843" s="1">
        <f t="shared" si="594"/>
        <v>7137674.5499999989</v>
      </c>
      <c r="M1843" s="2">
        <f t="shared" si="595"/>
        <v>0.30317046467185876</v>
      </c>
      <c r="N1843" s="2">
        <f t="shared" si="596"/>
        <v>0.69682953532814129</v>
      </c>
    </row>
    <row r="1844" spans="1:14" x14ac:dyDescent="0.35">
      <c r="A1844" t="s">
        <v>34</v>
      </c>
      <c r="B1844" t="s">
        <v>24</v>
      </c>
      <c r="C1844">
        <v>2011</v>
      </c>
      <c r="D1844" t="s">
        <v>33</v>
      </c>
      <c r="E1844" s="1">
        <f t="shared" ref="E1844:F1844" si="693">SUM(E1076+E1268+E1460+E1652)</f>
        <v>946287</v>
      </c>
      <c r="F1844" s="1">
        <f t="shared" si="693"/>
        <v>1270090</v>
      </c>
      <c r="G1844" s="1">
        <f t="shared" si="566"/>
        <v>2216377</v>
      </c>
      <c r="H1844" s="2">
        <f t="shared" si="567"/>
        <v>0.42695218367633303</v>
      </c>
      <c r="I1844" s="2">
        <f t="shared" si="568"/>
        <v>0.57304781632366697</v>
      </c>
      <c r="J1844" s="1">
        <f t="shared" ref="J1844:K1844" si="694">SUM(J1076+J1268+J1460+J1652)</f>
        <v>2629008.31</v>
      </c>
      <c r="K1844" s="1">
        <f t="shared" si="694"/>
        <v>5565429.5300000003</v>
      </c>
      <c r="L1844" s="1">
        <f t="shared" si="594"/>
        <v>8194437.8399999999</v>
      </c>
      <c r="M1844" s="2">
        <f t="shared" si="595"/>
        <v>0.32082839132257057</v>
      </c>
      <c r="N1844" s="2">
        <f t="shared" si="596"/>
        <v>0.67917160867742943</v>
      </c>
    </row>
    <row r="1845" spans="1:14" x14ac:dyDescent="0.35">
      <c r="A1845" t="s">
        <v>34</v>
      </c>
      <c r="B1845" t="s">
        <v>25</v>
      </c>
      <c r="C1845">
        <v>2011</v>
      </c>
      <c r="D1845" t="s">
        <v>33</v>
      </c>
      <c r="E1845" s="1">
        <f t="shared" ref="E1845:F1845" si="695">SUM(E1077+E1269+E1461+E1653)</f>
        <v>945635</v>
      </c>
      <c r="F1845" s="1">
        <f t="shared" si="695"/>
        <v>1276233</v>
      </c>
      <c r="G1845" s="1">
        <f t="shared" si="566"/>
        <v>2221868</v>
      </c>
      <c r="H1845" s="2">
        <f t="shared" si="567"/>
        <v>0.42560359121243924</v>
      </c>
      <c r="I1845" s="2">
        <f t="shared" si="568"/>
        <v>0.57439640878756071</v>
      </c>
      <c r="J1845" s="1">
        <f t="shared" ref="J1845:K1845" si="696">SUM(J1077+J1269+J1461+J1653)</f>
        <v>2669691.7749999994</v>
      </c>
      <c r="K1845" s="1">
        <f t="shared" si="696"/>
        <v>5507049.5499999998</v>
      </c>
      <c r="L1845" s="1">
        <f t="shared" si="594"/>
        <v>8176741.3249999993</v>
      </c>
      <c r="M1845" s="2">
        <f t="shared" si="595"/>
        <v>0.32649825509797448</v>
      </c>
      <c r="N1845" s="2">
        <f t="shared" si="596"/>
        <v>0.67350174490202552</v>
      </c>
    </row>
    <row r="1846" spans="1:14" x14ac:dyDescent="0.35">
      <c r="A1846" t="s">
        <v>34</v>
      </c>
      <c r="B1846" t="s">
        <v>26</v>
      </c>
      <c r="C1846">
        <v>2011</v>
      </c>
      <c r="D1846" t="s">
        <v>33</v>
      </c>
      <c r="E1846" s="1">
        <f t="shared" ref="E1846:F1846" si="697">SUM(E1078+E1270+E1462+E1654)</f>
        <v>945500</v>
      </c>
      <c r="F1846" s="1">
        <f t="shared" si="697"/>
        <v>1275056</v>
      </c>
      <c r="G1846" s="1">
        <f t="shared" si="566"/>
        <v>2220556</v>
      </c>
      <c r="H1846" s="2">
        <f t="shared" si="567"/>
        <v>0.42579426053655028</v>
      </c>
      <c r="I1846" s="2">
        <f t="shared" si="568"/>
        <v>0.57420573946344966</v>
      </c>
      <c r="J1846" s="1">
        <f t="shared" ref="J1846:K1846" si="698">SUM(J1078+J1270+J1462+J1654)</f>
        <v>2784057.35</v>
      </c>
      <c r="K1846" s="1">
        <f t="shared" si="698"/>
        <v>5807060.9400000004</v>
      </c>
      <c r="L1846" s="1">
        <f t="shared" si="594"/>
        <v>8591118.290000001</v>
      </c>
      <c r="M1846" s="2">
        <f t="shared" si="595"/>
        <v>0.32406227641407553</v>
      </c>
      <c r="N1846" s="2">
        <f t="shared" si="596"/>
        <v>0.67593772358592441</v>
      </c>
    </row>
    <row r="1847" spans="1:14" x14ac:dyDescent="0.35">
      <c r="A1847" t="s">
        <v>34</v>
      </c>
      <c r="B1847" t="s">
        <v>27</v>
      </c>
      <c r="C1847">
        <v>2011</v>
      </c>
      <c r="D1847" t="s">
        <v>33</v>
      </c>
      <c r="E1847" s="1">
        <f t="shared" ref="E1847:F1847" si="699">SUM(E1079+E1271+E1463+E1655)</f>
        <v>945887</v>
      </c>
      <c r="F1847" s="1">
        <f t="shared" si="699"/>
        <v>1279709</v>
      </c>
      <c r="G1847" s="1">
        <f t="shared" ref="G1847:G1910" si="700">SUM(E1847:F1847)</f>
        <v>2225596</v>
      </c>
      <c r="H1847" s="2">
        <f t="shared" ref="H1847:H1910" si="701">SUM(E1847)/G1847</f>
        <v>0.42500390906525715</v>
      </c>
      <c r="I1847" s="2">
        <f t="shared" ref="I1847:I1910" si="702">SUM(F1847/G1847)</f>
        <v>0.57499609093474291</v>
      </c>
      <c r="J1847" s="1">
        <f t="shared" ref="J1847:K1847" si="703">SUM(J1079+J1271+J1463+J1655)</f>
        <v>2360257.4900000002</v>
      </c>
      <c r="K1847" s="1">
        <f t="shared" si="703"/>
        <v>5176736.4100000011</v>
      </c>
      <c r="L1847" s="1">
        <f t="shared" si="594"/>
        <v>7536993.9000000013</v>
      </c>
      <c r="M1847" s="2">
        <f t="shared" si="595"/>
        <v>0.31315634871351028</v>
      </c>
      <c r="N1847" s="2">
        <f t="shared" si="596"/>
        <v>0.68684365128648972</v>
      </c>
    </row>
    <row r="1848" spans="1:14" x14ac:dyDescent="0.35">
      <c r="A1848" t="s">
        <v>34</v>
      </c>
      <c r="B1848" t="s">
        <v>28</v>
      </c>
      <c r="C1848">
        <v>2011</v>
      </c>
      <c r="D1848" t="s">
        <v>33</v>
      </c>
      <c r="E1848" s="1">
        <f t="shared" ref="E1848:F1848" si="704">SUM(E1080+E1272+E1464+E1656)</f>
        <v>941494</v>
      </c>
      <c r="F1848" s="1">
        <f t="shared" si="704"/>
        <v>1278057</v>
      </c>
      <c r="G1848" s="1">
        <f t="shared" si="700"/>
        <v>2219551</v>
      </c>
      <c r="H1848" s="2">
        <f t="shared" si="701"/>
        <v>0.42418218819932502</v>
      </c>
      <c r="I1848" s="2">
        <f t="shared" si="702"/>
        <v>0.57581781180067504</v>
      </c>
      <c r="J1848" s="1">
        <f t="shared" ref="J1848:K1848" si="705">SUM(J1080+J1272+J1464+J1656)</f>
        <v>1775962.95</v>
      </c>
      <c r="K1848" s="1">
        <f t="shared" si="705"/>
        <v>4200358.83</v>
      </c>
      <c r="L1848" s="1">
        <f t="shared" si="594"/>
        <v>5976321.7800000003</v>
      </c>
      <c r="M1848" s="2">
        <f t="shared" si="595"/>
        <v>0.29716655417439719</v>
      </c>
      <c r="N1848" s="2">
        <f t="shared" si="596"/>
        <v>0.70283344582560281</v>
      </c>
    </row>
    <row r="1849" spans="1:14" x14ac:dyDescent="0.35">
      <c r="A1849" t="s">
        <v>34</v>
      </c>
      <c r="B1849" t="s">
        <v>29</v>
      </c>
      <c r="C1849">
        <v>2011</v>
      </c>
      <c r="D1849" t="s">
        <v>33</v>
      </c>
      <c r="E1849" s="1">
        <f t="shared" ref="E1849:F1849" si="706">SUM(E1081+E1273+E1465+E1657)</f>
        <v>938043</v>
      </c>
      <c r="F1849" s="1">
        <f t="shared" si="706"/>
        <v>1280670</v>
      </c>
      <c r="G1849" s="1">
        <f t="shared" si="700"/>
        <v>2218713</v>
      </c>
      <c r="H1849" s="2">
        <f t="shared" si="701"/>
        <v>0.42278699408170412</v>
      </c>
      <c r="I1849" s="2">
        <f t="shared" si="702"/>
        <v>0.57721300591829583</v>
      </c>
      <c r="J1849" s="1">
        <f t="shared" ref="J1849:K1849" si="707">SUM(J1081+J1273+J1465+J1657)</f>
        <v>1648432.01</v>
      </c>
      <c r="K1849" s="1">
        <f t="shared" si="707"/>
        <v>4008088.54</v>
      </c>
      <c r="L1849" s="1">
        <f t="shared" si="594"/>
        <v>5656520.5499999998</v>
      </c>
      <c r="M1849" s="2">
        <f t="shared" si="595"/>
        <v>0.29142155419200239</v>
      </c>
      <c r="N1849" s="2">
        <f t="shared" si="596"/>
        <v>0.70857844580799767</v>
      </c>
    </row>
    <row r="1850" spans="1:14" x14ac:dyDescent="0.35">
      <c r="A1850" t="s">
        <v>34</v>
      </c>
      <c r="B1850" t="s">
        <v>17</v>
      </c>
      <c r="C1850">
        <v>2012</v>
      </c>
      <c r="D1850" t="s">
        <v>33</v>
      </c>
      <c r="E1850" s="1">
        <f t="shared" ref="E1850:F1850" si="708">SUM(E1082+E1274+E1466+E1658)</f>
        <v>935519</v>
      </c>
      <c r="F1850" s="1">
        <f t="shared" si="708"/>
        <v>1284671</v>
      </c>
      <c r="G1850" s="1">
        <f t="shared" si="700"/>
        <v>2220190</v>
      </c>
      <c r="H1850" s="2">
        <f t="shared" si="701"/>
        <v>0.42136889185159826</v>
      </c>
      <c r="I1850" s="2">
        <f t="shared" si="702"/>
        <v>0.57863110814840168</v>
      </c>
      <c r="J1850" s="1">
        <f t="shared" ref="J1850:K1850" si="709">SUM(J1082+J1274+J1466+J1658)</f>
        <v>1760920.72</v>
      </c>
      <c r="K1850" s="1">
        <f t="shared" si="709"/>
        <v>4115814.79</v>
      </c>
      <c r="L1850" s="1">
        <f t="shared" si="594"/>
        <v>5876735.5099999998</v>
      </c>
      <c r="M1850" s="2">
        <f t="shared" si="595"/>
        <v>0.29964267015311025</v>
      </c>
      <c r="N1850" s="2">
        <f t="shared" si="596"/>
        <v>0.70035732984688981</v>
      </c>
    </row>
    <row r="1851" spans="1:14" x14ac:dyDescent="0.35">
      <c r="A1851" t="s">
        <v>34</v>
      </c>
      <c r="B1851" t="s">
        <v>19</v>
      </c>
      <c r="C1851">
        <v>2012</v>
      </c>
      <c r="D1851" t="s">
        <v>33</v>
      </c>
      <c r="E1851" s="1">
        <f t="shared" ref="E1851:F1851" si="710">SUM(E1083+E1275+E1467+E1659)</f>
        <v>933857</v>
      </c>
      <c r="F1851" s="1">
        <f t="shared" si="710"/>
        <v>1288461</v>
      </c>
      <c r="G1851" s="1">
        <f t="shared" si="700"/>
        <v>2222318</v>
      </c>
      <c r="H1851" s="2">
        <f t="shared" si="701"/>
        <v>0.42021753862408529</v>
      </c>
      <c r="I1851" s="2">
        <f t="shared" si="702"/>
        <v>0.57978246137591471</v>
      </c>
      <c r="J1851" s="1">
        <f t="shared" ref="J1851:K1851" si="711">SUM(J1083+J1275+J1467+J1659)</f>
        <v>1574838.48</v>
      </c>
      <c r="K1851" s="1">
        <f t="shared" si="711"/>
        <v>3824937.4099999992</v>
      </c>
      <c r="L1851" s="1">
        <f t="shared" si="594"/>
        <v>5399775.8899999987</v>
      </c>
      <c r="M1851" s="2">
        <f t="shared" si="595"/>
        <v>0.29164885952331632</v>
      </c>
      <c r="N1851" s="2">
        <f t="shared" si="596"/>
        <v>0.70835114047668379</v>
      </c>
    </row>
    <row r="1852" spans="1:14" x14ac:dyDescent="0.35">
      <c r="A1852" t="s">
        <v>34</v>
      </c>
      <c r="B1852" t="s">
        <v>20</v>
      </c>
      <c r="C1852">
        <v>2012</v>
      </c>
      <c r="D1852" t="s">
        <v>33</v>
      </c>
      <c r="E1852" s="1">
        <f t="shared" ref="E1852:F1852" si="712">SUM(E1084+E1276+E1468+E1660)</f>
        <v>932432</v>
      </c>
      <c r="F1852" s="1">
        <f t="shared" si="712"/>
        <v>1295242</v>
      </c>
      <c r="G1852" s="1">
        <f t="shared" si="700"/>
        <v>2227674</v>
      </c>
      <c r="H1852" s="2">
        <f t="shared" si="701"/>
        <v>0.41856752828286364</v>
      </c>
      <c r="I1852" s="2">
        <f t="shared" si="702"/>
        <v>0.5814324717171363</v>
      </c>
      <c r="J1852" s="1">
        <f t="shared" ref="J1852:K1852" si="713">SUM(J1084+J1276+J1468+J1660)</f>
        <v>1525141.14</v>
      </c>
      <c r="K1852" s="1">
        <f t="shared" si="713"/>
        <v>3679140.77</v>
      </c>
      <c r="L1852" s="1">
        <f t="shared" si="594"/>
        <v>5204281.91</v>
      </c>
      <c r="M1852" s="2">
        <f t="shared" si="595"/>
        <v>0.29305505857963793</v>
      </c>
      <c r="N1852" s="2">
        <f t="shared" si="596"/>
        <v>0.70694494142036202</v>
      </c>
    </row>
    <row r="1853" spans="1:14" x14ac:dyDescent="0.35">
      <c r="A1853" t="s">
        <v>34</v>
      </c>
      <c r="B1853" t="s">
        <v>21</v>
      </c>
      <c r="C1853">
        <v>2012</v>
      </c>
      <c r="D1853" t="s">
        <v>33</v>
      </c>
      <c r="E1853" s="1">
        <f t="shared" ref="E1853:F1853" si="714">SUM(E1085+E1277+E1469+E1661)</f>
        <v>929139</v>
      </c>
      <c r="F1853" s="1">
        <f t="shared" si="714"/>
        <v>1302279</v>
      </c>
      <c r="G1853" s="1">
        <f t="shared" si="700"/>
        <v>2231418</v>
      </c>
      <c r="H1853" s="2">
        <f t="shared" si="701"/>
        <v>0.41638948865698849</v>
      </c>
      <c r="I1853" s="2">
        <f t="shared" si="702"/>
        <v>0.58361051134301145</v>
      </c>
      <c r="J1853" s="1">
        <f t="shared" ref="J1853:K1853" si="715">SUM(J1085+J1277+J1469+J1661)</f>
        <v>1693834.7</v>
      </c>
      <c r="K1853" s="1">
        <f t="shared" si="715"/>
        <v>4081031.72</v>
      </c>
      <c r="L1853" s="1">
        <f t="shared" si="594"/>
        <v>5774866.4199999999</v>
      </c>
      <c r="M1853" s="2">
        <f t="shared" si="595"/>
        <v>0.29331149446743393</v>
      </c>
      <c r="N1853" s="2">
        <f t="shared" si="596"/>
        <v>0.70668850553256612</v>
      </c>
    </row>
    <row r="1854" spans="1:14" x14ac:dyDescent="0.35">
      <c r="A1854" t="s">
        <v>34</v>
      </c>
      <c r="B1854" t="s">
        <v>22</v>
      </c>
      <c r="C1854">
        <v>2012</v>
      </c>
      <c r="D1854" t="s">
        <v>33</v>
      </c>
      <c r="E1854" s="1">
        <f t="shared" ref="E1854:F1854" si="716">SUM(E1086+E1278+E1470+E1662)</f>
        <v>927067</v>
      </c>
      <c r="F1854" s="1">
        <f t="shared" si="716"/>
        <v>1311420</v>
      </c>
      <c r="G1854" s="1">
        <f t="shared" si="700"/>
        <v>2238487</v>
      </c>
      <c r="H1854" s="2">
        <f t="shared" si="701"/>
        <v>0.41414893184548313</v>
      </c>
      <c r="I1854" s="2">
        <f t="shared" si="702"/>
        <v>0.58585106815451682</v>
      </c>
      <c r="J1854" s="1">
        <f t="shared" ref="J1854:K1854" si="717">SUM(J1086+J1278+J1470+J1662)</f>
        <v>1810150.99</v>
      </c>
      <c r="K1854" s="1">
        <f t="shared" si="717"/>
        <v>4342809.3499999996</v>
      </c>
      <c r="L1854" s="1">
        <f t="shared" si="594"/>
        <v>6152960.3399999999</v>
      </c>
      <c r="M1854" s="2">
        <f t="shared" si="595"/>
        <v>0.29419188325208678</v>
      </c>
      <c r="N1854" s="2">
        <f t="shared" si="596"/>
        <v>0.70580811674791322</v>
      </c>
    </row>
    <row r="1855" spans="1:14" x14ac:dyDescent="0.35">
      <c r="A1855" t="s">
        <v>34</v>
      </c>
      <c r="B1855" t="s">
        <v>23</v>
      </c>
      <c r="C1855">
        <v>2012</v>
      </c>
      <c r="D1855" t="s">
        <v>33</v>
      </c>
      <c r="E1855" s="1">
        <f t="shared" ref="E1855:F1855" si="718">SUM(E1087+E1279+E1471+E1663)</f>
        <v>925250</v>
      </c>
      <c r="F1855" s="1">
        <f t="shared" si="718"/>
        <v>1320999</v>
      </c>
      <c r="G1855" s="1">
        <f t="shared" si="700"/>
        <v>2246249</v>
      </c>
      <c r="H1855" s="2">
        <f t="shared" si="701"/>
        <v>0.41190892015978636</v>
      </c>
      <c r="I1855" s="2">
        <f t="shared" si="702"/>
        <v>0.58809107984021358</v>
      </c>
      <c r="J1855" s="1">
        <f t="shared" ref="J1855:K1855" si="719">SUM(J1087+J1279+J1471+J1663)</f>
        <v>2173933.6799999997</v>
      </c>
      <c r="K1855" s="1">
        <f t="shared" si="719"/>
        <v>4943782.3900000006</v>
      </c>
      <c r="L1855" s="1">
        <f t="shared" si="594"/>
        <v>7117716.0700000003</v>
      </c>
      <c r="M1855" s="2">
        <f t="shared" si="595"/>
        <v>0.30542573750065299</v>
      </c>
      <c r="N1855" s="2">
        <f t="shared" si="596"/>
        <v>0.69457426249934695</v>
      </c>
    </row>
    <row r="1856" spans="1:14" x14ac:dyDescent="0.35">
      <c r="A1856" t="s">
        <v>34</v>
      </c>
      <c r="B1856" t="s">
        <v>24</v>
      </c>
      <c r="C1856">
        <v>2012</v>
      </c>
      <c r="D1856" t="s">
        <v>33</v>
      </c>
      <c r="E1856" s="1">
        <f t="shared" ref="E1856:F1856" si="720">SUM(E1088+E1280+E1472+E1664)</f>
        <v>926686</v>
      </c>
      <c r="F1856" s="1">
        <f t="shared" si="720"/>
        <v>1335413</v>
      </c>
      <c r="G1856" s="1">
        <f t="shared" si="700"/>
        <v>2262099</v>
      </c>
      <c r="H1856" s="2">
        <f t="shared" si="701"/>
        <v>0.40965757908915568</v>
      </c>
      <c r="I1856" s="2">
        <f t="shared" si="702"/>
        <v>0.59034242091084432</v>
      </c>
      <c r="J1856" s="1">
        <f t="shared" ref="J1856:K1856" si="721">SUM(J1088+J1280+J1472+J1664)</f>
        <v>2455206.35</v>
      </c>
      <c r="K1856" s="1">
        <f t="shared" si="721"/>
        <v>5358517.9600000009</v>
      </c>
      <c r="L1856" s="1">
        <f t="shared" si="594"/>
        <v>7813724.3100000005</v>
      </c>
      <c r="M1856" s="2">
        <f t="shared" si="595"/>
        <v>0.31421717129920085</v>
      </c>
      <c r="N1856" s="2">
        <f t="shared" si="596"/>
        <v>0.68578282870079921</v>
      </c>
    </row>
    <row r="1857" spans="1:14" x14ac:dyDescent="0.35">
      <c r="A1857" t="s">
        <v>34</v>
      </c>
      <c r="B1857" t="s">
        <v>25</v>
      </c>
      <c r="C1857">
        <v>2012</v>
      </c>
      <c r="D1857" t="s">
        <v>33</v>
      </c>
      <c r="E1857" s="1">
        <f t="shared" ref="E1857:F1857" si="722">SUM(E1089+E1281+E1473+E1665)</f>
        <v>929718</v>
      </c>
      <c r="F1857" s="1">
        <f t="shared" si="722"/>
        <v>1338245</v>
      </c>
      <c r="G1857" s="1">
        <f t="shared" si="700"/>
        <v>2267963</v>
      </c>
      <c r="H1857" s="2">
        <f t="shared" si="701"/>
        <v>0.40993525908491452</v>
      </c>
      <c r="I1857" s="2">
        <f t="shared" si="702"/>
        <v>0.59006474091508543</v>
      </c>
      <c r="J1857" s="1">
        <f t="shared" ref="J1857:K1857" si="723">SUM(J1089+J1281+J1473+J1665)</f>
        <v>2419009.2760000001</v>
      </c>
      <c r="K1857" s="1">
        <f t="shared" si="723"/>
        <v>5289998.3489999995</v>
      </c>
      <c r="L1857" s="1">
        <f t="shared" si="594"/>
        <v>7709007.625</v>
      </c>
      <c r="M1857" s="2">
        <f t="shared" si="595"/>
        <v>0.31378997059949076</v>
      </c>
      <c r="N1857" s="2">
        <f t="shared" si="596"/>
        <v>0.68621002940050924</v>
      </c>
    </row>
    <row r="1858" spans="1:14" x14ac:dyDescent="0.35">
      <c r="A1858" t="s">
        <v>34</v>
      </c>
      <c r="B1858" t="s">
        <v>26</v>
      </c>
      <c r="C1858">
        <v>2012</v>
      </c>
      <c r="D1858" t="s">
        <v>33</v>
      </c>
      <c r="E1858" s="1">
        <f t="shared" ref="E1858:F1858" si="724">SUM(E1090+E1282+E1474+E1666)</f>
        <v>929799</v>
      </c>
      <c r="F1858" s="1">
        <f t="shared" si="724"/>
        <v>1339330</v>
      </c>
      <c r="G1858" s="1">
        <f t="shared" si="700"/>
        <v>2269129</v>
      </c>
      <c r="H1858" s="2">
        <f t="shared" si="701"/>
        <v>0.40976030891148102</v>
      </c>
      <c r="I1858" s="2">
        <f t="shared" si="702"/>
        <v>0.59023969108851904</v>
      </c>
      <c r="J1858" s="1">
        <f t="shared" ref="J1858:K1858" si="725">SUM(J1090+J1282+J1474+J1666)</f>
        <v>2647796.7199999997</v>
      </c>
      <c r="K1858" s="1">
        <f t="shared" si="725"/>
        <v>5683156.9100000001</v>
      </c>
      <c r="L1858" s="1">
        <f t="shared" si="594"/>
        <v>8330953.6299999999</v>
      </c>
      <c r="M1858" s="2">
        <f t="shared" si="595"/>
        <v>0.31782636629559535</v>
      </c>
      <c r="N1858" s="2">
        <f t="shared" si="596"/>
        <v>0.68217363370440465</v>
      </c>
    </row>
    <row r="1859" spans="1:14" x14ac:dyDescent="0.35">
      <c r="A1859" t="s">
        <v>34</v>
      </c>
      <c r="B1859" t="s">
        <v>27</v>
      </c>
      <c r="C1859">
        <v>2012</v>
      </c>
      <c r="D1859" t="s">
        <v>33</v>
      </c>
      <c r="E1859" s="1">
        <f t="shared" ref="E1859:F1859" si="726">SUM(E1091+E1283+E1475+E1667)</f>
        <v>925447</v>
      </c>
      <c r="F1859" s="1">
        <f t="shared" si="726"/>
        <v>1333184</v>
      </c>
      <c r="G1859" s="1">
        <f t="shared" si="700"/>
        <v>2258631</v>
      </c>
      <c r="H1859" s="2">
        <f t="shared" si="701"/>
        <v>0.40973802272261384</v>
      </c>
      <c r="I1859" s="2">
        <f t="shared" si="702"/>
        <v>0.59026197727738616</v>
      </c>
      <c r="J1859" s="1">
        <f t="shared" ref="J1859:K1859" si="727">SUM(J1091+J1283+J1475+J1667)</f>
        <v>2232263.9000000004</v>
      </c>
      <c r="K1859" s="1">
        <f t="shared" si="727"/>
        <v>4940990.32</v>
      </c>
      <c r="L1859" s="1">
        <f t="shared" ref="L1859:L1921" si="728">SUM(J1859:K1859)</f>
        <v>7173254.2200000007</v>
      </c>
      <c r="M1859" s="2">
        <f t="shared" ref="M1859:M1921" si="729">SUM(J1859)/L1859</f>
        <v>0.31119263747493398</v>
      </c>
      <c r="N1859" s="2">
        <f t="shared" ref="N1859:N1921" si="730">SUM(K1859/L1859)</f>
        <v>0.68880736252506602</v>
      </c>
    </row>
    <row r="1860" spans="1:14" x14ac:dyDescent="0.35">
      <c r="A1860" t="s">
        <v>34</v>
      </c>
      <c r="B1860" t="s">
        <v>28</v>
      </c>
      <c r="C1860">
        <v>2012</v>
      </c>
      <c r="D1860" t="s">
        <v>33</v>
      </c>
      <c r="E1860" s="1">
        <f t="shared" ref="E1860:F1860" si="731">SUM(E1092+E1284+E1476+E1668)</f>
        <v>920246</v>
      </c>
      <c r="F1860" s="1">
        <f t="shared" si="731"/>
        <v>1336254</v>
      </c>
      <c r="G1860" s="1">
        <f t="shared" si="700"/>
        <v>2256500</v>
      </c>
      <c r="H1860" s="2">
        <f t="shared" si="701"/>
        <v>0.4078200753379127</v>
      </c>
      <c r="I1860" s="2">
        <f t="shared" si="702"/>
        <v>0.59217992466208735</v>
      </c>
      <c r="J1860" s="1">
        <f t="shared" ref="J1860:K1860" si="732">SUM(J1092+J1284+J1476+J1668)</f>
        <v>1883138.37</v>
      </c>
      <c r="K1860" s="1">
        <f t="shared" si="732"/>
        <v>4279762.74</v>
      </c>
      <c r="L1860" s="1">
        <f t="shared" si="728"/>
        <v>6162901.1100000003</v>
      </c>
      <c r="M1860" s="2">
        <f t="shared" si="729"/>
        <v>0.30556037430884558</v>
      </c>
      <c r="N1860" s="2">
        <f t="shared" si="730"/>
        <v>0.69443962569115436</v>
      </c>
    </row>
    <row r="1861" spans="1:14" x14ac:dyDescent="0.35">
      <c r="A1861" t="s">
        <v>34</v>
      </c>
      <c r="B1861" t="s">
        <v>29</v>
      </c>
      <c r="C1861">
        <v>2012</v>
      </c>
      <c r="D1861" t="s">
        <v>33</v>
      </c>
      <c r="E1861" s="1">
        <f t="shared" ref="E1861:F1861" si="733">SUM(E1093+E1285+E1477+E1669)</f>
        <v>917404</v>
      </c>
      <c r="F1861" s="1">
        <f t="shared" si="733"/>
        <v>1340329</v>
      </c>
      <c r="G1861" s="1">
        <f t="shared" si="700"/>
        <v>2257733</v>
      </c>
      <c r="H1861" s="2">
        <f t="shared" si="701"/>
        <v>0.406338570592714</v>
      </c>
      <c r="I1861" s="2">
        <f t="shared" si="702"/>
        <v>0.59366142940728595</v>
      </c>
      <c r="J1861" s="1">
        <f t="shared" ref="J1861:K1861" si="734">SUM(J1093+J1285+J1477+J1669)</f>
        <v>1698581.62</v>
      </c>
      <c r="K1861" s="1">
        <f t="shared" si="734"/>
        <v>3941784.8899999997</v>
      </c>
      <c r="L1861" s="1">
        <f t="shared" si="728"/>
        <v>5640366.5099999998</v>
      </c>
      <c r="M1861" s="2">
        <f t="shared" si="729"/>
        <v>0.30114738412628439</v>
      </c>
      <c r="N1861" s="2">
        <f t="shared" si="730"/>
        <v>0.69885261587371561</v>
      </c>
    </row>
    <row r="1862" spans="1:14" x14ac:dyDescent="0.35">
      <c r="A1862" t="s">
        <v>34</v>
      </c>
      <c r="B1862" t="s">
        <v>17</v>
      </c>
      <c r="C1862">
        <v>2013</v>
      </c>
      <c r="D1862" t="s">
        <v>33</v>
      </c>
      <c r="E1862" s="1">
        <f t="shared" ref="E1862:F1862" si="735">SUM(E1094+E1286+E1478+E1670)</f>
        <v>913897</v>
      </c>
      <c r="F1862" s="1">
        <f t="shared" si="735"/>
        <v>1350001</v>
      </c>
      <c r="G1862" s="1">
        <f t="shared" si="700"/>
        <v>2263898</v>
      </c>
      <c r="H1862" s="2">
        <f t="shared" si="701"/>
        <v>0.40368293977908898</v>
      </c>
      <c r="I1862" s="2">
        <f t="shared" si="702"/>
        <v>0.59631706022091102</v>
      </c>
      <c r="J1862" s="1">
        <f t="shared" ref="J1862:K1862" si="736">SUM(J1094+J1286+J1478+J1670)</f>
        <v>1743950.66</v>
      </c>
      <c r="K1862" s="1">
        <f t="shared" si="736"/>
        <v>4116457.55</v>
      </c>
      <c r="L1862" s="1">
        <f t="shared" si="728"/>
        <v>5860408.21</v>
      </c>
      <c r="M1862" s="2">
        <f t="shared" si="729"/>
        <v>0.29758177203836794</v>
      </c>
      <c r="N1862" s="2">
        <f t="shared" si="730"/>
        <v>0.702418227961632</v>
      </c>
    </row>
    <row r="1863" spans="1:14" x14ac:dyDescent="0.35">
      <c r="A1863" t="s">
        <v>34</v>
      </c>
      <c r="B1863" t="s">
        <v>19</v>
      </c>
      <c r="C1863">
        <v>2013</v>
      </c>
      <c r="D1863" t="s">
        <v>33</v>
      </c>
      <c r="E1863" s="1">
        <f t="shared" ref="E1863:F1863" si="737">SUM(E1095+E1287+E1479+E1671)</f>
        <v>910658</v>
      </c>
      <c r="F1863" s="1">
        <f t="shared" si="737"/>
        <v>1352240</v>
      </c>
      <c r="G1863" s="1">
        <f t="shared" si="700"/>
        <v>2262898</v>
      </c>
      <c r="H1863" s="2">
        <f t="shared" si="701"/>
        <v>0.40242998137786151</v>
      </c>
      <c r="I1863" s="2">
        <f t="shared" si="702"/>
        <v>0.59757001862213854</v>
      </c>
      <c r="J1863" s="1">
        <f t="shared" ref="J1863:K1863" si="738">SUM(J1095+J1287+J1479+J1671)</f>
        <v>1608074.8699999999</v>
      </c>
      <c r="K1863" s="1">
        <f t="shared" si="738"/>
        <v>4065690.81</v>
      </c>
      <c r="L1863" s="1">
        <f t="shared" si="728"/>
        <v>5673765.6799999997</v>
      </c>
      <c r="M1863" s="2">
        <f t="shared" si="729"/>
        <v>0.28342285541830836</v>
      </c>
      <c r="N1863" s="2">
        <f t="shared" si="730"/>
        <v>0.71657714458169164</v>
      </c>
    </row>
    <row r="1864" spans="1:14" x14ac:dyDescent="0.35">
      <c r="A1864" t="s">
        <v>34</v>
      </c>
      <c r="B1864" t="s">
        <v>20</v>
      </c>
      <c r="C1864">
        <v>2013</v>
      </c>
      <c r="D1864" t="s">
        <v>33</v>
      </c>
      <c r="E1864" s="1">
        <f t="shared" ref="E1864:F1864" si="739">SUM(E1096+E1288+E1480+E1672)</f>
        <v>908271</v>
      </c>
      <c r="F1864" s="1">
        <f t="shared" si="739"/>
        <v>1360800</v>
      </c>
      <c r="G1864" s="1">
        <f t="shared" si="700"/>
        <v>2269071</v>
      </c>
      <c r="H1864" s="2">
        <f t="shared" si="701"/>
        <v>0.40028319960018882</v>
      </c>
      <c r="I1864" s="2">
        <f t="shared" si="702"/>
        <v>0.59971680039981123</v>
      </c>
      <c r="J1864" s="1">
        <f t="shared" ref="J1864:K1864" si="740">SUM(J1096+J1288+J1480+J1672)</f>
        <v>1422206.01</v>
      </c>
      <c r="K1864" s="1">
        <f t="shared" si="740"/>
        <v>3662493.32</v>
      </c>
      <c r="L1864" s="1">
        <f t="shared" si="728"/>
        <v>5084699.33</v>
      </c>
      <c r="M1864" s="2">
        <f t="shared" si="729"/>
        <v>0.27970306948316648</v>
      </c>
      <c r="N1864" s="2">
        <f t="shared" si="730"/>
        <v>0.72029693051683352</v>
      </c>
    </row>
    <row r="1865" spans="1:14" x14ac:dyDescent="0.35">
      <c r="A1865" t="s">
        <v>34</v>
      </c>
      <c r="B1865" t="s">
        <v>21</v>
      </c>
      <c r="C1865">
        <v>2013</v>
      </c>
      <c r="D1865" t="s">
        <v>33</v>
      </c>
      <c r="E1865" s="1">
        <f t="shared" ref="E1865:F1865" si="741">SUM(E1097+E1289+E1481+E1673)</f>
        <v>906324</v>
      </c>
      <c r="F1865" s="1">
        <f t="shared" si="741"/>
        <v>1370634</v>
      </c>
      <c r="G1865" s="1">
        <f t="shared" si="700"/>
        <v>2276958</v>
      </c>
      <c r="H1865" s="2">
        <f t="shared" si="701"/>
        <v>0.39804159760522589</v>
      </c>
      <c r="I1865" s="2">
        <f t="shared" si="702"/>
        <v>0.60195840239477405</v>
      </c>
      <c r="J1865" s="1">
        <f t="shared" ref="J1865:K1865" si="742">SUM(J1097+J1289+J1481+J1673)</f>
        <v>1512609.84</v>
      </c>
      <c r="K1865" s="1">
        <f t="shared" si="742"/>
        <v>4076736.7499999995</v>
      </c>
      <c r="L1865" s="1">
        <f t="shared" si="728"/>
        <v>5589346.5899999999</v>
      </c>
      <c r="M1865" s="2">
        <f t="shared" si="729"/>
        <v>0.27062373314015586</v>
      </c>
      <c r="N1865" s="2">
        <f t="shared" si="730"/>
        <v>0.72937626685984414</v>
      </c>
    </row>
    <row r="1866" spans="1:14" x14ac:dyDescent="0.35">
      <c r="A1866" t="s">
        <v>34</v>
      </c>
      <c r="B1866" t="s">
        <v>22</v>
      </c>
      <c r="C1866">
        <v>2013</v>
      </c>
      <c r="D1866" t="s">
        <v>33</v>
      </c>
      <c r="E1866" s="1">
        <f t="shared" ref="E1866:F1866" si="743">SUM(E1098+E1290+E1482+E1674)</f>
        <v>904213</v>
      </c>
      <c r="F1866" s="1">
        <f t="shared" si="743"/>
        <v>1375857</v>
      </c>
      <c r="G1866" s="1">
        <f t="shared" si="700"/>
        <v>2280070</v>
      </c>
      <c r="H1866" s="2">
        <f t="shared" si="701"/>
        <v>0.39657247365212472</v>
      </c>
      <c r="I1866" s="2">
        <f t="shared" si="702"/>
        <v>0.60342752634787533</v>
      </c>
      <c r="J1866" s="1">
        <f t="shared" ref="J1866:K1866" si="744">SUM(J1098+J1290+J1482+J1674)</f>
        <v>1588861.1699999997</v>
      </c>
      <c r="K1866" s="1">
        <f t="shared" si="744"/>
        <v>4236764.1499999994</v>
      </c>
      <c r="L1866" s="1">
        <f t="shared" si="728"/>
        <v>5825625.3199999994</v>
      </c>
      <c r="M1866" s="2">
        <f t="shared" si="729"/>
        <v>0.27273658752911351</v>
      </c>
      <c r="N1866" s="2">
        <f t="shared" si="730"/>
        <v>0.72726341247088644</v>
      </c>
    </row>
    <row r="1867" spans="1:14" x14ac:dyDescent="0.35">
      <c r="A1867" t="s">
        <v>34</v>
      </c>
      <c r="B1867" t="s">
        <v>23</v>
      </c>
      <c r="C1867">
        <v>2013</v>
      </c>
      <c r="D1867" t="s">
        <v>33</v>
      </c>
      <c r="E1867" s="1">
        <f t="shared" ref="E1867:F1867" si="745">SUM(E1099+E1291+E1483+E1675)</f>
        <v>903620</v>
      </c>
      <c r="F1867" s="1">
        <f t="shared" si="745"/>
        <v>1389335</v>
      </c>
      <c r="G1867" s="1">
        <f t="shared" si="700"/>
        <v>2292955</v>
      </c>
      <c r="H1867" s="2">
        <f t="shared" si="701"/>
        <v>0.39408536146588136</v>
      </c>
      <c r="I1867" s="2">
        <f t="shared" si="702"/>
        <v>0.60591463853411864</v>
      </c>
      <c r="J1867" s="1">
        <f t="shared" ref="J1867:K1867" si="746">SUM(J1099+J1291+J1483+J1675)</f>
        <v>1966464.03</v>
      </c>
      <c r="K1867" s="1">
        <f t="shared" si="746"/>
        <v>5125460.28</v>
      </c>
      <c r="L1867" s="1">
        <f t="shared" si="728"/>
        <v>7091924.3100000005</v>
      </c>
      <c r="M1867" s="2">
        <f t="shared" si="729"/>
        <v>0.27728215136576945</v>
      </c>
      <c r="N1867" s="2">
        <f t="shared" si="730"/>
        <v>0.7227178486342305</v>
      </c>
    </row>
    <row r="1868" spans="1:14" x14ac:dyDescent="0.35">
      <c r="A1868" t="s">
        <v>34</v>
      </c>
      <c r="B1868" t="s">
        <v>24</v>
      </c>
      <c r="C1868">
        <v>2013</v>
      </c>
      <c r="D1868" t="s">
        <v>33</v>
      </c>
      <c r="E1868" s="1">
        <f t="shared" ref="E1868:F1868" si="747">SUM(E1100+E1292+E1484+E1676)</f>
        <v>903453</v>
      </c>
      <c r="F1868" s="1">
        <f t="shared" si="747"/>
        <v>1397760</v>
      </c>
      <c r="G1868" s="1">
        <f t="shared" si="700"/>
        <v>2301213</v>
      </c>
      <c r="H1868" s="2">
        <f t="shared" si="701"/>
        <v>0.39259859908665562</v>
      </c>
      <c r="I1868" s="2">
        <f t="shared" si="702"/>
        <v>0.60740140091334438</v>
      </c>
      <c r="J1868" s="1">
        <f t="shared" ref="J1868:K1868" si="748">SUM(J1100+J1292+J1484+J1676)</f>
        <v>2352327.86</v>
      </c>
      <c r="K1868" s="1">
        <f t="shared" si="748"/>
        <v>5648890.5699999994</v>
      </c>
      <c r="L1868" s="1">
        <f t="shared" si="728"/>
        <v>8001218.4299999997</v>
      </c>
      <c r="M1868" s="2">
        <f t="shared" si="729"/>
        <v>0.29399620577537461</v>
      </c>
      <c r="N1868" s="2">
        <f t="shared" si="730"/>
        <v>0.70600379422462534</v>
      </c>
    </row>
    <row r="1869" spans="1:14" x14ac:dyDescent="0.35">
      <c r="A1869" t="s">
        <v>34</v>
      </c>
      <c r="B1869" t="s">
        <v>25</v>
      </c>
      <c r="C1869">
        <v>2013</v>
      </c>
      <c r="D1869" t="s">
        <v>33</v>
      </c>
      <c r="E1869" s="1">
        <f t="shared" ref="E1869:F1869" si="749">SUM(E1101+E1293+E1485+E1677)</f>
        <v>903093</v>
      </c>
      <c r="F1869" s="1">
        <f t="shared" si="749"/>
        <v>1403138</v>
      </c>
      <c r="G1869" s="1">
        <f t="shared" si="700"/>
        <v>2306231</v>
      </c>
      <c r="H1869" s="2">
        <f t="shared" si="701"/>
        <v>0.39158826674344416</v>
      </c>
      <c r="I1869" s="2">
        <f t="shared" si="702"/>
        <v>0.60841173325655584</v>
      </c>
      <c r="J1869" s="1">
        <f t="shared" ref="J1869:K1869" si="750">SUM(J1101+J1293+J1485+J1677)</f>
        <v>2358191.3899999997</v>
      </c>
      <c r="K1869" s="1">
        <f t="shared" si="750"/>
        <v>5822604.0099999998</v>
      </c>
      <c r="L1869" s="1">
        <f t="shared" si="728"/>
        <v>8180795.3999999994</v>
      </c>
      <c r="M1869" s="2">
        <f t="shared" si="729"/>
        <v>0.28825942646114822</v>
      </c>
      <c r="N1869" s="2">
        <f t="shared" si="730"/>
        <v>0.71174057353885178</v>
      </c>
    </row>
    <row r="1870" spans="1:14" x14ac:dyDescent="0.35">
      <c r="A1870" t="s">
        <v>34</v>
      </c>
      <c r="B1870" t="s">
        <v>26</v>
      </c>
      <c r="C1870">
        <v>2013</v>
      </c>
      <c r="D1870" t="s">
        <v>33</v>
      </c>
      <c r="E1870" s="1">
        <f t="shared" ref="E1870:F1870" si="751">SUM(E1102+E1294+E1486+E1678)</f>
        <v>900974</v>
      </c>
      <c r="F1870" s="1">
        <f t="shared" si="751"/>
        <v>1404588</v>
      </c>
      <c r="G1870" s="1">
        <f t="shared" si="700"/>
        <v>2305562</v>
      </c>
      <c r="H1870" s="2">
        <f t="shared" si="701"/>
        <v>0.39078281130587683</v>
      </c>
      <c r="I1870" s="2">
        <f t="shared" si="702"/>
        <v>0.60921718869412311</v>
      </c>
      <c r="J1870" s="1">
        <f t="shared" ref="J1870:K1870" si="752">SUM(J1102+J1294+J1486+J1678)</f>
        <v>2410366.2599999998</v>
      </c>
      <c r="K1870" s="1">
        <f t="shared" si="752"/>
        <v>5961427.04</v>
      </c>
      <c r="L1870" s="1">
        <f t="shared" si="728"/>
        <v>8371793.2999999998</v>
      </c>
      <c r="M1870" s="2">
        <f t="shared" si="729"/>
        <v>0.28791516627626246</v>
      </c>
      <c r="N1870" s="2">
        <f t="shared" si="730"/>
        <v>0.71208483372373754</v>
      </c>
    </row>
    <row r="1871" spans="1:14" x14ac:dyDescent="0.35">
      <c r="A1871" t="s">
        <v>34</v>
      </c>
      <c r="B1871" t="s">
        <v>27</v>
      </c>
      <c r="C1871">
        <v>2013</v>
      </c>
      <c r="D1871" t="s">
        <v>33</v>
      </c>
      <c r="E1871" s="1">
        <f t="shared" ref="E1871:F1871" si="753">SUM(E1103+E1295+E1487+E1679)</f>
        <v>899798</v>
      </c>
      <c r="F1871" s="1">
        <f t="shared" si="753"/>
        <v>1403453</v>
      </c>
      <c r="G1871" s="1">
        <f t="shared" si="700"/>
        <v>2303251</v>
      </c>
      <c r="H1871" s="2">
        <f t="shared" si="701"/>
        <v>0.39066432620673996</v>
      </c>
      <c r="I1871" s="2">
        <f t="shared" si="702"/>
        <v>0.60933567379326004</v>
      </c>
      <c r="J1871" s="1">
        <f t="shared" ref="J1871:K1871" si="754">SUM(J1103+J1295+J1487+J1679)</f>
        <v>2209612.83</v>
      </c>
      <c r="K1871" s="1">
        <f t="shared" si="754"/>
        <v>5383732.2000000002</v>
      </c>
      <c r="L1871" s="1">
        <f t="shared" si="728"/>
        <v>7593345.0300000003</v>
      </c>
      <c r="M1871" s="2">
        <f t="shared" si="729"/>
        <v>0.29099333972975017</v>
      </c>
      <c r="N1871" s="2">
        <f t="shared" si="730"/>
        <v>0.70900666027024983</v>
      </c>
    </row>
    <row r="1872" spans="1:14" x14ac:dyDescent="0.35">
      <c r="A1872" t="s">
        <v>34</v>
      </c>
      <c r="B1872" t="s">
        <v>28</v>
      </c>
      <c r="C1872">
        <v>2013</v>
      </c>
      <c r="D1872" t="s">
        <v>33</v>
      </c>
      <c r="E1872" s="1">
        <f t="shared" ref="E1872:F1872" si="755">SUM(E1104+E1296+E1488+E1680)</f>
        <v>897067</v>
      </c>
      <c r="F1872" s="1">
        <f t="shared" si="755"/>
        <v>1418679</v>
      </c>
      <c r="G1872" s="1">
        <f t="shared" si="700"/>
        <v>2315746</v>
      </c>
      <c r="H1872" s="2">
        <f t="shared" si="701"/>
        <v>0.38737711303398559</v>
      </c>
      <c r="I1872" s="2">
        <f t="shared" si="702"/>
        <v>0.61262288696601441</v>
      </c>
      <c r="J1872" s="1">
        <f t="shared" ref="J1872:K1872" si="756">SUM(J1104+J1296+J1488+J1680)</f>
        <v>1708222.53</v>
      </c>
      <c r="K1872" s="1">
        <f t="shared" si="756"/>
        <v>4575100.74</v>
      </c>
      <c r="L1872" s="1">
        <f t="shared" si="728"/>
        <v>6283323.2700000005</v>
      </c>
      <c r="M1872" s="2">
        <f t="shared" si="729"/>
        <v>0.27186609006033202</v>
      </c>
      <c r="N1872" s="2">
        <f t="shared" si="730"/>
        <v>0.72813390993966798</v>
      </c>
    </row>
    <row r="1873" spans="1:14" x14ac:dyDescent="0.35">
      <c r="A1873" t="s">
        <v>34</v>
      </c>
      <c r="B1873" t="s">
        <v>29</v>
      </c>
      <c r="C1873">
        <v>2013</v>
      </c>
      <c r="D1873" t="s">
        <v>33</v>
      </c>
      <c r="E1873" s="1">
        <f t="shared" ref="E1873:F1873" si="757">SUM(E1105+E1297+E1489+E1681)</f>
        <v>895770</v>
      </c>
      <c r="F1873" s="1">
        <f t="shared" si="757"/>
        <v>1407739</v>
      </c>
      <c r="G1873" s="1">
        <f t="shared" si="700"/>
        <v>2303509</v>
      </c>
      <c r="H1873" s="2">
        <f t="shared" si="701"/>
        <v>0.38887193407970189</v>
      </c>
      <c r="I1873" s="2">
        <f t="shared" si="702"/>
        <v>0.61112806592029811</v>
      </c>
      <c r="J1873" s="1">
        <f t="shared" ref="J1873:K1873" si="758">SUM(J1105+J1297+J1489+J1681)</f>
        <v>1571803.4900000002</v>
      </c>
      <c r="K1873" s="1">
        <f t="shared" si="758"/>
        <v>4389718.08</v>
      </c>
      <c r="L1873" s="1">
        <f t="shared" si="728"/>
        <v>5961521.5700000003</v>
      </c>
      <c r="M1873" s="2">
        <f t="shared" si="729"/>
        <v>0.26365810666688572</v>
      </c>
      <c r="N1873" s="2">
        <f t="shared" si="730"/>
        <v>0.73634189333311428</v>
      </c>
    </row>
    <row r="1874" spans="1:14" x14ac:dyDescent="0.35">
      <c r="A1874" t="s">
        <v>34</v>
      </c>
      <c r="B1874" t="s">
        <v>17</v>
      </c>
      <c r="C1874">
        <v>2014</v>
      </c>
      <c r="D1874" t="s">
        <v>33</v>
      </c>
      <c r="E1874" s="1">
        <f t="shared" ref="E1874:F1874" si="759">SUM(E1106+E1298+E1490+E1682)</f>
        <v>895382</v>
      </c>
      <c r="F1874" s="1">
        <f t="shared" si="759"/>
        <v>1408887</v>
      </c>
      <c r="G1874" s="1">
        <f t="shared" si="700"/>
        <v>2304269</v>
      </c>
      <c r="H1874" s="2">
        <f t="shared" si="701"/>
        <v>0.3885752922076372</v>
      </c>
      <c r="I1874" s="2">
        <f t="shared" si="702"/>
        <v>0.6114247077923628</v>
      </c>
      <c r="J1874" s="1">
        <f t="shared" ref="J1874:K1874" si="760">SUM(J1106+J1298+J1490+J1682)</f>
        <v>1784820.13</v>
      </c>
      <c r="K1874" s="1">
        <f t="shared" si="760"/>
        <v>4673111.53</v>
      </c>
      <c r="L1874" s="1">
        <f t="shared" si="728"/>
        <v>6457931.6600000001</v>
      </c>
      <c r="M1874" s="2">
        <f t="shared" si="729"/>
        <v>0.27637643505196213</v>
      </c>
      <c r="N1874" s="2">
        <f t="shared" si="730"/>
        <v>0.72362356494803792</v>
      </c>
    </row>
    <row r="1875" spans="1:14" x14ac:dyDescent="0.35">
      <c r="A1875" t="s">
        <v>34</v>
      </c>
      <c r="B1875" t="s">
        <v>19</v>
      </c>
      <c r="C1875">
        <v>2014</v>
      </c>
      <c r="D1875" t="s">
        <v>33</v>
      </c>
      <c r="E1875" s="1">
        <f t="shared" ref="E1875:F1875" si="761">SUM(E1107+E1299+E1491+E1683)</f>
        <v>890538</v>
      </c>
      <c r="F1875" s="1">
        <f t="shared" si="761"/>
        <v>1418300</v>
      </c>
      <c r="G1875" s="1">
        <f t="shared" si="700"/>
        <v>2308838</v>
      </c>
      <c r="H1875" s="2">
        <f t="shared" si="701"/>
        <v>0.38570830868168315</v>
      </c>
      <c r="I1875" s="2">
        <f t="shared" si="702"/>
        <v>0.61429169131831685</v>
      </c>
      <c r="J1875" s="1">
        <f t="shared" ref="J1875:K1875" si="762">SUM(J1107+J1299+J1491+J1683)</f>
        <v>1624670.21</v>
      </c>
      <c r="K1875" s="1">
        <f t="shared" si="762"/>
        <v>4597489.7299999995</v>
      </c>
      <c r="L1875" s="1">
        <f t="shared" si="728"/>
        <v>6222159.9399999995</v>
      </c>
      <c r="M1875" s="2">
        <f t="shared" si="729"/>
        <v>0.26111032594253758</v>
      </c>
      <c r="N1875" s="2">
        <f t="shared" si="730"/>
        <v>0.73888967405746242</v>
      </c>
    </row>
    <row r="1876" spans="1:14" x14ac:dyDescent="0.35">
      <c r="A1876" t="s">
        <v>34</v>
      </c>
      <c r="B1876" t="s">
        <v>20</v>
      </c>
      <c r="C1876">
        <v>2014</v>
      </c>
      <c r="D1876" t="s">
        <v>33</v>
      </c>
      <c r="E1876" s="1">
        <f t="shared" ref="E1876:F1876" si="763">SUM(E1108+E1300+E1492+E1684)</f>
        <v>887956</v>
      </c>
      <c r="F1876" s="1">
        <f t="shared" si="763"/>
        <v>1429972</v>
      </c>
      <c r="G1876" s="1">
        <f t="shared" si="700"/>
        <v>2317928</v>
      </c>
      <c r="H1876" s="2">
        <f t="shared" si="701"/>
        <v>0.38308178683720978</v>
      </c>
      <c r="I1876" s="2">
        <f t="shared" si="702"/>
        <v>0.61691821316279016</v>
      </c>
      <c r="J1876" s="1">
        <f t="shared" ref="J1876:K1876" si="764">SUM(J1108+J1300+J1492+J1684)</f>
        <v>1498355.17</v>
      </c>
      <c r="K1876" s="1">
        <f t="shared" si="764"/>
        <v>4272225.04</v>
      </c>
      <c r="L1876" s="1">
        <f t="shared" si="728"/>
        <v>5770580.21</v>
      </c>
      <c r="M1876" s="2">
        <f t="shared" si="729"/>
        <v>0.25965416222851528</v>
      </c>
      <c r="N1876" s="2">
        <f t="shared" si="730"/>
        <v>0.74034583777148466</v>
      </c>
    </row>
    <row r="1877" spans="1:14" x14ac:dyDescent="0.35">
      <c r="A1877" t="s">
        <v>34</v>
      </c>
      <c r="B1877" t="s">
        <v>21</v>
      </c>
      <c r="C1877">
        <v>2014</v>
      </c>
      <c r="D1877" t="s">
        <v>33</v>
      </c>
      <c r="E1877" s="1">
        <f t="shared" ref="E1877:F1877" si="765">SUM(E1109+E1301+E1493+E1685)</f>
        <v>886767</v>
      </c>
      <c r="F1877" s="1">
        <f t="shared" si="765"/>
        <v>1441316</v>
      </c>
      <c r="G1877" s="1">
        <f t="shared" si="700"/>
        <v>2328083</v>
      </c>
      <c r="H1877" s="2">
        <f t="shared" si="701"/>
        <v>0.38090007959338218</v>
      </c>
      <c r="I1877" s="2">
        <f t="shared" si="702"/>
        <v>0.61909992040661777</v>
      </c>
      <c r="J1877" s="1">
        <f t="shared" ref="J1877:K1877" si="766">SUM(J1109+J1301+J1493+J1685)</f>
        <v>1365283.9400000002</v>
      </c>
      <c r="K1877" s="1">
        <f t="shared" si="766"/>
        <v>4154418.9800000004</v>
      </c>
      <c r="L1877" s="1">
        <f t="shared" si="728"/>
        <v>5519702.9200000009</v>
      </c>
      <c r="M1877" s="2">
        <f t="shared" si="729"/>
        <v>0.24734735904953375</v>
      </c>
      <c r="N1877" s="2">
        <f t="shared" si="730"/>
        <v>0.75265264095046613</v>
      </c>
    </row>
    <row r="1878" spans="1:14" x14ac:dyDescent="0.35">
      <c r="A1878" t="s">
        <v>34</v>
      </c>
      <c r="B1878" t="s">
        <v>22</v>
      </c>
      <c r="C1878">
        <v>2014</v>
      </c>
      <c r="D1878" t="s">
        <v>33</v>
      </c>
      <c r="E1878" s="1">
        <f t="shared" ref="E1878:F1878" si="767">SUM(E1110+E1302+E1494+E1686)</f>
        <v>885924</v>
      </c>
      <c r="F1878" s="1">
        <f t="shared" si="767"/>
        <v>1444819</v>
      </c>
      <c r="G1878" s="1">
        <f t="shared" si="700"/>
        <v>2330743</v>
      </c>
      <c r="H1878" s="2">
        <f t="shared" si="701"/>
        <v>0.38010368367511993</v>
      </c>
      <c r="I1878" s="2">
        <f t="shared" si="702"/>
        <v>0.61989631632488007</v>
      </c>
      <c r="J1878" s="1">
        <f t="shared" ref="J1878:K1878" si="768">SUM(J1110+J1302+J1494+J1686)</f>
        <v>1547199.9200000002</v>
      </c>
      <c r="K1878" s="1">
        <f t="shared" si="768"/>
        <v>4458710.59</v>
      </c>
      <c r="L1878" s="1">
        <f t="shared" si="728"/>
        <v>6005910.5099999998</v>
      </c>
      <c r="M1878" s="2">
        <f t="shared" si="729"/>
        <v>0.25761288274673283</v>
      </c>
      <c r="N1878" s="2">
        <f t="shared" si="730"/>
        <v>0.74238711725326723</v>
      </c>
    </row>
    <row r="1879" spans="1:14" x14ac:dyDescent="0.35">
      <c r="A1879" t="s">
        <v>34</v>
      </c>
      <c r="B1879" t="s">
        <v>23</v>
      </c>
      <c r="C1879">
        <v>2014</v>
      </c>
      <c r="D1879" t="s">
        <v>33</v>
      </c>
      <c r="E1879" s="1">
        <f t="shared" ref="E1879:F1879" si="769">SUM(E1111+E1303+E1495+E1687)</f>
        <v>886407</v>
      </c>
      <c r="F1879" s="1">
        <f t="shared" si="769"/>
        <v>1456915</v>
      </c>
      <c r="G1879" s="1">
        <f t="shared" si="700"/>
        <v>2343322</v>
      </c>
      <c r="H1879" s="2">
        <f t="shared" si="701"/>
        <v>0.37826939703549062</v>
      </c>
      <c r="I1879" s="2">
        <f t="shared" si="702"/>
        <v>0.62173060296450933</v>
      </c>
      <c r="J1879" s="1">
        <f t="shared" ref="J1879:K1879" si="770">SUM(J1111+J1303+J1495+J1687)</f>
        <v>1811929.6000000003</v>
      </c>
      <c r="K1879" s="1">
        <f t="shared" si="770"/>
        <v>5194779.1900000004</v>
      </c>
      <c r="L1879" s="1">
        <f t="shared" si="728"/>
        <v>7006708.790000001</v>
      </c>
      <c r="M1879" s="2">
        <f t="shared" si="729"/>
        <v>0.25859924456771949</v>
      </c>
      <c r="N1879" s="2">
        <f t="shared" si="730"/>
        <v>0.74140075543228046</v>
      </c>
    </row>
    <row r="1880" spans="1:14" x14ac:dyDescent="0.35">
      <c r="A1880" t="s">
        <v>34</v>
      </c>
      <c r="B1880" t="s">
        <v>24</v>
      </c>
      <c r="C1880">
        <v>2014</v>
      </c>
      <c r="D1880" t="s">
        <v>33</v>
      </c>
      <c r="E1880" s="1">
        <f t="shared" ref="E1880:F1880" si="771">SUM(E1112+E1304+E1496+E1688)</f>
        <v>885424</v>
      </c>
      <c r="F1880" s="1">
        <f t="shared" si="771"/>
        <v>1469120</v>
      </c>
      <c r="G1880" s="1">
        <f t="shared" si="700"/>
        <v>2354544</v>
      </c>
      <c r="H1880" s="2">
        <f t="shared" si="701"/>
        <v>0.37604903539708751</v>
      </c>
      <c r="I1880" s="2">
        <f t="shared" si="702"/>
        <v>0.62395096460291255</v>
      </c>
      <c r="J1880" s="1">
        <f t="shared" ref="J1880:K1880" si="772">SUM(J1112+J1304+J1496+J1688)</f>
        <v>2116904.1799999997</v>
      </c>
      <c r="K1880" s="1">
        <f t="shared" si="772"/>
        <v>5798660.4199999999</v>
      </c>
      <c r="L1880" s="1">
        <f t="shared" si="728"/>
        <v>7915564.5999999996</v>
      </c>
      <c r="M1880" s="2">
        <f t="shared" si="729"/>
        <v>0.26743565203169462</v>
      </c>
      <c r="N1880" s="2">
        <f t="shared" si="730"/>
        <v>0.73256434796830538</v>
      </c>
    </row>
    <row r="1881" spans="1:14" x14ac:dyDescent="0.35">
      <c r="A1881" t="s">
        <v>34</v>
      </c>
      <c r="B1881" t="s">
        <v>25</v>
      </c>
      <c r="C1881">
        <v>2014</v>
      </c>
      <c r="D1881" t="s">
        <v>33</v>
      </c>
      <c r="E1881" s="1">
        <f t="shared" ref="E1881:F1881" si="773">SUM(E1113+E1305+E1497+E1689)</f>
        <v>883824</v>
      </c>
      <c r="F1881" s="1">
        <f t="shared" si="773"/>
        <v>1468529</v>
      </c>
      <c r="G1881" s="1">
        <f t="shared" si="700"/>
        <v>2352353</v>
      </c>
      <c r="H1881" s="2">
        <f t="shared" si="701"/>
        <v>0.37571912038711874</v>
      </c>
      <c r="I1881" s="2">
        <f t="shared" si="702"/>
        <v>0.62428087961288126</v>
      </c>
      <c r="J1881" s="1">
        <f t="shared" ref="J1881:K1881" si="774">SUM(J1113+J1305+J1497+J1689)</f>
        <v>2191659.98</v>
      </c>
      <c r="K1881" s="1">
        <f t="shared" si="774"/>
        <v>6124367.4399999995</v>
      </c>
      <c r="L1881" s="1">
        <f t="shared" si="728"/>
        <v>8316027.4199999999</v>
      </c>
      <c r="M1881" s="2">
        <f t="shared" si="729"/>
        <v>0.26354650716146871</v>
      </c>
      <c r="N1881" s="2">
        <f t="shared" si="730"/>
        <v>0.73645349283853123</v>
      </c>
    </row>
    <row r="1882" spans="1:14" x14ac:dyDescent="0.35">
      <c r="A1882" t="s">
        <v>34</v>
      </c>
      <c r="B1882" t="s">
        <v>26</v>
      </c>
      <c r="C1882">
        <v>2014</v>
      </c>
      <c r="D1882" t="s">
        <v>33</v>
      </c>
      <c r="E1882" s="1">
        <f t="shared" ref="E1882:F1882" si="775">SUM(E1114+E1306+E1498+E1690)</f>
        <v>883350</v>
      </c>
      <c r="F1882" s="1">
        <f t="shared" si="775"/>
        <v>1470339</v>
      </c>
      <c r="G1882" s="1">
        <f t="shared" si="700"/>
        <v>2353689</v>
      </c>
      <c r="H1882" s="2">
        <f t="shared" si="701"/>
        <v>0.37530446885718549</v>
      </c>
      <c r="I1882" s="2">
        <f t="shared" si="702"/>
        <v>0.62469553114281451</v>
      </c>
      <c r="J1882" s="1">
        <f t="shared" ref="J1882:K1882" si="776">SUM(J1114+J1306+J1498+J1690)</f>
        <v>2234245.85</v>
      </c>
      <c r="K1882" s="1">
        <f t="shared" si="776"/>
        <v>6339905.6100000003</v>
      </c>
      <c r="L1882" s="1">
        <f t="shared" si="728"/>
        <v>8574151.4600000009</v>
      </c>
      <c r="M1882" s="2">
        <f t="shared" si="729"/>
        <v>0.26057923754008422</v>
      </c>
      <c r="N1882" s="2">
        <f t="shared" si="730"/>
        <v>0.73942076245991573</v>
      </c>
    </row>
    <row r="1883" spans="1:14" x14ac:dyDescent="0.35">
      <c r="A1883" t="s">
        <v>34</v>
      </c>
      <c r="B1883" t="s">
        <v>27</v>
      </c>
      <c r="C1883">
        <v>2014</v>
      </c>
      <c r="D1883" t="s">
        <v>33</v>
      </c>
      <c r="E1883" s="1">
        <f t="shared" ref="E1883:F1883" si="777">SUM(E1115+E1307+E1499+E1691)</f>
        <v>882200</v>
      </c>
      <c r="F1883" s="1">
        <f t="shared" si="777"/>
        <v>1473769</v>
      </c>
      <c r="G1883" s="1">
        <f t="shared" si="700"/>
        <v>2355969</v>
      </c>
      <c r="H1883" s="2">
        <f t="shared" si="701"/>
        <v>0.37445314433254429</v>
      </c>
      <c r="I1883" s="2">
        <f t="shared" si="702"/>
        <v>0.62554685566745571</v>
      </c>
      <c r="J1883" s="1">
        <f t="shared" ref="J1883:K1883" si="778">SUM(J1115+J1307+J1499+J1691)</f>
        <v>1914578.45</v>
      </c>
      <c r="K1883" s="1">
        <f t="shared" si="778"/>
        <v>5646524.3600000003</v>
      </c>
      <c r="L1883" s="1">
        <f t="shared" si="728"/>
        <v>7561102.8100000005</v>
      </c>
      <c r="M1883" s="2">
        <f t="shared" si="729"/>
        <v>0.25321418027378995</v>
      </c>
      <c r="N1883" s="2">
        <f t="shared" si="730"/>
        <v>0.74678581972621005</v>
      </c>
    </row>
    <row r="1884" spans="1:14" x14ac:dyDescent="0.35">
      <c r="A1884" t="s">
        <v>34</v>
      </c>
      <c r="B1884" t="s">
        <v>28</v>
      </c>
      <c r="C1884">
        <v>2014</v>
      </c>
      <c r="D1884" t="s">
        <v>33</v>
      </c>
      <c r="E1884" s="1">
        <f t="shared" ref="E1884:F1884" si="779">SUM(E1116+E1308+E1500+E1692)</f>
        <v>878901</v>
      </c>
      <c r="F1884" s="1">
        <f t="shared" si="779"/>
        <v>1475603</v>
      </c>
      <c r="G1884" s="1">
        <f t="shared" si="700"/>
        <v>2354504</v>
      </c>
      <c r="H1884" s="2">
        <f t="shared" si="701"/>
        <v>0.373284989110233</v>
      </c>
      <c r="I1884" s="2">
        <f t="shared" si="702"/>
        <v>0.626715010889767</v>
      </c>
      <c r="J1884" s="1">
        <f t="shared" ref="J1884:K1884" si="780">SUM(J1116+J1308+J1500+J1692)</f>
        <v>1598059.5699999998</v>
      </c>
      <c r="K1884" s="1">
        <f t="shared" si="780"/>
        <v>5025726.2399999993</v>
      </c>
      <c r="L1884" s="1">
        <f t="shared" si="728"/>
        <v>6623785.8099999987</v>
      </c>
      <c r="M1884" s="2">
        <f t="shared" si="729"/>
        <v>0.24126075568255734</v>
      </c>
      <c r="N1884" s="2">
        <f t="shared" si="730"/>
        <v>0.75873924431744277</v>
      </c>
    </row>
    <row r="1885" spans="1:14" x14ac:dyDescent="0.35">
      <c r="A1885" t="s">
        <v>34</v>
      </c>
      <c r="B1885" t="s">
        <v>29</v>
      </c>
      <c r="C1885">
        <v>2014</v>
      </c>
      <c r="D1885" t="s">
        <v>33</v>
      </c>
      <c r="E1885" s="1">
        <f t="shared" ref="E1885:F1885" si="781">SUM(E1117+E1309+E1501+E1693)</f>
        <v>876082</v>
      </c>
      <c r="F1885" s="1">
        <f t="shared" si="781"/>
        <v>1479735</v>
      </c>
      <c r="G1885" s="1">
        <f t="shared" si="700"/>
        <v>2355817</v>
      </c>
      <c r="H1885" s="2">
        <f t="shared" si="701"/>
        <v>0.37188032856541914</v>
      </c>
      <c r="I1885" s="2">
        <f t="shared" si="702"/>
        <v>0.62811967143458092</v>
      </c>
      <c r="J1885" s="1">
        <f t="shared" ref="J1885:K1885" si="782">SUM(J1117+J1309+J1501+J1693)</f>
        <v>1381473.19</v>
      </c>
      <c r="K1885" s="1">
        <f t="shared" si="782"/>
        <v>4670615.47</v>
      </c>
      <c r="L1885" s="1">
        <f t="shared" si="728"/>
        <v>6052088.6600000001</v>
      </c>
      <c r="M1885" s="2">
        <f t="shared" si="729"/>
        <v>0.22826387179859983</v>
      </c>
      <c r="N1885" s="2">
        <f t="shared" si="730"/>
        <v>0.77173612820140003</v>
      </c>
    </row>
    <row r="1886" spans="1:14" x14ac:dyDescent="0.35">
      <c r="A1886" t="s">
        <v>34</v>
      </c>
      <c r="B1886" t="s">
        <v>17</v>
      </c>
      <c r="C1886">
        <v>2015</v>
      </c>
      <c r="D1886" t="s">
        <v>33</v>
      </c>
      <c r="E1886" s="1">
        <f t="shared" ref="E1886:F1886" si="783">SUM(E1118+E1310+E1502+E1694)</f>
        <v>874317</v>
      </c>
      <c r="F1886" s="1">
        <f t="shared" si="783"/>
        <v>1484817</v>
      </c>
      <c r="G1886" s="1">
        <f t="shared" si="700"/>
        <v>2359134</v>
      </c>
      <c r="H1886" s="2">
        <f t="shared" si="701"/>
        <v>0.37060929985325125</v>
      </c>
      <c r="I1886" s="2">
        <f t="shared" si="702"/>
        <v>0.6293907001467488</v>
      </c>
      <c r="J1886" s="1">
        <f t="shared" ref="J1886:K1886" si="784">SUM(J1118+J1310+J1502+J1694)</f>
        <v>1523818.03</v>
      </c>
      <c r="K1886" s="1">
        <f t="shared" si="784"/>
        <v>4862135.4000000004</v>
      </c>
      <c r="L1886" s="1">
        <f t="shared" si="728"/>
        <v>6385953.4300000006</v>
      </c>
      <c r="M1886" s="2">
        <f t="shared" si="729"/>
        <v>0.23862028539722688</v>
      </c>
      <c r="N1886" s="2">
        <f t="shared" si="730"/>
        <v>0.76137971460277309</v>
      </c>
    </row>
    <row r="1887" spans="1:14" x14ac:dyDescent="0.35">
      <c r="A1887" t="s">
        <v>34</v>
      </c>
      <c r="B1887" t="s">
        <v>19</v>
      </c>
      <c r="C1887">
        <v>2015</v>
      </c>
      <c r="D1887" t="s">
        <v>33</v>
      </c>
      <c r="E1887" s="1">
        <f t="shared" ref="E1887:F1887" si="785">SUM(E1119+E1311+E1503+E1695)</f>
        <v>872479</v>
      </c>
      <c r="F1887" s="1">
        <f t="shared" si="785"/>
        <v>1491769</v>
      </c>
      <c r="G1887" s="1">
        <f t="shared" si="700"/>
        <v>2364248</v>
      </c>
      <c r="H1887" s="2">
        <f t="shared" si="701"/>
        <v>0.36903023709864619</v>
      </c>
      <c r="I1887" s="2">
        <f t="shared" si="702"/>
        <v>0.63096976290135387</v>
      </c>
      <c r="J1887" s="1">
        <f t="shared" ref="J1887:K1887" si="786">SUM(J1119+J1311+J1503+J1695)</f>
        <v>1475983.33</v>
      </c>
      <c r="K1887" s="1">
        <f t="shared" si="786"/>
        <v>4537085.34</v>
      </c>
      <c r="L1887" s="1">
        <f t="shared" si="728"/>
        <v>6013068.6699999999</v>
      </c>
      <c r="M1887" s="2">
        <f t="shared" si="729"/>
        <v>0.24546257676448591</v>
      </c>
      <c r="N1887" s="2">
        <f t="shared" si="730"/>
        <v>0.75453742323551409</v>
      </c>
    </row>
    <row r="1888" spans="1:14" x14ac:dyDescent="0.35">
      <c r="A1888" t="s">
        <v>34</v>
      </c>
      <c r="B1888" t="s">
        <v>20</v>
      </c>
      <c r="C1888">
        <v>2015</v>
      </c>
      <c r="D1888" t="s">
        <v>33</v>
      </c>
      <c r="E1888" s="1">
        <f t="shared" ref="E1888:F1888" si="787">SUM(E1120+E1312+E1504+E1696)</f>
        <v>871689</v>
      </c>
      <c r="F1888" s="1">
        <f t="shared" si="787"/>
        <v>1501488</v>
      </c>
      <c r="G1888" s="1">
        <f t="shared" si="700"/>
        <v>2373177</v>
      </c>
      <c r="H1888" s="2">
        <f t="shared" si="701"/>
        <v>0.36730888593644723</v>
      </c>
      <c r="I1888" s="2">
        <f t="shared" si="702"/>
        <v>0.63269111406355283</v>
      </c>
      <c r="J1888" s="1">
        <f t="shared" ref="J1888:K1888" si="788">SUM(J1120+J1312+J1504+J1696)</f>
        <v>1410421.7799999998</v>
      </c>
      <c r="K1888" s="1">
        <f t="shared" si="788"/>
        <v>4713329.79</v>
      </c>
      <c r="L1888" s="1">
        <f t="shared" si="728"/>
        <v>6123751.5700000003</v>
      </c>
      <c r="M1888" s="2">
        <f t="shared" si="729"/>
        <v>0.23031988869528874</v>
      </c>
      <c r="N1888" s="2">
        <f t="shared" si="730"/>
        <v>0.76968011130471115</v>
      </c>
    </row>
    <row r="1889" spans="1:14" x14ac:dyDescent="0.35">
      <c r="A1889" t="s">
        <v>34</v>
      </c>
      <c r="B1889" t="s">
        <v>21</v>
      </c>
      <c r="C1889">
        <v>2015</v>
      </c>
      <c r="D1889" t="s">
        <v>33</v>
      </c>
      <c r="E1889" s="1">
        <f t="shared" ref="E1889:F1889" si="789">SUM(E1121+E1313+E1505+E1697)</f>
        <v>870971</v>
      </c>
      <c r="F1889" s="1">
        <f t="shared" si="789"/>
        <v>1507873</v>
      </c>
      <c r="G1889" s="1">
        <f t="shared" si="700"/>
        <v>2378844</v>
      </c>
      <c r="H1889" s="2">
        <f t="shared" si="701"/>
        <v>0.36613203724161819</v>
      </c>
      <c r="I1889" s="2">
        <f t="shared" si="702"/>
        <v>0.63386796275838175</v>
      </c>
      <c r="J1889" s="1">
        <f t="shared" ref="J1889:K1889" si="790">SUM(J1121+J1313+J1505+J1697)</f>
        <v>1353826.53</v>
      </c>
      <c r="K1889" s="1">
        <f t="shared" si="790"/>
        <v>4649058.459999999</v>
      </c>
      <c r="L1889" s="1">
        <f t="shared" si="728"/>
        <v>6002884.9899999993</v>
      </c>
      <c r="M1889" s="2">
        <f t="shared" si="729"/>
        <v>0.22552931336437285</v>
      </c>
      <c r="N1889" s="2">
        <f t="shared" si="730"/>
        <v>0.77447068663562713</v>
      </c>
    </row>
    <row r="1890" spans="1:14" x14ac:dyDescent="0.35">
      <c r="A1890" t="s">
        <v>34</v>
      </c>
      <c r="B1890" t="s">
        <v>22</v>
      </c>
      <c r="C1890">
        <v>2015</v>
      </c>
      <c r="D1890" t="s">
        <v>33</v>
      </c>
      <c r="E1890" s="1">
        <f t="shared" ref="E1890:F1890" si="791">SUM(E1122+E1314+E1506+E1698)</f>
        <v>869818</v>
      </c>
      <c r="F1890" s="1">
        <f t="shared" si="791"/>
        <v>1513203</v>
      </c>
      <c r="G1890" s="1">
        <f t="shared" si="700"/>
        <v>2383021</v>
      </c>
      <c r="H1890" s="2">
        <f t="shared" si="701"/>
        <v>0.36500643510904857</v>
      </c>
      <c r="I1890" s="2">
        <f t="shared" si="702"/>
        <v>0.63499356489095149</v>
      </c>
      <c r="J1890" s="1">
        <f t="shared" ref="J1890:K1890" si="792">SUM(J1122+J1314+J1506+J1698)</f>
        <v>1460566.78</v>
      </c>
      <c r="K1890" s="1">
        <f t="shared" si="792"/>
        <v>4902000.0000000009</v>
      </c>
      <c r="L1890" s="1">
        <f t="shared" si="728"/>
        <v>6362566.7800000012</v>
      </c>
      <c r="M1890" s="2">
        <f t="shared" si="729"/>
        <v>0.22955622007632581</v>
      </c>
      <c r="N1890" s="2">
        <f t="shared" si="730"/>
        <v>0.77044377992367419</v>
      </c>
    </row>
    <row r="1891" spans="1:14" x14ac:dyDescent="0.35">
      <c r="A1891" t="s">
        <v>34</v>
      </c>
      <c r="B1891" t="s">
        <v>23</v>
      </c>
      <c r="C1891">
        <v>2015</v>
      </c>
      <c r="D1891" t="s">
        <v>33</v>
      </c>
      <c r="E1891" s="1">
        <f t="shared" ref="E1891:F1891" si="793">SUM(E1123+E1315+E1507+E1699)</f>
        <v>868624</v>
      </c>
      <c r="F1891" s="1">
        <f t="shared" si="793"/>
        <v>1525326</v>
      </c>
      <c r="G1891" s="1">
        <f t="shared" si="700"/>
        <v>2393950</v>
      </c>
      <c r="H1891" s="2">
        <f t="shared" si="701"/>
        <v>0.36284132918398465</v>
      </c>
      <c r="I1891" s="2">
        <f t="shared" si="702"/>
        <v>0.6371586708160154</v>
      </c>
      <c r="J1891" s="1">
        <f t="shared" ref="J1891:K1891" si="794">SUM(J1123+J1315+J1507+J1699)</f>
        <v>1730584.8800000001</v>
      </c>
      <c r="K1891" s="1">
        <f t="shared" si="794"/>
        <v>5690677.4100000001</v>
      </c>
      <c r="L1891" s="1">
        <f t="shared" si="728"/>
        <v>7421262.29</v>
      </c>
      <c r="M1891" s="2">
        <f t="shared" si="729"/>
        <v>0.23319279286650843</v>
      </c>
      <c r="N1891" s="2">
        <f t="shared" si="730"/>
        <v>0.7668072071334916</v>
      </c>
    </row>
    <row r="1892" spans="1:14" x14ac:dyDescent="0.35">
      <c r="A1892" t="s">
        <v>34</v>
      </c>
      <c r="B1892" t="s">
        <v>24</v>
      </c>
      <c r="C1892">
        <v>2015</v>
      </c>
      <c r="D1892" t="s">
        <v>33</v>
      </c>
      <c r="E1892" s="1">
        <f t="shared" ref="E1892:F1892" si="795">SUM(E1124+E1316+E1508+E1700)</f>
        <v>863425</v>
      </c>
      <c r="F1892" s="1">
        <f t="shared" si="795"/>
        <v>1538847</v>
      </c>
      <c r="G1892" s="1">
        <f t="shared" si="700"/>
        <v>2402272</v>
      </c>
      <c r="H1892" s="2">
        <f t="shared" si="701"/>
        <v>0.35942016557658751</v>
      </c>
      <c r="I1892" s="2">
        <f t="shared" si="702"/>
        <v>0.64057983442341249</v>
      </c>
      <c r="J1892" s="1">
        <f t="shared" ref="J1892:K1892" si="796">SUM(J1124+J1316+J1508+J1700)</f>
        <v>2001173.0999999999</v>
      </c>
      <c r="K1892" s="1">
        <f t="shared" si="796"/>
        <v>6212622.8200000012</v>
      </c>
      <c r="L1892" s="1">
        <f t="shared" si="728"/>
        <v>8213795.9200000009</v>
      </c>
      <c r="M1892" s="2">
        <f t="shared" si="729"/>
        <v>0.24363560033519796</v>
      </c>
      <c r="N1892" s="2">
        <f t="shared" si="730"/>
        <v>0.75636439966480207</v>
      </c>
    </row>
    <row r="1893" spans="1:14" x14ac:dyDescent="0.35">
      <c r="A1893" t="s">
        <v>34</v>
      </c>
      <c r="B1893" t="s">
        <v>25</v>
      </c>
      <c r="C1893">
        <v>2015</v>
      </c>
      <c r="D1893" t="s">
        <v>33</v>
      </c>
      <c r="E1893" s="1">
        <f t="shared" ref="E1893:F1893" si="797">SUM(E1125+E1317+E1509+E1701)</f>
        <v>857588</v>
      </c>
      <c r="F1893" s="1">
        <f t="shared" si="797"/>
        <v>1547179</v>
      </c>
      <c r="G1893" s="1">
        <f t="shared" si="700"/>
        <v>2404767</v>
      </c>
      <c r="H1893" s="2">
        <f t="shared" si="701"/>
        <v>0.35661999686456108</v>
      </c>
      <c r="I1893" s="2">
        <f t="shared" si="702"/>
        <v>0.64338000313543886</v>
      </c>
      <c r="J1893" s="1">
        <f t="shared" ref="J1893:K1893" si="798">SUM(J1125+J1317+J1509+J1701)</f>
        <v>2279836.0299999998</v>
      </c>
      <c r="K1893" s="1">
        <f t="shared" si="798"/>
        <v>6850932.1899999995</v>
      </c>
      <c r="L1893" s="1">
        <f t="shared" si="728"/>
        <v>9130768.2199999988</v>
      </c>
      <c r="M1893" s="2">
        <f t="shared" si="729"/>
        <v>0.24968720868483507</v>
      </c>
      <c r="N1893" s="2">
        <f t="shared" si="730"/>
        <v>0.75031279131516493</v>
      </c>
    </row>
    <row r="1894" spans="1:14" x14ac:dyDescent="0.35">
      <c r="A1894" t="s">
        <v>34</v>
      </c>
      <c r="B1894" t="s">
        <v>26</v>
      </c>
      <c r="C1894">
        <v>2015</v>
      </c>
      <c r="D1894" t="s">
        <v>33</v>
      </c>
      <c r="E1894" s="1">
        <f t="shared" ref="E1894:F1894" si="799">SUM(E1126+E1318+E1510+E1702)</f>
        <v>854351</v>
      </c>
      <c r="F1894" s="1">
        <f t="shared" si="799"/>
        <v>1550997</v>
      </c>
      <c r="G1894" s="1">
        <f t="shared" si="700"/>
        <v>2405348</v>
      </c>
      <c r="H1894" s="2">
        <f t="shared" si="701"/>
        <v>0.35518810583749211</v>
      </c>
      <c r="I1894" s="2">
        <f t="shared" si="702"/>
        <v>0.64481189416250784</v>
      </c>
      <c r="J1894" s="1">
        <f t="shared" ref="J1894:K1894" si="800">SUM(J1126+J1318+J1510+J1702)</f>
        <v>2087045.6600000001</v>
      </c>
      <c r="K1894" s="1">
        <f t="shared" si="800"/>
        <v>6367133.1200000001</v>
      </c>
      <c r="L1894" s="1">
        <f t="shared" si="728"/>
        <v>8454178.7800000012</v>
      </c>
      <c r="M1894" s="2">
        <f t="shared" si="729"/>
        <v>0.24686556959705078</v>
      </c>
      <c r="N1894" s="2">
        <f t="shared" si="730"/>
        <v>0.75313443040294914</v>
      </c>
    </row>
    <row r="1895" spans="1:14" x14ac:dyDescent="0.35">
      <c r="A1895" t="s">
        <v>34</v>
      </c>
      <c r="B1895" t="s">
        <v>27</v>
      </c>
      <c r="C1895">
        <v>2015</v>
      </c>
      <c r="D1895" t="s">
        <v>33</v>
      </c>
      <c r="E1895" s="1">
        <f t="shared" ref="E1895:F1895" si="801">SUM(E1127+E1319+E1511+E1703)</f>
        <v>851987</v>
      </c>
      <c r="F1895" s="1">
        <f t="shared" si="801"/>
        <v>1551980</v>
      </c>
      <c r="G1895" s="1">
        <f t="shared" si="700"/>
        <v>2403967</v>
      </c>
      <c r="H1895" s="2">
        <f t="shared" si="701"/>
        <v>0.35440877516205505</v>
      </c>
      <c r="I1895" s="2">
        <f t="shared" si="702"/>
        <v>0.64559122483794495</v>
      </c>
      <c r="J1895" s="1">
        <f t="shared" ref="J1895:K1895" si="802">SUM(J1127+J1319+J1511+J1703)</f>
        <v>1800155.9000000001</v>
      </c>
      <c r="K1895" s="1">
        <f t="shared" si="802"/>
        <v>5873320.4699999997</v>
      </c>
      <c r="L1895" s="1">
        <f t="shared" si="728"/>
        <v>7673476.3700000001</v>
      </c>
      <c r="M1895" s="2">
        <f t="shared" si="729"/>
        <v>0.23459457137808323</v>
      </c>
      <c r="N1895" s="2">
        <f t="shared" si="730"/>
        <v>0.76540542862191674</v>
      </c>
    </row>
    <row r="1896" spans="1:14" x14ac:dyDescent="0.35">
      <c r="A1896" t="s">
        <v>34</v>
      </c>
      <c r="B1896" t="s">
        <v>28</v>
      </c>
      <c r="C1896">
        <v>2015</v>
      </c>
      <c r="D1896" t="s">
        <v>33</v>
      </c>
      <c r="E1896" s="1">
        <f t="shared" ref="E1896:F1896" si="803">SUM(E1128+E1320+E1512+E1704)</f>
        <v>849984</v>
      </c>
      <c r="F1896" s="1">
        <f t="shared" si="803"/>
        <v>1551636</v>
      </c>
      <c r="G1896" s="1">
        <f t="shared" si="700"/>
        <v>2401620</v>
      </c>
      <c r="H1896" s="2">
        <f t="shared" si="701"/>
        <v>0.35392110325530268</v>
      </c>
      <c r="I1896" s="2">
        <f t="shared" si="702"/>
        <v>0.64607889674469732</v>
      </c>
      <c r="J1896" s="1">
        <f t="shared" ref="J1896:K1896" si="804">SUM(J1128+J1320+J1512+J1704)</f>
        <v>1489314.73</v>
      </c>
      <c r="K1896" s="1">
        <f t="shared" si="804"/>
        <v>5228123.9899999993</v>
      </c>
      <c r="L1896" s="1">
        <f t="shared" si="728"/>
        <v>6717438.7199999988</v>
      </c>
      <c r="M1896" s="2">
        <f t="shared" si="729"/>
        <v>0.22170871846822002</v>
      </c>
      <c r="N1896" s="2">
        <f t="shared" si="730"/>
        <v>0.77829128153178007</v>
      </c>
    </row>
    <row r="1897" spans="1:14" x14ac:dyDescent="0.35">
      <c r="A1897" t="s">
        <v>34</v>
      </c>
      <c r="B1897" t="s">
        <v>29</v>
      </c>
      <c r="C1897">
        <v>2015</v>
      </c>
      <c r="D1897" t="s">
        <v>33</v>
      </c>
      <c r="E1897" s="1">
        <f t="shared" ref="E1897:F1897" si="805">SUM(E1129+E1321+E1513+E1705)</f>
        <v>850249</v>
      </c>
      <c r="F1897" s="1">
        <f t="shared" si="805"/>
        <v>1556127</v>
      </c>
      <c r="G1897" s="1">
        <f t="shared" si="700"/>
        <v>2406376</v>
      </c>
      <c r="H1897" s="2">
        <f t="shared" si="701"/>
        <v>0.35333173203190194</v>
      </c>
      <c r="I1897" s="2">
        <f t="shared" si="702"/>
        <v>0.64666826796809806</v>
      </c>
      <c r="J1897" s="1">
        <f t="shared" ref="J1897:K1897" si="806">SUM(J1129+J1321+J1513+J1705)</f>
        <v>1314870.5220000001</v>
      </c>
      <c r="K1897" s="1">
        <f t="shared" si="806"/>
        <v>4741728.9200000009</v>
      </c>
      <c r="L1897" s="1">
        <f t="shared" si="728"/>
        <v>6056599.4420000007</v>
      </c>
      <c r="M1897" s="2">
        <f t="shared" si="729"/>
        <v>0.21709715733913643</v>
      </c>
      <c r="N1897" s="2">
        <f t="shared" si="730"/>
        <v>0.78290284266086363</v>
      </c>
    </row>
    <row r="1898" spans="1:14" x14ac:dyDescent="0.35">
      <c r="A1898" t="s">
        <v>34</v>
      </c>
      <c r="B1898" t="s">
        <v>17</v>
      </c>
      <c r="C1898">
        <v>2016</v>
      </c>
      <c r="D1898" t="s">
        <v>33</v>
      </c>
      <c r="E1898" s="1">
        <f t="shared" ref="E1898:F1898" si="807">SUM(E1130+E1322+E1514+E1706)</f>
        <v>850842</v>
      </c>
      <c r="F1898" s="1">
        <f t="shared" si="807"/>
        <v>1559459</v>
      </c>
      <c r="G1898" s="1">
        <f t="shared" si="700"/>
        <v>2410301</v>
      </c>
      <c r="H1898" s="2">
        <f t="shared" si="701"/>
        <v>0.35300238434950654</v>
      </c>
      <c r="I1898" s="2">
        <f t="shared" si="702"/>
        <v>0.64699761565049341</v>
      </c>
      <c r="J1898" s="1">
        <f t="shared" ref="J1898:K1898" si="808">SUM(J1130+J1322+J1514+J1706)</f>
        <v>1432661.13</v>
      </c>
      <c r="K1898" s="1">
        <f t="shared" si="808"/>
        <v>4914766.43</v>
      </c>
      <c r="L1898" s="1">
        <f t="shared" si="728"/>
        <v>6347427.5599999996</v>
      </c>
      <c r="M1898" s="2">
        <f t="shared" si="729"/>
        <v>0.2257073619915404</v>
      </c>
      <c r="N1898" s="2">
        <f t="shared" si="730"/>
        <v>0.7742926380084596</v>
      </c>
    </row>
    <row r="1899" spans="1:14" x14ac:dyDescent="0.35">
      <c r="A1899" t="s">
        <v>34</v>
      </c>
      <c r="B1899" t="s">
        <v>19</v>
      </c>
      <c r="C1899">
        <v>2016</v>
      </c>
      <c r="D1899" t="s">
        <v>33</v>
      </c>
      <c r="E1899" s="1">
        <f t="shared" ref="E1899:F1899" si="809">SUM(E1131+E1323+E1515+E1707)</f>
        <v>851360</v>
      </c>
      <c r="F1899" s="1">
        <f t="shared" si="809"/>
        <v>1563966</v>
      </c>
      <c r="G1899" s="1">
        <f t="shared" si="700"/>
        <v>2415326</v>
      </c>
      <c r="H1899" s="2">
        <f t="shared" si="701"/>
        <v>0.35248243922352512</v>
      </c>
      <c r="I1899" s="2">
        <f t="shared" si="702"/>
        <v>0.64751756077647493</v>
      </c>
      <c r="J1899" s="1">
        <f t="shared" ref="J1899:K1899" si="810">SUM(J1131+J1323+J1515+J1707)</f>
        <v>1297128.1800000002</v>
      </c>
      <c r="K1899" s="1">
        <f t="shared" si="810"/>
        <v>4631291.67</v>
      </c>
      <c r="L1899" s="1">
        <f t="shared" si="728"/>
        <v>5928419.8499999996</v>
      </c>
      <c r="M1899" s="2">
        <f t="shared" si="729"/>
        <v>0.21879829917916496</v>
      </c>
      <c r="N1899" s="2">
        <f t="shared" si="730"/>
        <v>0.78120170082083507</v>
      </c>
    </row>
    <row r="1900" spans="1:14" x14ac:dyDescent="0.35">
      <c r="A1900" t="s">
        <v>34</v>
      </c>
      <c r="B1900" t="s">
        <v>20</v>
      </c>
      <c r="C1900">
        <v>2016</v>
      </c>
      <c r="D1900" t="s">
        <v>33</v>
      </c>
      <c r="E1900" s="1">
        <f t="shared" ref="E1900:F1900" si="811">SUM(E1132+E1324+E1516+E1708)</f>
        <v>850533</v>
      </c>
      <c r="F1900" s="1">
        <f t="shared" si="811"/>
        <v>1573191</v>
      </c>
      <c r="G1900" s="1">
        <f t="shared" si="700"/>
        <v>2423724</v>
      </c>
      <c r="H1900" s="2">
        <f t="shared" si="701"/>
        <v>0.35091990672205253</v>
      </c>
      <c r="I1900" s="2">
        <f t="shared" si="702"/>
        <v>0.64908009327794747</v>
      </c>
      <c r="J1900" s="1">
        <f t="shared" ref="J1900:K1900" si="812">SUM(J1132+J1324+J1516+J1708)</f>
        <v>1204628.1499999999</v>
      </c>
      <c r="K1900" s="1">
        <f t="shared" si="812"/>
        <v>4749555.45</v>
      </c>
      <c r="L1900" s="1">
        <f t="shared" si="728"/>
        <v>5954183.5999999996</v>
      </c>
      <c r="M1900" s="2">
        <f t="shared" si="729"/>
        <v>0.20231625877307513</v>
      </c>
      <c r="N1900" s="2">
        <f t="shared" si="730"/>
        <v>0.79768374122692498</v>
      </c>
    </row>
    <row r="1901" spans="1:14" x14ac:dyDescent="0.35">
      <c r="A1901" t="s">
        <v>34</v>
      </c>
      <c r="B1901" t="s">
        <v>21</v>
      </c>
      <c r="C1901">
        <v>2016</v>
      </c>
      <c r="D1901" t="s">
        <v>33</v>
      </c>
      <c r="E1901" s="1">
        <f t="shared" ref="E1901:F1901" si="813">SUM(E1133+E1325+E1517+E1709)</f>
        <v>849216</v>
      </c>
      <c r="F1901" s="1">
        <f t="shared" si="813"/>
        <v>1582691</v>
      </c>
      <c r="G1901" s="1">
        <f t="shared" si="700"/>
        <v>2431907</v>
      </c>
      <c r="H1901" s="2">
        <f t="shared" si="701"/>
        <v>0.34919756388710588</v>
      </c>
      <c r="I1901" s="2">
        <f t="shared" si="702"/>
        <v>0.65080243611289412</v>
      </c>
      <c r="J1901" s="1">
        <f t="shared" ref="J1901:K1901" si="814">SUM(J1133+J1325+J1517+J1709)</f>
        <v>1271484.1499999999</v>
      </c>
      <c r="K1901" s="1">
        <f t="shared" si="814"/>
        <v>4801519.37</v>
      </c>
      <c r="L1901" s="1">
        <f t="shared" si="728"/>
        <v>6073003.5199999996</v>
      </c>
      <c r="M1901" s="2">
        <f t="shared" si="729"/>
        <v>0.20936660843562296</v>
      </c>
      <c r="N1901" s="2">
        <f t="shared" si="730"/>
        <v>0.79063339156437706</v>
      </c>
    </row>
    <row r="1902" spans="1:14" x14ac:dyDescent="0.35">
      <c r="A1902" t="s">
        <v>34</v>
      </c>
      <c r="B1902" t="s">
        <v>22</v>
      </c>
      <c r="C1902">
        <v>2016</v>
      </c>
      <c r="D1902" t="s">
        <v>33</v>
      </c>
      <c r="E1902" s="1">
        <f t="shared" ref="E1902:F1902" si="815">SUM(E1134+E1326+E1518+E1710)</f>
        <v>848158</v>
      </c>
      <c r="F1902" s="1">
        <f t="shared" si="815"/>
        <v>1589088</v>
      </c>
      <c r="G1902" s="1">
        <f t="shared" si="700"/>
        <v>2437246</v>
      </c>
      <c r="H1902" s="2">
        <f t="shared" si="701"/>
        <v>0.34799851964061074</v>
      </c>
      <c r="I1902" s="2">
        <f t="shared" si="702"/>
        <v>0.65200148035938921</v>
      </c>
      <c r="J1902" s="1">
        <f t="shared" ref="J1902:K1902" si="816">SUM(J1134+J1326+J1518+J1710)</f>
        <v>1342874.86</v>
      </c>
      <c r="K1902" s="1">
        <f t="shared" si="816"/>
        <v>5111332.0900000008</v>
      </c>
      <c r="L1902" s="1">
        <f t="shared" si="728"/>
        <v>6454206.9500000011</v>
      </c>
      <c r="M1902" s="2">
        <f t="shared" si="729"/>
        <v>0.20806194632479205</v>
      </c>
      <c r="N1902" s="2">
        <f t="shared" si="730"/>
        <v>0.79193805367520786</v>
      </c>
    </row>
    <row r="1903" spans="1:14" x14ac:dyDescent="0.35">
      <c r="A1903" t="s">
        <v>34</v>
      </c>
      <c r="B1903" t="s">
        <v>23</v>
      </c>
      <c r="C1903">
        <v>2016</v>
      </c>
      <c r="D1903" t="s">
        <v>33</v>
      </c>
      <c r="E1903" s="1">
        <f t="shared" ref="E1903:F1903" si="817">SUM(E1135+E1327+E1519+E1711)</f>
        <v>850132</v>
      </c>
      <c r="F1903" s="1">
        <f t="shared" si="817"/>
        <v>1595545</v>
      </c>
      <c r="G1903" s="1">
        <f t="shared" si="700"/>
        <v>2445677</v>
      </c>
      <c r="H1903" s="2">
        <f t="shared" si="701"/>
        <v>0.34760600030175692</v>
      </c>
      <c r="I1903" s="2">
        <f t="shared" si="702"/>
        <v>0.65239399969824308</v>
      </c>
      <c r="J1903" s="1">
        <f t="shared" ref="J1903:K1903" si="818">SUM(J1135+J1327+J1519+J1711)</f>
        <v>1736581.0899999999</v>
      </c>
      <c r="K1903" s="1">
        <f t="shared" si="818"/>
        <v>6463371.8399999999</v>
      </c>
      <c r="L1903" s="1">
        <f t="shared" si="728"/>
        <v>8199952.9299999997</v>
      </c>
      <c r="M1903" s="2">
        <f t="shared" si="729"/>
        <v>0.21177939737271148</v>
      </c>
      <c r="N1903" s="2">
        <f t="shared" si="730"/>
        <v>0.78822060262728855</v>
      </c>
    </row>
    <row r="1904" spans="1:14" x14ac:dyDescent="0.35">
      <c r="A1904" t="s">
        <v>34</v>
      </c>
      <c r="B1904" t="s">
        <v>24</v>
      </c>
      <c r="C1904">
        <v>2016</v>
      </c>
      <c r="D1904" t="s">
        <v>33</v>
      </c>
      <c r="E1904" s="1">
        <f t="shared" ref="E1904:F1904" si="819">SUM(E1136+E1328+E1520+E1712)</f>
        <v>850785</v>
      </c>
      <c r="F1904" s="1">
        <f t="shared" si="819"/>
        <v>1600111</v>
      </c>
      <c r="G1904" s="1">
        <f t="shared" si="700"/>
        <v>2450896</v>
      </c>
      <c r="H1904" s="2">
        <f t="shared" si="701"/>
        <v>0.34713223245702796</v>
      </c>
      <c r="I1904" s="2">
        <f t="shared" si="702"/>
        <v>0.65286776754297204</v>
      </c>
      <c r="J1904" s="1">
        <f t="shared" ref="J1904:K1904" si="820">SUM(J1136+J1328+J1520+J1712)</f>
        <v>2019562.1199999999</v>
      </c>
      <c r="K1904" s="1">
        <f t="shared" si="820"/>
        <v>6550652.5700000003</v>
      </c>
      <c r="L1904" s="1">
        <f t="shared" si="728"/>
        <v>8570214.6899999995</v>
      </c>
      <c r="M1904" s="2">
        <f t="shared" si="729"/>
        <v>0.2356489531535878</v>
      </c>
      <c r="N1904" s="2">
        <f t="shared" si="730"/>
        <v>0.76435104684641231</v>
      </c>
    </row>
    <row r="1905" spans="1:14" x14ac:dyDescent="0.35">
      <c r="A1905" t="s">
        <v>34</v>
      </c>
      <c r="B1905" t="s">
        <v>25</v>
      </c>
      <c r="C1905">
        <v>2016</v>
      </c>
      <c r="D1905" t="s">
        <v>33</v>
      </c>
      <c r="E1905" s="1">
        <f t="shared" ref="E1905:F1905" si="821">SUM(E1137+E1329+E1521+E1713)</f>
        <v>852926</v>
      </c>
      <c r="F1905" s="1">
        <f t="shared" si="821"/>
        <v>1606693</v>
      </c>
      <c r="G1905" s="1">
        <f t="shared" si="700"/>
        <v>2459619</v>
      </c>
      <c r="H1905" s="2">
        <f t="shared" si="701"/>
        <v>0.3467715934866335</v>
      </c>
      <c r="I1905" s="2">
        <f t="shared" si="702"/>
        <v>0.65322840651336656</v>
      </c>
      <c r="J1905" s="1">
        <f t="shared" ref="J1905:K1905" si="822">SUM(J1137+J1329+J1521+J1713)</f>
        <v>2158491.2100000004</v>
      </c>
      <c r="K1905" s="1">
        <f t="shared" si="822"/>
        <v>6850191.1099999994</v>
      </c>
      <c r="L1905" s="1">
        <f t="shared" si="728"/>
        <v>9008682.3200000003</v>
      </c>
      <c r="M1905" s="2">
        <f t="shared" si="729"/>
        <v>0.23960121284418878</v>
      </c>
      <c r="N1905" s="2">
        <f t="shared" si="730"/>
        <v>0.76039878715581122</v>
      </c>
    </row>
    <row r="1906" spans="1:14" x14ac:dyDescent="0.35">
      <c r="A1906" t="s">
        <v>34</v>
      </c>
      <c r="B1906" t="s">
        <v>26</v>
      </c>
      <c r="C1906">
        <v>2016</v>
      </c>
      <c r="D1906" t="s">
        <v>33</v>
      </c>
      <c r="E1906" s="1">
        <f t="shared" ref="E1906:F1906" si="823">SUM(E1138+E1330+E1522+E1714)</f>
        <v>854791</v>
      </c>
      <c r="F1906" s="1">
        <f t="shared" si="823"/>
        <v>1604328</v>
      </c>
      <c r="G1906" s="1">
        <f t="shared" si="700"/>
        <v>2459119</v>
      </c>
      <c r="H1906" s="2">
        <f t="shared" si="701"/>
        <v>0.34760050245636748</v>
      </c>
      <c r="I1906" s="2">
        <f t="shared" si="702"/>
        <v>0.65239949754363247</v>
      </c>
      <c r="J1906" s="1">
        <f t="shared" ref="J1906:K1906" si="824">SUM(J1138+J1330+J1522+J1714)</f>
        <v>2014012.86</v>
      </c>
      <c r="K1906" s="1">
        <f t="shared" si="824"/>
        <v>6663495.5099999998</v>
      </c>
      <c r="L1906" s="1">
        <f t="shared" si="728"/>
        <v>8677508.3699999992</v>
      </c>
      <c r="M1906" s="2">
        <f t="shared" si="729"/>
        <v>0.23209575538559812</v>
      </c>
      <c r="N1906" s="2">
        <f t="shared" si="730"/>
        <v>0.76790424461440199</v>
      </c>
    </row>
    <row r="1907" spans="1:14" x14ac:dyDescent="0.35">
      <c r="A1907" t="s">
        <v>34</v>
      </c>
      <c r="B1907" t="s">
        <v>27</v>
      </c>
      <c r="C1907">
        <v>2016</v>
      </c>
      <c r="D1907" t="s">
        <v>33</v>
      </c>
      <c r="E1907" s="1">
        <f t="shared" ref="E1907:F1907" si="825">SUM(E1139+E1331+E1523+E1715)</f>
        <v>854519</v>
      </c>
      <c r="F1907" s="1">
        <f t="shared" si="825"/>
        <v>1602139</v>
      </c>
      <c r="G1907" s="1">
        <f t="shared" si="700"/>
        <v>2456658</v>
      </c>
      <c r="H1907" s="2">
        <f t="shared" si="701"/>
        <v>0.34783799780026359</v>
      </c>
      <c r="I1907" s="2">
        <f t="shared" si="702"/>
        <v>0.65216200219973641</v>
      </c>
      <c r="J1907" s="1">
        <f t="shared" ref="J1907:K1907" si="826">SUM(J1139+J1331+J1523+J1715)</f>
        <v>1879025.2400000002</v>
      </c>
      <c r="K1907" s="1">
        <f t="shared" si="826"/>
        <v>6355109.0700000003</v>
      </c>
      <c r="L1907" s="1">
        <f t="shared" si="728"/>
        <v>8234134.3100000005</v>
      </c>
      <c r="M1907" s="2">
        <f t="shared" si="729"/>
        <v>0.22819948876933002</v>
      </c>
      <c r="N1907" s="2">
        <f t="shared" si="730"/>
        <v>0.77180051123066995</v>
      </c>
    </row>
    <row r="1908" spans="1:14" x14ac:dyDescent="0.35">
      <c r="A1908" t="s">
        <v>34</v>
      </c>
      <c r="B1908" t="s">
        <v>28</v>
      </c>
      <c r="C1908">
        <v>2016</v>
      </c>
      <c r="D1908" t="s">
        <v>33</v>
      </c>
      <c r="E1908" s="1">
        <f t="shared" ref="E1908:F1908" si="827">SUM(E1140+E1332+E1524+E1716)</f>
        <v>854122</v>
      </c>
      <c r="F1908" s="1">
        <f t="shared" si="827"/>
        <v>1605271</v>
      </c>
      <c r="G1908" s="1">
        <f t="shared" si="700"/>
        <v>2459393</v>
      </c>
      <c r="H1908" s="2">
        <f t="shared" si="701"/>
        <v>0.34728975808258378</v>
      </c>
      <c r="I1908" s="2">
        <f t="shared" si="702"/>
        <v>0.65271024191741622</v>
      </c>
      <c r="J1908" s="1">
        <f t="shared" ref="J1908:K1908" si="828">SUM(J1140+J1332+J1524+J1716)</f>
        <v>1590032.24</v>
      </c>
      <c r="K1908" s="1">
        <f t="shared" si="828"/>
        <v>5661592.4000000004</v>
      </c>
      <c r="L1908" s="1">
        <f t="shared" si="728"/>
        <v>7251624.6400000006</v>
      </c>
      <c r="M1908" s="2">
        <f t="shared" si="729"/>
        <v>0.21926565686113614</v>
      </c>
      <c r="N1908" s="2">
        <f t="shared" si="730"/>
        <v>0.78073434313886381</v>
      </c>
    </row>
    <row r="1909" spans="1:14" x14ac:dyDescent="0.35">
      <c r="A1909" t="s">
        <v>34</v>
      </c>
      <c r="B1909" t="s">
        <v>29</v>
      </c>
      <c r="C1909">
        <v>2016</v>
      </c>
      <c r="D1909" t="s">
        <v>33</v>
      </c>
      <c r="E1909" s="1">
        <f t="shared" ref="E1909:F1909" si="829">SUM(E1141+E1333+E1525+E1717)</f>
        <v>853745</v>
      </c>
      <c r="F1909" s="1">
        <f t="shared" si="829"/>
        <v>1610872</v>
      </c>
      <c r="G1909" s="1">
        <f t="shared" si="700"/>
        <v>2464617</v>
      </c>
      <c r="H1909" s="2">
        <f t="shared" si="701"/>
        <v>0.34640067807695879</v>
      </c>
      <c r="I1909" s="2">
        <f t="shared" si="702"/>
        <v>0.65359932192304115</v>
      </c>
      <c r="J1909" s="1">
        <f t="shared" ref="J1909:K1909" si="830">SUM(J1141+J1333+J1525+J1717)</f>
        <v>1334205.1199999999</v>
      </c>
      <c r="K1909" s="1">
        <f t="shared" si="830"/>
        <v>5068880.84</v>
      </c>
      <c r="L1909" s="1">
        <f t="shared" si="728"/>
        <v>6403085.96</v>
      </c>
      <c r="M1909" s="2">
        <f t="shared" si="729"/>
        <v>0.20836907833734594</v>
      </c>
      <c r="N1909" s="2">
        <f t="shared" si="730"/>
        <v>0.79163092166265403</v>
      </c>
    </row>
    <row r="1910" spans="1:14" x14ac:dyDescent="0.35">
      <c r="A1910" t="s">
        <v>34</v>
      </c>
      <c r="B1910" t="s">
        <v>17</v>
      </c>
      <c r="C1910">
        <v>2017</v>
      </c>
      <c r="D1910" t="s">
        <v>33</v>
      </c>
      <c r="E1910" s="1">
        <f t="shared" ref="E1910:F1910" si="831">SUM(E1142+E1334+E1526+E1718)</f>
        <v>853496</v>
      </c>
      <c r="F1910" s="1">
        <f t="shared" si="831"/>
        <v>1614388</v>
      </c>
      <c r="G1910" s="1">
        <f t="shared" si="700"/>
        <v>2467884</v>
      </c>
      <c r="H1910" s="2">
        <f t="shared" si="701"/>
        <v>0.34584121457896727</v>
      </c>
      <c r="I1910" s="2">
        <f t="shared" si="702"/>
        <v>0.65415878542103278</v>
      </c>
      <c r="J1910" s="1">
        <f t="shared" ref="J1910:K1910" si="832">SUM(J1142+J1334+J1526+J1718)</f>
        <v>1449575.6099999999</v>
      </c>
      <c r="K1910" s="1">
        <f t="shared" si="832"/>
        <v>5405718.3899999997</v>
      </c>
      <c r="L1910" s="1">
        <f t="shared" si="728"/>
        <v>6855294</v>
      </c>
      <c r="M1910" s="2">
        <f t="shared" si="729"/>
        <v>0.21145345626314493</v>
      </c>
      <c r="N1910" s="2">
        <f t="shared" si="730"/>
        <v>0.78854654373685495</v>
      </c>
    </row>
    <row r="1911" spans="1:14" x14ac:dyDescent="0.35">
      <c r="A1911" t="s">
        <v>34</v>
      </c>
      <c r="B1911" t="s">
        <v>19</v>
      </c>
      <c r="C1911">
        <v>2017</v>
      </c>
      <c r="D1911" t="s">
        <v>33</v>
      </c>
      <c r="E1911" s="1">
        <f t="shared" ref="E1911:F1911" si="833">SUM(E1143+E1335+E1527+E1719)</f>
        <v>854909</v>
      </c>
      <c r="F1911" s="1">
        <f t="shared" si="833"/>
        <v>1618880</v>
      </c>
      <c r="G1911" s="1">
        <f t="shared" ref="G1911:G1921" si="834">SUM(E1911:F1911)</f>
        <v>2473789</v>
      </c>
      <c r="H1911" s="2">
        <f t="shared" ref="H1911:H1921" si="835">SUM(E1911)/G1911</f>
        <v>0.34558687099020974</v>
      </c>
      <c r="I1911" s="2">
        <f t="shared" ref="I1911:I1921" si="836">SUM(F1911/G1911)</f>
        <v>0.65441312900979021</v>
      </c>
      <c r="J1911" s="1">
        <f t="shared" ref="J1911:K1911" si="837">SUM(J1143+J1335+J1527+J1719)</f>
        <v>1265245.72</v>
      </c>
      <c r="K1911" s="1">
        <f t="shared" si="837"/>
        <v>5002690.5699999994</v>
      </c>
      <c r="L1911" s="1">
        <f t="shared" si="728"/>
        <v>6267936.2899999991</v>
      </c>
      <c r="M1911" s="2">
        <f t="shared" si="729"/>
        <v>0.20186001603408132</v>
      </c>
      <c r="N1911" s="2">
        <f t="shared" si="730"/>
        <v>0.79813998396591868</v>
      </c>
    </row>
    <row r="1912" spans="1:14" x14ac:dyDescent="0.35">
      <c r="A1912" t="s">
        <v>34</v>
      </c>
      <c r="B1912" t="s">
        <v>20</v>
      </c>
      <c r="C1912">
        <v>2017</v>
      </c>
      <c r="D1912" t="s">
        <v>33</v>
      </c>
      <c r="E1912" s="1">
        <f t="shared" ref="E1912:F1912" si="838">SUM(E1144+E1336+E1528+E1720)</f>
        <v>854765</v>
      </c>
      <c r="F1912" s="1">
        <f t="shared" si="838"/>
        <v>1623965</v>
      </c>
      <c r="G1912" s="1">
        <f t="shared" si="834"/>
        <v>2478730</v>
      </c>
      <c r="H1912" s="2">
        <f t="shared" si="835"/>
        <v>0.34483989785091557</v>
      </c>
      <c r="I1912" s="2">
        <f t="shared" si="836"/>
        <v>0.65516010214908438</v>
      </c>
      <c r="J1912" s="1">
        <f t="shared" ref="J1912:K1912" si="839">SUM(J1144+J1336+J1528+J1720)</f>
        <v>1191641.3699999999</v>
      </c>
      <c r="K1912" s="1">
        <f t="shared" si="839"/>
        <v>4724647.8899999997</v>
      </c>
      <c r="L1912" s="1">
        <f t="shared" si="728"/>
        <v>5916289.2599999998</v>
      </c>
      <c r="M1912" s="2">
        <f t="shared" si="729"/>
        <v>0.20141702300742476</v>
      </c>
      <c r="N1912" s="2">
        <f t="shared" si="730"/>
        <v>0.79858297699257519</v>
      </c>
    </row>
    <row r="1913" spans="1:14" x14ac:dyDescent="0.35">
      <c r="A1913" t="s">
        <v>34</v>
      </c>
      <c r="B1913" t="s">
        <v>21</v>
      </c>
      <c r="C1913">
        <v>2017</v>
      </c>
      <c r="D1913" t="s">
        <v>33</v>
      </c>
      <c r="E1913" s="1">
        <f t="shared" ref="E1913:F1913" si="840">SUM(E1145+E1337+E1529+E1721)</f>
        <v>825706</v>
      </c>
      <c r="F1913" s="1">
        <f t="shared" si="840"/>
        <v>1560630</v>
      </c>
      <c r="G1913" s="1">
        <f t="shared" si="834"/>
        <v>2386336</v>
      </c>
      <c r="H1913" s="2">
        <f t="shared" si="835"/>
        <v>0.34601414050661766</v>
      </c>
      <c r="I1913" s="2">
        <f t="shared" si="836"/>
        <v>0.65398585949338228</v>
      </c>
      <c r="J1913" s="1">
        <f t="shared" ref="J1913:K1913" si="841">SUM(J1145+J1337+J1529+J1721)</f>
        <v>905724.52</v>
      </c>
      <c r="K1913" s="1">
        <f t="shared" si="841"/>
        <v>2827866.9000000004</v>
      </c>
      <c r="L1913" s="1">
        <f t="shared" si="728"/>
        <v>3733591.4200000004</v>
      </c>
      <c r="M1913" s="2">
        <f t="shared" si="729"/>
        <v>0.24258801194695265</v>
      </c>
      <c r="N1913" s="2">
        <f t="shared" si="730"/>
        <v>0.75741198805304732</v>
      </c>
    </row>
    <row r="1914" spans="1:14" x14ac:dyDescent="0.35">
      <c r="A1914" t="s">
        <v>34</v>
      </c>
      <c r="B1914" t="s">
        <v>22</v>
      </c>
      <c r="C1914">
        <v>2017</v>
      </c>
      <c r="D1914" t="s">
        <v>33</v>
      </c>
      <c r="E1914" s="1">
        <f t="shared" ref="E1914:F1914" si="842">SUM(E1146+E1338+E1530+E1722)</f>
        <v>822515</v>
      </c>
      <c r="F1914" s="1">
        <f t="shared" si="842"/>
        <v>1563870</v>
      </c>
      <c r="G1914" s="1">
        <f t="shared" si="834"/>
        <v>2386385</v>
      </c>
      <c r="H1914" s="2">
        <f t="shared" si="835"/>
        <v>0.34466986676500228</v>
      </c>
      <c r="I1914" s="2">
        <f t="shared" si="836"/>
        <v>0.65533013323499767</v>
      </c>
      <c r="J1914" s="1">
        <f t="shared" ref="J1914:K1914" si="843">SUM(J1146+J1338+J1530+J1722)</f>
        <v>2492895.08</v>
      </c>
      <c r="K1914" s="1">
        <f t="shared" si="843"/>
        <v>12079453.999999998</v>
      </c>
      <c r="L1914" s="1">
        <f t="shared" si="728"/>
        <v>14572349.079999998</v>
      </c>
      <c r="M1914" s="2">
        <f t="shared" si="729"/>
        <v>0.17107022802668137</v>
      </c>
      <c r="N1914" s="2">
        <f t="shared" si="730"/>
        <v>0.82892977197331863</v>
      </c>
    </row>
    <row r="1915" spans="1:14" x14ac:dyDescent="0.35">
      <c r="A1915" t="s">
        <v>34</v>
      </c>
      <c r="B1915" t="s">
        <v>23</v>
      </c>
      <c r="C1915">
        <v>2017</v>
      </c>
      <c r="D1915" t="s">
        <v>33</v>
      </c>
      <c r="E1915" s="1">
        <f t="shared" ref="E1915:F1915" si="844">SUM(E1147+E1339+E1531+E1723)</f>
        <v>816573</v>
      </c>
      <c r="F1915" s="1">
        <f t="shared" si="844"/>
        <v>1558784</v>
      </c>
      <c r="G1915" s="1">
        <f t="shared" si="834"/>
        <v>2375357</v>
      </c>
      <c r="H1915" s="2">
        <f t="shared" si="835"/>
        <v>0.34376853668732743</v>
      </c>
      <c r="I1915" s="2">
        <f t="shared" si="836"/>
        <v>0.65623146331267257</v>
      </c>
      <c r="J1915" s="1">
        <f t="shared" ref="J1915:K1915" si="845">SUM(J1147+J1339+J1531+J1723)</f>
        <v>1666375.6500000001</v>
      </c>
      <c r="K1915" s="1">
        <f t="shared" si="845"/>
        <v>5938878.29</v>
      </c>
      <c r="L1915" s="1">
        <f t="shared" si="728"/>
        <v>7605253.9400000004</v>
      </c>
      <c r="M1915" s="2">
        <f t="shared" si="729"/>
        <v>0.21910848252359605</v>
      </c>
      <c r="N1915" s="2">
        <f t="shared" si="730"/>
        <v>0.78089151747640395</v>
      </c>
    </row>
    <row r="1916" spans="1:14" x14ac:dyDescent="0.35">
      <c r="A1916" t="s">
        <v>34</v>
      </c>
      <c r="B1916" t="s">
        <v>24</v>
      </c>
      <c r="C1916">
        <v>2017</v>
      </c>
      <c r="D1916" t="s">
        <v>33</v>
      </c>
      <c r="E1916" s="1">
        <f t="shared" ref="E1916:F1916" si="846">SUM(E1148+E1340+E1532+E1724)</f>
        <v>813345</v>
      </c>
      <c r="F1916" s="1">
        <f t="shared" si="846"/>
        <v>1571755</v>
      </c>
      <c r="G1916" s="1">
        <f t="shared" si="834"/>
        <v>2385100</v>
      </c>
      <c r="H1916" s="2">
        <f t="shared" si="835"/>
        <v>0.34101085908347656</v>
      </c>
      <c r="I1916" s="2">
        <f t="shared" si="836"/>
        <v>0.65898914091652339</v>
      </c>
      <c r="J1916" s="1">
        <f t="shared" ref="J1916:K1916" si="847">SUM(J1148+J1340+J1532+J1724)</f>
        <v>1950649.11</v>
      </c>
      <c r="K1916" s="1">
        <f t="shared" si="847"/>
        <v>6940504.75</v>
      </c>
      <c r="L1916" s="1">
        <f t="shared" si="728"/>
        <v>8891153.8599999994</v>
      </c>
      <c r="M1916" s="2">
        <f t="shared" si="729"/>
        <v>0.21939212173300532</v>
      </c>
      <c r="N1916" s="2">
        <f t="shared" si="730"/>
        <v>0.78060787826699474</v>
      </c>
    </row>
    <row r="1917" spans="1:14" x14ac:dyDescent="0.35">
      <c r="A1917" t="s">
        <v>34</v>
      </c>
      <c r="B1917" t="s">
        <v>25</v>
      </c>
      <c r="C1917">
        <v>2017</v>
      </c>
      <c r="D1917" t="s">
        <v>33</v>
      </c>
      <c r="E1917" s="1">
        <f t="shared" ref="E1917:F1917" si="848">SUM(E1149+E1341+E1533+E1725)</f>
        <v>809526</v>
      </c>
      <c r="F1917" s="1">
        <f t="shared" si="848"/>
        <v>1580051</v>
      </c>
      <c r="G1917" s="1">
        <f t="shared" si="834"/>
        <v>2389577</v>
      </c>
      <c r="H1917" s="2">
        <f t="shared" si="835"/>
        <v>0.33877376623561406</v>
      </c>
      <c r="I1917" s="2">
        <f t="shared" si="836"/>
        <v>0.66122623376438594</v>
      </c>
      <c r="J1917" s="1">
        <f t="shared" ref="J1917:K1917" si="849">SUM(J1149+J1341+J1533+J1725)</f>
        <v>2075993.28</v>
      </c>
      <c r="K1917" s="1">
        <f t="shared" si="849"/>
        <v>6843825.6399999997</v>
      </c>
      <c r="L1917" s="1">
        <f t="shared" si="728"/>
        <v>8919818.9199999999</v>
      </c>
      <c r="M1917" s="2">
        <f t="shared" si="729"/>
        <v>0.23273939735987376</v>
      </c>
      <c r="N1917" s="2">
        <f t="shared" si="730"/>
        <v>0.76726060264012619</v>
      </c>
    </row>
    <row r="1918" spans="1:14" x14ac:dyDescent="0.35">
      <c r="A1918" t="s">
        <v>34</v>
      </c>
      <c r="B1918" t="s">
        <v>26</v>
      </c>
      <c r="C1918">
        <v>2017</v>
      </c>
      <c r="D1918" t="s">
        <v>33</v>
      </c>
      <c r="E1918" s="1">
        <f t="shared" ref="E1918:F1918" si="850">SUM(E1150+E1342+E1534+E1726)</f>
        <v>803162</v>
      </c>
      <c r="F1918" s="1">
        <f t="shared" si="850"/>
        <v>1584910</v>
      </c>
      <c r="G1918" s="1">
        <f t="shared" si="834"/>
        <v>2388072</v>
      </c>
      <c r="H1918" s="2">
        <f t="shared" si="835"/>
        <v>0.33632235543986949</v>
      </c>
      <c r="I1918" s="2">
        <f t="shared" si="836"/>
        <v>0.66367764456013056</v>
      </c>
      <c r="J1918" s="1">
        <f t="shared" ref="J1918:K1918" si="851">SUM(J1150+J1342+J1534+J1726)</f>
        <v>1984382.7600000002</v>
      </c>
      <c r="K1918" s="1">
        <f t="shared" si="851"/>
        <v>6867275.5999999996</v>
      </c>
      <c r="L1918" s="1">
        <f t="shared" si="728"/>
        <v>8851658.3599999994</v>
      </c>
      <c r="M1918" s="2">
        <f t="shared" si="729"/>
        <v>0.22418203225819036</v>
      </c>
      <c r="N1918" s="2">
        <f t="shared" si="730"/>
        <v>0.77581796774180967</v>
      </c>
    </row>
    <row r="1919" spans="1:14" x14ac:dyDescent="0.35">
      <c r="A1919" t="s">
        <v>34</v>
      </c>
      <c r="B1919" t="s">
        <v>27</v>
      </c>
      <c r="C1919">
        <v>2017</v>
      </c>
      <c r="D1919" t="s">
        <v>33</v>
      </c>
      <c r="E1919" s="1">
        <f t="shared" ref="E1919:F1919" si="852">SUM(E1151+E1343+E1535+E1727)</f>
        <v>806311</v>
      </c>
      <c r="F1919" s="1">
        <f t="shared" si="852"/>
        <v>1592197</v>
      </c>
      <c r="G1919" s="1">
        <f t="shared" si="834"/>
        <v>2398508</v>
      </c>
      <c r="H1919" s="2">
        <f t="shared" si="835"/>
        <v>0.33617190353336324</v>
      </c>
      <c r="I1919" s="2">
        <f t="shared" si="836"/>
        <v>0.66382809646663676</v>
      </c>
      <c r="J1919" s="1">
        <f t="shared" ref="J1919:K1919" si="853">SUM(J1151+J1343+J1535+J1727)</f>
        <v>1738035.3499999999</v>
      </c>
      <c r="K1919" s="1">
        <f t="shared" si="853"/>
        <v>6150042.5899999999</v>
      </c>
      <c r="L1919" s="1">
        <f t="shared" si="728"/>
        <v>7888077.9399999995</v>
      </c>
      <c r="M1919" s="2">
        <f t="shared" si="729"/>
        <v>0.2203369899765468</v>
      </c>
      <c r="N1919" s="2">
        <f t="shared" si="730"/>
        <v>0.77966301002345317</v>
      </c>
    </row>
    <row r="1920" spans="1:14" x14ac:dyDescent="0.35">
      <c r="A1920" t="s">
        <v>34</v>
      </c>
      <c r="B1920" t="s">
        <v>28</v>
      </c>
      <c r="C1920">
        <v>2017</v>
      </c>
      <c r="D1920" t="s">
        <v>33</v>
      </c>
      <c r="E1920" s="1">
        <f t="shared" ref="E1920:F1920" si="854">SUM(E1152+E1344+E1536+E1728)</f>
        <v>807323</v>
      </c>
      <c r="F1920" s="1">
        <f t="shared" si="854"/>
        <v>1600525</v>
      </c>
      <c r="G1920" s="1">
        <f t="shared" si="834"/>
        <v>2407848</v>
      </c>
      <c r="H1920" s="2">
        <f t="shared" si="835"/>
        <v>0.33528819094893031</v>
      </c>
      <c r="I1920" s="2">
        <f t="shared" si="836"/>
        <v>0.66471180905106964</v>
      </c>
      <c r="J1920" s="1">
        <f t="shared" ref="J1920:K1920" si="855">SUM(J1152+J1344+J1536+J1728)</f>
        <v>1480678.3999999999</v>
      </c>
      <c r="K1920" s="1">
        <f t="shared" si="855"/>
        <v>5666355.8499999996</v>
      </c>
      <c r="L1920" s="1">
        <f t="shared" si="728"/>
        <v>7147034.25</v>
      </c>
      <c r="M1920" s="2">
        <f t="shared" si="729"/>
        <v>0.2071738217848893</v>
      </c>
      <c r="N1920" s="2">
        <f t="shared" si="730"/>
        <v>0.79282617821511059</v>
      </c>
    </row>
    <row r="1921" spans="1:15" x14ac:dyDescent="0.35">
      <c r="A1921" t="s">
        <v>34</v>
      </c>
      <c r="B1921" t="s">
        <v>29</v>
      </c>
      <c r="C1921">
        <v>2017</v>
      </c>
      <c r="D1921" t="s">
        <v>33</v>
      </c>
      <c r="E1921" s="1">
        <f t="shared" ref="E1921:F1921" si="856">SUM(E1153+E1345+E1537+E1729)</f>
        <v>804120</v>
      </c>
      <c r="F1921" s="1">
        <f t="shared" si="856"/>
        <v>1609863</v>
      </c>
      <c r="G1921" s="1">
        <f t="shared" si="834"/>
        <v>2413983</v>
      </c>
      <c r="H1921" s="2">
        <f t="shared" si="835"/>
        <v>0.33310922239303259</v>
      </c>
      <c r="I1921" s="2">
        <f t="shared" si="836"/>
        <v>0.66689077760696736</v>
      </c>
      <c r="J1921" s="1">
        <f t="shared" ref="J1921:K1921" si="857">SUM(J1153+J1345+J1537+J1729)</f>
        <v>1358515.6600000001</v>
      </c>
      <c r="K1921" s="1">
        <f t="shared" si="857"/>
        <v>5515860.8200000003</v>
      </c>
      <c r="L1921" s="1">
        <f t="shared" si="728"/>
        <v>6874376.4800000004</v>
      </c>
      <c r="M1921" s="2">
        <f t="shared" si="729"/>
        <v>0.1976202007487376</v>
      </c>
      <c r="N1921" s="2">
        <f t="shared" si="730"/>
        <v>0.80237979925126246</v>
      </c>
    </row>
    <row r="1922" spans="1:15" x14ac:dyDescent="0.35">
      <c r="A1922" t="s">
        <v>35</v>
      </c>
      <c r="B1922" t="s">
        <v>17</v>
      </c>
      <c r="C1922">
        <v>2002</v>
      </c>
      <c r="D1922" t="s">
        <v>18</v>
      </c>
      <c r="E1922" s="3">
        <v>559620</v>
      </c>
      <c r="F1922" s="3">
        <v>758</v>
      </c>
      <c r="G1922" s="1">
        <f>SUM(E1922:F1922)</f>
        <v>560378</v>
      </c>
      <c r="H1922" s="2">
        <f>SUM(E1922)/G1922</f>
        <v>0.9986473416158379</v>
      </c>
      <c r="I1922" s="2">
        <f>SUM(F1922/G1922)</f>
        <v>1.3526583841621191E-3</v>
      </c>
      <c r="J1922" s="3">
        <f>J1923</f>
        <v>480039.22499999998</v>
      </c>
      <c r="K1922" s="3">
        <v>3594.8209999999999</v>
      </c>
      <c r="L1922" s="1">
        <f>SUM(J1922:K1922)</f>
        <v>483634.04599999997</v>
      </c>
      <c r="M1922" s="2">
        <f>SUM(J1922)/L1922</f>
        <v>0.99256706381667759</v>
      </c>
      <c r="N1922" s="2">
        <f>SUM(K1922/L1922)</f>
        <v>7.4329361833223792E-3</v>
      </c>
      <c r="O1922" s="5">
        <f>SUM(1000*L1922)/G1922</f>
        <v>863.04966647512924</v>
      </c>
    </row>
    <row r="1923" spans="1:15" x14ac:dyDescent="0.35">
      <c r="A1923" t="s">
        <v>35</v>
      </c>
      <c r="B1923" t="s">
        <v>19</v>
      </c>
      <c r="C1923">
        <v>2002</v>
      </c>
      <c r="D1923" t="s">
        <v>18</v>
      </c>
      <c r="E1923" s="3">
        <v>565546</v>
      </c>
      <c r="F1923" s="3">
        <v>1365</v>
      </c>
      <c r="G1923" s="1">
        <f t="shared" ref="G1923:G1933" si="858">SUM(E1923:F1923)</f>
        <v>566911</v>
      </c>
      <c r="H1923" s="2">
        <f t="shared" ref="H1923:H1933" si="859">SUM(E1923)/G1923</f>
        <v>0.99759221465097692</v>
      </c>
      <c r="I1923" s="2">
        <f t="shared" ref="I1923:I1933" si="860">SUM(F1923/G1923)</f>
        <v>2.4077853490230387E-3</v>
      </c>
      <c r="J1923" s="3">
        <v>480039.22499999998</v>
      </c>
      <c r="K1923" s="3">
        <v>3267.33</v>
      </c>
      <c r="L1923" s="1">
        <f t="shared" ref="L1923:L1986" si="861">SUM(J1923:K1923)</f>
        <v>483306.55499999999</v>
      </c>
      <c r="M1923" s="2">
        <f t="shared" ref="M1923:M1986" si="862">SUM(J1923)/L1923</f>
        <v>0.99323963234887225</v>
      </c>
      <c r="N1923" s="2">
        <f t="shared" ref="N1923:N1986" si="863">SUM(K1923/L1923)</f>
        <v>6.7603676511277608E-3</v>
      </c>
      <c r="O1923" s="5">
        <f t="shared" ref="O1923:O1986" si="864">SUM(1000*L1923)/G1923</f>
        <v>852.52633129362459</v>
      </c>
    </row>
    <row r="1924" spans="1:15" x14ac:dyDescent="0.35">
      <c r="A1924" t="s">
        <v>35</v>
      </c>
      <c r="B1924" t="s">
        <v>20</v>
      </c>
      <c r="C1924">
        <v>2002</v>
      </c>
      <c r="D1924" t="s">
        <v>18</v>
      </c>
      <c r="E1924" s="3">
        <v>570347</v>
      </c>
      <c r="F1924" s="3">
        <v>1981</v>
      </c>
      <c r="G1924" s="1">
        <f t="shared" si="858"/>
        <v>572328</v>
      </c>
      <c r="H1924" s="2">
        <f t="shared" si="859"/>
        <v>0.99653869808920759</v>
      </c>
      <c r="I1924" s="2">
        <f t="shared" si="860"/>
        <v>3.4613019107924128E-3</v>
      </c>
      <c r="J1924" s="3">
        <v>522463.84100000001</v>
      </c>
      <c r="K1924" s="3">
        <v>3812.404</v>
      </c>
      <c r="L1924" s="1">
        <f t="shared" si="861"/>
        <v>526276.245</v>
      </c>
      <c r="M1924" s="2">
        <f t="shared" si="862"/>
        <v>0.99275588811727578</v>
      </c>
      <c r="N1924" s="2">
        <f t="shared" si="863"/>
        <v>7.2441118827242523E-3</v>
      </c>
      <c r="O1924" s="5">
        <f t="shared" si="864"/>
        <v>919.53607896171422</v>
      </c>
    </row>
    <row r="1925" spans="1:15" x14ac:dyDescent="0.35">
      <c r="A1925" t="s">
        <v>35</v>
      </c>
      <c r="B1925" t="s">
        <v>21</v>
      </c>
      <c r="C1925">
        <v>2002</v>
      </c>
      <c r="D1925" t="s">
        <v>18</v>
      </c>
      <c r="E1925" s="3">
        <v>571580</v>
      </c>
      <c r="F1925" s="3">
        <v>2419</v>
      </c>
      <c r="G1925" s="1">
        <f t="shared" si="858"/>
        <v>573999</v>
      </c>
      <c r="H1925" s="2">
        <f t="shared" si="859"/>
        <v>0.99578570694374036</v>
      </c>
      <c r="I1925" s="2">
        <f t="shared" si="860"/>
        <v>4.2142930562596801E-3</v>
      </c>
      <c r="J1925" s="3">
        <v>502689.978</v>
      </c>
      <c r="K1925" s="3">
        <v>4389.7269999999999</v>
      </c>
      <c r="L1925" s="1">
        <f t="shared" si="861"/>
        <v>507079.70500000002</v>
      </c>
      <c r="M1925" s="2">
        <f t="shared" si="862"/>
        <v>0.9913431222809439</v>
      </c>
      <c r="N1925" s="2">
        <f t="shared" si="863"/>
        <v>8.6568777190560199E-3</v>
      </c>
      <c r="O1925" s="5">
        <f t="shared" si="864"/>
        <v>883.41565926073042</v>
      </c>
    </row>
    <row r="1926" spans="1:15" x14ac:dyDescent="0.35">
      <c r="A1926" t="s">
        <v>35</v>
      </c>
      <c r="B1926" t="s">
        <v>22</v>
      </c>
      <c r="C1926">
        <v>2002</v>
      </c>
      <c r="D1926" t="s">
        <v>18</v>
      </c>
      <c r="E1926" s="3">
        <v>573116</v>
      </c>
      <c r="F1926" s="3">
        <v>3017</v>
      </c>
      <c r="G1926" s="1">
        <f t="shared" si="858"/>
        <v>576133</v>
      </c>
      <c r="H1926" s="2">
        <f t="shared" si="859"/>
        <v>0.99476336193205384</v>
      </c>
      <c r="I1926" s="2">
        <f t="shared" si="860"/>
        <v>5.2366380679461167E-3</v>
      </c>
      <c r="J1926" s="3">
        <v>680623.15800000005</v>
      </c>
      <c r="K1926" s="3">
        <v>6412.7639999999992</v>
      </c>
      <c r="L1926" s="1">
        <f t="shared" si="861"/>
        <v>687035.92200000002</v>
      </c>
      <c r="M1926" s="2">
        <f t="shared" si="862"/>
        <v>0.99066604264107172</v>
      </c>
      <c r="N1926" s="2">
        <f t="shared" si="863"/>
        <v>9.3339573589283145E-3</v>
      </c>
      <c r="O1926" s="5">
        <f t="shared" si="864"/>
        <v>1192.4953474284584</v>
      </c>
    </row>
    <row r="1927" spans="1:15" x14ac:dyDescent="0.35">
      <c r="A1927" t="s">
        <v>35</v>
      </c>
      <c r="B1927" t="s">
        <v>23</v>
      </c>
      <c r="C1927">
        <v>2002</v>
      </c>
      <c r="D1927" t="s">
        <v>18</v>
      </c>
      <c r="E1927" s="3">
        <v>575170</v>
      </c>
      <c r="F1927" s="3">
        <v>3900</v>
      </c>
      <c r="G1927" s="1">
        <f t="shared" si="858"/>
        <v>579070</v>
      </c>
      <c r="H1927" s="2">
        <f t="shared" si="859"/>
        <v>0.99326506294575789</v>
      </c>
      <c r="I1927" s="2">
        <f t="shared" si="860"/>
        <v>6.7349370542421471E-3</v>
      </c>
      <c r="J1927" s="3">
        <v>771101.43</v>
      </c>
      <c r="K1927" s="3">
        <v>8368.6130000000012</v>
      </c>
      <c r="L1927" s="1">
        <f t="shared" si="861"/>
        <v>779470.04300000006</v>
      </c>
      <c r="M1927" s="2">
        <f t="shared" si="862"/>
        <v>0.98926371439780914</v>
      </c>
      <c r="N1927" s="2">
        <f t="shared" si="863"/>
        <v>1.0736285602190873E-2</v>
      </c>
      <c r="O1927" s="5">
        <f t="shared" si="864"/>
        <v>1346.0722244288258</v>
      </c>
    </row>
    <row r="1928" spans="1:15" x14ac:dyDescent="0.35">
      <c r="A1928" t="s">
        <v>35</v>
      </c>
      <c r="B1928" t="s">
        <v>24</v>
      </c>
      <c r="C1928">
        <v>2002</v>
      </c>
      <c r="D1928" t="s">
        <v>18</v>
      </c>
      <c r="E1928" s="3">
        <v>577892</v>
      </c>
      <c r="F1928" s="3">
        <v>5329</v>
      </c>
      <c r="G1928" s="1">
        <f t="shared" si="858"/>
        <v>583221</v>
      </c>
      <c r="H1928" s="2">
        <f t="shared" si="859"/>
        <v>0.9908628118671996</v>
      </c>
      <c r="I1928" s="2">
        <f t="shared" si="860"/>
        <v>9.1371881328004313E-3</v>
      </c>
      <c r="J1928" s="3">
        <v>846257.18299999996</v>
      </c>
      <c r="K1928" s="3">
        <v>11029.567999999999</v>
      </c>
      <c r="L1928" s="1">
        <f t="shared" si="861"/>
        <v>857286.75099999993</v>
      </c>
      <c r="M1928" s="2">
        <f t="shared" si="862"/>
        <v>0.98713433050594301</v>
      </c>
      <c r="N1928" s="2">
        <f t="shared" si="863"/>
        <v>1.2865669494057071E-2</v>
      </c>
      <c r="O1928" s="5">
        <f t="shared" si="864"/>
        <v>1469.9174943974924</v>
      </c>
    </row>
    <row r="1929" spans="1:15" x14ac:dyDescent="0.35">
      <c r="A1929" t="s">
        <v>35</v>
      </c>
      <c r="B1929" t="s">
        <v>25</v>
      </c>
      <c r="C1929">
        <v>2002</v>
      </c>
      <c r="D1929" t="s">
        <v>18</v>
      </c>
      <c r="E1929" s="3">
        <v>581730</v>
      </c>
      <c r="F1929" s="3">
        <v>11140</v>
      </c>
      <c r="G1929" s="1">
        <f t="shared" si="858"/>
        <v>592870</v>
      </c>
      <c r="H1929" s="2">
        <f t="shared" si="859"/>
        <v>0.9812100460471942</v>
      </c>
      <c r="I1929" s="2">
        <f t="shared" si="860"/>
        <v>1.8789953952805843E-2</v>
      </c>
      <c r="J1929" s="3">
        <v>862939.85599999991</v>
      </c>
      <c r="K1929" s="3">
        <v>13070.104000000001</v>
      </c>
      <c r="L1929" s="1">
        <f t="shared" si="861"/>
        <v>876009.96</v>
      </c>
      <c r="M1929" s="2">
        <f t="shared" si="862"/>
        <v>0.98507995959315342</v>
      </c>
      <c r="N1929" s="2">
        <f t="shared" si="863"/>
        <v>1.4920040406846517E-2</v>
      </c>
      <c r="O1929" s="5">
        <f t="shared" si="864"/>
        <v>1477.575117648051</v>
      </c>
    </row>
    <row r="1930" spans="1:15" x14ac:dyDescent="0.35">
      <c r="A1930" t="s">
        <v>35</v>
      </c>
      <c r="B1930" t="s">
        <v>26</v>
      </c>
      <c r="C1930">
        <v>2002</v>
      </c>
      <c r="D1930" t="s">
        <v>18</v>
      </c>
      <c r="E1930" s="3">
        <v>571915</v>
      </c>
      <c r="F1930" s="3">
        <v>15878</v>
      </c>
      <c r="G1930" s="1">
        <f t="shared" si="858"/>
        <v>587793</v>
      </c>
      <c r="H1930" s="2">
        <f t="shared" si="859"/>
        <v>0.9729870889922132</v>
      </c>
      <c r="I1930" s="2">
        <f t="shared" si="860"/>
        <v>2.7012911007786754E-2</v>
      </c>
      <c r="J1930" s="3">
        <v>870173.12599999993</v>
      </c>
      <c r="K1930" s="3">
        <v>19373.198999999997</v>
      </c>
      <c r="L1930" s="1">
        <f t="shared" si="861"/>
        <v>889546.32499999995</v>
      </c>
      <c r="M1930" s="2">
        <f t="shared" si="862"/>
        <v>0.97822125902212009</v>
      </c>
      <c r="N1930" s="2">
        <f t="shared" si="863"/>
        <v>2.1778740977879931E-2</v>
      </c>
      <c r="O1930" s="5">
        <f t="shared" si="864"/>
        <v>1513.3666528863052</v>
      </c>
    </row>
    <row r="1931" spans="1:15" x14ac:dyDescent="0.35">
      <c r="A1931" t="s">
        <v>35</v>
      </c>
      <c r="B1931" t="s">
        <v>27</v>
      </c>
      <c r="C1931">
        <v>2002</v>
      </c>
      <c r="D1931" t="s">
        <v>18</v>
      </c>
      <c r="E1931" s="3">
        <v>563585</v>
      </c>
      <c r="F1931" s="3">
        <v>19256</v>
      </c>
      <c r="G1931" s="1">
        <f t="shared" si="858"/>
        <v>582841</v>
      </c>
      <c r="H1931" s="2">
        <f t="shared" si="859"/>
        <v>0.96696183007029357</v>
      </c>
      <c r="I1931" s="2">
        <f t="shared" si="860"/>
        <v>3.3038169929706387E-2</v>
      </c>
      <c r="J1931" s="3">
        <v>671247.22</v>
      </c>
      <c r="K1931" s="3">
        <v>26891.367999999999</v>
      </c>
      <c r="L1931" s="1">
        <f t="shared" si="861"/>
        <v>698138.58799999999</v>
      </c>
      <c r="M1931" s="2">
        <f t="shared" si="862"/>
        <v>0.96148133270066427</v>
      </c>
      <c r="N1931" s="2">
        <f t="shared" si="863"/>
        <v>3.8518667299335702E-2</v>
      </c>
      <c r="O1931" s="5">
        <f t="shared" si="864"/>
        <v>1197.8199680530367</v>
      </c>
    </row>
    <row r="1932" spans="1:15" x14ac:dyDescent="0.35">
      <c r="A1932" t="s">
        <v>35</v>
      </c>
      <c r="B1932" t="s">
        <v>28</v>
      </c>
      <c r="C1932">
        <v>2002</v>
      </c>
      <c r="D1932" t="s">
        <v>18</v>
      </c>
      <c r="E1932" s="3">
        <v>562447</v>
      </c>
      <c r="F1932" s="3">
        <v>20505</v>
      </c>
      <c r="G1932" s="1">
        <f t="shared" si="858"/>
        <v>582952</v>
      </c>
      <c r="H1932" s="2">
        <f t="shared" si="859"/>
        <v>0.96482557740603003</v>
      </c>
      <c r="I1932" s="2">
        <f t="shared" si="860"/>
        <v>3.5174422593970002E-2</v>
      </c>
      <c r="J1932" s="3">
        <v>486588.01199999999</v>
      </c>
      <c r="K1932" s="3">
        <v>21101.47</v>
      </c>
      <c r="L1932" s="1">
        <f t="shared" si="861"/>
        <v>507689.48199999996</v>
      </c>
      <c r="M1932" s="2">
        <f t="shared" si="862"/>
        <v>0.95843626715118757</v>
      </c>
      <c r="N1932" s="2">
        <f t="shared" si="863"/>
        <v>4.1563732848812499E-2</v>
      </c>
      <c r="O1932" s="5">
        <f t="shared" si="864"/>
        <v>870.89414222783341</v>
      </c>
    </row>
    <row r="1933" spans="1:15" x14ac:dyDescent="0.35">
      <c r="A1933" t="s">
        <v>35</v>
      </c>
      <c r="B1933" t="s">
        <v>29</v>
      </c>
      <c r="C1933">
        <v>2002</v>
      </c>
      <c r="D1933" t="s">
        <v>18</v>
      </c>
      <c r="E1933" s="3">
        <v>566515</v>
      </c>
      <c r="F1933" s="3">
        <v>23101</v>
      </c>
      <c r="G1933" s="1">
        <f t="shared" si="858"/>
        <v>589616</v>
      </c>
      <c r="H1933" s="2">
        <f t="shared" si="859"/>
        <v>0.96082026267943887</v>
      </c>
      <c r="I1933" s="2">
        <f t="shared" si="860"/>
        <v>3.9179737320561181E-2</v>
      </c>
      <c r="J1933" s="3">
        <v>523242.60799999995</v>
      </c>
      <c r="K1933" s="3">
        <v>24124.792999999994</v>
      </c>
      <c r="L1933" s="1">
        <f t="shared" si="861"/>
        <v>547367.40099999995</v>
      </c>
      <c r="M1933" s="2">
        <f t="shared" si="862"/>
        <v>0.95592577680745006</v>
      </c>
      <c r="N1933" s="2">
        <f t="shared" si="863"/>
        <v>4.4074223192549965E-2</v>
      </c>
      <c r="O1933" s="5">
        <f t="shared" si="864"/>
        <v>928.34556898048902</v>
      </c>
    </row>
    <row r="1934" spans="1:15" x14ac:dyDescent="0.35">
      <c r="A1934" t="s">
        <v>35</v>
      </c>
      <c r="B1934" t="s">
        <v>17</v>
      </c>
      <c r="C1934">
        <v>2003</v>
      </c>
      <c r="D1934" t="s">
        <v>18</v>
      </c>
      <c r="E1934" s="3">
        <v>598186</v>
      </c>
      <c r="F1934" s="3">
        <v>31805</v>
      </c>
      <c r="G1934" s="1">
        <f>SUM(E1934:F1934)</f>
        <v>629991</v>
      </c>
      <c r="H1934" s="2">
        <f>SUM(E1934)/G1934</f>
        <v>0.9495151518037559</v>
      </c>
      <c r="I1934" s="2">
        <f>SUM(F1934/G1934)</f>
        <v>5.0484848196244075E-2</v>
      </c>
      <c r="J1934" s="3">
        <v>609977</v>
      </c>
      <c r="K1934" s="3">
        <v>35450</v>
      </c>
      <c r="L1934" s="1">
        <f t="shared" si="861"/>
        <v>645427</v>
      </c>
      <c r="M1934" s="2">
        <f t="shared" si="862"/>
        <v>0.94507512081149381</v>
      </c>
      <c r="N1934" s="2">
        <f t="shared" si="863"/>
        <v>5.4924879188506213E-2</v>
      </c>
      <c r="O1934" s="5">
        <f t="shared" si="864"/>
        <v>1024.5019373292635</v>
      </c>
    </row>
    <row r="1935" spans="1:15" x14ac:dyDescent="0.35">
      <c r="A1935" t="s">
        <v>35</v>
      </c>
      <c r="B1935" t="s">
        <v>19</v>
      </c>
      <c r="C1935">
        <v>2003</v>
      </c>
      <c r="D1935" t="s">
        <v>18</v>
      </c>
      <c r="E1935" s="3">
        <v>547158</v>
      </c>
      <c r="F1935" s="3">
        <v>34032</v>
      </c>
      <c r="G1935" s="1">
        <f t="shared" ref="G1935:G1945" si="865">SUM(E1935:F1935)</f>
        <v>581190</v>
      </c>
      <c r="H1935" s="2">
        <f t="shared" ref="H1935:H1945" si="866">SUM(E1935)/G1935</f>
        <v>0.94144427811903164</v>
      </c>
      <c r="I1935" s="2">
        <f t="shared" ref="I1935:I1945" si="867">SUM(F1935/G1935)</f>
        <v>5.8555721880968359E-2</v>
      </c>
      <c r="J1935" s="3">
        <v>526416</v>
      </c>
      <c r="K1935" s="3">
        <v>36419</v>
      </c>
      <c r="L1935" s="1">
        <f t="shared" si="861"/>
        <v>562835</v>
      </c>
      <c r="M1935" s="2">
        <f t="shared" si="862"/>
        <v>0.93529364733891818</v>
      </c>
      <c r="N1935" s="2">
        <f t="shared" si="863"/>
        <v>6.4706352661081851E-2</v>
      </c>
      <c r="O1935" s="5">
        <f t="shared" si="864"/>
        <v>968.41824532424857</v>
      </c>
    </row>
    <row r="1936" spans="1:15" x14ac:dyDescent="0.35">
      <c r="A1936" t="s">
        <v>35</v>
      </c>
      <c r="B1936" t="s">
        <v>20</v>
      </c>
      <c r="C1936">
        <v>2003</v>
      </c>
      <c r="D1936" t="s">
        <v>18</v>
      </c>
      <c r="E1936" s="3">
        <v>612596</v>
      </c>
      <c r="F1936" s="3">
        <v>41028</v>
      </c>
      <c r="G1936" s="1">
        <f t="shared" si="865"/>
        <v>653624</v>
      </c>
      <c r="H1936" s="2">
        <f t="shared" si="866"/>
        <v>0.93722996707587236</v>
      </c>
      <c r="I1936" s="2">
        <f t="shared" si="867"/>
        <v>6.2770032924127639E-2</v>
      </c>
      <c r="J1936" s="3">
        <v>490137</v>
      </c>
      <c r="K1936" s="3">
        <v>39529</v>
      </c>
      <c r="L1936" s="1">
        <f t="shared" si="861"/>
        <v>529666</v>
      </c>
      <c r="M1936" s="2">
        <f t="shared" si="862"/>
        <v>0.92536995011950929</v>
      </c>
      <c r="N1936" s="2">
        <f t="shared" si="863"/>
        <v>7.4630049880490726E-2</v>
      </c>
      <c r="O1936" s="5">
        <f t="shared" si="864"/>
        <v>810.35274102542132</v>
      </c>
    </row>
    <row r="1937" spans="1:15" x14ac:dyDescent="0.35">
      <c r="A1937" t="s">
        <v>35</v>
      </c>
      <c r="B1937" t="s">
        <v>21</v>
      </c>
      <c r="C1937">
        <v>2003</v>
      </c>
      <c r="D1937" t="s">
        <v>18</v>
      </c>
      <c r="E1937" s="3">
        <v>559849</v>
      </c>
      <c r="F1937" s="3">
        <v>46773</v>
      </c>
      <c r="G1937" s="1">
        <f t="shared" si="865"/>
        <v>606622</v>
      </c>
      <c r="H1937" s="2">
        <f t="shared" si="866"/>
        <v>0.92289597146163505</v>
      </c>
      <c r="I1937" s="2">
        <f t="shared" si="867"/>
        <v>7.7104028538364913E-2</v>
      </c>
      <c r="J1937" s="3">
        <v>424701</v>
      </c>
      <c r="K1937" s="3">
        <v>40536</v>
      </c>
      <c r="L1937" s="1">
        <f t="shared" si="861"/>
        <v>465237</v>
      </c>
      <c r="M1937" s="2">
        <f t="shared" si="862"/>
        <v>0.91287021453581718</v>
      </c>
      <c r="N1937" s="2">
        <f t="shared" si="863"/>
        <v>8.7129785464182777E-2</v>
      </c>
      <c r="O1937" s="5">
        <f t="shared" si="864"/>
        <v>766.93064214618005</v>
      </c>
    </row>
    <row r="1938" spans="1:15" x14ac:dyDescent="0.35">
      <c r="A1938" t="s">
        <v>35</v>
      </c>
      <c r="B1938" t="s">
        <v>22</v>
      </c>
      <c r="C1938">
        <v>2003</v>
      </c>
      <c r="D1938" t="s">
        <v>18</v>
      </c>
      <c r="E1938" s="3">
        <v>552547</v>
      </c>
      <c r="F1938" s="3">
        <v>54402</v>
      </c>
      <c r="G1938" s="1">
        <f t="shared" si="865"/>
        <v>606949</v>
      </c>
      <c r="H1938" s="2">
        <f t="shared" si="866"/>
        <v>0.91036808693975935</v>
      </c>
      <c r="I1938" s="2">
        <f t="shared" si="867"/>
        <v>8.9631913060240639E-2</v>
      </c>
      <c r="J1938" s="3">
        <v>602403</v>
      </c>
      <c r="K1938" s="3">
        <v>68227</v>
      </c>
      <c r="L1938" s="1">
        <f t="shared" si="861"/>
        <v>670630</v>
      </c>
      <c r="M1938" s="2">
        <f t="shared" si="862"/>
        <v>0.89826431862576983</v>
      </c>
      <c r="N1938" s="2">
        <f t="shared" si="863"/>
        <v>0.1017356813742302</v>
      </c>
      <c r="O1938" s="5">
        <f t="shared" si="864"/>
        <v>1104.9198532331382</v>
      </c>
    </row>
    <row r="1939" spans="1:15" x14ac:dyDescent="0.35">
      <c r="A1939" t="s">
        <v>35</v>
      </c>
      <c r="B1939" t="s">
        <v>23</v>
      </c>
      <c r="C1939">
        <v>2003</v>
      </c>
      <c r="D1939" t="s">
        <v>18</v>
      </c>
      <c r="E1939" s="3">
        <v>546784</v>
      </c>
      <c r="F1939" s="3">
        <v>61083</v>
      </c>
      <c r="G1939" s="1">
        <f t="shared" si="865"/>
        <v>607867</v>
      </c>
      <c r="H1939" s="2">
        <f t="shared" si="866"/>
        <v>0.89951255784571293</v>
      </c>
      <c r="I1939" s="2">
        <f t="shared" si="867"/>
        <v>0.10048744215428704</v>
      </c>
      <c r="J1939" s="3">
        <v>765594</v>
      </c>
      <c r="K1939" s="3">
        <v>99171</v>
      </c>
      <c r="L1939" s="1">
        <f t="shared" si="861"/>
        <v>864765</v>
      </c>
      <c r="M1939" s="2">
        <f t="shared" si="862"/>
        <v>0.88532028932715823</v>
      </c>
      <c r="N1939" s="2">
        <f t="shared" si="863"/>
        <v>0.11467971067284176</v>
      </c>
      <c r="O1939" s="5">
        <f t="shared" si="864"/>
        <v>1422.6220538374348</v>
      </c>
    </row>
    <row r="1940" spans="1:15" x14ac:dyDescent="0.35">
      <c r="A1940" t="s">
        <v>35</v>
      </c>
      <c r="B1940" t="s">
        <v>24</v>
      </c>
      <c r="C1940">
        <v>2003</v>
      </c>
      <c r="D1940" t="s">
        <v>18</v>
      </c>
      <c r="E1940" s="3">
        <v>564589</v>
      </c>
      <c r="F1940" s="3">
        <v>72044</v>
      </c>
      <c r="G1940" s="1">
        <f t="shared" si="865"/>
        <v>636633</v>
      </c>
      <c r="H1940" s="2">
        <f t="shared" si="866"/>
        <v>0.88683590074658403</v>
      </c>
      <c r="I1940" s="2">
        <f t="shared" si="867"/>
        <v>0.11316409925341601</v>
      </c>
      <c r="J1940" s="3">
        <v>813809</v>
      </c>
      <c r="K1940" s="3">
        <v>122758</v>
      </c>
      <c r="L1940" s="1">
        <f t="shared" si="861"/>
        <v>936567</v>
      </c>
      <c r="M1940" s="2">
        <f t="shared" si="862"/>
        <v>0.86892769017059113</v>
      </c>
      <c r="N1940" s="2">
        <f t="shared" si="863"/>
        <v>0.1310723098294089</v>
      </c>
      <c r="O1940" s="5">
        <f t="shared" si="864"/>
        <v>1471.1254364759602</v>
      </c>
    </row>
    <row r="1941" spans="1:15" x14ac:dyDescent="0.35">
      <c r="A1941" t="s">
        <v>35</v>
      </c>
      <c r="B1941" t="s">
        <v>25</v>
      </c>
      <c r="C1941">
        <v>2003</v>
      </c>
      <c r="D1941" t="s">
        <v>18</v>
      </c>
      <c r="E1941" s="3">
        <v>534460</v>
      </c>
      <c r="F1941" s="3">
        <v>76927</v>
      </c>
      <c r="G1941" s="1">
        <f t="shared" si="865"/>
        <v>611387</v>
      </c>
      <c r="H1941" s="2">
        <f t="shared" si="866"/>
        <v>0.87417625824559564</v>
      </c>
      <c r="I1941" s="2">
        <f t="shared" si="867"/>
        <v>0.12582374175440433</v>
      </c>
      <c r="J1941" s="3">
        <f>770690</f>
        <v>770690</v>
      </c>
      <c r="K1941" s="3">
        <v>131152</v>
      </c>
      <c r="L1941" s="1">
        <f t="shared" si="861"/>
        <v>901842</v>
      </c>
      <c r="M1941" s="2">
        <f t="shared" si="862"/>
        <v>0.85457319574825741</v>
      </c>
      <c r="N1941" s="2">
        <f t="shared" si="863"/>
        <v>0.14542680425174254</v>
      </c>
      <c r="O1941" s="5">
        <f t="shared" si="864"/>
        <v>1475.075524994807</v>
      </c>
    </row>
    <row r="1942" spans="1:15" x14ac:dyDescent="0.35">
      <c r="A1942" t="s">
        <v>35</v>
      </c>
      <c r="B1942" t="s">
        <v>26</v>
      </c>
      <c r="C1942">
        <v>2003</v>
      </c>
      <c r="D1942" t="s">
        <v>18</v>
      </c>
      <c r="E1942" s="3">
        <v>528424</v>
      </c>
      <c r="F1942" s="3">
        <v>84166</v>
      </c>
      <c r="G1942" s="1">
        <f t="shared" si="865"/>
        <v>612590</v>
      </c>
      <c r="H1942" s="2">
        <f t="shared" si="866"/>
        <v>0.86260631090941742</v>
      </c>
      <c r="I1942" s="2">
        <f t="shared" si="867"/>
        <v>0.13739368909058261</v>
      </c>
      <c r="J1942" s="3">
        <v>712204</v>
      </c>
      <c r="K1942" s="3">
        <v>134130</v>
      </c>
      <c r="L1942" s="1">
        <f t="shared" si="861"/>
        <v>846334</v>
      </c>
      <c r="M1942" s="2">
        <f t="shared" si="862"/>
        <v>0.84151646985705408</v>
      </c>
      <c r="N1942" s="2">
        <f t="shared" si="863"/>
        <v>0.15848353014294592</v>
      </c>
      <c r="O1942" s="5">
        <f t="shared" si="864"/>
        <v>1381.5667901859319</v>
      </c>
    </row>
    <row r="1943" spans="1:15" x14ac:dyDescent="0.35">
      <c r="A1943" t="s">
        <v>35</v>
      </c>
      <c r="B1943" t="s">
        <v>27</v>
      </c>
      <c r="C1943">
        <v>2003</v>
      </c>
      <c r="D1943" t="s">
        <v>18</v>
      </c>
      <c r="E1943" s="3">
        <v>556069</v>
      </c>
      <c r="F1943" s="3">
        <v>100937</v>
      </c>
      <c r="G1943" s="1">
        <f t="shared" si="865"/>
        <v>657006</v>
      </c>
      <c r="H1943" s="2">
        <f t="shared" si="866"/>
        <v>0.84636822190360517</v>
      </c>
      <c r="I1943" s="2">
        <f t="shared" si="867"/>
        <v>0.15363177809639486</v>
      </c>
      <c r="J1943" s="3">
        <v>561175</v>
      </c>
      <c r="K1943" s="3">
        <v>123169</v>
      </c>
      <c r="L1943" s="1">
        <f t="shared" si="861"/>
        <v>684344</v>
      </c>
      <c r="M1943" s="2">
        <f t="shared" si="862"/>
        <v>0.82001887939398899</v>
      </c>
      <c r="N1943" s="2">
        <f t="shared" si="863"/>
        <v>0.17998112060601101</v>
      </c>
      <c r="O1943" s="5">
        <f t="shared" si="864"/>
        <v>1041.6099700763768</v>
      </c>
    </row>
    <row r="1944" spans="1:15" x14ac:dyDescent="0.35">
      <c r="A1944" t="s">
        <v>35</v>
      </c>
      <c r="B1944" t="s">
        <v>28</v>
      </c>
      <c r="C1944">
        <v>2003</v>
      </c>
      <c r="D1944" t="s">
        <v>18</v>
      </c>
      <c r="E1944" s="3">
        <v>421785</v>
      </c>
      <c r="F1944" s="3">
        <v>82177</v>
      </c>
      <c r="G1944" s="1">
        <f t="shared" si="865"/>
        <v>503962</v>
      </c>
      <c r="H1944" s="2">
        <f t="shared" si="866"/>
        <v>0.83693810247598033</v>
      </c>
      <c r="I1944" s="2">
        <f t="shared" si="867"/>
        <v>0.16306189752401967</v>
      </c>
      <c r="J1944" s="3">
        <v>357805</v>
      </c>
      <c r="K1944" s="3">
        <v>84584</v>
      </c>
      <c r="L1944" s="1">
        <f t="shared" si="861"/>
        <v>442389</v>
      </c>
      <c r="M1944" s="2">
        <f t="shared" si="862"/>
        <v>0.80880175592069425</v>
      </c>
      <c r="N1944" s="2">
        <f t="shared" si="863"/>
        <v>0.19119824407930577</v>
      </c>
      <c r="O1944" s="5">
        <f t="shared" si="864"/>
        <v>877.82213738337418</v>
      </c>
    </row>
    <row r="1945" spans="1:15" x14ac:dyDescent="0.35">
      <c r="A1945" t="s">
        <v>35</v>
      </c>
      <c r="B1945" t="s">
        <v>29</v>
      </c>
      <c r="C1945">
        <v>2003</v>
      </c>
      <c r="D1945" t="s">
        <v>18</v>
      </c>
      <c r="E1945" s="3">
        <v>498697</v>
      </c>
      <c r="F1945" s="3">
        <v>103341</v>
      </c>
      <c r="G1945" s="1">
        <f t="shared" si="865"/>
        <v>602038</v>
      </c>
      <c r="H1945" s="2">
        <f t="shared" si="866"/>
        <v>0.82834804447559784</v>
      </c>
      <c r="I1945" s="2">
        <f t="shared" si="867"/>
        <v>0.17165195552440213</v>
      </c>
      <c r="J1945" s="3">
        <v>442513</v>
      </c>
      <c r="K1945" s="3">
        <v>111682</v>
      </c>
      <c r="L1945" s="1">
        <f t="shared" si="861"/>
        <v>554195</v>
      </c>
      <c r="M1945" s="2">
        <f t="shared" si="862"/>
        <v>0.7984788747642978</v>
      </c>
      <c r="N1945" s="2">
        <f t="shared" si="863"/>
        <v>0.20152112523570223</v>
      </c>
      <c r="O1945" s="5">
        <f t="shared" si="864"/>
        <v>920.5315943511871</v>
      </c>
    </row>
    <row r="1946" spans="1:15" x14ac:dyDescent="0.35">
      <c r="A1946" t="s">
        <v>35</v>
      </c>
      <c r="B1946" t="s">
        <v>17</v>
      </c>
      <c r="C1946">
        <v>2004</v>
      </c>
      <c r="D1946" t="s">
        <v>18</v>
      </c>
      <c r="E1946" s="3">
        <v>516029</v>
      </c>
      <c r="F1946" s="3">
        <v>107130</v>
      </c>
      <c r="G1946" s="1">
        <f>SUM(E1946:F1946)</f>
        <v>623159</v>
      </c>
      <c r="H1946" s="2">
        <f>SUM(E1946)/G1946</f>
        <v>0.82808560896978134</v>
      </c>
      <c r="I1946" s="2">
        <f>SUM(F1946/G1946)</f>
        <v>0.17191439103021861</v>
      </c>
      <c r="J1946" s="3">
        <v>503832</v>
      </c>
      <c r="K1946" s="3">
        <v>125767</v>
      </c>
      <c r="L1946" s="1">
        <f t="shared" si="861"/>
        <v>629599</v>
      </c>
      <c r="M1946" s="2">
        <f t="shared" si="862"/>
        <v>0.80024269415929827</v>
      </c>
      <c r="N1946" s="2">
        <f t="shared" si="863"/>
        <v>0.19975730584070178</v>
      </c>
      <c r="O1946" s="5">
        <f t="shared" si="864"/>
        <v>1010.3344411297919</v>
      </c>
    </row>
    <row r="1947" spans="1:15" x14ac:dyDescent="0.35">
      <c r="A1947" t="s">
        <v>35</v>
      </c>
      <c r="B1947" t="s">
        <v>19</v>
      </c>
      <c r="C1947">
        <v>2004</v>
      </c>
      <c r="D1947" t="s">
        <v>18</v>
      </c>
      <c r="E1947" s="3">
        <v>495233</v>
      </c>
      <c r="F1947" s="3">
        <v>103894</v>
      </c>
      <c r="G1947" s="1">
        <f t="shared" ref="G1947:G1957" si="868">SUM(E1947:F1947)</f>
        <v>599127</v>
      </c>
      <c r="H1947" s="2">
        <f t="shared" ref="H1947:H1957" si="869">SUM(E1947)/G1947</f>
        <v>0.82659102327219436</v>
      </c>
      <c r="I1947" s="2">
        <f t="shared" ref="I1947:I1957" si="870">SUM(F1947/G1947)</f>
        <v>0.17340897672780561</v>
      </c>
      <c r="J1947" s="3">
        <v>418238</v>
      </c>
      <c r="K1947" s="3">
        <v>105070</v>
      </c>
      <c r="L1947" s="1">
        <f t="shared" si="861"/>
        <v>523308</v>
      </c>
      <c r="M1947" s="2">
        <f t="shared" si="862"/>
        <v>0.79921958005610461</v>
      </c>
      <c r="N1947" s="2">
        <f t="shared" si="863"/>
        <v>0.20078041994389537</v>
      </c>
      <c r="O1947" s="5">
        <f t="shared" si="864"/>
        <v>873.4508710173302</v>
      </c>
    </row>
    <row r="1948" spans="1:15" x14ac:dyDescent="0.35">
      <c r="A1948" t="s">
        <v>35</v>
      </c>
      <c r="B1948" t="s">
        <v>20</v>
      </c>
      <c r="C1948">
        <v>2004</v>
      </c>
      <c r="D1948" t="s">
        <v>18</v>
      </c>
      <c r="E1948" s="3">
        <v>561577</v>
      </c>
      <c r="F1948" s="3">
        <v>121482</v>
      </c>
      <c r="G1948" s="1">
        <f t="shared" si="868"/>
        <v>683059</v>
      </c>
      <c r="H1948" s="2">
        <f t="shared" si="869"/>
        <v>0.82215006317170258</v>
      </c>
      <c r="I1948" s="2">
        <f t="shared" si="870"/>
        <v>0.17784993682829742</v>
      </c>
      <c r="J1948" s="3">
        <v>422770</v>
      </c>
      <c r="K1948" s="3">
        <v>111170</v>
      </c>
      <c r="L1948" s="1">
        <f t="shared" si="861"/>
        <v>533940</v>
      </c>
      <c r="M1948" s="2">
        <f t="shared" si="862"/>
        <v>0.79179308536539683</v>
      </c>
      <c r="N1948" s="2">
        <f t="shared" si="863"/>
        <v>0.20820691463460314</v>
      </c>
      <c r="O1948" s="5">
        <f t="shared" si="864"/>
        <v>781.68942946363347</v>
      </c>
    </row>
    <row r="1949" spans="1:15" x14ac:dyDescent="0.35">
      <c r="A1949" t="s">
        <v>35</v>
      </c>
      <c r="B1949" t="s">
        <v>21</v>
      </c>
      <c r="C1949">
        <v>2004</v>
      </c>
      <c r="D1949" t="s">
        <v>18</v>
      </c>
      <c r="E1949" s="3">
        <v>508160</v>
      </c>
      <c r="F1949" s="3">
        <v>112350</v>
      </c>
      <c r="G1949" s="1">
        <f t="shared" si="868"/>
        <v>620510</v>
      </c>
      <c r="H1949" s="2">
        <f t="shared" si="869"/>
        <v>0.8189392596412628</v>
      </c>
      <c r="I1949" s="2">
        <f t="shared" si="870"/>
        <v>0.18106074035873718</v>
      </c>
      <c r="J1949" s="3">
        <v>393361</v>
      </c>
      <c r="K1949" s="3">
        <v>107311</v>
      </c>
      <c r="L1949" s="1">
        <f t="shared" si="861"/>
        <v>500672</v>
      </c>
      <c r="M1949" s="2">
        <f t="shared" si="862"/>
        <v>0.78566606480889689</v>
      </c>
      <c r="N1949" s="2">
        <f t="shared" si="863"/>
        <v>0.21433393519110316</v>
      </c>
      <c r="O1949" s="5">
        <f t="shared" si="864"/>
        <v>806.87176677249363</v>
      </c>
    </row>
    <row r="1950" spans="1:15" x14ac:dyDescent="0.35">
      <c r="A1950" t="s">
        <v>35</v>
      </c>
      <c r="B1950" t="s">
        <v>22</v>
      </c>
      <c r="C1950">
        <v>2004</v>
      </c>
      <c r="D1950" t="s">
        <v>18</v>
      </c>
      <c r="E1950" s="3">
        <v>478303</v>
      </c>
      <c r="F1950" s="3">
        <v>110723</v>
      </c>
      <c r="G1950" s="1">
        <f t="shared" si="868"/>
        <v>589026</v>
      </c>
      <c r="H1950" s="2">
        <f t="shared" si="869"/>
        <v>0.81202357790657798</v>
      </c>
      <c r="I1950" s="2">
        <f t="shared" si="870"/>
        <v>0.18797642209342202</v>
      </c>
      <c r="J1950" s="3">
        <v>412252</v>
      </c>
      <c r="K1950" s="3">
        <v>118040</v>
      </c>
      <c r="L1950" s="1">
        <f t="shared" si="861"/>
        <v>530292</v>
      </c>
      <c r="M1950" s="2">
        <f t="shared" si="862"/>
        <v>0.77740565575192533</v>
      </c>
      <c r="N1950" s="2">
        <f t="shared" si="863"/>
        <v>0.22259434424807464</v>
      </c>
      <c r="O1950" s="5">
        <f t="shared" si="864"/>
        <v>900.28623524258694</v>
      </c>
    </row>
    <row r="1951" spans="1:15" x14ac:dyDescent="0.35">
      <c r="A1951" t="s">
        <v>35</v>
      </c>
      <c r="B1951" t="s">
        <v>23</v>
      </c>
      <c r="C1951">
        <v>2004</v>
      </c>
      <c r="D1951" t="s">
        <v>18</v>
      </c>
      <c r="E1951" s="3">
        <v>512838</v>
      </c>
      <c r="F1951" s="3">
        <v>121707</v>
      </c>
      <c r="G1951" s="1">
        <f t="shared" si="868"/>
        <v>634545</v>
      </c>
      <c r="H1951" s="2">
        <f t="shared" si="869"/>
        <v>0.80819800014183396</v>
      </c>
      <c r="I1951" s="2">
        <f t="shared" si="870"/>
        <v>0.19180199985816609</v>
      </c>
      <c r="J1951" s="3">
        <v>649038</v>
      </c>
      <c r="K1951" s="3">
        <v>190109</v>
      </c>
      <c r="L1951" s="1">
        <f t="shared" si="861"/>
        <v>839147</v>
      </c>
      <c r="M1951" s="2">
        <f t="shared" si="862"/>
        <v>0.77344970547472613</v>
      </c>
      <c r="N1951" s="2">
        <f t="shared" si="863"/>
        <v>0.22655029452527389</v>
      </c>
      <c r="O1951" s="5">
        <f t="shared" si="864"/>
        <v>1322.4389129218573</v>
      </c>
    </row>
    <row r="1952" spans="1:15" x14ac:dyDescent="0.35">
      <c r="A1952" t="s">
        <v>35</v>
      </c>
      <c r="B1952" t="s">
        <v>24</v>
      </c>
      <c r="C1952">
        <v>2004</v>
      </c>
      <c r="D1952" t="s">
        <v>18</v>
      </c>
      <c r="E1952" s="3">
        <v>498167</v>
      </c>
      <c r="F1952" s="3">
        <v>125229</v>
      </c>
      <c r="G1952" s="1">
        <f t="shared" si="868"/>
        <v>623396</v>
      </c>
      <c r="H1952" s="2">
        <f t="shared" si="869"/>
        <v>0.79911805658040791</v>
      </c>
      <c r="I1952" s="2">
        <f t="shared" si="870"/>
        <v>0.20088194341959204</v>
      </c>
      <c r="J1952" s="3">
        <v>692303</v>
      </c>
      <c r="K1952" s="3">
        <v>213774</v>
      </c>
      <c r="L1952" s="1">
        <f t="shared" si="861"/>
        <v>906077</v>
      </c>
      <c r="M1952" s="2">
        <f t="shared" si="862"/>
        <v>0.76406640936697434</v>
      </c>
      <c r="N1952" s="2">
        <f t="shared" si="863"/>
        <v>0.23593359063302566</v>
      </c>
      <c r="O1952" s="5">
        <f t="shared" si="864"/>
        <v>1453.453342658599</v>
      </c>
    </row>
    <row r="1953" spans="1:15" x14ac:dyDescent="0.35">
      <c r="A1953" t="s">
        <v>35</v>
      </c>
      <c r="B1953" t="s">
        <v>25</v>
      </c>
      <c r="C1953">
        <v>2004</v>
      </c>
      <c r="D1953" t="s">
        <v>18</v>
      </c>
      <c r="E1953" s="3">
        <v>518553</v>
      </c>
      <c r="F1953" s="3">
        <v>135401</v>
      </c>
      <c r="G1953" s="1">
        <f t="shared" si="868"/>
        <v>653954</v>
      </c>
      <c r="H1953" s="2">
        <f t="shared" si="869"/>
        <v>0.79295026867333174</v>
      </c>
      <c r="I1953" s="2">
        <f t="shared" si="870"/>
        <v>0.20704973132666823</v>
      </c>
      <c r="J1953" s="3">
        <v>726366</v>
      </c>
      <c r="K1953" s="3">
        <v>231835</v>
      </c>
      <c r="L1953" s="1">
        <f t="shared" si="861"/>
        <v>958201</v>
      </c>
      <c r="M1953" s="2">
        <f t="shared" si="862"/>
        <v>0.75805180750176637</v>
      </c>
      <c r="N1953" s="2">
        <f t="shared" si="863"/>
        <v>0.24194819249823368</v>
      </c>
      <c r="O1953" s="5">
        <f t="shared" si="864"/>
        <v>1465.2422035800682</v>
      </c>
    </row>
    <row r="1954" spans="1:15" x14ac:dyDescent="0.35">
      <c r="A1954" t="s">
        <v>35</v>
      </c>
      <c r="B1954" t="s">
        <v>26</v>
      </c>
      <c r="C1954">
        <v>2004</v>
      </c>
      <c r="D1954" t="s">
        <v>18</v>
      </c>
      <c r="E1954" s="3">
        <v>480909</v>
      </c>
      <c r="F1954" s="3">
        <v>130791</v>
      </c>
      <c r="G1954" s="1">
        <f t="shared" si="868"/>
        <v>611700</v>
      </c>
      <c r="H1954" s="2">
        <f t="shared" si="869"/>
        <v>0.7861844041196665</v>
      </c>
      <c r="I1954" s="2">
        <f t="shared" si="870"/>
        <v>0.2138155958803335</v>
      </c>
      <c r="J1954" s="3">
        <v>641474</v>
      </c>
      <c r="K1954" s="3">
        <v>217892</v>
      </c>
      <c r="L1954" s="1">
        <f t="shared" si="861"/>
        <v>859366</v>
      </c>
      <c r="M1954" s="2">
        <f t="shared" si="862"/>
        <v>0.74645029009758357</v>
      </c>
      <c r="N1954" s="2">
        <f t="shared" si="863"/>
        <v>0.25354970990241643</v>
      </c>
      <c r="O1954" s="5">
        <f t="shared" si="864"/>
        <v>1404.8814778486187</v>
      </c>
    </row>
    <row r="1955" spans="1:15" x14ac:dyDescent="0.35">
      <c r="A1955" t="s">
        <v>35</v>
      </c>
      <c r="B1955" t="s">
        <v>27</v>
      </c>
      <c r="C1955">
        <v>2004</v>
      </c>
      <c r="D1955" t="s">
        <v>18</v>
      </c>
      <c r="E1955" s="3">
        <v>476814</v>
      </c>
      <c r="F1955" s="3">
        <v>135880</v>
      </c>
      <c r="G1955" s="1">
        <f t="shared" si="868"/>
        <v>612694</v>
      </c>
      <c r="H1955" s="2">
        <f t="shared" si="869"/>
        <v>0.77822534576803426</v>
      </c>
      <c r="I1955" s="2">
        <f t="shared" si="870"/>
        <v>0.22177465423196571</v>
      </c>
      <c r="J1955" s="3">
        <v>535270</v>
      </c>
      <c r="K1955" s="3">
        <v>191094</v>
      </c>
      <c r="L1955" s="1">
        <f t="shared" si="861"/>
        <v>726364</v>
      </c>
      <c r="M1955" s="2">
        <f t="shared" si="862"/>
        <v>0.73691702782626889</v>
      </c>
      <c r="N1955" s="2">
        <f t="shared" si="863"/>
        <v>0.26308297217373106</v>
      </c>
      <c r="O1955" s="5">
        <f t="shared" si="864"/>
        <v>1185.5249112934025</v>
      </c>
    </row>
    <row r="1956" spans="1:15" x14ac:dyDescent="0.35">
      <c r="A1956" t="s">
        <v>35</v>
      </c>
      <c r="B1956" t="s">
        <v>28</v>
      </c>
      <c r="C1956">
        <v>2004</v>
      </c>
      <c r="D1956" t="s">
        <v>18</v>
      </c>
      <c r="E1956" s="3">
        <v>455817</v>
      </c>
      <c r="F1956" s="3">
        <v>134414</v>
      </c>
      <c r="G1956" s="1">
        <f t="shared" si="868"/>
        <v>590231</v>
      </c>
      <c r="H1956" s="2">
        <f t="shared" si="869"/>
        <v>0.7722688235623002</v>
      </c>
      <c r="I1956" s="2">
        <f t="shared" si="870"/>
        <v>0.22773117643769983</v>
      </c>
      <c r="J1956" s="3">
        <v>433812</v>
      </c>
      <c r="K1956" s="3">
        <v>160783</v>
      </c>
      <c r="L1956" s="1">
        <f t="shared" si="861"/>
        <v>594595</v>
      </c>
      <c r="M1956" s="2">
        <f t="shared" si="862"/>
        <v>0.72959241164153754</v>
      </c>
      <c r="N1956" s="2">
        <f t="shared" si="863"/>
        <v>0.27040758835846246</v>
      </c>
      <c r="O1956" s="5">
        <f t="shared" si="864"/>
        <v>1007.3937153419594</v>
      </c>
    </row>
    <row r="1957" spans="1:15" x14ac:dyDescent="0.35">
      <c r="A1957" t="s">
        <v>35</v>
      </c>
      <c r="B1957" t="s">
        <v>29</v>
      </c>
      <c r="C1957">
        <v>2004</v>
      </c>
      <c r="D1957" t="s">
        <v>18</v>
      </c>
      <c r="E1957" s="3">
        <v>444472</v>
      </c>
      <c r="F1957" s="3">
        <v>136055</v>
      </c>
      <c r="G1957" s="1">
        <f t="shared" si="868"/>
        <v>580527</v>
      </c>
      <c r="H1957" s="2">
        <f t="shared" si="869"/>
        <v>0.76563536235179419</v>
      </c>
      <c r="I1957" s="2">
        <f t="shared" si="870"/>
        <v>0.23436463764820586</v>
      </c>
      <c r="J1957" s="3">
        <v>398599</v>
      </c>
      <c r="K1957" s="3">
        <v>149819</v>
      </c>
      <c r="L1957" s="1">
        <f t="shared" si="861"/>
        <v>548418</v>
      </c>
      <c r="M1957" s="2">
        <f t="shared" si="862"/>
        <v>0.72681604177835157</v>
      </c>
      <c r="N1957" s="2">
        <f t="shared" si="863"/>
        <v>0.27318395822164843</v>
      </c>
      <c r="O1957" s="5">
        <f t="shared" si="864"/>
        <v>944.68991106356805</v>
      </c>
    </row>
    <row r="1958" spans="1:15" x14ac:dyDescent="0.35">
      <c r="A1958" t="s">
        <v>35</v>
      </c>
      <c r="B1958" t="s">
        <v>17</v>
      </c>
      <c r="C1958">
        <v>2005</v>
      </c>
      <c r="D1958" t="s">
        <v>18</v>
      </c>
      <c r="E1958" s="3">
        <v>481112</v>
      </c>
      <c r="F1958" s="3">
        <v>150837</v>
      </c>
      <c r="G1958" s="1">
        <f>SUM(E1958:F1958)</f>
        <v>631949</v>
      </c>
      <c r="H1958" s="2">
        <f>SUM(E1958)/G1958</f>
        <v>0.7613145997540941</v>
      </c>
      <c r="I1958" s="2">
        <f>SUM(F1958/G1958)</f>
        <v>0.23868540024590593</v>
      </c>
      <c r="J1958" s="3">
        <v>495138</v>
      </c>
      <c r="K1958" s="3">
        <v>189727</v>
      </c>
      <c r="L1958" s="1">
        <f t="shared" si="861"/>
        <v>684865</v>
      </c>
      <c r="M1958" s="2">
        <f t="shared" si="862"/>
        <v>0.72297168055018146</v>
      </c>
      <c r="N1958" s="2">
        <f t="shared" si="863"/>
        <v>0.27702831944981859</v>
      </c>
      <c r="O1958" s="5">
        <f t="shared" si="864"/>
        <v>1083.7346051659233</v>
      </c>
    </row>
    <row r="1959" spans="1:15" x14ac:dyDescent="0.35">
      <c r="A1959" t="s">
        <v>35</v>
      </c>
      <c r="B1959" t="s">
        <v>19</v>
      </c>
      <c r="C1959">
        <v>2005</v>
      </c>
      <c r="D1959" t="s">
        <v>18</v>
      </c>
      <c r="E1959" s="3">
        <v>433398</v>
      </c>
      <c r="F1959" s="3">
        <v>139482</v>
      </c>
      <c r="G1959" s="1">
        <f t="shared" ref="G1959:G1969" si="871">SUM(E1959:F1959)</f>
        <v>572880</v>
      </c>
      <c r="H1959" s="2">
        <f t="shared" ref="H1959:H1969" si="872">SUM(E1959)/G1959</f>
        <v>0.75652492668621696</v>
      </c>
      <c r="I1959" s="2">
        <f t="shared" ref="I1959:I1969" si="873">SUM(F1959/G1959)</f>
        <v>0.24347507331378299</v>
      </c>
      <c r="J1959" s="3">
        <v>368987</v>
      </c>
      <c r="K1959" s="3">
        <v>143752</v>
      </c>
      <c r="L1959" s="1">
        <f t="shared" si="861"/>
        <v>512739</v>
      </c>
      <c r="M1959" s="2">
        <f t="shared" si="862"/>
        <v>0.7196390366248715</v>
      </c>
      <c r="N1959" s="2">
        <f t="shared" si="863"/>
        <v>0.2803609633751285</v>
      </c>
      <c r="O1959" s="5">
        <f t="shared" si="864"/>
        <v>895.01989945538332</v>
      </c>
    </row>
    <row r="1960" spans="1:15" x14ac:dyDescent="0.35">
      <c r="A1960" t="s">
        <v>35</v>
      </c>
      <c r="B1960" t="s">
        <v>20</v>
      </c>
      <c r="C1960">
        <v>2005</v>
      </c>
      <c r="D1960" t="s">
        <v>18</v>
      </c>
      <c r="E1960" s="3">
        <v>473230</v>
      </c>
      <c r="F1960" s="3">
        <v>154089</v>
      </c>
      <c r="G1960" s="1">
        <f t="shared" si="871"/>
        <v>627319</v>
      </c>
      <c r="H1960" s="2">
        <f t="shared" si="872"/>
        <v>0.75436898930209351</v>
      </c>
      <c r="I1960" s="2">
        <f t="shared" si="873"/>
        <v>0.24563101069790649</v>
      </c>
      <c r="J1960" s="3">
        <v>348242</v>
      </c>
      <c r="K1960" s="3">
        <v>139173</v>
      </c>
      <c r="L1960" s="1">
        <f t="shared" si="861"/>
        <v>487415</v>
      </c>
      <c r="M1960" s="2">
        <f t="shared" si="862"/>
        <v>0.71446713785993454</v>
      </c>
      <c r="N1960" s="2">
        <f t="shared" si="863"/>
        <v>0.28553286214006546</v>
      </c>
      <c r="O1960" s="5">
        <f t="shared" si="864"/>
        <v>776.98108936601636</v>
      </c>
    </row>
    <row r="1961" spans="1:15" x14ac:dyDescent="0.35">
      <c r="A1961" t="s">
        <v>35</v>
      </c>
      <c r="B1961" t="s">
        <v>21</v>
      </c>
      <c r="C1961">
        <v>2005</v>
      </c>
      <c r="D1961" t="s">
        <v>18</v>
      </c>
      <c r="E1961" s="3">
        <v>450289</v>
      </c>
      <c r="F1961" s="3">
        <v>148503</v>
      </c>
      <c r="G1961" s="1">
        <f t="shared" si="871"/>
        <v>598792</v>
      </c>
      <c r="H1961" s="2">
        <f t="shared" si="872"/>
        <v>0.75199568464508548</v>
      </c>
      <c r="I1961" s="2">
        <f t="shared" si="873"/>
        <v>0.24800431535491457</v>
      </c>
      <c r="J1961" s="3">
        <v>351741</v>
      </c>
      <c r="K1961" s="3">
        <v>143298</v>
      </c>
      <c r="L1961" s="1">
        <f t="shared" si="861"/>
        <v>495039</v>
      </c>
      <c r="M1961" s="2">
        <f t="shared" si="862"/>
        <v>0.71053189748686463</v>
      </c>
      <c r="N1961" s="2">
        <f t="shared" si="863"/>
        <v>0.28946810251313532</v>
      </c>
      <c r="O1961" s="5">
        <f t="shared" si="864"/>
        <v>826.72948202380792</v>
      </c>
    </row>
    <row r="1962" spans="1:15" x14ac:dyDescent="0.35">
      <c r="A1962" t="s">
        <v>35</v>
      </c>
      <c r="B1962" t="s">
        <v>22</v>
      </c>
      <c r="C1962">
        <v>2005</v>
      </c>
      <c r="D1962" t="s">
        <v>18</v>
      </c>
      <c r="E1962" s="3">
        <v>451172</v>
      </c>
      <c r="F1962" s="3">
        <v>151120</v>
      </c>
      <c r="G1962" s="1">
        <f t="shared" si="871"/>
        <v>602292</v>
      </c>
      <c r="H1962" s="2">
        <f t="shared" si="872"/>
        <v>0.74909180264722097</v>
      </c>
      <c r="I1962" s="2">
        <f t="shared" si="873"/>
        <v>0.25090819735277903</v>
      </c>
      <c r="J1962" s="3">
        <v>391214</v>
      </c>
      <c r="K1962" s="3">
        <v>164013</v>
      </c>
      <c r="L1962" s="1">
        <f t="shared" si="861"/>
        <v>555227</v>
      </c>
      <c r="M1962" s="2">
        <f t="shared" si="862"/>
        <v>0.70460190156458524</v>
      </c>
      <c r="N1962" s="2">
        <f t="shared" si="863"/>
        <v>0.2953980984354147</v>
      </c>
      <c r="O1962" s="5">
        <f t="shared" si="864"/>
        <v>921.85684020375504</v>
      </c>
    </row>
    <row r="1963" spans="1:15" x14ac:dyDescent="0.35">
      <c r="A1963" t="s">
        <v>35</v>
      </c>
      <c r="B1963" t="s">
        <v>23</v>
      </c>
      <c r="C1963">
        <v>2005</v>
      </c>
      <c r="D1963" t="s">
        <v>18</v>
      </c>
      <c r="E1963" s="3">
        <v>463531</v>
      </c>
      <c r="F1963" s="3">
        <v>156066</v>
      </c>
      <c r="G1963" s="1">
        <f t="shared" si="871"/>
        <v>619597</v>
      </c>
      <c r="H1963" s="2">
        <f t="shared" si="872"/>
        <v>0.74811692116004436</v>
      </c>
      <c r="I1963" s="2">
        <f t="shared" si="873"/>
        <v>0.25188307883995564</v>
      </c>
      <c r="J1963" s="3">
        <v>597577</v>
      </c>
      <c r="K1963" s="3">
        <v>249806</v>
      </c>
      <c r="L1963" s="1">
        <f t="shared" si="861"/>
        <v>847383</v>
      </c>
      <c r="M1963" s="2">
        <f t="shared" si="862"/>
        <v>0.70520296017267281</v>
      </c>
      <c r="N1963" s="2">
        <f t="shared" si="863"/>
        <v>0.29479703982732719</v>
      </c>
      <c r="O1963" s="5">
        <f t="shared" si="864"/>
        <v>1367.6357374228733</v>
      </c>
    </row>
    <row r="1964" spans="1:15" x14ac:dyDescent="0.35">
      <c r="A1964" t="s">
        <v>35</v>
      </c>
      <c r="B1964" t="s">
        <v>24</v>
      </c>
      <c r="C1964">
        <v>2005</v>
      </c>
      <c r="D1964" t="s">
        <v>18</v>
      </c>
      <c r="E1964" s="3">
        <v>451337</v>
      </c>
      <c r="F1964" s="3">
        <f>607969-451337</f>
        <v>156632</v>
      </c>
      <c r="G1964" s="1">
        <f t="shared" si="871"/>
        <v>607969</v>
      </c>
      <c r="H1964" s="2">
        <f t="shared" si="872"/>
        <v>0.74236844312785688</v>
      </c>
      <c r="I1964" s="2">
        <f t="shared" si="873"/>
        <v>0.25763155687214317</v>
      </c>
      <c r="J1964" s="3">
        <v>660978</v>
      </c>
      <c r="K1964" s="3">
        <v>278443</v>
      </c>
      <c r="L1964" s="1">
        <f t="shared" si="861"/>
        <v>939421</v>
      </c>
      <c r="M1964" s="2">
        <f t="shared" si="862"/>
        <v>0.70360147367367776</v>
      </c>
      <c r="N1964" s="2">
        <f t="shared" si="863"/>
        <v>0.2963985263263223</v>
      </c>
      <c r="O1964" s="5">
        <f t="shared" si="864"/>
        <v>1545.1791127508145</v>
      </c>
    </row>
    <row r="1965" spans="1:15" x14ac:dyDescent="0.35">
      <c r="A1965" t="s">
        <v>35</v>
      </c>
      <c r="B1965" t="s">
        <v>25</v>
      </c>
      <c r="C1965">
        <v>2005</v>
      </c>
      <c r="D1965" t="s">
        <v>18</v>
      </c>
      <c r="E1965" s="3">
        <v>504822</v>
      </c>
      <c r="F1965" s="3">
        <f>685539-504822</f>
        <v>180717</v>
      </c>
      <c r="G1965" s="1">
        <f t="shared" si="871"/>
        <v>685539</v>
      </c>
      <c r="H1965" s="2">
        <f t="shared" si="872"/>
        <v>0.73638698892404375</v>
      </c>
      <c r="I1965" s="2">
        <f t="shared" si="873"/>
        <v>0.2636130110759563</v>
      </c>
      <c r="J1965" s="3">
        <v>713333</v>
      </c>
      <c r="K1965" s="3">
        <v>314407</v>
      </c>
      <c r="L1965" s="1">
        <f t="shared" si="861"/>
        <v>1027740</v>
      </c>
      <c r="M1965" s="2">
        <f t="shared" si="862"/>
        <v>0.69407924183159164</v>
      </c>
      <c r="N1965" s="2">
        <f t="shared" si="863"/>
        <v>0.30592075816840836</v>
      </c>
      <c r="O1965" s="5">
        <f t="shared" si="864"/>
        <v>1499.1707255167103</v>
      </c>
    </row>
    <row r="1966" spans="1:15" x14ac:dyDescent="0.35">
      <c r="A1966" t="s">
        <v>35</v>
      </c>
      <c r="B1966" t="s">
        <v>26</v>
      </c>
      <c r="C1966">
        <v>2005</v>
      </c>
      <c r="D1966" t="s">
        <v>18</v>
      </c>
      <c r="E1966" s="3">
        <v>468040</v>
      </c>
      <c r="F1966" s="3">
        <f>640706-468040</f>
        <v>172666</v>
      </c>
      <c r="G1966" s="1">
        <f t="shared" si="871"/>
        <v>640706</v>
      </c>
      <c r="H1966" s="2">
        <f t="shared" si="872"/>
        <v>0.73050665984086305</v>
      </c>
      <c r="I1966" s="2">
        <f t="shared" si="873"/>
        <v>0.26949334015913695</v>
      </c>
      <c r="J1966" s="3">
        <v>668424</v>
      </c>
      <c r="K1966" s="3">
        <v>304868</v>
      </c>
      <c r="L1966" s="1">
        <f t="shared" si="861"/>
        <v>973292</v>
      </c>
      <c r="M1966" s="2">
        <f t="shared" si="862"/>
        <v>0.68676615034337074</v>
      </c>
      <c r="N1966" s="2">
        <f t="shared" si="863"/>
        <v>0.31323384965662926</v>
      </c>
      <c r="O1966" s="5">
        <f t="shared" si="864"/>
        <v>1519.0930005337862</v>
      </c>
    </row>
    <row r="1967" spans="1:15" x14ac:dyDescent="0.35">
      <c r="A1967" t="s">
        <v>35</v>
      </c>
      <c r="B1967" t="s">
        <v>27</v>
      </c>
      <c r="C1967">
        <v>2005</v>
      </c>
      <c r="D1967" t="s">
        <v>18</v>
      </c>
      <c r="E1967" s="3">
        <v>456862</v>
      </c>
      <c r="F1967" s="3">
        <v>175919</v>
      </c>
      <c r="G1967" s="1">
        <f t="shared" si="871"/>
        <v>632781</v>
      </c>
      <c r="H1967" s="2">
        <f t="shared" si="872"/>
        <v>0.72199070452494618</v>
      </c>
      <c r="I1967" s="2">
        <f t="shared" si="873"/>
        <v>0.27800929547505376</v>
      </c>
      <c r="J1967" s="3">
        <v>535756</v>
      </c>
      <c r="K1967" s="3">
        <v>256123</v>
      </c>
      <c r="L1967" s="1">
        <f t="shared" si="861"/>
        <v>791879</v>
      </c>
      <c r="M1967" s="2">
        <f t="shared" si="862"/>
        <v>0.6765629597451126</v>
      </c>
      <c r="N1967" s="2">
        <f t="shared" si="863"/>
        <v>0.32343704025488745</v>
      </c>
      <c r="O1967" s="5">
        <f t="shared" si="864"/>
        <v>1251.4266389161496</v>
      </c>
    </row>
    <row r="1968" spans="1:15" x14ac:dyDescent="0.35">
      <c r="A1968" t="s">
        <v>35</v>
      </c>
      <c r="B1968" t="s">
        <v>28</v>
      </c>
      <c r="C1968">
        <v>2005</v>
      </c>
      <c r="D1968" t="s">
        <v>18</v>
      </c>
      <c r="E1968" s="3">
        <v>427934</v>
      </c>
      <c r="F1968" s="3">
        <v>168788</v>
      </c>
      <c r="G1968" s="1">
        <f t="shared" si="871"/>
        <v>596722</v>
      </c>
      <c r="H1968" s="2">
        <f t="shared" si="872"/>
        <v>0.71714131538639436</v>
      </c>
      <c r="I1968" s="2">
        <f t="shared" si="873"/>
        <v>0.28285868461360569</v>
      </c>
      <c r="J1968" s="3">
        <v>348255</v>
      </c>
      <c r="K1968" s="3">
        <v>170231</v>
      </c>
      <c r="L1968" s="1">
        <f t="shared" si="861"/>
        <v>518486</v>
      </c>
      <c r="M1968" s="2">
        <f t="shared" si="862"/>
        <v>0.67167676658579012</v>
      </c>
      <c r="N1968" s="2">
        <f t="shared" si="863"/>
        <v>0.32832323341420983</v>
      </c>
      <c r="O1968" s="5">
        <f t="shared" si="864"/>
        <v>868.89037106056082</v>
      </c>
    </row>
    <row r="1969" spans="1:15" x14ac:dyDescent="0.35">
      <c r="A1969" t="s">
        <v>35</v>
      </c>
      <c r="B1969" t="s">
        <v>29</v>
      </c>
      <c r="C1969">
        <v>2005</v>
      </c>
      <c r="D1969" t="s">
        <v>18</v>
      </c>
      <c r="E1969" s="3">
        <v>428529</v>
      </c>
      <c r="F1969" s="3">
        <v>174621</v>
      </c>
      <c r="G1969" s="1">
        <f t="shared" si="871"/>
        <v>603150</v>
      </c>
      <c r="H1969" s="2">
        <f t="shared" si="872"/>
        <v>0.71048495399154443</v>
      </c>
      <c r="I1969" s="2">
        <f t="shared" si="873"/>
        <v>0.28951504600845562</v>
      </c>
      <c r="J1969" s="3">
        <v>391502</v>
      </c>
      <c r="K1969" s="3">
        <v>192963</v>
      </c>
      <c r="L1969" s="1">
        <f t="shared" si="861"/>
        <v>584465</v>
      </c>
      <c r="M1969" s="2">
        <f t="shared" si="862"/>
        <v>0.66984678295535238</v>
      </c>
      <c r="N1969" s="2">
        <f t="shared" si="863"/>
        <v>0.33015321704464767</v>
      </c>
      <c r="O1969" s="5">
        <f t="shared" si="864"/>
        <v>969.02097322390784</v>
      </c>
    </row>
    <row r="1970" spans="1:15" x14ac:dyDescent="0.35">
      <c r="A1970" t="s">
        <v>35</v>
      </c>
      <c r="B1970" t="s">
        <v>17</v>
      </c>
      <c r="C1970">
        <v>2006</v>
      </c>
      <c r="D1970" t="s">
        <v>18</v>
      </c>
      <c r="E1970" s="3">
        <v>448411</v>
      </c>
      <c r="F1970" s="3">
        <v>187784</v>
      </c>
      <c r="G1970" s="1">
        <f>SUM(E1970:F1970)</f>
        <v>636195</v>
      </c>
      <c r="H1970" s="2">
        <f>SUM(E1970)/G1970</f>
        <v>0.704832637791872</v>
      </c>
      <c r="I1970" s="2">
        <f>SUM(F1970/G1970)</f>
        <v>0.295167362208128</v>
      </c>
      <c r="J1970" s="3">
        <v>411984</v>
      </c>
      <c r="K1970" s="3">
        <v>208208</v>
      </c>
      <c r="L1970" s="1">
        <f t="shared" si="861"/>
        <v>620192</v>
      </c>
      <c r="M1970" s="2">
        <f t="shared" si="862"/>
        <v>0.66428460863732519</v>
      </c>
      <c r="N1970" s="2">
        <f t="shared" si="863"/>
        <v>0.33571539136267481</v>
      </c>
      <c r="O1970" s="5">
        <f t="shared" si="864"/>
        <v>974.84576269854369</v>
      </c>
    </row>
    <row r="1971" spans="1:15" x14ac:dyDescent="0.35">
      <c r="A1971" t="s">
        <v>35</v>
      </c>
      <c r="B1971" t="s">
        <v>19</v>
      </c>
      <c r="C1971">
        <v>2006</v>
      </c>
      <c r="D1971" t="s">
        <v>18</v>
      </c>
      <c r="E1971" s="3">
        <v>424009</v>
      </c>
      <c r="F1971" s="3">
        <v>181050</v>
      </c>
      <c r="G1971" s="1">
        <f t="shared" ref="G1971:G1981" si="874">SUM(E1971:F1971)</f>
        <v>605059</v>
      </c>
      <c r="H1971" s="2">
        <f t="shared" ref="H1971:H1981" si="875">SUM(E1971)/G1971</f>
        <v>0.70077298246947817</v>
      </c>
      <c r="I1971" s="2">
        <f t="shared" ref="I1971:I1981" si="876">SUM(F1971/G1971)</f>
        <v>0.29922701753052183</v>
      </c>
      <c r="J1971" s="3">
        <v>312231</v>
      </c>
      <c r="K1971" s="3">
        <v>159855</v>
      </c>
      <c r="L1971" s="1">
        <f t="shared" si="861"/>
        <v>472086</v>
      </c>
      <c r="M1971" s="2">
        <f t="shared" si="862"/>
        <v>0.6613858491884953</v>
      </c>
      <c r="N1971" s="2">
        <f t="shared" si="863"/>
        <v>0.3386141508115047</v>
      </c>
      <c r="O1971" s="5">
        <f t="shared" si="864"/>
        <v>780.23134933948586</v>
      </c>
    </row>
    <row r="1972" spans="1:15" x14ac:dyDescent="0.35">
      <c r="A1972" t="s">
        <v>35</v>
      </c>
      <c r="B1972" t="s">
        <v>20</v>
      </c>
      <c r="C1972">
        <v>2006</v>
      </c>
      <c r="D1972" t="s">
        <v>18</v>
      </c>
      <c r="E1972" s="3">
        <v>488285</v>
      </c>
      <c r="F1972" s="3">
        <v>209325</v>
      </c>
      <c r="G1972" s="1">
        <f t="shared" si="874"/>
        <v>697610</v>
      </c>
      <c r="H1972" s="2">
        <f t="shared" si="875"/>
        <v>0.69993979444102006</v>
      </c>
      <c r="I1972" s="2">
        <f t="shared" si="876"/>
        <v>0.30006020555897994</v>
      </c>
      <c r="J1972" s="3">
        <v>375205</v>
      </c>
      <c r="K1972" s="3">
        <v>195492</v>
      </c>
      <c r="L1972" s="1">
        <f t="shared" si="861"/>
        <v>570697</v>
      </c>
      <c r="M1972" s="2">
        <f t="shared" si="862"/>
        <v>0.65745045093981569</v>
      </c>
      <c r="N1972" s="2">
        <f t="shared" si="863"/>
        <v>0.34254954906018431</v>
      </c>
      <c r="O1972" s="5">
        <f t="shared" si="864"/>
        <v>818.07456888519368</v>
      </c>
    </row>
    <row r="1973" spans="1:15" x14ac:dyDescent="0.35">
      <c r="A1973" t="s">
        <v>35</v>
      </c>
      <c r="B1973" t="s">
        <v>21</v>
      </c>
      <c r="C1973">
        <v>2006</v>
      </c>
      <c r="D1973" t="s">
        <v>18</v>
      </c>
      <c r="E1973" s="3">
        <v>419195</v>
      </c>
      <c r="F1973" s="3">
        <v>185186</v>
      </c>
      <c r="G1973" s="1">
        <f t="shared" si="874"/>
        <v>604381</v>
      </c>
      <c r="H1973" s="2">
        <f t="shared" si="875"/>
        <v>0.6935939415699699</v>
      </c>
      <c r="I1973" s="2">
        <f t="shared" si="876"/>
        <v>0.30640605843003005</v>
      </c>
      <c r="J1973" s="3">
        <v>338884</v>
      </c>
      <c r="K1973" s="3">
        <v>184438</v>
      </c>
      <c r="L1973" s="1">
        <f t="shared" si="861"/>
        <v>523322</v>
      </c>
      <c r="M1973" s="2">
        <f t="shared" si="862"/>
        <v>0.64756306824479004</v>
      </c>
      <c r="N1973" s="2">
        <f t="shared" si="863"/>
        <v>0.35243693175520996</v>
      </c>
      <c r="O1973" s="5">
        <f t="shared" si="864"/>
        <v>865.88095919626858</v>
      </c>
    </row>
    <row r="1974" spans="1:15" x14ac:dyDescent="0.35">
      <c r="A1974" t="s">
        <v>35</v>
      </c>
      <c r="B1974" t="s">
        <v>22</v>
      </c>
      <c r="C1974">
        <v>2006</v>
      </c>
      <c r="D1974" t="s">
        <v>18</v>
      </c>
      <c r="E1974" s="3">
        <v>458593</v>
      </c>
      <c r="F1974" s="3">
        <v>208084</v>
      </c>
      <c r="G1974" s="1">
        <f t="shared" si="874"/>
        <v>666677</v>
      </c>
      <c r="H1974" s="2">
        <f t="shared" si="875"/>
        <v>0.68787883787801285</v>
      </c>
      <c r="I1974" s="2">
        <f t="shared" si="876"/>
        <v>0.31212116212198709</v>
      </c>
      <c r="J1974" s="3">
        <v>477127</v>
      </c>
      <c r="K1974" s="3">
        <v>268680</v>
      </c>
      <c r="L1974" s="1">
        <f t="shared" si="861"/>
        <v>745807</v>
      </c>
      <c r="M1974" s="2">
        <f t="shared" si="862"/>
        <v>0.63974593963317583</v>
      </c>
      <c r="N1974" s="2">
        <f t="shared" si="863"/>
        <v>0.36025406036682411</v>
      </c>
      <c r="O1974" s="5">
        <f t="shared" si="864"/>
        <v>1118.693160256016</v>
      </c>
    </row>
    <row r="1975" spans="1:15" x14ac:dyDescent="0.35">
      <c r="A1975" t="s">
        <v>35</v>
      </c>
      <c r="B1975" t="s">
        <v>23</v>
      </c>
      <c r="C1975">
        <v>2006</v>
      </c>
      <c r="D1975" t="s">
        <v>18</v>
      </c>
      <c r="E1975" s="3">
        <v>452550</v>
      </c>
      <c r="F1975" s="3">
        <v>215681</v>
      </c>
      <c r="G1975" s="1">
        <f t="shared" si="874"/>
        <v>668231</v>
      </c>
      <c r="H1975" s="2">
        <f t="shared" si="875"/>
        <v>0.67723586604033637</v>
      </c>
      <c r="I1975" s="2">
        <f t="shared" si="876"/>
        <v>0.32276413395966363</v>
      </c>
      <c r="J1975" s="3">
        <v>550658</v>
      </c>
      <c r="K1975" s="3">
        <v>322347</v>
      </c>
      <c r="L1975" s="1">
        <f t="shared" si="861"/>
        <v>873005</v>
      </c>
      <c r="M1975" s="2">
        <f t="shared" si="862"/>
        <v>0.63076156493949065</v>
      </c>
      <c r="N1975" s="2">
        <f t="shared" si="863"/>
        <v>0.36923843506050941</v>
      </c>
      <c r="O1975" s="5">
        <f t="shared" si="864"/>
        <v>1306.4419340018646</v>
      </c>
    </row>
    <row r="1976" spans="1:15" x14ac:dyDescent="0.35">
      <c r="A1976" t="s">
        <v>35</v>
      </c>
      <c r="B1976" t="s">
        <v>24</v>
      </c>
      <c r="C1976">
        <v>2006</v>
      </c>
      <c r="D1976" t="s">
        <v>18</v>
      </c>
      <c r="E1976" s="3">
        <v>406533</v>
      </c>
      <c r="F1976" s="3">
        <v>200956</v>
      </c>
      <c r="G1976" s="1">
        <f t="shared" si="874"/>
        <v>607489</v>
      </c>
      <c r="H1976" s="2">
        <f t="shared" si="875"/>
        <v>0.66920224069900858</v>
      </c>
      <c r="I1976" s="2">
        <f t="shared" si="876"/>
        <v>0.33079775930099148</v>
      </c>
      <c r="J1976" s="3">
        <v>542280</v>
      </c>
      <c r="K1976" s="3">
        <v>330326</v>
      </c>
      <c r="L1976" s="1">
        <f t="shared" si="861"/>
        <v>872606</v>
      </c>
      <c r="M1976" s="2">
        <f t="shared" si="862"/>
        <v>0.62144885549721185</v>
      </c>
      <c r="N1976" s="2">
        <f t="shared" si="863"/>
        <v>0.37855114450278821</v>
      </c>
      <c r="O1976" s="5">
        <f t="shared" si="864"/>
        <v>1436.4144865174515</v>
      </c>
    </row>
    <row r="1977" spans="1:15" x14ac:dyDescent="0.35">
      <c r="A1977" t="s">
        <v>35</v>
      </c>
      <c r="B1977" t="s">
        <v>25</v>
      </c>
      <c r="C1977">
        <v>2006</v>
      </c>
      <c r="D1977" t="s">
        <v>18</v>
      </c>
      <c r="E1977" s="3">
        <v>459695</v>
      </c>
      <c r="F1977" s="3">
        <v>237240</v>
      </c>
      <c r="G1977" s="1">
        <f t="shared" si="874"/>
        <v>696935</v>
      </c>
      <c r="H1977" s="2">
        <f t="shared" si="875"/>
        <v>0.65959522767546475</v>
      </c>
      <c r="I1977" s="2">
        <f t="shared" si="876"/>
        <v>0.34040477232453531</v>
      </c>
      <c r="J1977" s="3">
        <v>611917</v>
      </c>
      <c r="K1977" s="3">
        <v>389285</v>
      </c>
      <c r="L1977" s="1">
        <f t="shared" si="861"/>
        <v>1001202</v>
      </c>
      <c r="M1977" s="2">
        <f t="shared" si="862"/>
        <v>0.61118235880471672</v>
      </c>
      <c r="N1977" s="2">
        <f t="shared" si="863"/>
        <v>0.38881764119528328</v>
      </c>
      <c r="O1977" s="5">
        <f t="shared" si="864"/>
        <v>1436.5787340282809</v>
      </c>
    </row>
    <row r="1978" spans="1:15" x14ac:dyDescent="0.35">
      <c r="A1978" t="s">
        <v>35</v>
      </c>
      <c r="B1978" t="s">
        <v>26</v>
      </c>
      <c r="C1978">
        <v>2006</v>
      </c>
      <c r="D1978" t="s">
        <v>18</v>
      </c>
      <c r="E1978" s="3">
        <v>400564</v>
      </c>
      <c r="F1978" s="3">
        <v>211696</v>
      </c>
      <c r="G1978" s="1">
        <f t="shared" si="874"/>
        <v>612260</v>
      </c>
      <c r="H1978" s="2">
        <f t="shared" si="875"/>
        <v>0.65423839545291218</v>
      </c>
      <c r="I1978" s="2">
        <f t="shared" si="876"/>
        <v>0.34576160454708782</v>
      </c>
      <c r="J1978" s="3">
        <v>525026</v>
      </c>
      <c r="K1978" s="3">
        <v>343091</v>
      </c>
      <c r="L1978" s="1">
        <f t="shared" si="861"/>
        <v>868117</v>
      </c>
      <c r="M1978" s="2">
        <f t="shared" si="862"/>
        <v>0.60478714274688783</v>
      </c>
      <c r="N1978" s="2">
        <f t="shared" si="863"/>
        <v>0.39521285725311217</v>
      </c>
      <c r="O1978" s="5">
        <f t="shared" si="864"/>
        <v>1417.8894587266848</v>
      </c>
    </row>
    <row r="1979" spans="1:15" x14ac:dyDescent="0.35">
      <c r="A1979" t="s">
        <v>35</v>
      </c>
      <c r="B1979" t="s">
        <v>27</v>
      </c>
      <c r="C1979">
        <v>2006</v>
      </c>
      <c r="D1979" t="s">
        <v>18</v>
      </c>
      <c r="E1979" s="3">
        <v>432343</v>
      </c>
      <c r="F1979" s="3">
        <v>240097</v>
      </c>
      <c r="G1979" s="1">
        <f t="shared" si="874"/>
        <v>672440</v>
      </c>
      <c r="H1979" s="2">
        <f t="shared" si="875"/>
        <v>0.64294658259472959</v>
      </c>
      <c r="I1979" s="2">
        <f t="shared" si="876"/>
        <v>0.35705341740527036</v>
      </c>
      <c r="J1979" s="3">
        <v>441763</v>
      </c>
      <c r="K1979" s="3">
        <v>304864</v>
      </c>
      <c r="L1979" s="1">
        <f t="shared" si="861"/>
        <v>746627</v>
      </c>
      <c r="M1979" s="2">
        <f t="shared" si="862"/>
        <v>0.59167830791010767</v>
      </c>
      <c r="N1979" s="2">
        <f t="shared" si="863"/>
        <v>0.40832169208989227</v>
      </c>
      <c r="O1979" s="5">
        <f t="shared" si="864"/>
        <v>1110.3250847659272</v>
      </c>
    </row>
    <row r="1980" spans="1:15" x14ac:dyDescent="0.35">
      <c r="A1980" t="s">
        <v>35</v>
      </c>
      <c r="B1980" t="s">
        <v>28</v>
      </c>
      <c r="C1980">
        <v>2006</v>
      </c>
      <c r="D1980" t="s">
        <v>18</v>
      </c>
      <c r="E1980" s="3">
        <v>388883</v>
      </c>
      <c r="F1980" s="3">
        <v>220887</v>
      </c>
      <c r="G1980" s="1">
        <f t="shared" si="874"/>
        <v>609770</v>
      </c>
      <c r="H1980" s="2">
        <f t="shared" si="875"/>
        <v>0.63775357921839382</v>
      </c>
      <c r="I1980" s="2">
        <f t="shared" si="876"/>
        <v>0.36224642078160618</v>
      </c>
      <c r="J1980" s="3">
        <v>297370</v>
      </c>
      <c r="K1980" s="3">
        <v>209933</v>
      </c>
      <c r="L1980" s="1">
        <f t="shared" si="861"/>
        <v>507303</v>
      </c>
      <c r="M1980" s="2">
        <f t="shared" si="862"/>
        <v>0.5861782800417108</v>
      </c>
      <c r="N1980" s="2">
        <f t="shared" si="863"/>
        <v>0.4138217199582892</v>
      </c>
      <c r="O1980" s="5">
        <f t="shared" si="864"/>
        <v>831.95795135870901</v>
      </c>
    </row>
    <row r="1981" spans="1:15" x14ac:dyDescent="0.35">
      <c r="A1981" t="s">
        <v>35</v>
      </c>
      <c r="B1981" t="s">
        <v>29</v>
      </c>
      <c r="C1981">
        <v>2006</v>
      </c>
      <c r="D1981" t="s">
        <v>18</v>
      </c>
      <c r="E1981" s="3">
        <v>364301</v>
      </c>
      <c r="F1981" s="3">
        <v>213863</v>
      </c>
      <c r="G1981" s="1">
        <f t="shared" si="874"/>
        <v>578164</v>
      </c>
      <c r="H1981" s="2">
        <f t="shared" si="875"/>
        <v>0.63009976408077983</v>
      </c>
      <c r="I1981" s="2">
        <f t="shared" si="876"/>
        <v>0.36990023591922017</v>
      </c>
      <c r="J1981" s="3">
        <v>311595</v>
      </c>
      <c r="K1981" s="3">
        <v>223101</v>
      </c>
      <c r="L1981" s="1">
        <f t="shared" si="861"/>
        <v>534696</v>
      </c>
      <c r="M1981" s="2">
        <f t="shared" si="862"/>
        <v>0.58275169442075492</v>
      </c>
      <c r="N1981" s="2">
        <f t="shared" si="863"/>
        <v>0.41724830557924503</v>
      </c>
      <c r="O1981" s="5">
        <f t="shared" si="864"/>
        <v>924.81717990051266</v>
      </c>
    </row>
    <row r="1982" spans="1:15" x14ac:dyDescent="0.35">
      <c r="A1982" t="s">
        <v>35</v>
      </c>
      <c r="B1982" t="s">
        <v>17</v>
      </c>
      <c r="C1982">
        <v>2007</v>
      </c>
      <c r="D1982" t="s">
        <v>18</v>
      </c>
      <c r="E1982" s="3">
        <v>401318</v>
      </c>
      <c r="F1982" s="3">
        <v>242992</v>
      </c>
      <c r="G1982" s="1">
        <f>SUM(E1982:F1982)</f>
        <v>644310</v>
      </c>
      <c r="H1982" s="2">
        <f>SUM(E1982)/G1982</f>
        <v>0.62286477006409957</v>
      </c>
      <c r="I1982" s="2">
        <f>SUM(F1982/G1982)</f>
        <v>0.37713522993590043</v>
      </c>
      <c r="J1982" s="3">
        <v>409250</v>
      </c>
      <c r="K1982" s="3">
        <v>297864</v>
      </c>
      <c r="L1982" s="1">
        <f t="shared" si="861"/>
        <v>707114</v>
      </c>
      <c r="M1982" s="2">
        <f t="shared" si="862"/>
        <v>0.57876099186269825</v>
      </c>
      <c r="N1982" s="2">
        <f t="shared" si="863"/>
        <v>0.42123900813730175</v>
      </c>
      <c r="O1982" s="5">
        <f t="shared" si="864"/>
        <v>1097.4748180223805</v>
      </c>
    </row>
    <row r="1983" spans="1:15" x14ac:dyDescent="0.35">
      <c r="A1983" t="s">
        <v>35</v>
      </c>
      <c r="B1983" t="s">
        <v>19</v>
      </c>
      <c r="C1983">
        <v>2007</v>
      </c>
      <c r="D1983" t="s">
        <v>18</v>
      </c>
      <c r="E1983" s="3">
        <v>381145</v>
      </c>
      <c r="F1983" s="3">
        <v>233497</v>
      </c>
      <c r="G1983" s="1">
        <f t="shared" ref="G1983:G1993" si="877">SUM(E1983:F1983)</f>
        <v>614642</v>
      </c>
      <c r="H1983" s="2">
        <f t="shared" ref="H1983:H1993" si="878">SUM(E1983)/G1983</f>
        <v>0.62010894146511297</v>
      </c>
      <c r="I1983" s="2">
        <f t="shared" ref="I1983:I1993" si="879">SUM(F1983/G1983)</f>
        <v>0.37989105853488697</v>
      </c>
      <c r="J1983" s="3">
        <v>389769</v>
      </c>
      <c r="K1983" s="3">
        <v>287715</v>
      </c>
      <c r="L1983" s="1">
        <f t="shared" si="861"/>
        <v>677484</v>
      </c>
      <c r="M1983" s="2">
        <f t="shared" si="862"/>
        <v>0.57531838390279333</v>
      </c>
      <c r="N1983" s="2">
        <f t="shared" si="863"/>
        <v>0.42468161609720673</v>
      </c>
      <c r="O1983" s="5">
        <f t="shared" si="864"/>
        <v>1102.2416300871075</v>
      </c>
    </row>
    <row r="1984" spans="1:15" x14ac:dyDescent="0.35">
      <c r="A1984" t="s">
        <v>35</v>
      </c>
      <c r="B1984" t="s">
        <v>20</v>
      </c>
      <c r="C1984">
        <v>2007</v>
      </c>
      <c r="D1984" t="s">
        <v>18</v>
      </c>
      <c r="E1984" s="3">
        <v>419784</v>
      </c>
      <c r="F1984" s="3">
        <v>258060</v>
      </c>
      <c r="G1984" s="1">
        <f t="shared" si="877"/>
        <v>677844</v>
      </c>
      <c r="H1984" s="2">
        <f t="shared" si="878"/>
        <v>0.61929293465753177</v>
      </c>
      <c r="I1984" s="2">
        <f t="shared" si="879"/>
        <v>0.38070706534246818</v>
      </c>
      <c r="J1984" s="3">
        <v>307457</v>
      </c>
      <c r="K1984" s="3">
        <v>230390</v>
      </c>
      <c r="L1984" s="1">
        <f t="shared" si="861"/>
        <v>537847</v>
      </c>
      <c r="M1984" s="2">
        <f t="shared" si="862"/>
        <v>0.57164398053721599</v>
      </c>
      <c r="N1984" s="2">
        <f t="shared" si="863"/>
        <v>0.42835601946278401</v>
      </c>
      <c r="O1984" s="5">
        <f t="shared" si="864"/>
        <v>793.46722844784347</v>
      </c>
    </row>
    <row r="1985" spans="1:15" x14ac:dyDescent="0.35">
      <c r="A1985" t="s">
        <v>35</v>
      </c>
      <c r="B1985" t="s">
        <v>21</v>
      </c>
      <c r="C1985">
        <v>2007</v>
      </c>
      <c r="D1985" t="s">
        <v>18</v>
      </c>
      <c r="E1985" s="3">
        <v>378690</v>
      </c>
      <c r="F1985" s="3">
        <v>239279</v>
      </c>
      <c r="G1985" s="1">
        <f t="shared" si="877"/>
        <v>617969</v>
      </c>
      <c r="H1985" s="2">
        <f t="shared" si="878"/>
        <v>0.61279772933593757</v>
      </c>
      <c r="I1985" s="2">
        <f t="shared" si="879"/>
        <v>0.38720227066406243</v>
      </c>
      <c r="J1985" s="3">
        <v>278467</v>
      </c>
      <c r="K1985" s="3">
        <v>216720</v>
      </c>
      <c r="L1985" s="1">
        <f t="shared" si="861"/>
        <v>495187</v>
      </c>
      <c r="M1985" s="2">
        <f t="shared" si="862"/>
        <v>0.56234715370153099</v>
      </c>
      <c r="N1985" s="2">
        <f t="shared" si="863"/>
        <v>0.43765284629846907</v>
      </c>
      <c r="O1985" s="5">
        <f t="shared" si="864"/>
        <v>801.31365812848219</v>
      </c>
    </row>
    <row r="1986" spans="1:15" x14ac:dyDescent="0.35">
      <c r="A1986" t="s">
        <v>35</v>
      </c>
      <c r="B1986" t="s">
        <v>22</v>
      </c>
      <c r="C1986">
        <v>2007</v>
      </c>
      <c r="D1986" t="s">
        <v>18</v>
      </c>
      <c r="E1986" s="3">
        <v>409981</v>
      </c>
      <c r="F1986" s="3">
        <v>266457</v>
      </c>
      <c r="G1986" s="1">
        <f t="shared" si="877"/>
        <v>676438</v>
      </c>
      <c r="H1986" s="2">
        <f t="shared" si="878"/>
        <v>0.60608806719906327</v>
      </c>
      <c r="I1986" s="2">
        <f t="shared" si="879"/>
        <v>0.39391193280093667</v>
      </c>
      <c r="J1986" s="3">
        <v>345252</v>
      </c>
      <c r="K1986" s="3">
        <v>278843</v>
      </c>
      <c r="L1986" s="1">
        <f t="shared" si="861"/>
        <v>624095</v>
      </c>
      <c r="M1986" s="2">
        <f t="shared" si="862"/>
        <v>0.55320423973914223</v>
      </c>
      <c r="N1986" s="2">
        <f t="shared" si="863"/>
        <v>0.44679576026085771</v>
      </c>
      <c r="O1986" s="5">
        <f t="shared" si="864"/>
        <v>922.61966359075041</v>
      </c>
    </row>
    <row r="1987" spans="1:15" x14ac:dyDescent="0.35">
      <c r="A1987" t="s">
        <v>35</v>
      </c>
      <c r="B1987" t="s">
        <v>23</v>
      </c>
      <c r="C1987">
        <v>2007</v>
      </c>
      <c r="D1987" t="s">
        <v>18</v>
      </c>
      <c r="E1987" s="3">
        <v>389266</v>
      </c>
      <c r="F1987" s="3">
        <v>260700</v>
      </c>
      <c r="G1987" s="1">
        <f t="shared" si="877"/>
        <v>649966</v>
      </c>
      <c r="H1987" s="2">
        <f t="shared" si="878"/>
        <v>0.59890209641735104</v>
      </c>
      <c r="I1987" s="2">
        <f t="shared" si="879"/>
        <v>0.40109790358264896</v>
      </c>
      <c r="J1987" s="3">
        <v>425667</v>
      </c>
      <c r="K1987" s="3">
        <v>352624</v>
      </c>
      <c r="L1987" s="1">
        <f t="shared" ref="L1987:L2050" si="880">SUM(J1987:K1987)</f>
        <v>778291</v>
      </c>
      <c r="M1987" s="2">
        <f t="shared" ref="M1987:M2050" si="881">SUM(J1987)/L1987</f>
        <v>0.54692525032410755</v>
      </c>
      <c r="N1987" s="2">
        <f t="shared" ref="N1987:N2050" si="882">SUM(K1987/L1987)</f>
        <v>0.45307474967589245</v>
      </c>
      <c r="O1987" s="5">
        <f t="shared" ref="O1987:O2050" si="883">SUM(1000*L1987)/G1987</f>
        <v>1197.4334042088356</v>
      </c>
    </row>
    <row r="1988" spans="1:15" x14ac:dyDescent="0.35">
      <c r="A1988" t="s">
        <v>35</v>
      </c>
      <c r="B1988" t="s">
        <v>24</v>
      </c>
      <c r="C1988">
        <v>2007</v>
      </c>
      <c r="D1988" t="s">
        <v>18</v>
      </c>
      <c r="E1988" s="3">
        <v>385277</v>
      </c>
      <c r="F1988" s="3">
        <v>265205</v>
      </c>
      <c r="G1988" s="1">
        <f t="shared" si="877"/>
        <v>650482</v>
      </c>
      <c r="H1988" s="2">
        <f t="shared" si="878"/>
        <v>0.59229463690002182</v>
      </c>
      <c r="I1988" s="2">
        <f t="shared" si="879"/>
        <v>0.40770536309997818</v>
      </c>
      <c r="J1988" s="8">
        <v>468608</v>
      </c>
      <c r="K1988" s="8">
        <v>396223</v>
      </c>
      <c r="L1988" s="1">
        <f t="shared" si="880"/>
        <v>864831</v>
      </c>
      <c r="M1988" s="2">
        <f t="shared" si="881"/>
        <v>0.5418492167833947</v>
      </c>
      <c r="N1988" s="2">
        <f t="shared" si="882"/>
        <v>0.45815078321660535</v>
      </c>
      <c r="O1988" s="5">
        <f t="shared" si="883"/>
        <v>1329.5233380785326</v>
      </c>
    </row>
    <row r="1989" spans="1:15" x14ac:dyDescent="0.35">
      <c r="A1989" t="s">
        <v>35</v>
      </c>
      <c r="B1989" t="s">
        <v>25</v>
      </c>
      <c r="C1989">
        <v>2007</v>
      </c>
      <c r="D1989" t="s">
        <v>18</v>
      </c>
      <c r="E1989" s="3">
        <v>417940</v>
      </c>
      <c r="F1989" s="3">
        <v>298462</v>
      </c>
      <c r="G1989" s="1">
        <f t="shared" si="877"/>
        <v>716402</v>
      </c>
      <c r="H1989" s="2">
        <f t="shared" si="878"/>
        <v>0.58338753939827082</v>
      </c>
      <c r="I1989" s="2">
        <f t="shared" si="879"/>
        <v>0.41661246060172918</v>
      </c>
      <c r="J1989" s="8">
        <v>499508</v>
      </c>
      <c r="K1989" s="8">
        <v>436714</v>
      </c>
      <c r="L1989" s="1">
        <f t="shared" si="880"/>
        <v>936222</v>
      </c>
      <c r="M1989" s="2">
        <f t="shared" si="881"/>
        <v>0.53353584940323984</v>
      </c>
      <c r="N1989" s="2">
        <f t="shared" si="882"/>
        <v>0.46646415059676016</v>
      </c>
      <c r="O1989" s="5">
        <f t="shared" si="883"/>
        <v>1306.8388977138534</v>
      </c>
    </row>
    <row r="1990" spans="1:15" x14ac:dyDescent="0.35">
      <c r="A1990" t="s">
        <v>35</v>
      </c>
      <c r="B1990" t="s">
        <v>26</v>
      </c>
      <c r="C1990">
        <v>2007</v>
      </c>
      <c r="D1990" t="s">
        <v>18</v>
      </c>
      <c r="E1990" s="3">
        <v>340224</v>
      </c>
      <c r="F1990" s="3">
        <v>247967</v>
      </c>
      <c r="G1990" s="1">
        <f t="shared" si="877"/>
        <v>588191</v>
      </c>
      <c r="H1990" s="2">
        <f t="shared" si="878"/>
        <v>0.5784243553539582</v>
      </c>
      <c r="I1990" s="2">
        <f t="shared" si="879"/>
        <v>0.42157564464604186</v>
      </c>
      <c r="J1990" s="8">
        <v>406057</v>
      </c>
      <c r="K1990" s="8">
        <v>364394</v>
      </c>
      <c r="L1990" s="1">
        <f t="shared" si="880"/>
        <v>770451</v>
      </c>
      <c r="M1990" s="2">
        <f t="shared" si="881"/>
        <v>0.52703805952617366</v>
      </c>
      <c r="N1990" s="2">
        <f t="shared" si="882"/>
        <v>0.47296194047382639</v>
      </c>
      <c r="O1990" s="5">
        <f t="shared" si="883"/>
        <v>1309.8653328595644</v>
      </c>
    </row>
    <row r="1991" spans="1:15" x14ac:dyDescent="0.35">
      <c r="A1991" t="s">
        <v>35</v>
      </c>
      <c r="B1991" t="s">
        <v>27</v>
      </c>
      <c r="C1991">
        <v>2007</v>
      </c>
      <c r="D1991" t="s">
        <v>18</v>
      </c>
      <c r="E1991" s="3">
        <v>372312</v>
      </c>
      <c r="F1991" s="3">
        <v>285963</v>
      </c>
      <c r="G1991" s="1">
        <f t="shared" si="877"/>
        <v>658275</v>
      </c>
      <c r="H1991" s="2">
        <f t="shared" si="878"/>
        <v>0.56558733052295773</v>
      </c>
      <c r="I1991" s="2">
        <f t="shared" si="879"/>
        <v>0.43441266947704227</v>
      </c>
      <c r="J1991" s="3">
        <v>401400</v>
      </c>
      <c r="K1991" s="3">
        <v>374313</v>
      </c>
      <c r="L1991" s="1">
        <f t="shared" si="880"/>
        <v>775713</v>
      </c>
      <c r="M1991" s="2">
        <f t="shared" si="881"/>
        <v>0.51745942120346056</v>
      </c>
      <c r="N1991" s="2">
        <f t="shared" si="882"/>
        <v>0.48254057879653944</v>
      </c>
      <c r="O1991" s="5">
        <f t="shared" si="883"/>
        <v>1178.4026432721887</v>
      </c>
    </row>
    <row r="1992" spans="1:15" x14ac:dyDescent="0.35">
      <c r="A1992" t="s">
        <v>35</v>
      </c>
      <c r="B1992" t="s">
        <v>28</v>
      </c>
      <c r="C1992">
        <v>2007</v>
      </c>
      <c r="D1992" t="s">
        <v>18</v>
      </c>
      <c r="E1992" s="3">
        <v>368670</v>
      </c>
      <c r="F1992" s="3">
        <v>290432</v>
      </c>
      <c r="G1992" s="1">
        <f t="shared" si="877"/>
        <v>659102</v>
      </c>
      <c r="H1992" s="2">
        <f t="shared" si="878"/>
        <v>0.55935196676690402</v>
      </c>
      <c r="I1992" s="2">
        <f t="shared" si="879"/>
        <v>0.44064803323309593</v>
      </c>
      <c r="J1992" s="3">
        <v>294794</v>
      </c>
      <c r="K1992" s="3">
        <v>282419</v>
      </c>
      <c r="L1992" s="1">
        <f t="shared" si="880"/>
        <v>577213</v>
      </c>
      <c r="M1992" s="2">
        <f t="shared" si="881"/>
        <v>0.51071961303712843</v>
      </c>
      <c r="N1992" s="2">
        <f t="shared" si="882"/>
        <v>0.48928038696287157</v>
      </c>
      <c r="O1992" s="5">
        <f t="shared" si="883"/>
        <v>875.75671140430461</v>
      </c>
    </row>
    <row r="1993" spans="1:15" x14ac:dyDescent="0.35">
      <c r="A1993" t="s">
        <v>35</v>
      </c>
      <c r="B1993" t="s">
        <v>29</v>
      </c>
      <c r="C1993">
        <v>2007</v>
      </c>
      <c r="D1993" t="s">
        <v>18</v>
      </c>
      <c r="E1993" s="3">
        <v>364151</v>
      </c>
      <c r="F1993" s="3">
        <v>294933</v>
      </c>
      <c r="G1993" s="1">
        <f t="shared" si="877"/>
        <v>659084</v>
      </c>
      <c r="H1993" s="2">
        <f t="shared" si="878"/>
        <v>0.55251075735414601</v>
      </c>
      <c r="I1993" s="2">
        <f t="shared" si="879"/>
        <v>0.44748924264585394</v>
      </c>
      <c r="J1993" s="3">
        <v>305062</v>
      </c>
      <c r="K1993" s="3">
        <v>296007</v>
      </c>
      <c r="L1993" s="1">
        <f t="shared" si="880"/>
        <v>601069</v>
      </c>
      <c r="M1993" s="2">
        <f t="shared" si="881"/>
        <v>0.50753241308402197</v>
      </c>
      <c r="N1993" s="2">
        <f t="shared" si="882"/>
        <v>0.49246758691597803</v>
      </c>
      <c r="O1993" s="5">
        <f t="shared" si="883"/>
        <v>911.97631864830578</v>
      </c>
    </row>
    <row r="1994" spans="1:15" x14ac:dyDescent="0.35">
      <c r="A1994" t="s">
        <v>35</v>
      </c>
      <c r="B1994" t="s">
        <v>17</v>
      </c>
      <c r="C1994">
        <v>2008</v>
      </c>
      <c r="D1994" t="s">
        <v>18</v>
      </c>
      <c r="E1994" s="3">
        <v>361310</v>
      </c>
      <c r="F1994" s="3">
        <v>299270</v>
      </c>
      <c r="G1994" s="1">
        <f>SUM(E1994:F1994)</f>
        <v>660580</v>
      </c>
      <c r="H1994" s="2">
        <f>SUM(E1994)/G1994</f>
        <v>0.54695873323443034</v>
      </c>
      <c r="I1994" s="2">
        <f>SUM(F1994/G1994)</f>
        <v>0.45304126676556966</v>
      </c>
      <c r="J1994" s="3">
        <v>334824</v>
      </c>
      <c r="K1994" s="3">
        <v>328554</v>
      </c>
      <c r="L1994" s="1">
        <f t="shared" si="880"/>
        <v>663378</v>
      </c>
      <c r="M1994" s="2">
        <f t="shared" si="881"/>
        <v>0.50472581243273063</v>
      </c>
      <c r="N1994" s="2">
        <f t="shared" si="882"/>
        <v>0.49527418756726932</v>
      </c>
      <c r="O1994" s="5">
        <f t="shared" si="883"/>
        <v>1004.2356716824609</v>
      </c>
    </row>
    <row r="1995" spans="1:15" x14ac:dyDescent="0.35">
      <c r="A1995" t="s">
        <v>35</v>
      </c>
      <c r="B1995" t="s">
        <v>19</v>
      </c>
      <c r="C1995">
        <v>2008</v>
      </c>
      <c r="D1995" t="s">
        <v>18</v>
      </c>
      <c r="E1995" s="3">
        <v>358846</v>
      </c>
      <c r="F1995" s="3">
        <v>304764</v>
      </c>
      <c r="G1995" s="1">
        <f t="shared" ref="G1995:G2005" si="884">SUM(E1995:F1995)</f>
        <v>663610</v>
      </c>
      <c r="H1995" s="2">
        <f t="shared" ref="H1995:H2005" si="885">SUM(E1995)/G1995</f>
        <v>0.54074833109808473</v>
      </c>
      <c r="I1995" s="2">
        <f t="shared" ref="I1995:I2005" si="886">SUM(F1995/G1995)</f>
        <v>0.45925166890191527</v>
      </c>
      <c r="J1995" s="3">
        <v>291937</v>
      </c>
      <c r="K1995" s="3">
        <v>294586</v>
      </c>
      <c r="L1995" s="1">
        <f t="shared" si="880"/>
        <v>586523</v>
      </c>
      <c r="M1995" s="2">
        <f t="shared" si="881"/>
        <v>0.49774177653732249</v>
      </c>
      <c r="N1995" s="2">
        <f t="shared" si="882"/>
        <v>0.50225822346267746</v>
      </c>
      <c r="O1995" s="5">
        <f t="shared" si="883"/>
        <v>883.83689215051004</v>
      </c>
    </row>
    <row r="1996" spans="1:15" x14ac:dyDescent="0.35">
      <c r="A1996" t="s">
        <v>35</v>
      </c>
      <c r="B1996" t="s">
        <v>20</v>
      </c>
      <c r="C1996">
        <v>2008</v>
      </c>
      <c r="D1996" t="s">
        <v>18</v>
      </c>
      <c r="E1996" s="3">
        <v>356214</v>
      </c>
      <c r="F1996" s="3">
        <v>309238</v>
      </c>
      <c r="G1996" s="1">
        <f t="shared" si="884"/>
        <v>665452</v>
      </c>
      <c r="H1996" s="2">
        <f t="shared" si="885"/>
        <v>0.53529630987659516</v>
      </c>
      <c r="I1996" s="2">
        <f t="shared" si="886"/>
        <v>0.46470369012340484</v>
      </c>
      <c r="J1996" s="3">
        <v>240592</v>
      </c>
      <c r="K1996" s="3">
        <v>251452</v>
      </c>
      <c r="L1996" s="1">
        <f t="shared" si="880"/>
        <v>492044</v>
      </c>
      <c r="M1996" s="2">
        <f t="shared" si="881"/>
        <v>0.48896440155758431</v>
      </c>
      <c r="N1996" s="2">
        <f t="shared" si="882"/>
        <v>0.51103559844241575</v>
      </c>
      <c r="O1996" s="5">
        <f t="shared" si="883"/>
        <v>739.41321087020549</v>
      </c>
    </row>
    <row r="1997" spans="1:15" x14ac:dyDescent="0.35">
      <c r="A1997" t="s">
        <v>35</v>
      </c>
      <c r="B1997" t="s">
        <v>21</v>
      </c>
      <c r="C1997">
        <v>2008</v>
      </c>
      <c r="D1997" t="s">
        <v>18</v>
      </c>
      <c r="E1997" s="3">
        <v>350975</v>
      </c>
      <c r="F1997" s="3">
        <v>315242</v>
      </c>
      <c r="G1997" s="1">
        <f t="shared" si="884"/>
        <v>666217</v>
      </c>
      <c r="H1997" s="2">
        <f t="shared" si="885"/>
        <v>0.52681783863215736</v>
      </c>
      <c r="I1997" s="2">
        <f t="shared" si="886"/>
        <v>0.47318216136784264</v>
      </c>
      <c r="J1997" s="3">
        <v>265069</v>
      </c>
      <c r="K1997" s="3">
        <v>288194</v>
      </c>
      <c r="L1997" s="1">
        <f t="shared" si="880"/>
        <v>553263</v>
      </c>
      <c r="M1997" s="2">
        <f t="shared" si="881"/>
        <v>0.47910125925644764</v>
      </c>
      <c r="N1997" s="2">
        <f t="shared" si="882"/>
        <v>0.52089874074355236</v>
      </c>
      <c r="O1997" s="5">
        <f t="shared" si="883"/>
        <v>830.45464165579688</v>
      </c>
    </row>
    <row r="1998" spans="1:15" x14ac:dyDescent="0.35">
      <c r="A1998" t="s">
        <v>35</v>
      </c>
      <c r="B1998" t="s">
        <v>22</v>
      </c>
      <c r="C1998">
        <v>2008</v>
      </c>
      <c r="D1998" t="s">
        <v>18</v>
      </c>
      <c r="E1998" s="3">
        <v>345765</v>
      </c>
      <c r="F1998" s="3">
        <v>322260</v>
      </c>
      <c r="G1998" s="1">
        <f t="shared" si="884"/>
        <v>668025</v>
      </c>
      <c r="H1998" s="2">
        <f t="shared" si="885"/>
        <v>0.51759290445716855</v>
      </c>
      <c r="I1998" s="2">
        <f t="shared" si="886"/>
        <v>0.48240709554283145</v>
      </c>
      <c r="J1998" s="3">
        <v>294191</v>
      </c>
      <c r="K1998" s="3">
        <v>331554</v>
      </c>
      <c r="L1998" s="1">
        <f t="shared" si="880"/>
        <v>625745</v>
      </c>
      <c r="M1998" s="2">
        <f t="shared" si="881"/>
        <v>0.47014518693717089</v>
      </c>
      <c r="N1998" s="2">
        <f t="shared" si="882"/>
        <v>0.52985481306282911</v>
      </c>
      <c r="O1998" s="5">
        <f t="shared" si="883"/>
        <v>936.70895550316231</v>
      </c>
    </row>
    <row r="1999" spans="1:15" x14ac:dyDescent="0.35">
      <c r="A1999" t="s">
        <v>35</v>
      </c>
      <c r="B1999" t="s">
        <v>23</v>
      </c>
      <c r="C1999">
        <v>2008</v>
      </c>
      <c r="D1999" t="s">
        <v>18</v>
      </c>
      <c r="E1999" s="3">
        <v>340464</v>
      </c>
      <c r="F1999" s="3">
        <v>327796</v>
      </c>
      <c r="G1999" s="1">
        <f t="shared" si="884"/>
        <v>668260</v>
      </c>
      <c r="H1999" s="2">
        <f t="shared" si="885"/>
        <v>0.50947834675126447</v>
      </c>
      <c r="I1999" s="2">
        <f t="shared" si="886"/>
        <v>0.49052165324873553</v>
      </c>
      <c r="J1999" s="3">
        <v>410392</v>
      </c>
      <c r="K1999" s="3">
        <v>480936</v>
      </c>
      <c r="L1999" s="1">
        <f t="shared" si="880"/>
        <v>891328</v>
      </c>
      <c r="M1999" s="2">
        <f t="shared" si="881"/>
        <v>0.46042758670208944</v>
      </c>
      <c r="N1999" s="2">
        <f t="shared" si="882"/>
        <v>0.5395724132979105</v>
      </c>
      <c r="O1999" s="5">
        <f t="shared" si="883"/>
        <v>1333.8042079430161</v>
      </c>
    </row>
    <row r="2000" spans="1:15" x14ac:dyDescent="0.35">
      <c r="A2000" t="s">
        <v>35</v>
      </c>
      <c r="B2000" t="s">
        <v>24</v>
      </c>
      <c r="C2000">
        <v>2008</v>
      </c>
      <c r="D2000" t="s">
        <v>18</v>
      </c>
      <c r="E2000" s="3">
        <v>334211</v>
      </c>
      <c r="F2000" s="3">
        <f>668636-334211</f>
        <v>334425</v>
      </c>
      <c r="G2000" s="1">
        <f t="shared" si="884"/>
        <v>668636</v>
      </c>
      <c r="H2000" s="2">
        <f t="shared" si="885"/>
        <v>0.49983997272058339</v>
      </c>
      <c r="I2000" s="2">
        <f t="shared" si="886"/>
        <v>0.50016002727941655</v>
      </c>
      <c r="J2000" s="3">
        <v>416626</v>
      </c>
      <c r="K2000" s="3">
        <v>505324</v>
      </c>
      <c r="L2000" s="1">
        <f t="shared" si="880"/>
        <v>921950</v>
      </c>
      <c r="M2000" s="2">
        <f t="shared" si="881"/>
        <v>0.45189652367265037</v>
      </c>
      <c r="N2000" s="2">
        <f t="shared" si="882"/>
        <v>0.54810347632734968</v>
      </c>
      <c r="O2000" s="5">
        <f t="shared" si="883"/>
        <v>1378.8518715713781</v>
      </c>
    </row>
    <row r="2001" spans="1:15" x14ac:dyDescent="0.35">
      <c r="A2001" t="s">
        <v>35</v>
      </c>
      <c r="B2001" t="s">
        <v>25</v>
      </c>
      <c r="C2001">
        <v>2008</v>
      </c>
      <c r="D2001" t="s">
        <v>18</v>
      </c>
      <c r="E2001" s="3">
        <v>330105</v>
      </c>
      <c r="F2001" s="3">
        <f>670055-330105</f>
        <v>339950</v>
      </c>
      <c r="G2001" s="1">
        <f t="shared" si="884"/>
        <v>670055</v>
      </c>
      <c r="H2001" s="2">
        <f t="shared" si="885"/>
        <v>0.49265358813828714</v>
      </c>
      <c r="I2001" s="2">
        <f t="shared" si="886"/>
        <v>0.50734641186171281</v>
      </c>
      <c r="J2001" s="3">
        <v>396102</v>
      </c>
      <c r="K2001" s="3">
        <v>494459</v>
      </c>
      <c r="L2001" s="1">
        <f t="shared" si="880"/>
        <v>890561</v>
      </c>
      <c r="M2001" s="2">
        <f t="shared" si="881"/>
        <v>0.44477806685897991</v>
      </c>
      <c r="N2001" s="2">
        <f t="shared" si="882"/>
        <v>0.55522193314102009</v>
      </c>
      <c r="O2001" s="5">
        <f t="shared" si="883"/>
        <v>1329.0864182790965</v>
      </c>
    </row>
    <row r="2002" spans="1:15" x14ac:dyDescent="0.35">
      <c r="A2002" t="s">
        <v>35</v>
      </c>
      <c r="B2002" t="s">
        <v>26</v>
      </c>
      <c r="C2002">
        <v>2008</v>
      </c>
      <c r="D2002" t="s">
        <v>18</v>
      </c>
      <c r="E2002" s="3">
        <v>324396</v>
      </c>
      <c r="F2002" s="3">
        <f>670352-324396</f>
        <v>345956</v>
      </c>
      <c r="G2002" s="1">
        <f t="shared" si="884"/>
        <v>670352</v>
      </c>
      <c r="H2002" s="2">
        <f t="shared" si="885"/>
        <v>0.48391889634102681</v>
      </c>
      <c r="I2002" s="2">
        <f t="shared" si="886"/>
        <v>0.51608110365897319</v>
      </c>
      <c r="J2002" s="3">
        <v>372220</v>
      </c>
      <c r="K2002" s="3">
        <v>478718</v>
      </c>
      <c r="L2002" s="1">
        <f t="shared" si="880"/>
        <v>850938</v>
      </c>
      <c r="M2002" s="2">
        <f t="shared" si="881"/>
        <v>0.43742317301613043</v>
      </c>
      <c r="N2002" s="2">
        <f t="shared" si="882"/>
        <v>0.56257682698386957</v>
      </c>
      <c r="O2002" s="5">
        <f t="shared" si="883"/>
        <v>1269.3898131131107</v>
      </c>
    </row>
    <row r="2003" spans="1:15" x14ac:dyDescent="0.35">
      <c r="A2003" t="s">
        <v>35</v>
      </c>
      <c r="B2003" t="s">
        <v>27</v>
      </c>
      <c r="C2003">
        <v>2008</v>
      </c>
      <c r="D2003" t="s">
        <v>18</v>
      </c>
      <c r="E2003" s="3">
        <v>317261</v>
      </c>
      <c r="F2003" s="3">
        <v>351704</v>
      </c>
      <c r="G2003" s="1">
        <f t="shared" si="884"/>
        <v>668965</v>
      </c>
      <c r="H2003" s="2">
        <f t="shared" si="885"/>
        <v>0.47425650071378922</v>
      </c>
      <c r="I2003" s="2">
        <f t="shared" si="886"/>
        <v>0.52574349928621078</v>
      </c>
      <c r="J2003" s="3">
        <v>285653</v>
      </c>
      <c r="K2003" s="3">
        <v>389541.99</v>
      </c>
      <c r="L2003" s="1">
        <f t="shared" si="880"/>
        <v>675194.99</v>
      </c>
      <c r="M2003" s="2">
        <f t="shared" si="881"/>
        <v>0.42306741642143997</v>
      </c>
      <c r="N2003" s="2">
        <f t="shared" si="882"/>
        <v>0.57693258357856003</v>
      </c>
      <c r="O2003" s="5">
        <f t="shared" si="883"/>
        <v>1009.3128788501641</v>
      </c>
    </row>
    <row r="2004" spans="1:15" x14ac:dyDescent="0.35">
      <c r="A2004" t="s">
        <v>35</v>
      </c>
      <c r="B2004" t="s">
        <v>28</v>
      </c>
      <c r="C2004">
        <v>2008</v>
      </c>
      <c r="D2004" t="s">
        <v>18</v>
      </c>
      <c r="E2004" s="3">
        <v>310512</v>
      </c>
      <c r="F2004" s="3">
        <v>366210</v>
      </c>
      <c r="G2004" s="1">
        <f t="shared" si="884"/>
        <v>676722</v>
      </c>
      <c r="H2004" s="2">
        <f t="shared" si="885"/>
        <v>0.45884720756824809</v>
      </c>
      <c r="I2004" s="2">
        <f t="shared" si="886"/>
        <v>0.54115279243175185</v>
      </c>
      <c r="J2004" s="3">
        <v>215808</v>
      </c>
      <c r="K2004" s="3">
        <v>307912.96999999997</v>
      </c>
      <c r="L2004" s="1">
        <f t="shared" si="880"/>
        <v>523720.97</v>
      </c>
      <c r="M2004" s="2">
        <f t="shared" si="881"/>
        <v>0.41206675379066837</v>
      </c>
      <c r="N2004" s="2">
        <f t="shared" si="882"/>
        <v>0.58793324620933163</v>
      </c>
      <c r="O2004" s="5">
        <f t="shared" si="883"/>
        <v>773.90859171121963</v>
      </c>
    </row>
    <row r="2005" spans="1:15" x14ac:dyDescent="0.35">
      <c r="A2005" t="s">
        <v>35</v>
      </c>
      <c r="B2005" t="s">
        <v>29</v>
      </c>
      <c r="C2005">
        <v>2008</v>
      </c>
      <c r="D2005" t="s">
        <v>18</v>
      </c>
      <c r="E2005" s="3">
        <v>303547</v>
      </c>
      <c r="F2005" s="3">
        <v>366127</v>
      </c>
      <c r="G2005" s="1">
        <f t="shared" si="884"/>
        <v>669674</v>
      </c>
      <c r="H2005" s="2">
        <f t="shared" si="885"/>
        <v>0.45327577298805088</v>
      </c>
      <c r="I2005" s="2">
        <f t="shared" si="886"/>
        <v>0.54672422701194912</v>
      </c>
      <c r="J2005" s="3">
        <v>228905</v>
      </c>
      <c r="K2005" s="3">
        <v>333044.40999999997</v>
      </c>
      <c r="L2005" s="1">
        <f t="shared" si="880"/>
        <v>561949.40999999992</v>
      </c>
      <c r="M2005" s="2">
        <f t="shared" si="881"/>
        <v>0.40734093839514846</v>
      </c>
      <c r="N2005" s="2">
        <f t="shared" si="882"/>
        <v>0.5926590616048516</v>
      </c>
      <c r="O2005" s="5">
        <f t="shared" si="883"/>
        <v>839.13876005339898</v>
      </c>
    </row>
    <row r="2006" spans="1:15" x14ac:dyDescent="0.35">
      <c r="A2006" t="s">
        <v>35</v>
      </c>
      <c r="B2006" t="s">
        <v>17</v>
      </c>
      <c r="C2006">
        <v>2009</v>
      </c>
      <c r="D2006" t="s">
        <v>18</v>
      </c>
      <c r="E2006" s="3">
        <v>298064</v>
      </c>
      <c r="F2006" s="3">
        <v>363375</v>
      </c>
      <c r="G2006" s="1">
        <f>SUM(E2006:F2006)</f>
        <v>661439</v>
      </c>
      <c r="H2006" s="2">
        <f>SUM(E2006)/G2006</f>
        <v>0.4506296121033081</v>
      </c>
      <c r="I2006" s="2">
        <f>SUM(F2006/G2006)</f>
        <v>0.5493703878966919</v>
      </c>
      <c r="J2006" s="3">
        <v>266084</v>
      </c>
      <c r="K2006" s="3">
        <v>402811</v>
      </c>
      <c r="L2006" s="1">
        <f t="shared" si="880"/>
        <v>668895</v>
      </c>
      <c r="M2006" s="2">
        <f t="shared" si="881"/>
        <v>0.39779636564782217</v>
      </c>
      <c r="N2006" s="2">
        <f t="shared" si="882"/>
        <v>0.60220363435217783</v>
      </c>
      <c r="O2006" s="5">
        <f t="shared" si="883"/>
        <v>1011.2723924655184</v>
      </c>
    </row>
    <row r="2007" spans="1:15" x14ac:dyDescent="0.35">
      <c r="A2007" t="s">
        <v>35</v>
      </c>
      <c r="B2007" t="s">
        <v>19</v>
      </c>
      <c r="C2007">
        <v>2009</v>
      </c>
      <c r="D2007" t="s">
        <v>18</v>
      </c>
      <c r="E2007" s="3">
        <v>292863</v>
      </c>
      <c r="F2007" s="3">
        <v>370329</v>
      </c>
      <c r="G2007" s="1">
        <f t="shared" ref="G2007:G2017" si="887">SUM(E2007:F2007)</f>
        <v>663192</v>
      </c>
      <c r="H2007" s="2">
        <f t="shared" ref="H2007:H2017" si="888">SUM(E2007)/G2007</f>
        <v>0.44159609886729634</v>
      </c>
      <c r="I2007" s="2">
        <f t="shared" ref="I2007:I2017" si="889">SUM(F2007/G2007)</f>
        <v>0.55840390113270366</v>
      </c>
      <c r="J2007" s="3">
        <v>198127</v>
      </c>
      <c r="K2007" s="3">
        <v>311342</v>
      </c>
      <c r="L2007" s="1">
        <f t="shared" si="880"/>
        <v>509469</v>
      </c>
      <c r="M2007" s="2">
        <f t="shared" si="881"/>
        <v>0.38888921602688287</v>
      </c>
      <c r="N2007" s="2">
        <f t="shared" si="882"/>
        <v>0.61111078397311713</v>
      </c>
      <c r="O2007" s="5">
        <f t="shared" si="883"/>
        <v>768.20739695291866</v>
      </c>
    </row>
    <row r="2008" spans="1:15" x14ac:dyDescent="0.35">
      <c r="A2008" t="s">
        <v>35</v>
      </c>
      <c r="B2008" t="s">
        <v>20</v>
      </c>
      <c r="C2008">
        <v>2009</v>
      </c>
      <c r="D2008" t="s">
        <v>18</v>
      </c>
      <c r="E2008" s="3">
        <v>288370</v>
      </c>
      <c r="F2008" s="3">
        <v>377898</v>
      </c>
      <c r="G2008" s="1">
        <f t="shared" si="887"/>
        <v>666268</v>
      </c>
      <c r="H2008" s="2">
        <f t="shared" si="888"/>
        <v>0.43281382266595425</v>
      </c>
      <c r="I2008" s="2">
        <f t="shared" si="889"/>
        <v>0.56718617733404575</v>
      </c>
      <c r="J2008" s="3">
        <v>185076</v>
      </c>
      <c r="K2008" s="3">
        <v>305655</v>
      </c>
      <c r="L2008" s="1">
        <f t="shared" si="880"/>
        <v>490731</v>
      </c>
      <c r="M2008" s="2">
        <f t="shared" si="881"/>
        <v>0.37714348594240021</v>
      </c>
      <c r="N2008" s="2">
        <f t="shared" si="882"/>
        <v>0.62285651405759979</v>
      </c>
      <c r="O2008" s="5">
        <f t="shared" si="883"/>
        <v>736.53694909555918</v>
      </c>
    </row>
    <row r="2009" spans="1:15" x14ac:dyDescent="0.35">
      <c r="A2009" t="s">
        <v>35</v>
      </c>
      <c r="B2009" t="s">
        <v>21</v>
      </c>
      <c r="C2009">
        <v>2009</v>
      </c>
      <c r="D2009" t="s">
        <v>18</v>
      </c>
      <c r="E2009" s="3">
        <v>282817</v>
      </c>
      <c r="F2009" s="3">
        <v>383525</v>
      </c>
      <c r="G2009" s="1">
        <f t="shared" si="887"/>
        <v>666342</v>
      </c>
      <c r="H2009" s="2">
        <f t="shared" si="888"/>
        <v>0.42443219848066011</v>
      </c>
      <c r="I2009" s="2">
        <f t="shared" si="889"/>
        <v>0.57556780151933995</v>
      </c>
      <c r="J2009" s="3">
        <v>196834</v>
      </c>
      <c r="K2009" s="3">
        <v>338884</v>
      </c>
      <c r="L2009" s="1">
        <f t="shared" si="880"/>
        <v>535718</v>
      </c>
      <c r="M2009" s="2">
        <f t="shared" si="881"/>
        <v>0.36742091921496012</v>
      </c>
      <c r="N2009" s="2">
        <f t="shared" si="882"/>
        <v>0.63257908078503988</v>
      </c>
      <c r="O2009" s="5">
        <f t="shared" si="883"/>
        <v>803.96853267541292</v>
      </c>
    </row>
    <row r="2010" spans="1:15" x14ac:dyDescent="0.35">
      <c r="A2010" t="s">
        <v>35</v>
      </c>
      <c r="B2010" t="s">
        <v>22</v>
      </c>
      <c r="C2010">
        <v>2009</v>
      </c>
      <c r="D2010" t="s">
        <v>18</v>
      </c>
      <c r="E2010" s="3">
        <v>278597</v>
      </c>
      <c r="F2010" s="3">
        <v>388440</v>
      </c>
      <c r="G2010" s="1">
        <f t="shared" si="887"/>
        <v>667037</v>
      </c>
      <c r="H2010" s="2">
        <f t="shared" si="888"/>
        <v>0.4176634879324535</v>
      </c>
      <c r="I2010" s="2">
        <f t="shared" si="889"/>
        <v>0.58233651206754644</v>
      </c>
      <c r="J2010" s="3">
        <v>249121</v>
      </c>
      <c r="K2010" s="3">
        <v>440232</v>
      </c>
      <c r="L2010" s="1">
        <f t="shared" si="880"/>
        <v>689353</v>
      </c>
      <c r="M2010" s="2">
        <f t="shared" si="881"/>
        <v>0.36138379030772333</v>
      </c>
      <c r="N2010" s="2">
        <f t="shared" si="882"/>
        <v>0.63861620969227673</v>
      </c>
      <c r="O2010" s="5">
        <f t="shared" si="883"/>
        <v>1033.4554155166804</v>
      </c>
    </row>
    <row r="2011" spans="1:15" x14ac:dyDescent="0.35">
      <c r="A2011" t="s">
        <v>35</v>
      </c>
      <c r="B2011" t="s">
        <v>23</v>
      </c>
      <c r="C2011">
        <v>2009</v>
      </c>
      <c r="D2011" t="s">
        <v>18</v>
      </c>
      <c r="E2011" s="3">
        <v>274989</v>
      </c>
      <c r="F2011" s="3">
        <v>393523</v>
      </c>
      <c r="G2011" s="1">
        <f t="shared" si="887"/>
        <v>668512</v>
      </c>
      <c r="H2011" s="2">
        <f t="shared" si="888"/>
        <v>0.41134489732420659</v>
      </c>
      <c r="I2011" s="2">
        <f t="shared" si="889"/>
        <v>0.58865510267579335</v>
      </c>
      <c r="J2011" s="3">
        <v>297483</v>
      </c>
      <c r="K2011" s="3">
        <v>533069</v>
      </c>
      <c r="L2011" s="1">
        <f t="shared" si="880"/>
        <v>830552</v>
      </c>
      <c r="M2011" s="2">
        <f t="shared" si="881"/>
        <v>0.35817504503029313</v>
      </c>
      <c r="N2011" s="2">
        <f t="shared" si="882"/>
        <v>0.64182495496970693</v>
      </c>
      <c r="O2011" s="5">
        <f t="shared" si="883"/>
        <v>1242.3890670623714</v>
      </c>
    </row>
    <row r="2012" spans="1:15" x14ac:dyDescent="0.35">
      <c r="A2012" t="s">
        <v>35</v>
      </c>
      <c r="B2012" t="s">
        <v>24</v>
      </c>
      <c r="C2012">
        <v>2009</v>
      </c>
      <c r="D2012" t="s">
        <v>18</v>
      </c>
      <c r="E2012" s="3">
        <v>270945</v>
      </c>
      <c r="F2012" s="3">
        <v>397534</v>
      </c>
      <c r="G2012" s="1">
        <f t="shared" si="887"/>
        <v>668479</v>
      </c>
      <c r="H2012" s="2">
        <f t="shared" si="888"/>
        <v>0.40531564940708681</v>
      </c>
      <c r="I2012" s="2">
        <f t="shared" si="889"/>
        <v>0.59468435059291314</v>
      </c>
      <c r="J2012" s="3">
        <v>364993</v>
      </c>
      <c r="K2012" s="3">
        <v>659617</v>
      </c>
      <c r="L2012" s="1">
        <f t="shared" si="880"/>
        <v>1024610</v>
      </c>
      <c r="M2012" s="2">
        <f t="shared" si="881"/>
        <v>0.35622627145938457</v>
      </c>
      <c r="N2012" s="2">
        <f t="shared" si="882"/>
        <v>0.64377372854061543</v>
      </c>
      <c r="O2012" s="5">
        <f t="shared" si="883"/>
        <v>1532.7482239531832</v>
      </c>
    </row>
    <row r="2013" spans="1:15" x14ac:dyDescent="0.35">
      <c r="A2013" t="s">
        <v>35</v>
      </c>
      <c r="B2013" t="s">
        <v>25</v>
      </c>
      <c r="C2013">
        <v>2009</v>
      </c>
      <c r="D2013" t="s">
        <v>18</v>
      </c>
      <c r="E2013" s="3">
        <v>267482</v>
      </c>
      <c r="F2013" s="3">
        <v>402168</v>
      </c>
      <c r="G2013" s="1">
        <f t="shared" si="887"/>
        <v>669650</v>
      </c>
      <c r="H2013" s="2">
        <f t="shared" si="888"/>
        <v>0.39943552602105575</v>
      </c>
      <c r="I2013" s="2">
        <f t="shared" si="889"/>
        <v>0.60056447397894419</v>
      </c>
      <c r="J2013" s="3">
        <v>366424</v>
      </c>
      <c r="K2013" s="3">
        <v>671789</v>
      </c>
      <c r="L2013" s="1">
        <f t="shared" si="880"/>
        <v>1038213</v>
      </c>
      <c r="M2013" s="2">
        <f t="shared" si="881"/>
        <v>0.35293721037975828</v>
      </c>
      <c r="N2013" s="2">
        <f t="shared" si="882"/>
        <v>0.64706278962024166</v>
      </c>
      <c r="O2013" s="5">
        <f t="shared" si="883"/>
        <v>1550.3815425968789</v>
      </c>
    </row>
    <row r="2014" spans="1:15" x14ac:dyDescent="0.35">
      <c r="A2014" t="s">
        <v>35</v>
      </c>
      <c r="B2014" t="s">
        <v>26</v>
      </c>
      <c r="C2014">
        <v>2009</v>
      </c>
      <c r="D2014" t="s">
        <v>18</v>
      </c>
      <c r="E2014" s="3">
        <v>262994</v>
      </c>
      <c r="F2014" s="3">
        <v>406726</v>
      </c>
      <c r="G2014" s="1">
        <f t="shared" si="887"/>
        <v>669720</v>
      </c>
      <c r="H2014" s="2">
        <f t="shared" si="888"/>
        <v>0.39269246849429612</v>
      </c>
      <c r="I2014" s="2">
        <f t="shared" si="889"/>
        <v>0.60730753150570382</v>
      </c>
      <c r="J2014" s="3">
        <v>324628</v>
      </c>
      <c r="K2014" s="3">
        <v>614485</v>
      </c>
      <c r="L2014" s="1">
        <f t="shared" si="880"/>
        <v>939113</v>
      </c>
      <c r="M2014" s="2">
        <f t="shared" si="881"/>
        <v>0.345675121098313</v>
      </c>
      <c r="N2014" s="2">
        <f t="shared" si="882"/>
        <v>0.654324878901687</v>
      </c>
      <c r="O2014" s="5">
        <f t="shared" si="883"/>
        <v>1402.2472077883294</v>
      </c>
    </row>
    <row r="2015" spans="1:15" x14ac:dyDescent="0.35">
      <c r="A2015" t="s">
        <v>35</v>
      </c>
      <c r="B2015" t="s">
        <v>27</v>
      </c>
      <c r="C2015">
        <v>2009</v>
      </c>
      <c r="D2015" t="s">
        <v>18</v>
      </c>
      <c r="E2015" s="3">
        <v>257093</v>
      </c>
      <c r="F2015" s="3">
        <v>410930</v>
      </c>
      <c r="G2015" s="1">
        <f t="shared" si="887"/>
        <v>668023</v>
      </c>
      <c r="H2015" s="2">
        <f t="shared" si="888"/>
        <v>0.38485650943156147</v>
      </c>
      <c r="I2015" s="2">
        <f t="shared" si="889"/>
        <v>0.61514349056843853</v>
      </c>
      <c r="J2015" s="3">
        <v>253131</v>
      </c>
      <c r="K2015" s="3">
        <v>498380</v>
      </c>
      <c r="L2015" s="1">
        <f t="shared" si="880"/>
        <v>751511</v>
      </c>
      <c r="M2015" s="2">
        <f t="shared" si="881"/>
        <v>0.33682940103338477</v>
      </c>
      <c r="N2015" s="2">
        <f t="shared" si="882"/>
        <v>0.66317059896661523</v>
      </c>
      <c r="O2015" s="5">
        <f t="shared" si="883"/>
        <v>1124.977732802613</v>
      </c>
    </row>
    <row r="2016" spans="1:15" x14ac:dyDescent="0.35">
      <c r="A2016" t="s">
        <v>35</v>
      </c>
      <c r="B2016" t="s">
        <v>28</v>
      </c>
      <c r="C2016">
        <v>2009</v>
      </c>
      <c r="D2016" t="s">
        <v>18</v>
      </c>
      <c r="E2016" s="3">
        <v>253154</v>
      </c>
      <c r="F2016" s="3">
        <v>414983</v>
      </c>
      <c r="G2016" s="1">
        <f t="shared" si="887"/>
        <v>668137</v>
      </c>
      <c r="H2016" s="2">
        <f t="shared" si="888"/>
        <v>0.37889534631370514</v>
      </c>
      <c r="I2016" s="2">
        <f t="shared" si="889"/>
        <v>0.62110465368629486</v>
      </c>
      <c r="J2016" s="3">
        <v>180582</v>
      </c>
      <c r="K2016" s="3">
        <v>368306</v>
      </c>
      <c r="L2016" s="1">
        <f t="shared" si="880"/>
        <v>548888</v>
      </c>
      <c r="M2016" s="2">
        <f t="shared" si="881"/>
        <v>0.32899607934587749</v>
      </c>
      <c r="N2016" s="2">
        <f t="shared" si="882"/>
        <v>0.67100392065412251</v>
      </c>
      <c r="O2016" s="5">
        <f t="shared" si="883"/>
        <v>821.52013733710305</v>
      </c>
    </row>
    <row r="2017" spans="1:15" x14ac:dyDescent="0.35">
      <c r="A2017" t="s">
        <v>35</v>
      </c>
      <c r="B2017" t="s">
        <v>29</v>
      </c>
      <c r="C2017">
        <v>2009</v>
      </c>
      <c r="D2017" t="s">
        <v>18</v>
      </c>
      <c r="E2017" s="3">
        <v>249058</v>
      </c>
      <c r="F2017" s="3">
        <v>416619</v>
      </c>
      <c r="G2017" s="1">
        <f t="shared" si="887"/>
        <v>665677</v>
      </c>
      <c r="H2017" s="2">
        <f t="shared" si="888"/>
        <v>0.37414241441419788</v>
      </c>
      <c r="I2017" s="2">
        <f t="shared" si="889"/>
        <v>0.62585758558580218</v>
      </c>
      <c r="J2017" s="3">
        <v>203566</v>
      </c>
      <c r="K2017" s="3">
        <v>417723</v>
      </c>
      <c r="L2017" s="1">
        <f t="shared" si="880"/>
        <v>621289</v>
      </c>
      <c r="M2017" s="2">
        <f t="shared" si="881"/>
        <v>0.32765106093943397</v>
      </c>
      <c r="N2017" s="2">
        <f t="shared" si="882"/>
        <v>0.67234893906056603</v>
      </c>
      <c r="O2017" s="5">
        <f t="shared" si="883"/>
        <v>933.31901207342298</v>
      </c>
    </row>
    <row r="2018" spans="1:15" x14ac:dyDescent="0.35">
      <c r="A2018" t="s">
        <v>35</v>
      </c>
      <c r="B2018" t="s">
        <v>17</v>
      </c>
      <c r="C2018">
        <v>2010</v>
      </c>
      <c r="D2018" t="s">
        <v>18</v>
      </c>
      <c r="E2018" s="3">
        <v>228418</v>
      </c>
      <c r="F2018" s="3">
        <v>387708</v>
      </c>
      <c r="G2018" s="1">
        <f>SUM(E2018:F2018)</f>
        <v>616126</v>
      </c>
      <c r="H2018" s="2">
        <f>SUM(E2018)/G2018</f>
        <v>0.37073260988823714</v>
      </c>
      <c r="I2018" s="2">
        <f>SUM(F2018/G2018)</f>
        <v>0.6292673901117628</v>
      </c>
      <c r="J2018" s="3">
        <v>261627</v>
      </c>
      <c r="K2018" s="3">
        <v>537440</v>
      </c>
      <c r="L2018" s="1">
        <f t="shared" si="880"/>
        <v>799067</v>
      </c>
      <c r="M2018" s="2">
        <f t="shared" si="881"/>
        <v>0.32741559844168261</v>
      </c>
      <c r="N2018" s="2">
        <f t="shared" si="882"/>
        <v>0.67258440155831734</v>
      </c>
      <c r="O2018" s="5">
        <f t="shared" si="883"/>
        <v>1296.9214089325885</v>
      </c>
    </row>
    <row r="2019" spans="1:15" x14ac:dyDescent="0.35">
      <c r="A2019" t="s">
        <v>35</v>
      </c>
      <c r="B2019" t="s">
        <v>19</v>
      </c>
      <c r="C2019">
        <v>2010</v>
      </c>
      <c r="D2019" t="s">
        <v>18</v>
      </c>
      <c r="E2019" s="3">
        <v>245301</v>
      </c>
      <c r="F2019" s="3">
        <v>423346</v>
      </c>
      <c r="G2019" s="1">
        <f t="shared" ref="G2019:G2029" si="890">SUM(E2019:F2019)</f>
        <v>668647</v>
      </c>
      <c r="H2019" s="2">
        <f t="shared" ref="H2019:H2029" si="891">SUM(E2019)/G2019</f>
        <v>0.36686173720961884</v>
      </c>
      <c r="I2019" s="2">
        <f t="shared" ref="I2019:I2029" si="892">SUM(F2019/G2019)</f>
        <v>0.63313826279038121</v>
      </c>
      <c r="J2019" s="3">
        <v>207128</v>
      </c>
      <c r="K2019" s="3">
        <v>432097</v>
      </c>
      <c r="L2019" s="1">
        <f t="shared" si="880"/>
        <v>639225</v>
      </c>
      <c r="M2019" s="2">
        <f t="shared" si="881"/>
        <v>0.32402987993273102</v>
      </c>
      <c r="N2019" s="2">
        <f t="shared" si="882"/>
        <v>0.67597012006726898</v>
      </c>
      <c r="O2019" s="5">
        <f t="shared" si="883"/>
        <v>955.99770880599181</v>
      </c>
    </row>
    <row r="2020" spans="1:15" x14ac:dyDescent="0.35">
      <c r="A2020" t="s">
        <v>35</v>
      </c>
      <c r="B2020" t="s">
        <v>20</v>
      </c>
      <c r="C2020">
        <v>2010</v>
      </c>
      <c r="D2020" t="s">
        <v>18</v>
      </c>
      <c r="E2020" s="3">
        <v>243111</v>
      </c>
      <c r="F2020" s="3">
        <v>427906</v>
      </c>
      <c r="G2020" s="1">
        <f t="shared" si="890"/>
        <v>671017</v>
      </c>
      <c r="H2020" s="2">
        <f t="shared" si="891"/>
        <v>0.36230229636506972</v>
      </c>
      <c r="I2020" s="2">
        <f t="shared" si="892"/>
        <v>0.63769770363493028</v>
      </c>
      <c r="J2020" s="3">
        <v>184152</v>
      </c>
      <c r="K2020" s="3">
        <v>391679</v>
      </c>
      <c r="L2020" s="1">
        <f t="shared" si="880"/>
        <v>575831</v>
      </c>
      <c r="M2020" s="2">
        <f t="shared" si="881"/>
        <v>0.31980216417664209</v>
      </c>
      <c r="N2020" s="2">
        <f t="shared" si="882"/>
        <v>0.68019783582335791</v>
      </c>
      <c r="O2020" s="5">
        <f t="shared" si="883"/>
        <v>858.14666394443066</v>
      </c>
    </row>
    <row r="2021" spans="1:15" x14ac:dyDescent="0.35">
      <c r="A2021" t="s">
        <v>35</v>
      </c>
      <c r="B2021" t="s">
        <v>21</v>
      </c>
      <c r="C2021">
        <v>2010</v>
      </c>
      <c r="D2021" t="s">
        <v>18</v>
      </c>
      <c r="E2021" s="3">
        <v>239705</v>
      </c>
      <c r="F2021" s="3">
        <v>431492</v>
      </c>
      <c r="G2021" s="1">
        <f t="shared" si="890"/>
        <v>671197</v>
      </c>
      <c r="H2021" s="2">
        <f t="shared" si="891"/>
        <v>0.357130618879405</v>
      </c>
      <c r="I2021" s="2">
        <f t="shared" si="892"/>
        <v>0.642869381120595</v>
      </c>
      <c r="J2021" s="3">
        <v>154851</v>
      </c>
      <c r="K2021" s="3">
        <v>341518</v>
      </c>
      <c r="L2021" s="1">
        <f t="shared" si="880"/>
        <v>496369</v>
      </c>
      <c r="M2021" s="2">
        <f t="shared" si="881"/>
        <v>0.31196750804341128</v>
      </c>
      <c r="N2021" s="2">
        <f t="shared" si="882"/>
        <v>0.68803249195658878</v>
      </c>
      <c r="O2021" s="5">
        <f t="shared" si="883"/>
        <v>739.52803722305077</v>
      </c>
    </row>
    <row r="2022" spans="1:15" x14ac:dyDescent="0.35">
      <c r="A2022" t="s">
        <v>35</v>
      </c>
      <c r="B2022" t="s">
        <v>22</v>
      </c>
      <c r="C2022">
        <v>2010</v>
      </c>
      <c r="D2022" t="s">
        <v>18</v>
      </c>
      <c r="E2022" s="3">
        <v>237206</v>
      </c>
      <c r="F2022" s="3">
        <v>435116</v>
      </c>
      <c r="G2022" s="1">
        <f t="shared" si="890"/>
        <v>672322</v>
      </c>
      <c r="H2022" s="2">
        <f t="shared" si="891"/>
        <v>0.35281606135155474</v>
      </c>
      <c r="I2022" s="2">
        <f t="shared" si="892"/>
        <v>0.64718393864844526</v>
      </c>
      <c r="J2022" s="3">
        <v>187609</v>
      </c>
      <c r="K2022" s="3">
        <v>426742</v>
      </c>
      <c r="L2022" s="1">
        <f t="shared" si="880"/>
        <v>614351</v>
      </c>
      <c r="M2022" s="2">
        <f t="shared" si="881"/>
        <v>0.30537754475861517</v>
      </c>
      <c r="N2022" s="2">
        <f t="shared" si="882"/>
        <v>0.69462245524138477</v>
      </c>
      <c r="O2022" s="5">
        <f t="shared" si="883"/>
        <v>913.77494712355087</v>
      </c>
    </row>
    <row r="2023" spans="1:15" x14ac:dyDescent="0.35">
      <c r="A2023" t="s">
        <v>35</v>
      </c>
      <c r="B2023" t="s">
        <v>23</v>
      </c>
      <c r="C2023">
        <v>2010</v>
      </c>
      <c r="D2023" t="s">
        <v>18</v>
      </c>
      <c r="E2023" s="3">
        <v>234551</v>
      </c>
      <c r="F2023" s="3">
        <v>438828</v>
      </c>
      <c r="G2023" s="1">
        <f t="shared" si="890"/>
        <v>673379</v>
      </c>
      <c r="H2023" s="2">
        <f t="shared" si="891"/>
        <v>0.34831944566135858</v>
      </c>
      <c r="I2023" s="2">
        <f t="shared" si="892"/>
        <v>0.65168055433864136</v>
      </c>
      <c r="J2023" s="3">
        <v>261119</v>
      </c>
      <c r="K2023" s="3">
        <v>595072</v>
      </c>
      <c r="L2023" s="1">
        <f t="shared" si="880"/>
        <v>856191</v>
      </c>
      <c r="M2023" s="2">
        <f t="shared" si="881"/>
        <v>0.30497751085914243</v>
      </c>
      <c r="N2023" s="2">
        <f t="shared" si="882"/>
        <v>0.69502248914085762</v>
      </c>
      <c r="O2023" s="5">
        <f t="shared" si="883"/>
        <v>1271.4845577304905</v>
      </c>
    </row>
    <row r="2024" spans="1:15" x14ac:dyDescent="0.35">
      <c r="A2024" t="s">
        <v>35</v>
      </c>
      <c r="B2024" t="s">
        <v>24</v>
      </c>
      <c r="C2024">
        <v>2010</v>
      </c>
      <c r="D2024" t="s">
        <v>18</v>
      </c>
      <c r="E2024" s="3">
        <v>231753</v>
      </c>
      <c r="F2024" s="3">
        <v>441751</v>
      </c>
      <c r="G2024" s="1">
        <f t="shared" si="890"/>
        <v>673504</v>
      </c>
      <c r="H2024" s="2">
        <f t="shared" si="891"/>
        <v>0.3441004062336675</v>
      </c>
      <c r="I2024" s="2">
        <f t="shared" si="892"/>
        <v>0.65589959376633244</v>
      </c>
      <c r="J2024" s="3">
        <f>294726</f>
        <v>294726</v>
      </c>
      <c r="K2024" s="3">
        <v>677548</v>
      </c>
      <c r="L2024" s="1">
        <f t="shared" si="880"/>
        <v>972274</v>
      </c>
      <c r="M2024" s="2">
        <f t="shared" si="881"/>
        <v>0.3031305989875282</v>
      </c>
      <c r="N2024" s="2">
        <f t="shared" si="882"/>
        <v>0.69686940101247175</v>
      </c>
      <c r="O2024" s="5">
        <f t="shared" si="883"/>
        <v>1443.6053831900033</v>
      </c>
    </row>
    <row r="2025" spans="1:15" x14ac:dyDescent="0.35">
      <c r="A2025" t="s">
        <v>35</v>
      </c>
      <c r="B2025" t="s">
        <v>25</v>
      </c>
      <c r="C2025">
        <v>2010</v>
      </c>
      <c r="D2025" t="s">
        <v>18</v>
      </c>
      <c r="E2025" s="3">
        <v>218336</v>
      </c>
      <c r="F2025" s="3">
        <v>425541</v>
      </c>
      <c r="G2025" s="1">
        <f t="shared" si="890"/>
        <v>643877</v>
      </c>
      <c r="H2025" s="2">
        <f t="shared" si="891"/>
        <v>0.33909582109626529</v>
      </c>
      <c r="I2025" s="2">
        <f t="shared" si="892"/>
        <v>0.66090417890373476</v>
      </c>
      <c r="J2025" s="3">
        <f>273242</f>
        <v>273242</v>
      </c>
      <c r="K2025" s="3">
        <v>635049</v>
      </c>
      <c r="L2025" s="1">
        <f t="shared" si="880"/>
        <v>908291</v>
      </c>
      <c r="M2025" s="2">
        <f t="shared" si="881"/>
        <v>0.30083090110988658</v>
      </c>
      <c r="N2025" s="2">
        <f t="shared" si="882"/>
        <v>0.69916909889011336</v>
      </c>
      <c r="O2025" s="5">
        <f t="shared" si="883"/>
        <v>1410.6591786940674</v>
      </c>
    </row>
    <row r="2026" spans="1:15" x14ac:dyDescent="0.35">
      <c r="A2026" t="s">
        <v>35</v>
      </c>
      <c r="B2026" t="s">
        <v>26</v>
      </c>
      <c r="C2026">
        <v>2010</v>
      </c>
      <c r="D2026" t="s">
        <v>18</v>
      </c>
      <c r="E2026" s="3">
        <v>227090</v>
      </c>
      <c r="F2026" s="3">
        <v>447859</v>
      </c>
      <c r="G2026" s="1">
        <f t="shared" si="890"/>
        <v>674949</v>
      </c>
      <c r="H2026" s="2">
        <f t="shared" si="891"/>
        <v>0.33645505067790304</v>
      </c>
      <c r="I2026" s="2">
        <f t="shared" si="892"/>
        <v>0.66354494932209696</v>
      </c>
      <c r="J2026" s="3">
        <f>288282</f>
        <v>288282</v>
      </c>
      <c r="K2026" s="3">
        <v>684156</v>
      </c>
      <c r="L2026" s="1">
        <f t="shared" si="880"/>
        <v>972438</v>
      </c>
      <c r="M2026" s="2">
        <f t="shared" si="881"/>
        <v>0.29645283298266828</v>
      </c>
      <c r="N2026" s="2">
        <f t="shared" si="882"/>
        <v>0.70354716701733166</v>
      </c>
      <c r="O2026" s="5">
        <f t="shared" si="883"/>
        <v>1440.7577461408196</v>
      </c>
    </row>
    <row r="2027" spans="1:15" x14ac:dyDescent="0.35">
      <c r="A2027" t="s">
        <v>35</v>
      </c>
      <c r="B2027" t="s">
        <v>27</v>
      </c>
      <c r="C2027">
        <v>2010</v>
      </c>
      <c r="D2027" t="s">
        <v>18</v>
      </c>
      <c r="E2027" s="3">
        <v>215160</v>
      </c>
      <c r="F2027" s="3">
        <v>427907</v>
      </c>
      <c r="G2027" s="1">
        <f t="shared" si="890"/>
        <v>643067</v>
      </c>
      <c r="H2027" s="2">
        <f t="shared" si="891"/>
        <v>0.33458411020935608</v>
      </c>
      <c r="I2027" s="2">
        <f t="shared" si="892"/>
        <v>0.66541588979064392</v>
      </c>
      <c r="J2027" s="3">
        <v>200491</v>
      </c>
      <c r="K2027" s="3">
        <v>485435</v>
      </c>
      <c r="L2027" s="1">
        <f t="shared" si="880"/>
        <v>685926</v>
      </c>
      <c r="M2027" s="2">
        <f t="shared" si="881"/>
        <v>0.29229246303537115</v>
      </c>
      <c r="N2027" s="2">
        <f t="shared" si="882"/>
        <v>0.70770753696462885</v>
      </c>
      <c r="O2027" s="5">
        <f t="shared" si="883"/>
        <v>1066.6477987519186</v>
      </c>
    </row>
    <row r="2028" spans="1:15" x14ac:dyDescent="0.35">
      <c r="A2028" t="s">
        <v>35</v>
      </c>
      <c r="B2028" t="s">
        <v>28</v>
      </c>
      <c r="C2028">
        <v>2010</v>
      </c>
      <c r="D2028" t="s">
        <v>18</v>
      </c>
      <c r="E2028" s="3">
        <v>214243</v>
      </c>
      <c r="F2028" s="3">
        <v>431314</v>
      </c>
      <c r="G2028" s="1">
        <f t="shared" si="890"/>
        <v>645557</v>
      </c>
      <c r="H2028" s="2">
        <f t="shared" si="891"/>
        <v>0.33187309563679118</v>
      </c>
      <c r="I2028" s="2">
        <f t="shared" si="892"/>
        <v>0.66812690436320887</v>
      </c>
      <c r="J2028" s="3">
        <v>159009</v>
      </c>
      <c r="K2028" s="3">
        <v>390474</v>
      </c>
      <c r="L2028" s="1">
        <f t="shared" si="880"/>
        <v>549483</v>
      </c>
      <c r="M2028" s="2">
        <f t="shared" si="881"/>
        <v>0.28937928925917633</v>
      </c>
      <c r="N2028" s="2">
        <f t="shared" si="882"/>
        <v>0.71062071074082367</v>
      </c>
      <c r="O2028" s="5">
        <f t="shared" si="883"/>
        <v>851.17658084413927</v>
      </c>
    </row>
    <row r="2029" spans="1:15" x14ac:dyDescent="0.35">
      <c r="A2029" t="s">
        <v>35</v>
      </c>
      <c r="B2029" t="s">
        <v>29</v>
      </c>
      <c r="C2029">
        <v>2010</v>
      </c>
      <c r="D2029" t="s">
        <v>18</v>
      </c>
      <c r="E2029" s="3">
        <v>218471</v>
      </c>
      <c r="F2029" s="3">
        <v>442466</v>
      </c>
      <c r="G2029" s="1">
        <f t="shared" si="890"/>
        <v>660937</v>
      </c>
      <c r="H2029" s="2">
        <f t="shared" si="891"/>
        <v>0.33054738953939633</v>
      </c>
      <c r="I2029" s="2">
        <f t="shared" si="892"/>
        <v>0.66945261046060367</v>
      </c>
      <c r="J2029" s="3">
        <v>168138</v>
      </c>
      <c r="K2029" s="3">
        <v>407900</v>
      </c>
      <c r="L2029" s="1">
        <f t="shared" si="880"/>
        <v>576038</v>
      </c>
      <c r="M2029" s="2">
        <f t="shared" si="881"/>
        <v>0.29188699356639664</v>
      </c>
      <c r="N2029" s="2">
        <f t="shared" si="882"/>
        <v>0.70811300643360331</v>
      </c>
      <c r="O2029" s="5">
        <f t="shared" si="883"/>
        <v>871.54751511868756</v>
      </c>
    </row>
    <row r="2030" spans="1:15" x14ac:dyDescent="0.35">
      <c r="A2030" t="s">
        <v>35</v>
      </c>
      <c r="B2030" t="s">
        <v>17</v>
      </c>
      <c r="C2030">
        <v>2011</v>
      </c>
      <c r="D2030" t="s">
        <v>18</v>
      </c>
      <c r="E2030" s="3">
        <v>201247</v>
      </c>
      <c r="F2030" s="3">
        <v>413201</v>
      </c>
      <c r="G2030" s="1">
        <f>SUM(E2030:F2030)</f>
        <v>614448</v>
      </c>
      <c r="H2030" s="2">
        <f>SUM(E2030)/G2030</f>
        <v>0.32752486784886597</v>
      </c>
      <c r="I2030" s="2">
        <f>SUM(F2030/G2030)</f>
        <v>0.67247513215113408</v>
      </c>
      <c r="J2030" s="3">
        <v>179975</v>
      </c>
      <c r="K2030" s="3">
        <v>438376</v>
      </c>
      <c r="L2030" s="1">
        <f t="shared" si="880"/>
        <v>618351</v>
      </c>
      <c r="M2030" s="2">
        <f t="shared" si="881"/>
        <v>0.29105637413055047</v>
      </c>
      <c r="N2030" s="2">
        <f t="shared" si="882"/>
        <v>0.70894362586944959</v>
      </c>
      <c r="O2030" s="5">
        <f t="shared" si="883"/>
        <v>1006.3520428091556</v>
      </c>
    </row>
    <row r="2031" spans="1:15" x14ac:dyDescent="0.35">
      <c r="A2031" t="s">
        <v>35</v>
      </c>
      <c r="B2031" t="s">
        <v>19</v>
      </c>
      <c r="C2031">
        <v>2011</v>
      </c>
      <c r="D2031" t="s">
        <v>18</v>
      </c>
      <c r="E2031" s="3">
        <v>219442</v>
      </c>
      <c r="F2031" s="3">
        <v>452525</v>
      </c>
      <c r="G2031" s="1">
        <f t="shared" ref="G2031:G2041" si="893">SUM(E2031:F2031)</f>
        <v>671967</v>
      </c>
      <c r="H2031" s="2">
        <f t="shared" ref="H2031:H2041" si="894">SUM(E2031)/G2031</f>
        <v>0.32656663199234487</v>
      </c>
      <c r="I2031" s="2">
        <f t="shared" ref="I2031:I2041" si="895">SUM(F2031/G2031)</f>
        <v>0.67343336800765519</v>
      </c>
      <c r="J2031" s="3">
        <v>219249</v>
      </c>
      <c r="K2031" s="3">
        <v>537035</v>
      </c>
      <c r="L2031" s="1">
        <f t="shared" si="880"/>
        <v>756284</v>
      </c>
      <c r="M2031" s="2">
        <f t="shared" si="881"/>
        <v>0.28990299940234093</v>
      </c>
      <c r="N2031" s="2">
        <f t="shared" si="882"/>
        <v>0.71009700059765912</v>
      </c>
      <c r="O2031" s="5">
        <f t="shared" si="883"/>
        <v>1125.4778880510501</v>
      </c>
    </row>
    <row r="2032" spans="1:15" x14ac:dyDescent="0.35">
      <c r="A2032" t="s">
        <v>35</v>
      </c>
      <c r="B2032" t="s">
        <v>20</v>
      </c>
      <c r="C2032">
        <v>2011</v>
      </c>
      <c r="D2032" t="s">
        <v>18</v>
      </c>
      <c r="E2032" s="3">
        <v>219400</v>
      </c>
      <c r="F2032" s="3">
        <v>456685</v>
      </c>
      <c r="G2032" s="1">
        <f t="shared" si="893"/>
        <v>676085</v>
      </c>
      <c r="H2032" s="2">
        <f t="shared" si="894"/>
        <v>0.32451540856549105</v>
      </c>
      <c r="I2032" s="2">
        <f t="shared" si="895"/>
        <v>0.67548459143450901</v>
      </c>
      <c r="J2032" s="3">
        <v>154299</v>
      </c>
      <c r="K2032" s="3">
        <v>388855</v>
      </c>
      <c r="L2032" s="1">
        <f t="shared" si="880"/>
        <v>543154</v>
      </c>
      <c r="M2032" s="2">
        <f t="shared" si="881"/>
        <v>0.28407965328433554</v>
      </c>
      <c r="N2032" s="2">
        <f t="shared" si="882"/>
        <v>0.7159203467156644</v>
      </c>
      <c r="O2032" s="5">
        <f t="shared" si="883"/>
        <v>803.38123164986655</v>
      </c>
    </row>
    <row r="2033" spans="1:15" x14ac:dyDescent="0.35">
      <c r="A2033" t="s">
        <v>35</v>
      </c>
      <c r="B2033" t="s">
        <v>21</v>
      </c>
      <c r="C2033">
        <v>2011</v>
      </c>
      <c r="D2033" t="s">
        <v>18</v>
      </c>
      <c r="E2033" s="3">
        <v>209641</v>
      </c>
      <c r="F2033" s="3">
        <v>439240</v>
      </c>
      <c r="G2033" s="1">
        <f t="shared" si="893"/>
        <v>648881</v>
      </c>
      <c r="H2033" s="2">
        <f t="shared" si="894"/>
        <v>0.3230808114276732</v>
      </c>
      <c r="I2033" s="2">
        <f t="shared" si="895"/>
        <v>0.6769191885723268</v>
      </c>
      <c r="J2033" s="3">
        <v>162116</v>
      </c>
      <c r="K2033" s="3">
        <v>412454</v>
      </c>
      <c r="L2033" s="1">
        <f t="shared" si="880"/>
        <v>574570</v>
      </c>
      <c r="M2033" s="2">
        <f t="shared" si="881"/>
        <v>0.28215187009415738</v>
      </c>
      <c r="N2033" s="2">
        <f t="shared" si="882"/>
        <v>0.71784812990584268</v>
      </c>
      <c r="O2033" s="5">
        <f t="shared" si="883"/>
        <v>885.47823098534241</v>
      </c>
    </row>
    <row r="2034" spans="1:15" x14ac:dyDescent="0.35">
      <c r="A2034" t="s">
        <v>35</v>
      </c>
      <c r="B2034" t="s">
        <v>22</v>
      </c>
      <c r="C2034">
        <v>2011</v>
      </c>
      <c r="D2034" t="s">
        <v>18</v>
      </c>
      <c r="E2034" s="3">
        <v>197658</v>
      </c>
      <c r="F2034" s="3">
        <v>419109</v>
      </c>
      <c r="G2034" s="1">
        <f t="shared" si="893"/>
        <v>616767</v>
      </c>
      <c r="H2034" s="2">
        <f t="shared" si="894"/>
        <v>0.32047434444449852</v>
      </c>
      <c r="I2034" s="2">
        <f t="shared" si="895"/>
        <v>0.67952565555550148</v>
      </c>
      <c r="J2034" s="3">
        <v>189252</v>
      </c>
      <c r="K2034" s="3">
        <v>483119</v>
      </c>
      <c r="L2034" s="1">
        <f t="shared" si="880"/>
        <v>672371</v>
      </c>
      <c r="M2034" s="2">
        <f t="shared" si="881"/>
        <v>0.28146960532206178</v>
      </c>
      <c r="N2034" s="2">
        <f t="shared" si="882"/>
        <v>0.71853039467793822</v>
      </c>
      <c r="O2034" s="5">
        <f t="shared" si="883"/>
        <v>1090.1539803523858</v>
      </c>
    </row>
    <row r="2035" spans="1:15" x14ac:dyDescent="0.35">
      <c r="A2035" t="s">
        <v>35</v>
      </c>
      <c r="B2035" t="s">
        <v>23</v>
      </c>
      <c r="C2035">
        <v>2011</v>
      </c>
      <c r="D2035" t="s">
        <v>18</v>
      </c>
      <c r="E2035" s="3">
        <v>216549</v>
      </c>
      <c r="F2035" s="3">
        <v>461890</v>
      </c>
      <c r="G2035" s="1">
        <f t="shared" si="893"/>
        <v>678439</v>
      </c>
      <c r="H2035" s="2">
        <f t="shared" si="894"/>
        <v>0.31918713399436061</v>
      </c>
      <c r="I2035" s="2">
        <f t="shared" si="895"/>
        <v>0.68081286600563939</v>
      </c>
      <c r="J2035" s="3">
        <v>265103</v>
      </c>
      <c r="K2035" s="3">
        <v>673582</v>
      </c>
      <c r="L2035" s="1">
        <f t="shared" si="880"/>
        <v>938685</v>
      </c>
      <c r="M2035" s="2">
        <f t="shared" si="881"/>
        <v>0.28241955501579336</v>
      </c>
      <c r="N2035" s="2">
        <f t="shared" si="882"/>
        <v>0.71758044498420659</v>
      </c>
      <c r="O2035" s="5">
        <f t="shared" si="883"/>
        <v>1383.5952827004344</v>
      </c>
    </row>
    <row r="2036" spans="1:15" x14ac:dyDescent="0.35">
      <c r="A2036" t="s">
        <v>35</v>
      </c>
      <c r="B2036" t="s">
        <v>24</v>
      </c>
      <c r="C2036">
        <v>2011</v>
      </c>
      <c r="D2036" t="s">
        <v>18</v>
      </c>
      <c r="E2036" s="3">
        <v>206897</v>
      </c>
      <c r="F2036" s="3">
        <v>445416</v>
      </c>
      <c r="G2036" s="1">
        <f t="shared" si="893"/>
        <v>652313</v>
      </c>
      <c r="H2036" s="2">
        <f t="shared" si="894"/>
        <v>0.31717442393452222</v>
      </c>
      <c r="I2036" s="2">
        <f t="shared" si="895"/>
        <v>0.68282557606547778</v>
      </c>
      <c r="J2036" s="3">
        <v>277755</v>
      </c>
      <c r="K2036" s="3">
        <v>702834</v>
      </c>
      <c r="L2036" s="1">
        <f t="shared" si="880"/>
        <v>980589</v>
      </c>
      <c r="M2036" s="2">
        <f t="shared" si="881"/>
        <v>0.28325322841679845</v>
      </c>
      <c r="N2036" s="2">
        <f t="shared" si="882"/>
        <v>0.71674677158320155</v>
      </c>
      <c r="O2036" s="5">
        <f t="shared" si="883"/>
        <v>1503.2492070524427</v>
      </c>
    </row>
    <row r="2037" spans="1:15" x14ac:dyDescent="0.35">
      <c r="A2037" t="s">
        <v>35</v>
      </c>
      <c r="B2037" t="s">
        <v>25</v>
      </c>
      <c r="C2037">
        <v>2011</v>
      </c>
      <c r="D2037" t="s">
        <v>18</v>
      </c>
      <c r="E2037" s="3">
        <v>214864</v>
      </c>
      <c r="F2037" s="3">
        <v>465789</v>
      </c>
      <c r="G2037" s="1">
        <f t="shared" si="893"/>
        <v>680653</v>
      </c>
      <c r="H2037" s="2">
        <f t="shared" si="894"/>
        <v>0.3156733313450466</v>
      </c>
      <c r="I2037" s="2">
        <f t="shared" si="895"/>
        <v>0.6843266686549534</v>
      </c>
      <c r="J2037" s="3">
        <v>301068</v>
      </c>
      <c r="K2037" s="3">
        <v>764843</v>
      </c>
      <c r="L2037" s="1">
        <f t="shared" si="880"/>
        <v>1065911</v>
      </c>
      <c r="M2037" s="2">
        <f t="shared" si="881"/>
        <v>0.28245134912764763</v>
      </c>
      <c r="N2037" s="2">
        <f t="shared" si="882"/>
        <v>0.71754865087235242</v>
      </c>
      <c r="O2037" s="5">
        <f t="shared" si="883"/>
        <v>1566.0123440284551</v>
      </c>
    </row>
    <row r="2038" spans="1:15" x14ac:dyDescent="0.35">
      <c r="A2038" t="s">
        <v>35</v>
      </c>
      <c r="B2038" t="s">
        <v>26</v>
      </c>
      <c r="C2038">
        <v>2011</v>
      </c>
      <c r="D2038" t="s">
        <v>18</v>
      </c>
      <c r="E2038" s="3">
        <v>200590</v>
      </c>
      <c r="F2038" s="3">
        <v>438496</v>
      </c>
      <c r="G2038" s="1">
        <f t="shared" si="893"/>
        <v>639086</v>
      </c>
      <c r="H2038" s="2">
        <f t="shared" si="894"/>
        <v>0.31387012076621923</v>
      </c>
      <c r="I2038" s="2">
        <f t="shared" si="895"/>
        <v>0.68612987923378077</v>
      </c>
      <c r="J2038" s="3">
        <v>275412</v>
      </c>
      <c r="K2038" s="3">
        <v>708832</v>
      </c>
      <c r="L2038" s="1">
        <f t="shared" si="880"/>
        <v>984244</v>
      </c>
      <c r="M2038" s="2">
        <f t="shared" si="881"/>
        <v>0.27982085742966173</v>
      </c>
      <c r="N2038" s="2">
        <f t="shared" si="882"/>
        <v>0.72017914257033822</v>
      </c>
      <c r="O2038" s="5">
        <f t="shared" si="883"/>
        <v>1540.0806777178659</v>
      </c>
    </row>
    <row r="2039" spans="1:15" x14ac:dyDescent="0.35">
      <c r="A2039" t="s">
        <v>35</v>
      </c>
      <c r="B2039" t="s">
        <v>27</v>
      </c>
      <c r="C2039">
        <v>2011</v>
      </c>
      <c r="D2039" t="s">
        <v>18</v>
      </c>
      <c r="E2039" s="3">
        <v>195726</v>
      </c>
      <c r="F2039" s="3">
        <v>428251</v>
      </c>
      <c r="G2039" s="1">
        <f t="shared" si="893"/>
        <v>623977</v>
      </c>
      <c r="H2039" s="2">
        <f t="shared" si="894"/>
        <v>0.31367502327810159</v>
      </c>
      <c r="I2039" s="2">
        <f t="shared" si="895"/>
        <v>0.68632497672189841</v>
      </c>
      <c r="J2039" s="3">
        <v>212086</v>
      </c>
      <c r="K2039" s="3">
        <v>550564</v>
      </c>
      <c r="L2039" s="1">
        <f t="shared" si="880"/>
        <v>762650</v>
      </c>
      <c r="M2039" s="2">
        <f t="shared" si="881"/>
        <v>0.27809086737035338</v>
      </c>
      <c r="N2039" s="2">
        <f t="shared" si="882"/>
        <v>0.72190913262964662</v>
      </c>
      <c r="O2039" s="5">
        <f t="shared" si="883"/>
        <v>1222.240563354098</v>
      </c>
    </row>
    <row r="2040" spans="1:15" x14ac:dyDescent="0.35">
      <c r="A2040" t="s">
        <v>35</v>
      </c>
      <c r="B2040" t="s">
        <v>28</v>
      </c>
      <c r="C2040">
        <v>2011</v>
      </c>
      <c r="D2040" t="s">
        <v>18</v>
      </c>
      <c r="E2040" s="3">
        <v>202080</v>
      </c>
      <c r="F2040" s="3">
        <v>450585</v>
      </c>
      <c r="G2040" s="1">
        <f t="shared" si="893"/>
        <v>652665</v>
      </c>
      <c r="H2040" s="2">
        <f t="shared" si="894"/>
        <v>0.3096228539909448</v>
      </c>
      <c r="I2040" s="2">
        <f t="shared" si="895"/>
        <v>0.6903771460090552</v>
      </c>
      <c r="J2040" s="3">
        <v>154789</v>
      </c>
      <c r="K2040" s="3">
        <v>414673</v>
      </c>
      <c r="L2040" s="1">
        <f t="shared" si="880"/>
        <v>569462</v>
      </c>
      <c r="M2040" s="2">
        <f t="shared" si="881"/>
        <v>0.27181620547112889</v>
      </c>
      <c r="N2040" s="2">
        <f t="shared" si="882"/>
        <v>0.72818379452887116</v>
      </c>
      <c r="O2040" s="5">
        <f t="shared" si="883"/>
        <v>872.51806056705971</v>
      </c>
    </row>
    <row r="2041" spans="1:15" x14ac:dyDescent="0.35">
      <c r="A2041" t="s">
        <v>35</v>
      </c>
      <c r="B2041" t="s">
        <v>29</v>
      </c>
      <c r="C2041">
        <v>2011</v>
      </c>
      <c r="D2041" t="s">
        <v>18</v>
      </c>
      <c r="E2041" s="3">
        <v>183003</v>
      </c>
      <c r="F2041" s="3">
        <v>406128</v>
      </c>
      <c r="G2041" s="1">
        <f t="shared" si="893"/>
        <v>589131</v>
      </c>
      <c r="H2041" s="2">
        <f t="shared" si="894"/>
        <v>0.31063210050056778</v>
      </c>
      <c r="I2041" s="2">
        <f t="shared" si="895"/>
        <v>0.68936789949943222</v>
      </c>
      <c r="J2041" s="3">
        <v>150853</v>
      </c>
      <c r="K2041" s="3">
        <v>399383</v>
      </c>
      <c r="L2041" s="1">
        <f t="shared" si="880"/>
        <v>550236</v>
      </c>
      <c r="M2041" s="2">
        <f t="shared" si="881"/>
        <v>0.27416054202196877</v>
      </c>
      <c r="N2041" s="2">
        <f t="shared" si="882"/>
        <v>0.72583945797803129</v>
      </c>
      <c r="O2041" s="5">
        <f t="shared" si="883"/>
        <v>933.97903013081975</v>
      </c>
    </row>
    <row r="2042" spans="1:15" x14ac:dyDescent="0.35">
      <c r="A2042" t="s">
        <v>35</v>
      </c>
      <c r="B2042" t="s">
        <v>17</v>
      </c>
      <c r="C2042">
        <v>2012</v>
      </c>
      <c r="D2042" t="s">
        <v>18</v>
      </c>
      <c r="E2042" s="3">
        <v>193140</v>
      </c>
      <c r="F2042" s="3">
        <v>432263</v>
      </c>
      <c r="G2042" s="1">
        <f>SUM(E2042:F2042)</f>
        <v>625403</v>
      </c>
      <c r="H2042" s="2">
        <f>SUM(E2042)/G2042</f>
        <v>0.30882486972400197</v>
      </c>
      <c r="I2042" s="2">
        <f>SUM(F2042/G2042)</f>
        <v>0.69117513027599808</v>
      </c>
      <c r="J2042" s="3">
        <v>178401</v>
      </c>
      <c r="K2042" s="3">
        <v>465378</v>
      </c>
      <c r="L2042" s="1">
        <f t="shared" si="880"/>
        <v>643779</v>
      </c>
      <c r="M2042" s="2">
        <f t="shared" si="881"/>
        <v>0.2771152833503423</v>
      </c>
      <c r="N2042" s="2">
        <f t="shared" si="882"/>
        <v>0.7228847166496577</v>
      </c>
      <c r="O2042" s="5">
        <f t="shared" si="883"/>
        <v>1029.3826540646592</v>
      </c>
    </row>
    <row r="2043" spans="1:15" x14ac:dyDescent="0.35">
      <c r="A2043" t="s">
        <v>35</v>
      </c>
      <c r="B2043" t="s">
        <v>19</v>
      </c>
      <c r="C2043">
        <v>2012</v>
      </c>
      <c r="D2043" t="s">
        <v>18</v>
      </c>
      <c r="E2043" s="3">
        <v>201227</v>
      </c>
      <c r="F2043" s="3">
        <v>451979</v>
      </c>
      <c r="G2043" s="1">
        <f t="shared" ref="G2043:G2053" si="896">SUM(E2043:F2043)</f>
        <v>653206</v>
      </c>
      <c r="H2043" s="2">
        <f t="shared" ref="H2043:H2053" si="897">SUM(E2043)/G2043</f>
        <v>0.30806055057669401</v>
      </c>
      <c r="I2043" s="2">
        <f t="shared" ref="I2043:I2053" si="898">SUM(F2043/G2043)</f>
        <v>0.69193944942330599</v>
      </c>
      <c r="J2043" s="3">
        <v>144254</v>
      </c>
      <c r="K2043" s="3">
        <v>379308</v>
      </c>
      <c r="L2043" s="1">
        <f t="shared" si="880"/>
        <v>523562</v>
      </c>
      <c r="M2043" s="2">
        <f t="shared" si="881"/>
        <v>0.27552419770724385</v>
      </c>
      <c r="N2043" s="2">
        <f t="shared" si="882"/>
        <v>0.72447580229275621</v>
      </c>
      <c r="O2043" s="5">
        <f t="shared" si="883"/>
        <v>801.52662406652723</v>
      </c>
    </row>
    <row r="2044" spans="1:15" x14ac:dyDescent="0.35">
      <c r="A2044" t="s">
        <v>35</v>
      </c>
      <c r="B2044" t="s">
        <v>20</v>
      </c>
      <c r="C2044">
        <v>2012</v>
      </c>
      <c r="D2044" t="s">
        <v>18</v>
      </c>
      <c r="E2044" s="3">
        <v>209184</v>
      </c>
      <c r="F2044" s="3">
        <v>478403</v>
      </c>
      <c r="G2044" s="1">
        <f t="shared" si="896"/>
        <v>687587</v>
      </c>
      <c r="H2044" s="2">
        <f t="shared" si="897"/>
        <v>0.30422913754913922</v>
      </c>
      <c r="I2044" s="2">
        <f t="shared" si="898"/>
        <v>0.69577086245086073</v>
      </c>
      <c r="J2044" s="3">
        <v>147171</v>
      </c>
      <c r="K2044" s="3">
        <v>397585</v>
      </c>
      <c r="L2044" s="1">
        <f t="shared" si="880"/>
        <v>544756</v>
      </c>
      <c r="M2044" s="2">
        <f t="shared" si="881"/>
        <v>0.27015948424615793</v>
      </c>
      <c r="N2044" s="2">
        <f t="shared" si="882"/>
        <v>0.72984051575384212</v>
      </c>
      <c r="O2044" s="5">
        <f t="shared" si="883"/>
        <v>792.27210520268704</v>
      </c>
    </row>
    <row r="2045" spans="1:15" x14ac:dyDescent="0.35">
      <c r="A2045" t="s">
        <v>35</v>
      </c>
      <c r="B2045" t="s">
        <v>21</v>
      </c>
      <c r="C2045">
        <v>2012</v>
      </c>
      <c r="D2045" t="s">
        <v>18</v>
      </c>
      <c r="E2045" s="3">
        <v>207657</v>
      </c>
      <c r="F2045" s="3">
        <v>480279</v>
      </c>
      <c r="G2045" s="1">
        <f t="shared" si="896"/>
        <v>687936</v>
      </c>
      <c r="H2045" s="2">
        <f t="shared" si="897"/>
        <v>0.30185511442924923</v>
      </c>
      <c r="I2045" s="2">
        <f t="shared" si="898"/>
        <v>0.69814488557075072</v>
      </c>
      <c r="J2045" s="3">
        <v>171290</v>
      </c>
      <c r="K2045" s="3">
        <v>474317</v>
      </c>
      <c r="L2045" s="1">
        <f t="shared" si="880"/>
        <v>645607</v>
      </c>
      <c r="M2045" s="2">
        <f t="shared" si="881"/>
        <v>0.26531620629887842</v>
      </c>
      <c r="N2045" s="2">
        <f t="shared" si="882"/>
        <v>0.73468379370112158</v>
      </c>
      <c r="O2045" s="5">
        <f t="shared" si="883"/>
        <v>938.46956693645916</v>
      </c>
    </row>
    <row r="2046" spans="1:15" x14ac:dyDescent="0.35">
      <c r="A2046" t="s">
        <v>35</v>
      </c>
      <c r="B2046" t="s">
        <v>22</v>
      </c>
      <c r="C2046">
        <v>2012</v>
      </c>
      <c r="D2046" t="s">
        <v>18</v>
      </c>
      <c r="E2046" s="3">
        <v>206389</v>
      </c>
      <c r="F2046" s="3">
        <v>484445</v>
      </c>
      <c r="G2046" s="1">
        <f t="shared" si="896"/>
        <v>690834</v>
      </c>
      <c r="H2046" s="2">
        <f t="shared" si="897"/>
        <v>0.29875339082905589</v>
      </c>
      <c r="I2046" s="2">
        <f t="shared" si="898"/>
        <v>0.70124660917094406</v>
      </c>
      <c r="J2046" s="3">
        <v>191442</v>
      </c>
      <c r="K2046" s="3">
        <v>533532</v>
      </c>
      <c r="L2046" s="1">
        <f t="shared" si="880"/>
        <v>724974</v>
      </c>
      <c r="M2046" s="2">
        <f t="shared" si="881"/>
        <v>0.26406740103783033</v>
      </c>
      <c r="N2046" s="2">
        <f t="shared" si="882"/>
        <v>0.73593259896216967</v>
      </c>
      <c r="O2046" s="5">
        <f t="shared" si="883"/>
        <v>1049.4185289085367</v>
      </c>
    </row>
    <row r="2047" spans="1:15" x14ac:dyDescent="0.35">
      <c r="A2047" t="s">
        <v>35</v>
      </c>
      <c r="B2047" t="s">
        <v>23</v>
      </c>
      <c r="C2047">
        <v>2012</v>
      </c>
      <c r="D2047" t="s">
        <v>18</v>
      </c>
      <c r="E2047" s="3">
        <v>202713</v>
      </c>
      <c r="F2047" s="3">
        <v>479457</v>
      </c>
      <c r="G2047" s="1">
        <f t="shared" si="896"/>
        <v>682170</v>
      </c>
      <c r="H2047" s="2">
        <f t="shared" si="897"/>
        <v>0.29715906592198427</v>
      </c>
      <c r="I2047" s="2">
        <f t="shared" si="898"/>
        <v>0.70284093407801573</v>
      </c>
      <c r="J2047" s="3">
        <v>243222</v>
      </c>
      <c r="K2047" s="3">
        <v>674927</v>
      </c>
      <c r="L2047" s="1">
        <f t="shared" si="880"/>
        <v>918149</v>
      </c>
      <c r="M2047" s="2">
        <f t="shared" si="881"/>
        <v>0.26490471590123171</v>
      </c>
      <c r="N2047" s="2">
        <f t="shared" si="882"/>
        <v>0.73509528409876823</v>
      </c>
      <c r="O2047" s="5">
        <f t="shared" si="883"/>
        <v>1345.9240365304836</v>
      </c>
    </row>
    <row r="2048" spans="1:15" x14ac:dyDescent="0.35">
      <c r="A2048" t="s">
        <v>35</v>
      </c>
      <c r="B2048" t="s">
        <v>24</v>
      </c>
      <c r="C2048">
        <v>2012</v>
      </c>
      <c r="D2048" t="s">
        <v>18</v>
      </c>
      <c r="E2048" s="3">
        <v>203750</v>
      </c>
      <c r="F2048" s="3">
        <v>489745</v>
      </c>
      <c r="G2048" s="1">
        <f t="shared" si="896"/>
        <v>693495</v>
      </c>
      <c r="H2048" s="2">
        <f t="shared" si="897"/>
        <v>0.29380168566464071</v>
      </c>
      <c r="I2048" s="2">
        <f t="shared" si="898"/>
        <v>0.70619831433535929</v>
      </c>
      <c r="J2048" s="3">
        <v>271034</v>
      </c>
      <c r="K2048" s="3">
        <v>753546</v>
      </c>
      <c r="L2048" s="1">
        <f t="shared" si="880"/>
        <v>1024580</v>
      </c>
      <c r="M2048" s="2">
        <f t="shared" si="881"/>
        <v>0.2645318081555369</v>
      </c>
      <c r="N2048" s="2">
        <f t="shared" si="882"/>
        <v>0.7354681918444631</v>
      </c>
      <c r="O2048" s="5">
        <f t="shared" si="883"/>
        <v>1477.4151219547366</v>
      </c>
    </row>
    <row r="2049" spans="1:15" x14ac:dyDescent="0.35">
      <c r="A2049" t="s">
        <v>35</v>
      </c>
      <c r="B2049" t="s">
        <v>25</v>
      </c>
      <c r="C2049">
        <v>2012</v>
      </c>
      <c r="D2049" t="s">
        <v>18</v>
      </c>
      <c r="E2049" s="3">
        <v>202509</v>
      </c>
      <c r="F2049" s="3">
        <v>490721</v>
      </c>
      <c r="G2049" s="1">
        <f t="shared" si="896"/>
        <v>693230</v>
      </c>
      <c r="H2049" s="2">
        <f t="shared" si="897"/>
        <v>0.29212382614716614</v>
      </c>
      <c r="I2049" s="2">
        <f t="shared" si="898"/>
        <v>0.70787617385283386</v>
      </c>
      <c r="J2049" s="3">
        <v>276441</v>
      </c>
      <c r="K2049" s="3">
        <v>769292</v>
      </c>
      <c r="L2049" s="1">
        <f t="shared" si="880"/>
        <v>1045733</v>
      </c>
      <c r="M2049" s="2">
        <f t="shared" si="881"/>
        <v>0.26435141666180562</v>
      </c>
      <c r="N2049" s="2">
        <f t="shared" si="882"/>
        <v>0.73564858333819438</v>
      </c>
      <c r="O2049" s="5">
        <f t="shared" si="883"/>
        <v>1508.4935735614442</v>
      </c>
    </row>
    <row r="2050" spans="1:15" x14ac:dyDescent="0.35">
      <c r="A2050" t="s">
        <v>35</v>
      </c>
      <c r="B2050" t="s">
        <v>26</v>
      </c>
      <c r="C2050">
        <v>2012</v>
      </c>
      <c r="D2050" t="s">
        <v>18</v>
      </c>
      <c r="E2050" s="3">
        <v>201782</v>
      </c>
      <c r="F2050" s="3">
        <v>490202</v>
      </c>
      <c r="G2050" s="1">
        <f t="shared" si="896"/>
        <v>691984</v>
      </c>
      <c r="H2050" s="2">
        <f t="shared" si="897"/>
        <v>0.29159922772780872</v>
      </c>
      <c r="I2050" s="2">
        <f t="shared" si="898"/>
        <v>0.70840077227219123</v>
      </c>
      <c r="J2050" s="3">
        <v>274489</v>
      </c>
      <c r="K2050" s="3">
        <v>773894</v>
      </c>
      <c r="L2050" s="1">
        <f t="shared" si="880"/>
        <v>1048383</v>
      </c>
      <c r="M2050" s="2">
        <f t="shared" si="881"/>
        <v>0.26182130004015708</v>
      </c>
      <c r="N2050" s="2">
        <f t="shared" si="882"/>
        <v>0.73817869995984287</v>
      </c>
      <c r="O2050" s="5">
        <f t="shared" si="883"/>
        <v>1515.0393650720248</v>
      </c>
    </row>
    <row r="2051" spans="1:15" x14ac:dyDescent="0.35">
      <c r="A2051" t="s">
        <v>35</v>
      </c>
      <c r="B2051" t="s">
        <v>27</v>
      </c>
      <c r="C2051">
        <v>2012</v>
      </c>
      <c r="D2051" t="s">
        <v>18</v>
      </c>
      <c r="E2051" s="3">
        <v>201182</v>
      </c>
      <c r="F2051" s="3">
        <v>492922</v>
      </c>
      <c r="G2051" s="1">
        <f t="shared" si="896"/>
        <v>694104</v>
      </c>
      <c r="H2051" s="2">
        <f t="shared" si="897"/>
        <v>0.28984417320747324</v>
      </c>
      <c r="I2051" s="2">
        <f t="shared" si="898"/>
        <v>0.71015582679252676</v>
      </c>
      <c r="J2051" s="3">
        <v>208126</v>
      </c>
      <c r="K2051" s="3">
        <v>600165</v>
      </c>
      <c r="L2051" s="1">
        <f t="shared" ref="L2051:L2114" si="899">SUM(J2051:K2051)</f>
        <v>808291</v>
      </c>
      <c r="M2051" s="2">
        <f t="shared" ref="M2051:M2114" si="900">SUM(J2051)/L2051</f>
        <v>0.25748894890577773</v>
      </c>
      <c r="N2051" s="2">
        <f t="shared" ref="N2051:N2114" si="901">SUM(K2051/L2051)</f>
        <v>0.74251105109422222</v>
      </c>
      <c r="O2051" s="5">
        <f t="shared" ref="O2051:O2113" si="902">SUM(1000*L2051)/G2051</f>
        <v>1164.5099293477635</v>
      </c>
    </row>
    <row r="2052" spans="1:15" x14ac:dyDescent="0.35">
      <c r="A2052" t="s">
        <v>35</v>
      </c>
      <c r="B2052" t="s">
        <v>28</v>
      </c>
      <c r="C2052">
        <v>2012</v>
      </c>
      <c r="D2052" t="s">
        <v>18</v>
      </c>
      <c r="E2052" s="3">
        <v>200780</v>
      </c>
      <c r="F2052" s="3">
        <v>494424</v>
      </c>
      <c r="G2052" s="1">
        <f t="shared" si="896"/>
        <v>695204</v>
      </c>
      <c r="H2052" s="2">
        <f t="shared" si="897"/>
        <v>0.28880731411211674</v>
      </c>
      <c r="I2052" s="2">
        <f t="shared" si="898"/>
        <v>0.71119268588788331</v>
      </c>
      <c r="J2052" s="3">
        <v>169058</v>
      </c>
      <c r="K2052" s="3">
        <v>492997</v>
      </c>
      <c r="L2052" s="1">
        <f t="shared" si="899"/>
        <v>662055</v>
      </c>
      <c r="M2052" s="2">
        <f t="shared" si="900"/>
        <v>0.25535340719426636</v>
      </c>
      <c r="N2052" s="2">
        <f t="shared" si="901"/>
        <v>0.74464659280573364</v>
      </c>
      <c r="O2052" s="5">
        <f t="shared" si="902"/>
        <v>952.3175931093607</v>
      </c>
    </row>
    <row r="2053" spans="1:15" x14ac:dyDescent="0.35">
      <c r="A2053" t="s">
        <v>35</v>
      </c>
      <c r="B2053" t="s">
        <v>29</v>
      </c>
      <c r="C2053">
        <v>2012</v>
      </c>
      <c r="D2053" t="s">
        <v>18</v>
      </c>
      <c r="E2053" s="3">
        <v>199726</v>
      </c>
      <c r="F2053" s="3">
        <v>494015</v>
      </c>
      <c r="G2053" s="1">
        <f t="shared" si="896"/>
        <v>693741</v>
      </c>
      <c r="H2053" s="2">
        <f t="shared" si="897"/>
        <v>0.28789706821421829</v>
      </c>
      <c r="I2053" s="2">
        <f t="shared" si="898"/>
        <v>0.71210293178578177</v>
      </c>
      <c r="J2053" s="3">
        <v>152074</v>
      </c>
      <c r="K2053" s="3">
        <v>444015</v>
      </c>
      <c r="L2053" s="1">
        <f t="shared" si="899"/>
        <v>596089</v>
      </c>
      <c r="M2053" s="2">
        <f t="shared" si="900"/>
        <v>0.25511962139881794</v>
      </c>
      <c r="N2053" s="2">
        <f t="shared" si="901"/>
        <v>0.74488037860118206</v>
      </c>
      <c r="O2053" s="5">
        <f t="shared" si="902"/>
        <v>859.23853426566973</v>
      </c>
    </row>
    <row r="2054" spans="1:15" x14ac:dyDescent="0.35">
      <c r="A2054" t="s">
        <v>35</v>
      </c>
      <c r="B2054" t="s">
        <v>17</v>
      </c>
      <c r="C2054">
        <v>2013</v>
      </c>
      <c r="D2054" t="s">
        <v>18</v>
      </c>
      <c r="E2054" s="3">
        <v>198299</v>
      </c>
      <c r="F2054" s="3">
        <v>497831</v>
      </c>
      <c r="G2054" s="1">
        <f>SUM(E2054:F2054)</f>
        <v>696130</v>
      </c>
      <c r="H2054" s="2">
        <f>SUM(E2054)/G2054</f>
        <v>0.28485914987143207</v>
      </c>
      <c r="I2054" s="2">
        <f>SUM(F2054/G2054)</f>
        <v>0.71514085012856798</v>
      </c>
      <c r="J2054" s="3">
        <v>198206</v>
      </c>
      <c r="K2054" s="3">
        <v>571689</v>
      </c>
      <c r="L2054" s="1">
        <f t="shared" si="899"/>
        <v>769895</v>
      </c>
      <c r="M2054" s="2">
        <f t="shared" si="900"/>
        <v>0.25744549581436432</v>
      </c>
      <c r="N2054" s="2">
        <f t="shared" si="901"/>
        <v>0.74255450418563573</v>
      </c>
      <c r="O2054" s="5">
        <f t="shared" si="902"/>
        <v>1105.9644032005517</v>
      </c>
    </row>
    <row r="2055" spans="1:15" x14ac:dyDescent="0.35">
      <c r="A2055" t="s">
        <v>35</v>
      </c>
      <c r="B2055" t="s">
        <v>19</v>
      </c>
      <c r="C2055">
        <v>2013</v>
      </c>
      <c r="D2055" t="s">
        <v>18</v>
      </c>
      <c r="E2055" s="3">
        <v>197249</v>
      </c>
      <c r="F2055" s="3">
        <v>497423</v>
      </c>
      <c r="G2055" s="1">
        <f t="shared" ref="G2055:G2065" si="903">SUM(E2055:F2055)</f>
        <v>694672</v>
      </c>
      <c r="H2055" s="2">
        <f t="shared" ref="H2055:H2065" si="904">SUM(E2055)/G2055</f>
        <v>0.28394551673307689</v>
      </c>
      <c r="I2055" s="2">
        <f t="shared" ref="I2055:I2065" si="905">SUM(F2055/G2055)</f>
        <v>0.71605448326692311</v>
      </c>
      <c r="J2055" s="3">
        <v>143525</v>
      </c>
      <c r="K2055" s="3">
        <v>422933</v>
      </c>
      <c r="L2055" s="1">
        <f t="shared" si="899"/>
        <v>566458</v>
      </c>
      <c r="M2055" s="2">
        <f t="shared" si="900"/>
        <v>0.25337271254002947</v>
      </c>
      <c r="N2055" s="2">
        <f t="shared" si="901"/>
        <v>0.74662728745997053</v>
      </c>
      <c r="O2055" s="5">
        <f t="shared" si="902"/>
        <v>815.43231913766499</v>
      </c>
    </row>
    <row r="2056" spans="1:15" x14ac:dyDescent="0.35">
      <c r="A2056" t="s">
        <v>35</v>
      </c>
      <c r="B2056" t="s">
        <v>20</v>
      </c>
      <c r="C2056">
        <v>2013</v>
      </c>
      <c r="D2056" t="s">
        <v>18</v>
      </c>
      <c r="E2056" s="3">
        <v>195686</v>
      </c>
      <c r="F2056" s="3">
        <v>498035</v>
      </c>
      <c r="G2056" s="1">
        <f t="shared" si="903"/>
        <v>693721</v>
      </c>
      <c r="H2056" s="2">
        <f t="shared" si="904"/>
        <v>0.28208170143328515</v>
      </c>
      <c r="I2056" s="2">
        <f t="shared" si="905"/>
        <v>0.71791829856671485</v>
      </c>
      <c r="J2056" s="3">
        <v>126374</v>
      </c>
      <c r="K2056" s="3">
        <v>374953</v>
      </c>
      <c r="L2056" s="1">
        <f t="shared" si="899"/>
        <v>501327</v>
      </c>
      <c r="M2056" s="2">
        <f t="shared" si="900"/>
        <v>0.25207898238076148</v>
      </c>
      <c r="N2056" s="2">
        <f t="shared" si="901"/>
        <v>0.74792101761923857</v>
      </c>
      <c r="O2056" s="5">
        <f t="shared" si="902"/>
        <v>722.6637221591966</v>
      </c>
    </row>
    <row r="2057" spans="1:15" x14ac:dyDescent="0.35">
      <c r="A2057" t="s">
        <v>35</v>
      </c>
      <c r="B2057" t="s">
        <v>21</v>
      </c>
      <c r="C2057">
        <v>2013</v>
      </c>
      <c r="D2057" t="s">
        <v>18</v>
      </c>
      <c r="E2057" s="3">
        <v>195270</v>
      </c>
      <c r="F2057" s="3">
        <v>501125</v>
      </c>
      <c r="G2057" s="1">
        <f t="shared" si="903"/>
        <v>696395</v>
      </c>
      <c r="H2057" s="2">
        <f t="shared" si="904"/>
        <v>0.28040120908392507</v>
      </c>
      <c r="I2057" s="2">
        <f t="shared" si="905"/>
        <v>0.71959879091607493</v>
      </c>
      <c r="J2057" s="3">
        <v>143411</v>
      </c>
      <c r="K2057" s="3">
        <v>433065</v>
      </c>
      <c r="L2057" s="1">
        <f t="shared" si="899"/>
        <v>576476</v>
      </c>
      <c r="M2057" s="2">
        <f t="shared" si="900"/>
        <v>0.24877184826428161</v>
      </c>
      <c r="N2057" s="2">
        <f t="shared" si="901"/>
        <v>0.75122815173571844</v>
      </c>
      <c r="O2057" s="5">
        <f t="shared" si="902"/>
        <v>827.80031447669785</v>
      </c>
    </row>
    <row r="2058" spans="1:15" x14ac:dyDescent="0.35">
      <c r="A2058" t="s">
        <v>35</v>
      </c>
      <c r="B2058" t="s">
        <v>22</v>
      </c>
      <c r="C2058">
        <v>2013</v>
      </c>
      <c r="D2058" t="s">
        <v>18</v>
      </c>
      <c r="E2058" s="3">
        <v>194446</v>
      </c>
      <c r="F2058" s="3">
        <v>502176</v>
      </c>
      <c r="G2058" s="1">
        <f t="shared" si="903"/>
        <v>696622</v>
      </c>
      <c r="H2058" s="2">
        <f t="shared" si="904"/>
        <v>0.27912698708912437</v>
      </c>
      <c r="I2058" s="2">
        <f t="shared" si="905"/>
        <v>0.72087301291087558</v>
      </c>
      <c r="J2058" s="3">
        <v>150187</v>
      </c>
      <c r="K2058" s="3">
        <v>458392</v>
      </c>
      <c r="L2058" s="1">
        <f t="shared" si="899"/>
        <v>608579</v>
      </c>
      <c r="M2058" s="2">
        <f t="shared" si="900"/>
        <v>0.24678307992881779</v>
      </c>
      <c r="N2058" s="2">
        <f t="shared" si="901"/>
        <v>0.75321692007118224</v>
      </c>
      <c r="O2058" s="5">
        <f t="shared" si="902"/>
        <v>873.61438484572693</v>
      </c>
    </row>
    <row r="2059" spans="1:15" x14ac:dyDescent="0.35">
      <c r="A2059" t="s">
        <v>35</v>
      </c>
      <c r="B2059" t="s">
        <v>23</v>
      </c>
      <c r="C2059">
        <v>2013</v>
      </c>
      <c r="D2059" t="s">
        <v>18</v>
      </c>
      <c r="E2059" s="3">
        <v>193226</v>
      </c>
      <c r="F2059" s="3">
        <v>503640</v>
      </c>
      <c r="G2059" s="1">
        <f t="shared" si="903"/>
        <v>696866</v>
      </c>
      <c r="H2059" s="2">
        <f t="shared" si="904"/>
        <v>0.27727855857510625</v>
      </c>
      <c r="I2059" s="2">
        <f t="shared" si="905"/>
        <v>0.7227214414248937</v>
      </c>
      <c r="J2059" s="3">
        <v>222767</v>
      </c>
      <c r="K2059" s="3">
        <v>675614</v>
      </c>
      <c r="L2059" s="1">
        <f t="shared" si="899"/>
        <v>898381</v>
      </c>
      <c r="M2059" s="2">
        <f t="shared" si="900"/>
        <v>0.24796495028278648</v>
      </c>
      <c r="N2059" s="2">
        <f t="shared" si="901"/>
        <v>0.75203504971721347</v>
      </c>
      <c r="O2059" s="5">
        <f t="shared" si="902"/>
        <v>1289.1732413405159</v>
      </c>
    </row>
    <row r="2060" spans="1:15" x14ac:dyDescent="0.35">
      <c r="A2060" t="s">
        <v>35</v>
      </c>
      <c r="B2060" t="s">
        <v>24</v>
      </c>
      <c r="C2060">
        <v>2013</v>
      </c>
      <c r="D2060" t="s">
        <v>18</v>
      </c>
      <c r="E2060" s="3">
        <v>193793</v>
      </c>
      <c r="F2060" s="3">
        <v>507139</v>
      </c>
      <c r="G2060" s="1">
        <f t="shared" si="903"/>
        <v>700932</v>
      </c>
      <c r="H2060" s="2">
        <f t="shared" si="904"/>
        <v>0.27647903077616659</v>
      </c>
      <c r="I2060" s="2">
        <f t="shared" si="905"/>
        <v>0.72352096922383347</v>
      </c>
      <c r="J2060" s="3">
        <v>255408</v>
      </c>
      <c r="K2060" s="3">
        <v>768182</v>
      </c>
      <c r="L2060" s="1">
        <f t="shared" si="899"/>
        <v>1023590</v>
      </c>
      <c r="M2060" s="2">
        <f t="shared" si="900"/>
        <v>0.24952178118191853</v>
      </c>
      <c r="N2060" s="2">
        <f t="shared" si="901"/>
        <v>0.75047821881808141</v>
      </c>
      <c r="O2060" s="5">
        <f t="shared" si="902"/>
        <v>1460.3271073370884</v>
      </c>
    </row>
    <row r="2061" spans="1:15" x14ac:dyDescent="0.35">
      <c r="A2061" t="s">
        <v>35</v>
      </c>
      <c r="B2061" t="s">
        <v>25</v>
      </c>
      <c r="C2061">
        <v>2013</v>
      </c>
      <c r="D2061" t="s">
        <v>18</v>
      </c>
      <c r="E2061" s="3">
        <v>193046</v>
      </c>
      <c r="F2061" s="3">
        <v>507981</v>
      </c>
      <c r="G2061" s="1">
        <f t="shared" si="903"/>
        <v>701027</v>
      </c>
      <c r="H2061" s="2">
        <f t="shared" si="904"/>
        <v>0.27537598409191089</v>
      </c>
      <c r="I2061" s="2">
        <f t="shared" si="905"/>
        <v>0.72462401590808911</v>
      </c>
      <c r="J2061" s="3">
        <v>259912</v>
      </c>
      <c r="K2061" s="3">
        <v>779537</v>
      </c>
      <c r="L2061" s="1">
        <f t="shared" si="899"/>
        <v>1039449</v>
      </c>
      <c r="M2061" s="2">
        <f t="shared" si="900"/>
        <v>0.25004786189606226</v>
      </c>
      <c r="N2061" s="2">
        <f t="shared" si="901"/>
        <v>0.74995213810393779</v>
      </c>
      <c r="O2061" s="5">
        <f t="shared" si="902"/>
        <v>1482.7517342413346</v>
      </c>
    </row>
    <row r="2062" spans="1:15" x14ac:dyDescent="0.35">
      <c r="A2062" t="s">
        <v>35</v>
      </c>
      <c r="B2062" t="s">
        <v>26</v>
      </c>
      <c r="C2062">
        <v>2013</v>
      </c>
      <c r="D2062" t="s">
        <v>18</v>
      </c>
      <c r="E2062" s="3">
        <v>192587</v>
      </c>
      <c r="F2062" s="3">
        <v>507739</v>
      </c>
      <c r="G2062" s="1">
        <f t="shared" si="903"/>
        <v>700326</v>
      </c>
      <c r="H2062" s="2">
        <f t="shared" si="904"/>
        <v>0.27499621604795482</v>
      </c>
      <c r="I2062" s="2">
        <f t="shared" si="905"/>
        <v>0.72500378395204523</v>
      </c>
      <c r="J2062" s="3">
        <v>243888</v>
      </c>
      <c r="K2062" s="3">
        <v>739282</v>
      </c>
      <c r="L2062" s="1">
        <f t="shared" si="899"/>
        <v>983170</v>
      </c>
      <c r="M2062" s="2">
        <f t="shared" si="900"/>
        <v>0.2480628985831545</v>
      </c>
      <c r="N2062" s="2">
        <f t="shared" si="901"/>
        <v>0.75193710141684555</v>
      </c>
      <c r="O2062" s="5">
        <f t="shared" si="902"/>
        <v>1403.8747668942749</v>
      </c>
    </row>
    <row r="2063" spans="1:15" x14ac:dyDescent="0.35">
      <c r="A2063" t="s">
        <v>35</v>
      </c>
      <c r="B2063" t="s">
        <v>27</v>
      </c>
      <c r="C2063">
        <v>2013</v>
      </c>
      <c r="D2063" t="s">
        <v>18</v>
      </c>
      <c r="E2063" s="3">
        <v>192070</v>
      </c>
      <c r="F2063" s="3">
        <v>507019</v>
      </c>
      <c r="G2063" s="1">
        <f t="shared" si="903"/>
        <v>699089</v>
      </c>
      <c r="H2063" s="2">
        <f t="shared" si="904"/>
        <v>0.27474327303104468</v>
      </c>
      <c r="I2063" s="2">
        <f t="shared" si="905"/>
        <v>0.72525672696895527</v>
      </c>
      <c r="J2063" s="3">
        <v>198617</v>
      </c>
      <c r="K2063" s="3">
        <v>611351</v>
      </c>
      <c r="L2063" s="1">
        <f t="shared" si="899"/>
        <v>809968</v>
      </c>
      <c r="M2063" s="2">
        <f t="shared" si="900"/>
        <v>0.24521586037966933</v>
      </c>
      <c r="N2063" s="2">
        <f t="shared" si="901"/>
        <v>0.75478413962033064</v>
      </c>
      <c r="O2063" s="5">
        <f t="shared" si="902"/>
        <v>1158.6049844869538</v>
      </c>
    </row>
    <row r="2064" spans="1:15" x14ac:dyDescent="0.35">
      <c r="A2064" t="s">
        <v>35</v>
      </c>
      <c r="B2064" t="s">
        <v>28</v>
      </c>
      <c r="C2064">
        <v>2013</v>
      </c>
      <c r="D2064" t="s">
        <v>18</v>
      </c>
      <c r="E2064" s="3">
        <v>191911</v>
      </c>
      <c r="F2064" s="3">
        <v>507294</v>
      </c>
      <c r="G2064" s="1">
        <f t="shared" si="903"/>
        <v>699205</v>
      </c>
      <c r="H2064" s="2">
        <f t="shared" si="904"/>
        <v>0.27447029125935885</v>
      </c>
      <c r="I2064" s="2">
        <f t="shared" si="905"/>
        <v>0.72552970874064115</v>
      </c>
      <c r="J2064" s="3">
        <v>152206</v>
      </c>
      <c r="K2064" s="3">
        <v>472266</v>
      </c>
      <c r="L2064" s="1">
        <f t="shared" si="899"/>
        <v>624472</v>
      </c>
      <c r="M2064" s="2">
        <f t="shared" si="900"/>
        <v>0.24373550775695307</v>
      </c>
      <c r="N2064" s="2">
        <f t="shared" si="901"/>
        <v>0.75626449224304693</v>
      </c>
      <c r="O2064" s="5">
        <f t="shared" si="902"/>
        <v>893.11718308650541</v>
      </c>
    </row>
    <row r="2065" spans="1:15" x14ac:dyDescent="0.35">
      <c r="A2065" t="s">
        <v>35</v>
      </c>
      <c r="B2065" t="s">
        <v>29</v>
      </c>
      <c r="C2065">
        <v>2013</v>
      </c>
      <c r="D2065" t="s">
        <v>18</v>
      </c>
      <c r="E2065" s="3">
        <v>190592</v>
      </c>
      <c r="F2065" s="3">
        <v>503627</v>
      </c>
      <c r="G2065" s="1">
        <f t="shared" si="903"/>
        <v>694219</v>
      </c>
      <c r="H2065" s="2">
        <f t="shared" si="904"/>
        <v>0.27454160718735732</v>
      </c>
      <c r="I2065" s="2">
        <f t="shared" si="905"/>
        <v>0.72545839281264268</v>
      </c>
      <c r="J2065" s="3">
        <v>194951</v>
      </c>
      <c r="K2065" s="3">
        <v>588977</v>
      </c>
      <c r="L2065" s="1">
        <f t="shared" si="899"/>
        <v>783928</v>
      </c>
      <c r="M2065" s="2">
        <f t="shared" si="900"/>
        <v>0.24868482819850804</v>
      </c>
      <c r="N2065" s="2">
        <f t="shared" si="901"/>
        <v>0.75131517180149199</v>
      </c>
      <c r="O2065" s="5">
        <f t="shared" si="902"/>
        <v>1129.222910925803</v>
      </c>
    </row>
    <row r="2066" spans="1:15" x14ac:dyDescent="0.35">
      <c r="A2066" t="s">
        <v>35</v>
      </c>
      <c r="B2066" t="s">
        <v>17</v>
      </c>
      <c r="C2066">
        <v>2014</v>
      </c>
      <c r="D2066" t="s">
        <v>18</v>
      </c>
      <c r="E2066" s="3">
        <v>183343</v>
      </c>
      <c r="F2066" s="3">
        <v>487817</v>
      </c>
      <c r="G2066" s="1">
        <f>SUM(E2066:F2066)</f>
        <v>671160</v>
      </c>
      <c r="H2066" s="2">
        <f>SUM(E2066)/G2066</f>
        <v>0.27317331187794269</v>
      </c>
      <c r="I2066" s="2">
        <f>SUM(F2066/G2066)</f>
        <v>0.72682668812205731</v>
      </c>
      <c r="J2066" s="3">
        <v>212169</v>
      </c>
      <c r="K2066" s="3">
        <v>634233</v>
      </c>
      <c r="L2066" s="1">
        <f t="shared" si="899"/>
        <v>846402</v>
      </c>
      <c r="M2066" s="2">
        <f t="shared" si="900"/>
        <v>0.25067166665485197</v>
      </c>
      <c r="N2066" s="2">
        <f t="shared" si="901"/>
        <v>0.74932833334514803</v>
      </c>
      <c r="O2066" s="5">
        <f t="shared" si="902"/>
        <v>1261.1031646701233</v>
      </c>
    </row>
    <row r="2067" spans="1:15" x14ac:dyDescent="0.35">
      <c r="A2067" t="s">
        <v>35</v>
      </c>
      <c r="B2067" t="s">
        <v>19</v>
      </c>
      <c r="C2067">
        <v>2014</v>
      </c>
      <c r="D2067" t="s">
        <v>18</v>
      </c>
      <c r="E2067" s="3">
        <v>182647</v>
      </c>
      <c r="F2067" s="3">
        <v>490538</v>
      </c>
      <c r="G2067" s="1">
        <f t="shared" ref="G2067:G2077" si="906">SUM(E2067:F2067)</f>
        <v>673185</v>
      </c>
      <c r="H2067" s="2">
        <f t="shared" ref="H2067:H2077" si="907">SUM(E2067)/G2067</f>
        <v>0.27131769127357264</v>
      </c>
      <c r="I2067" s="2">
        <f t="shared" ref="I2067:I2077" si="908">SUM(F2067/G2067)</f>
        <v>0.72868230872642736</v>
      </c>
      <c r="J2067" s="3">
        <v>192629</v>
      </c>
      <c r="K2067" s="3">
        <v>587292</v>
      </c>
      <c r="L2067" s="1">
        <f t="shared" si="899"/>
        <v>779921</v>
      </c>
      <c r="M2067" s="2">
        <f t="shared" si="900"/>
        <v>0.24698527158519901</v>
      </c>
      <c r="N2067" s="2">
        <f t="shared" si="901"/>
        <v>0.75301472841480099</v>
      </c>
      <c r="O2067" s="5">
        <f t="shared" si="902"/>
        <v>1158.5537407993345</v>
      </c>
    </row>
    <row r="2068" spans="1:15" x14ac:dyDescent="0.35">
      <c r="A2068" t="s">
        <v>35</v>
      </c>
      <c r="B2068" t="s">
        <v>20</v>
      </c>
      <c r="C2068">
        <v>2014</v>
      </c>
      <c r="D2068" t="s">
        <v>18</v>
      </c>
      <c r="E2068" s="3">
        <v>180683</v>
      </c>
      <c r="F2068" s="3">
        <v>487267</v>
      </c>
      <c r="G2068" s="1">
        <f t="shared" si="906"/>
        <v>667950</v>
      </c>
      <c r="H2068" s="2">
        <f t="shared" si="907"/>
        <v>0.27050378022307059</v>
      </c>
      <c r="I2068" s="2">
        <f t="shared" si="908"/>
        <v>0.72949621977692936</v>
      </c>
      <c r="J2068" s="3">
        <v>149969</v>
      </c>
      <c r="K2068" s="3">
        <v>464710</v>
      </c>
      <c r="L2068" s="1">
        <f t="shared" si="899"/>
        <v>614679</v>
      </c>
      <c r="M2068" s="2">
        <f t="shared" si="900"/>
        <v>0.24397937785413198</v>
      </c>
      <c r="N2068" s="2">
        <f t="shared" si="901"/>
        <v>0.75602062214586796</v>
      </c>
      <c r="O2068" s="5">
        <f t="shared" si="902"/>
        <v>920.24702447788013</v>
      </c>
    </row>
    <row r="2069" spans="1:15" x14ac:dyDescent="0.35">
      <c r="A2069" t="s">
        <v>35</v>
      </c>
      <c r="B2069" t="s">
        <v>21</v>
      </c>
      <c r="C2069">
        <v>2014</v>
      </c>
      <c r="D2069" t="s">
        <v>18</v>
      </c>
      <c r="E2069" s="3">
        <v>188422</v>
      </c>
      <c r="F2069" s="3">
        <v>515422</v>
      </c>
      <c r="G2069" s="1">
        <f t="shared" si="906"/>
        <v>703844</v>
      </c>
      <c r="H2069" s="2">
        <f t="shared" si="907"/>
        <v>0.26770420718227333</v>
      </c>
      <c r="I2069" s="2">
        <f t="shared" si="908"/>
        <v>0.73229579281772661</v>
      </c>
      <c r="J2069" s="3">
        <v>131919</v>
      </c>
      <c r="K2069" s="3">
        <v>416973</v>
      </c>
      <c r="L2069" s="1">
        <f t="shared" si="899"/>
        <v>548892</v>
      </c>
      <c r="M2069" s="2">
        <f t="shared" si="900"/>
        <v>0.24033689687588816</v>
      </c>
      <c r="N2069" s="2">
        <f t="shared" si="901"/>
        <v>0.75966310312411189</v>
      </c>
      <c r="O2069" s="5">
        <f t="shared" si="902"/>
        <v>779.84894380004664</v>
      </c>
    </row>
    <row r="2070" spans="1:15" x14ac:dyDescent="0.35">
      <c r="A2070" t="s">
        <v>35</v>
      </c>
      <c r="B2070" t="s">
        <v>22</v>
      </c>
      <c r="C2070">
        <v>2014</v>
      </c>
      <c r="D2070" t="s">
        <v>18</v>
      </c>
      <c r="E2070" s="3">
        <v>187833</v>
      </c>
      <c r="F2070" s="3">
        <v>517432</v>
      </c>
      <c r="G2070" s="1">
        <f t="shared" si="906"/>
        <v>705265</v>
      </c>
      <c r="H2070" s="2">
        <f t="shared" si="907"/>
        <v>0.26632967749711101</v>
      </c>
      <c r="I2070" s="2">
        <f t="shared" si="908"/>
        <v>0.73367032250288899</v>
      </c>
      <c r="J2070" s="3">
        <v>156688</v>
      </c>
      <c r="K2070" s="3">
        <v>499633</v>
      </c>
      <c r="L2070" s="1">
        <f t="shared" si="899"/>
        <v>656321</v>
      </c>
      <c r="M2070" s="2">
        <f t="shared" si="900"/>
        <v>0.23873683761452094</v>
      </c>
      <c r="N2070" s="2">
        <f t="shared" si="901"/>
        <v>0.76126316238547909</v>
      </c>
      <c r="O2070" s="5">
        <f t="shared" si="902"/>
        <v>930.60197230828123</v>
      </c>
    </row>
    <row r="2071" spans="1:15" x14ac:dyDescent="0.35">
      <c r="A2071" t="s">
        <v>35</v>
      </c>
      <c r="B2071" t="s">
        <v>23</v>
      </c>
      <c r="C2071">
        <v>2014</v>
      </c>
      <c r="D2071" t="s">
        <v>18</v>
      </c>
      <c r="E2071" s="3">
        <v>187304</v>
      </c>
      <c r="F2071" s="3">
        <v>517677</v>
      </c>
      <c r="G2071" s="1">
        <f t="shared" si="906"/>
        <v>704981</v>
      </c>
      <c r="H2071" s="2">
        <f t="shared" si="907"/>
        <v>0.26568659297200919</v>
      </c>
      <c r="I2071" s="2">
        <f t="shared" si="908"/>
        <v>0.73431340702799086</v>
      </c>
      <c r="J2071" s="3">
        <v>209853</v>
      </c>
      <c r="K2071" s="3">
        <v>664980</v>
      </c>
      <c r="L2071" s="1">
        <f t="shared" si="899"/>
        <v>874833</v>
      </c>
      <c r="M2071" s="2">
        <f t="shared" si="900"/>
        <v>0.23987778238818153</v>
      </c>
      <c r="N2071" s="2">
        <f t="shared" si="901"/>
        <v>0.76012221761181853</v>
      </c>
      <c r="O2071" s="5">
        <f t="shared" si="902"/>
        <v>1240.931315879435</v>
      </c>
    </row>
    <row r="2072" spans="1:15" x14ac:dyDescent="0.35">
      <c r="A2072" t="s">
        <v>35</v>
      </c>
      <c r="B2072" t="s">
        <v>24</v>
      </c>
      <c r="C2072">
        <v>2014</v>
      </c>
      <c r="D2072" t="s">
        <v>18</v>
      </c>
      <c r="E2072" s="3">
        <v>187334</v>
      </c>
      <c r="F2072" s="3">
        <v>519461</v>
      </c>
      <c r="G2072" s="1">
        <f t="shared" si="906"/>
        <v>706795</v>
      </c>
      <c r="H2072" s="2">
        <f t="shared" si="907"/>
        <v>0.26504714945634872</v>
      </c>
      <c r="I2072" s="2">
        <f t="shared" si="908"/>
        <v>0.73495285054365123</v>
      </c>
      <c r="J2072" s="3">
        <v>247991</v>
      </c>
      <c r="K2072" s="3">
        <v>776232</v>
      </c>
      <c r="L2072" s="1">
        <f t="shared" si="899"/>
        <v>1024223</v>
      </c>
      <c r="M2072" s="2">
        <f t="shared" si="900"/>
        <v>0.24212598233001992</v>
      </c>
      <c r="N2072" s="2">
        <f t="shared" si="901"/>
        <v>0.75787401766998008</v>
      </c>
      <c r="O2072" s="5">
        <f t="shared" si="902"/>
        <v>1449.1090061474686</v>
      </c>
    </row>
    <row r="2073" spans="1:15" x14ac:dyDescent="0.35">
      <c r="A2073" t="s">
        <v>35</v>
      </c>
      <c r="B2073" t="s">
        <v>25</v>
      </c>
      <c r="C2073">
        <v>2014</v>
      </c>
      <c r="D2073" t="s">
        <v>18</v>
      </c>
      <c r="E2073" s="3">
        <v>186735</v>
      </c>
      <c r="F2073" s="3">
        <v>521411</v>
      </c>
      <c r="G2073" s="1">
        <f t="shared" si="906"/>
        <v>708146</v>
      </c>
      <c r="H2073" s="2">
        <f t="shared" si="907"/>
        <v>0.2636956220892302</v>
      </c>
      <c r="I2073" s="2">
        <f t="shared" si="908"/>
        <v>0.73630437791076986</v>
      </c>
      <c r="J2073" s="3">
        <v>256575</v>
      </c>
      <c r="K2073" s="3">
        <v>803481</v>
      </c>
      <c r="L2073" s="1">
        <f t="shared" si="899"/>
        <v>1060056</v>
      </c>
      <c r="M2073" s="2">
        <f t="shared" si="900"/>
        <v>0.24203909982114152</v>
      </c>
      <c r="N2073" s="2">
        <f t="shared" si="901"/>
        <v>0.75796090017885842</v>
      </c>
      <c r="O2073" s="5">
        <f t="shared" si="902"/>
        <v>1496.9455451276997</v>
      </c>
    </row>
    <row r="2074" spans="1:15" x14ac:dyDescent="0.35">
      <c r="A2074" t="s">
        <v>35</v>
      </c>
      <c r="B2074" t="s">
        <v>26</v>
      </c>
      <c r="C2074">
        <v>2014</v>
      </c>
      <c r="D2074" t="s">
        <v>18</v>
      </c>
      <c r="E2074" s="3">
        <v>183373</v>
      </c>
      <c r="F2074" s="3">
        <v>517644</v>
      </c>
      <c r="G2074" s="1">
        <f t="shared" si="906"/>
        <v>701017</v>
      </c>
      <c r="H2074" s="2">
        <f t="shared" si="907"/>
        <v>0.26158138818316817</v>
      </c>
      <c r="I2074" s="2">
        <f t="shared" si="908"/>
        <v>0.73841861181683188</v>
      </c>
      <c r="J2074" s="3">
        <v>250251</v>
      </c>
      <c r="K2074" s="3">
        <v>790177</v>
      </c>
      <c r="L2074" s="1">
        <f t="shared" si="899"/>
        <v>1040428</v>
      </c>
      <c r="M2074" s="2">
        <f t="shared" si="900"/>
        <v>0.24052697543703169</v>
      </c>
      <c r="N2074" s="2">
        <f t="shared" si="901"/>
        <v>0.75947302456296828</v>
      </c>
      <c r="O2074" s="5">
        <f t="shared" si="902"/>
        <v>1484.1694281308442</v>
      </c>
    </row>
    <row r="2075" spans="1:15" x14ac:dyDescent="0.35">
      <c r="A2075" t="s">
        <v>35</v>
      </c>
      <c r="B2075" t="s">
        <v>27</v>
      </c>
      <c r="C2075">
        <v>2014</v>
      </c>
      <c r="D2075" t="s">
        <v>18</v>
      </c>
      <c r="E2075" s="3">
        <v>184619</v>
      </c>
      <c r="F2075" s="3">
        <v>525015</v>
      </c>
      <c r="G2075" s="1">
        <f t="shared" si="906"/>
        <v>709634</v>
      </c>
      <c r="H2075" s="2">
        <f t="shared" si="907"/>
        <v>0.26016087166060253</v>
      </c>
      <c r="I2075" s="2">
        <f t="shared" si="908"/>
        <v>0.73983912833939747</v>
      </c>
      <c r="J2075" s="3">
        <v>190486</v>
      </c>
      <c r="K2075" s="3">
        <v>623956</v>
      </c>
      <c r="L2075" s="1">
        <f t="shared" si="899"/>
        <v>814442</v>
      </c>
      <c r="M2075" s="2">
        <f t="shared" si="900"/>
        <v>0.23388528587671067</v>
      </c>
      <c r="N2075" s="2">
        <f t="shared" si="901"/>
        <v>0.76611471412328935</v>
      </c>
      <c r="O2075" s="5">
        <f t="shared" si="902"/>
        <v>1147.6930361284831</v>
      </c>
    </row>
    <row r="2076" spans="1:15" x14ac:dyDescent="0.35">
      <c r="A2076" t="s">
        <v>35</v>
      </c>
      <c r="B2076" t="s">
        <v>28</v>
      </c>
      <c r="C2076">
        <v>2014</v>
      </c>
      <c r="D2076" t="s">
        <v>18</v>
      </c>
      <c r="E2076" s="3">
        <v>183254</v>
      </c>
      <c r="F2076" s="3">
        <v>525720</v>
      </c>
      <c r="G2076" s="1">
        <f t="shared" si="906"/>
        <v>708974</v>
      </c>
      <c r="H2076" s="2">
        <f t="shared" si="907"/>
        <v>0.25847774389469852</v>
      </c>
      <c r="I2076" s="2">
        <f t="shared" si="908"/>
        <v>0.74152225610530142</v>
      </c>
      <c r="J2076" s="3">
        <v>150413</v>
      </c>
      <c r="K2076" s="3">
        <v>498662</v>
      </c>
      <c r="L2076" s="1">
        <f t="shared" si="899"/>
        <v>649075</v>
      </c>
      <c r="M2076" s="2">
        <f t="shared" si="900"/>
        <v>0.23173439124908524</v>
      </c>
      <c r="N2076" s="2">
        <f t="shared" si="901"/>
        <v>0.76826560875091476</v>
      </c>
      <c r="O2076" s="5">
        <f t="shared" si="902"/>
        <v>915.51312177879583</v>
      </c>
    </row>
    <row r="2077" spans="1:15" x14ac:dyDescent="0.35">
      <c r="A2077" t="s">
        <v>35</v>
      </c>
      <c r="B2077" t="s">
        <v>29</v>
      </c>
      <c r="C2077">
        <v>2014</v>
      </c>
      <c r="D2077" t="s">
        <v>18</v>
      </c>
      <c r="E2077" s="3">
        <v>181748</v>
      </c>
      <c r="F2077" s="3">
        <v>525998</v>
      </c>
      <c r="G2077" s="1">
        <f t="shared" si="906"/>
        <v>707746</v>
      </c>
      <c r="H2077" s="2">
        <f t="shared" si="907"/>
        <v>0.25679834290833153</v>
      </c>
      <c r="I2077" s="2">
        <f t="shared" si="908"/>
        <v>0.74320165709166852</v>
      </c>
      <c r="J2077" s="3">
        <v>149672</v>
      </c>
      <c r="K2077" s="3">
        <v>490866</v>
      </c>
      <c r="L2077" s="1">
        <f t="shared" si="899"/>
        <v>640538</v>
      </c>
      <c r="M2077" s="2">
        <f t="shared" si="900"/>
        <v>0.23366607445616028</v>
      </c>
      <c r="N2077" s="2">
        <f t="shared" si="901"/>
        <v>0.76633392554383972</v>
      </c>
      <c r="O2077" s="5">
        <f t="shared" si="902"/>
        <v>905.03937853410685</v>
      </c>
    </row>
    <row r="2078" spans="1:15" x14ac:dyDescent="0.35">
      <c r="A2078" t="s">
        <v>35</v>
      </c>
      <c r="B2078" t="s">
        <v>17</v>
      </c>
      <c r="C2078">
        <v>2015</v>
      </c>
      <c r="D2078" t="s">
        <v>18</v>
      </c>
      <c r="E2078" s="3">
        <v>181290</v>
      </c>
      <c r="F2078" s="3">
        <v>528606</v>
      </c>
      <c r="G2078" s="1">
        <f>SUM(E2078:F2078)</f>
        <v>709896</v>
      </c>
      <c r="H2078" s="2">
        <f>SUM(E2078)/G2078</f>
        <v>0.25537543527502621</v>
      </c>
      <c r="I2078" s="2">
        <f>SUM(F2078/G2078)</f>
        <v>0.74462456472497385</v>
      </c>
      <c r="J2078" s="3">
        <v>214545</v>
      </c>
      <c r="K2078" s="3">
        <v>694005</v>
      </c>
      <c r="L2078" s="1">
        <f t="shared" si="899"/>
        <v>908550</v>
      </c>
      <c r="M2078" s="2">
        <f t="shared" si="900"/>
        <v>0.23614000330196466</v>
      </c>
      <c r="N2078" s="2">
        <f t="shared" si="901"/>
        <v>0.76385999669803528</v>
      </c>
      <c r="O2078" s="5">
        <f t="shared" si="902"/>
        <v>1279.8353561648466</v>
      </c>
    </row>
    <row r="2079" spans="1:15" x14ac:dyDescent="0.35">
      <c r="A2079" t="s">
        <v>35</v>
      </c>
      <c r="B2079" t="s">
        <v>19</v>
      </c>
      <c r="C2079">
        <v>2015</v>
      </c>
      <c r="D2079" t="s">
        <v>18</v>
      </c>
      <c r="E2079" s="3">
        <v>179976</v>
      </c>
      <c r="F2079" s="3">
        <v>531343</v>
      </c>
      <c r="G2079" s="1">
        <f t="shared" ref="G2079:G2089" si="909">SUM(E2079:F2079)</f>
        <v>711319</v>
      </c>
      <c r="H2079" s="2">
        <f t="shared" ref="H2079:H2089" si="910">SUM(E2079)/G2079</f>
        <v>0.25301728197897144</v>
      </c>
      <c r="I2079" s="2">
        <f t="shared" ref="I2079:I2089" si="911">SUM(F2079/G2079)</f>
        <v>0.74698271802102856</v>
      </c>
      <c r="J2079" s="3">
        <v>166529</v>
      </c>
      <c r="K2079" s="3">
        <v>547736</v>
      </c>
      <c r="L2079" s="1">
        <f t="shared" si="899"/>
        <v>714265</v>
      </c>
      <c r="M2079" s="2">
        <f t="shared" si="900"/>
        <v>0.23314736127347693</v>
      </c>
      <c r="N2079" s="2">
        <f t="shared" si="901"/>
        <v>0.76685263872652309</v>
      </c>
      <c r="O2079" s="5">
        <f t="shared" si="902"/>
        <v>1004.1416017286197</v>
      </c>
    </row>
    <row r="2080" spans="1:15" x14ac:dyDescent="0.35">
      <c r="A2080" t="s">
        <v>35</v>
      </c>
      <c r="B2080" t="s">
        <v>20</v>
      </c>
      <c r="C2080">
        <v>2015</v>
      </c>
      <c r="D2080" t="s">
        <v>18</v>
      </c>
      <c r="E2080" s="3">
        <v>177518</v>
      </c>
      <c r="F2080" s="3">
        <v>531839</v>
      </c>
      <c r="G2080" s="1">
        <f t="shared" si="909"/>
        <v>709357</v>
      </c>
      <c r="H2080" s="2">
        <f t="shared" si="910"/>
        <v>0.25025198877293098</v>
      </c>
      <c r="I2080" s="2">
        <f t="shared" si="911"/>
        <v>0.74974801122706902</v>
      </c>
      <c r="J2080" s="3">
        <v>158766</v>
      </c>
      <c r="K2080" s="3">
        <v>531645</v>
      </c>
      <c r="L2080" s="1">
        <f t="shared" si="899"/>
        <v>690411</v>
      </c>
      <c r="M2080" s="2">
        <f t="shared" si="900"/>
        <v>0.229958676788174</v>
      </c>
      <c r="N2080" s="2">
        <f t="shared" si="901"/>
        <v>0.77004132321182595</v>
      </c>
      <c r="O2080" s="5">
        <f t="shared" si="902"/>
        <v>973.29130466041784</v>
      </c>
    </row>
    <row r="2081" spans="1:15" x14ac:dyDescent="0.35">
      <c r="A2081" t="s">
        <v>35</v>
      </c>
      <c r="B2081" t="s">
        <v>21</v>
      </c>
      <c r="C2081">
        <v>2015</v>
      </c>
      <c r="D2081" t="s">
        <v>18</v>
      </c>
      <c r="E2081" s="3">
        <v>176263</v>
      </c>
      <c r="F2081" s="3">
        <v>537569</v>
      </c>
      <c r="G2081" s="1">
        <f t="shared" si="909"/>
        <v>713832</v>
      </c>
      <c r="H2081" s="2">
        <f t="shared" si="910"/>
        <v>0.24692504678972083</v>
      </c>
      <c r="I2081" s="2">
        <f t="shared" si="911"/>
        <v>0.75307495321027917</v>
      </c>
      <c r="J2081" s="3">
        <v>129309</v>
      </c>
      <c r="K2081" s="3">
        <v>455270</v>
      </c>
      <c r="L2081" s="1">
        <f t="shared" si="899"/>
        <v>584579</v>
      </c>
      <c r="M2081" s="2">
        <f t="shared" si="900"/>
        <v>0.22120021417122407</v>
      </c>
      <c r="N2081" s="2">
        <f t="shared" si="901"/>
        <v>0.77879978582877596</v>
      </c>
      <c r="O2081" s="5">
        <f t="shared" si="902"/>
        <v>818.93078483452689</v>
      </c>
    </row>
    <row r="2082" spans="1:15" x14ac:dyDescent="0.35">
      <c r="A2082" t="s">
        <v>35</v>
      </c>
      <c r="B2082" t="s">
        <v>22</v>
      </c>
      <c r="C2082">
        <v>2015</v>
      </c>
      <c r="D2082" t="s">
        <v>18</v>
      </c>
      <c r="E2082" s="3">
        <v>174582</v>
      </c>
      <c r="F2082" s="3">
        <v>540997</v>
      </c>
      <c r="G2082" s="1">
        <f t="shared" si="909"/>
        <v>715579</v>
      </c>
      <c r="H2082" s="2">
        <f t="shared" si="910"/>
        <v>0.24397306237326696</v>
      </c>
      <c r="I2082" s="2">
        <f t="shared" si="911"/>
        <v>0.75602693762673301</v>
      </c>
      <c r="J2082" s="3">
        <v>146792</v>
      </c>
      <c r="K2082" s="3">
        <v>528452</v>
      </c>
      <c r="L2082" s="1">
        <f t="shared" si="899"/>
        <v>675244</v>
      </c>
      <c r="M2082" s="2">
        <f t="shared" si="900"/>
        <v>0.21739104679197446</v>
      </c>
      <c r="N2082" s="2">
        <f t="shared" si="901"/>
        <v>0.78260895320802559</v>
      </c>
      <c r="O2082" s="5">
        <f t="shared" si="902"/>
        <v>943.63305798521196</v>
      </c>
    </row>
    <row r="2083" spans="1:15" x14ac:dyDescent="0.35">
      <c r="A2083" t="s">
        <v>35</v>
      </c>
      <c r="B2083" t="s">
        <v>23</v>
      </c>
      <c r="C2083">
        <v>2015</v>
      </c>
      <c r="D2083" t="s">
        <v>18</v>
      </c>
      <c r="E2083" s="3">
        <v>173225</v>
      </c>
      <c r="F2083" s="3">
        <v>543022</v>
      </c>
      <c r="G2083" s="1">
        <f t="shared" si="909"/>
        <v>716247</v>
      </c>
      <c r="H2083" s="2">
        <f t="shared" si="910"/>
        <v>0.24185092572813569</v>
      </c>
      <c r="I2083" s="2">
        <f t="shared" si="911"/>
        <v>0.75814907427186429</v>
      </c>
      <c r="J2083" s="3">
        <v>192675</v>
      </c>
      <c r="K2083" s="3">
        <v>690167</v>
      </c>
      <c r="L2083" s="1">
        <f t="shared" si="899"/>
        <v>882842</v>
      </c>
      <c r="M2083" s="2">
        <f t="shared" si="900"/>
        <v>0.21824403460641881</v>
      </c>
      <c r="N2083" s="2">
        <f t="shared" si="901"/>
        <v>0.78175596539358116</v>
      </c>
      <c r="O2083" s="5">
        <f t="shared" si="902"/>
        <v>1232.5943424544885</v>
      </c>
    </row>
    <row r="2084" spans="1:15" x14ac:dyDescent="0.35">
      <c r="A2084" t="s">
        <v>35</v>
      </c>
      <c r="B2084" t="s">
        <v>24</v>
      </c>
      <c r="C2084">
        <v>2015</v>
      </c>
      <c r="D2084" t="s">
        <v>18</v>
      </c>
      <c r="E2084" s="3">
        <v>172331</v>
      </c>
      <c r="F2084" s="3">
        <v>547603</v>
      </c>
      <c r="G2084" s="1">
        <f t="shared" si="909"/>
        <v>719934</v>
      </c>
      <c r="H2084" s="2">
        <f t="shared" si="910"/>
        <v>0.23937055341184052</v>
      </c>
      <c r="I2084" s="2">
        <f t="shared" si="911"/>
        <v>0.76062944658815945</v>
      </c>
      <c r="J2084" s="3">
        <v>220477</v>
      </c>
      <c r="K2084" s="3">
        <v>785700</v>
      </c>
      <c r="L2084" s="1">
        <f t="shared" si="899"/>
        <v>1006177</v>
      </c>
      <c r="M2084" s="2">
        <f t="shared" si="900"/>
        <v>0.21912347429925352</v>
      </c>
      <c r="N2084" s="2">
        <f t="shared" si="901"/>
        <v>0.7808765257007465</v>
      </c>
      <c r="O2084" s="5">
        <f t="shared" si="902"/>
        <v>1397.5961685376715</v>
      </c>
    </row>
    <row r="2085" spans="1:15" x14ac:dyDescent="0.35">
      <c r="A2085" t="s">
        <v>35</v>
      </c>
      <c r="B2085" t="s">
        <v>25</v>
      </c>
      <c r="C2085">
        <v>2015</v>
      </c>
      <c r="D2085" t="s">
        <v>18</v>
      </c>
      <c r="E2085" s="3">
        <v>171054</v>
      </c>
      <c r="F2085" s="3">
        <v>548556</v>
      </c>
      <c r="G2085" s="1">
        <f t="shared" si="909"/>
        <v>719610</v>
      </c>
      <c r="H2085" s="2">
        <f t="shared" si="910"/>
        <v>0.23770375620127568</v>
      </c>
      <c r="I2085" s="2">
        <f t="shared" si="911"/>
        <v>0.76229624379872429</v>
      </c>
      <c r="J2085" s="3">
        <v>238456</v>
      </c>
      <c r="K2085" s="3">
        <v>849096</v>
      </c>
      <c r="L2085" s="1">
        <f t="shared" si="899"/>
        <v>1087552</v>
      </c>
      <c r="M2085" s="2">
        <f t="shared" si="900"/>
        <v>0.21925940092979462</v>
      </c>
      <c r="N2085" s="2">
        <f t="shared" si="901"/>
        <v>0.78074059907020543</v>
      </c>
      <c r="O2085" s="5">
        <f t="shared" si="902"/>
        <v>1511.307513792193</v>
      </c>
    </row>
    <row r="2086" spans="1:15" x14ac:dyDescent="0.35">
      <c r="A2086" t="s">
        <v>35</v>
      </c>
      <c r="B2086" t="s">
        <v>26</v>
      </c>
      <c r="C2086">
        <v>2015</v>
      </c>
      <c r="D2086" t="s">
        <v>18</v>
      </c>
      <c r="E2086" s="3">
        <v>168618</v>
      </c>
      <c r="F2086" s="3">
        <v>543936</v>
      </c>
      <c r="G2086" s="1">
        <f t="shared" si="909"/>
        <v>712554</v>
      </c>
      <c r="H2086" s="2">
        <f t="shared" si="910"/>
        <v>0.23663890736702062</v>
      </c>
      <c r="I2086" s="2">
        <f t="shared" si="911"/>
        <v>0.76336109263297935</v>
      </c>
      <c r="J2086" s="3">
        <v>223793</v>
      </c>
      <c r="K2086" s="3">
        <v>811412</v>
      </c>
      <c r="L2086" s="1">
        <f t="shared" si="899"/>
        <v>1035205</v>
      </c>
      <c r="M2086" s="2">
        <f t="shared" si="900"/>
        <v>0.21618230205611449</v>
      </c>
      <c r="N2086" s="2">
        <f t="shared" si="901"/>
        <v>0.78381769794388556</v>
      </c>
      <c r="O2086" s="5">
        <f t="shared" si="902"/>
        <v>1452.8091906016948</v>
      </c>
    </row>
    <row r="2087" spans="1:15" x14ac:dyDescent="0.35">
      <c r="A2087" t="s">
        <v>35</v>
      </c>
      <c r="B2087" t="s">
        <v>27</v>
      </c>
      <c r="C2087">
        <v>2015</v>
      </c>
      <c r="D2087" t="s">
        <v>18</v>
      </c>
      <c r="E2087" s="3">
        <v>167552</v>
      </c>
      <c r="F2087" s="3">
        <v>548567</v>
      </c>
      <c r="G2087" s="1">
        <f t="shared" si="909"/>
        <v>716119</v>
      </c>
      <c r="H2087" s="2">
        <f t="shared" si="910"/>
        <v>0.23397228672888165</v>
      </c>
      <c r="I2087" s="2">
        <f t="shared" si="911"/>
        <v>0.76602771327111829</v>
      </c>
      <c r="J2087" s="3">
        <v>180478</v>
      </c>
      <c r="K2087" s="3">
        <v>671393</v>
      </c>
      <c r="L2087" s="1">
        <f t="shared" si="899"/>
        <v>851871</v>
      </c>
      <c r="M2087" s="2">
        <f t="shared" si="900"/>
        <v>0.2118607160004273</v>
      </c>
      <c r="N2087" s="2">
        <f t="shared" si="901"/>
        <v>0.78813928399957267</v>
      </c>
      <c r="O2087" s="5">
        <f t="shared" si="902"/>
        <v>1189.566259239037</v>
      </c>
    </row>
    <row r="2088" spans="1:15" x14ac:dyDescent="0.35">
      <c r="A2088" t="s">
        <v>35</v>
      </c>
      <c r="B2088" t="s">
        <v>28</v>
      </c>
      <c r="C2088">
        <v>2015</v>
      </c>
      <c r="D2088" t="s">
        <v>18</v>
      </c>
      <c r="E2088" s="3">
        <v>166013</v>
      </c>
      <c r="F2088" s="3">
        <v>550824</v>
      </c>
      <c r="G2088" s="1">
        <f t="shared" si="909"/>
        <v>716837</v>
      </c>
      <c r="H2088" s="2">
        <f t="shared" si="910"/>
        <v>0.2315910032545753</v>
      </c>
      <c r="I2088" s="2">
        <f t="shared" si="911"/>
        <v>0.76840899674542473</v>
      </c>
      <c r="J2088" s="3">
        <v>137405</v>
      </c>
      <c r="K2088" s="3">
        <v>527076</v>
      </c>
      <c r="L2088" s="1">
        <f t="shared" si="899"/>
        <v>664481</v>
      </c>
      <c r="M2088" s="2">
        <f t="shared" si="900"/>
        <v>0.20678544608498964</v>
      </c>
      <c r="N2088" s="2">
        <f t="shared" si="901"/>
        <v>0.79321455391501039</v>
      </c>
      <c r="O2088" s="5">
        <f t="shared" si="902"/>
        <v>926.96247543025822</v>
      </c>
    </row>
    <row r="2089" spans="1:15" x14ac:dyDescent="0.35">
      <c r="A2089" t="s">
        <v>35</v>
      </c>
      <c r="B2089" t="s">
        <v>29</v>
      </c>
      <c r="C2089">
        <v>2015</v>
      </c>
      <c r="D2089" t="s">
        <v>18</v>
      </c>
      <c r="E2089" s="3">
        <v>163923</v>
      </c>
      <c r="F2089" s="3">
        <v>547867</v>
      </c>
      <c r="G2089" s="1">
        <f t="shared" si="909"/>
        <v>711790</v>
      </c>
      <c r="H2089" s="2">
        <f t="shared" si="910"/>
        <v>0.23029685721912363</v>
      </c>
      <c r="I2089" s="2">
        <f t="shared" si="911"/>
        <v>0.76970314278087637</v>
      </c>
      <c r="J2089" s="3">
        <v>133461</v>
      </c>
      <c r="K2089" s="3">
        <v>505885</v>
      </c>
      <c r="L2089" s="1">
        <f t="shared" si="899"/>
        <v>639346</v>
      </c>
      <c r="M2089" s="2">
        <f t="shared" si="900"/>
        <v>0.20874612494642963</v>
      </c>
      <c r="N2089" s="2">
        <f t="shared" si="901"/>
        <v>0.79125387505357037</v>
      </c>
      <c r="O2089" s="5">
        <f t="shared" si="902"/>
        <v>898.22279042976163</v>
      </c>
    </row>
    <row r="2090" spans="1:15" x14ac:dyDescent="0.35">
      <c r="A2090" t="s">
        <v>35</v>
      </c>
      <c r="B2090" t="s">
        <v>17</v>
      </c>
      <c r="C2090">
        <v>2016</v>
      </c>
      <c r="D2090" t="s">
        <v>18</v>
      </c>
      <c r="E2090" s="3">
        <v>163660</v>
      </c>
      <c r="F2090" s="3">
        <v>554833</v>
      </c>
      <c r="G2090" s="1">
        <f>SUM(E2090:F2090)</f>
        <v>718493</v>
      </c>
      <c r="H2090" s="2">
        <f>SUM(E2090)/G2090</f>
        <v>0.22778231659876993</v>
      </c>
      <c r="I2090" s="2">
        <f>SUM(F2090/G2090)</f>
        <v>0.77221768340123009</v>
      </c>
      <c r="J2090" s="3">
        <v>164956</v>
      </c>
      <c r="K2090" s="3">
        <v>617951</v>
      </c>
      <c r="L2090" s="1">
        <f t="shared" si="899"/>
        <v>782907</v>
      </c>
      <c r="M2090" s="2">
        <f t="shared" si="900"/>
        <v>0.21069680051398187</v>
      </c>
      <c r="N2090" s="2">
        <f t="shared" si="901"/>
        <v>0.78930319948601813</v>
      </c>
      <c r="O2090" s="5">
        <f t="shared" si="902"/>
        <v>1089.6515345313037</v>
      </c>
    </row>
    <row r="2091" spans="1:15" x14ac:dyDescent="0.35">
      <c r="A2091" t="s">
        <v>35</v>
      </c>
      <c r="B2091" t="s">
        <v>19</v>
      </c>
      <c r="C2091">
        <v>2016</v>
      </c>
      <c r="D2091" t="s">
        <v>18</v>
      </c>
      <c r="E2091" s="3">
        <v>162376</v>
      </c>
      <c r="F2091" s="3">
        <v>558364</v>
      </c>
      <c r="G2091" s="1">
        <f t="shared" ref="G2091:G2101" si="912">SUM(E2091:F2091)</f>
        <v>720740</v>
      </c>
      <c r="H2091" s="2">
        <f t="shared" ref="H2091:H2101" si="913">SUM(E2091)/G2091</f>
        <v>0.22529067347448456</v>
      </c>
      <c r="I2091" s="2">
        <f t="shared" ref="I2091:I2101" si="914">SUM(F2091/G2091)</f>
        <v>0.7747093265255155</v>
      </c>
      <c r="J2091" s="3">
        <v>130157</v>
      </c>
      <c r="K2091" s="3">
        <v>493694</v>
      </c>
      <c r="L2091" s="1">
        <f t="shared" si="899"/>
        <v>623851</v>
      </c>
      <c r="M2091" s="2">
        <f t="shared" si="900"/>
        <v>0.20863475413199625</v>
      </c>
      <c r="N2091" s="2">
        <f t="shared" si="901"/>
        <v>0.79136524586800372</v>
      </c>
      <c r="O2091" s="5">
        <f t="shared" si="902"/>
        <v>865.57010849959761</v>
      </c>
    </row>
    <row r="2092" spans="1:15" x14ac:dyDescent="0.35">
      <c r="A2092" t="s">
        <v>35</v>
      </c>
      <c r="B2092" t="s">
        <v>20</v>
      </c>
      <c r="C2092">
        <v>2016</v>
      </c>
      <c r="D2092" t="s">
        <v>18</v>
      </c>
      <c r="E2092" s="3">
        <v>160600</v>
      </c>
      <c r="F2092" s="3">
        <v>558730</v>
      </c>
      <c r="G2092" s="1">
        <f t="shared" si="912"/>
        <v>719330</v>
      </c>
      <c r="H2092" s="2">
        <f t="shared" si="913"/>
        <v>0.22326331447319034</v>
      </c>
      <c r="I2092" s="2">
        <f t="shared" si="914"/>
        <v>0.77673668552680963</v>
      </c>
      <c r="J2092" s="3">
        <v>110204</v>
      </c>
      <c r="K2092" s="3">
        <v>437767</v>
      </c>
      <c r="L2092" s="1">
        <f t="shared" si="899"/>
        <v>547971</v>
      </c>
      <c r="M2092" s="2">
        <f t="shared" si="900"/>
        <v>0.20111283261340474</v>
      </c>
      <c r="N2092" s="2">
        <f t="shared" si="901"/>
        <v>0.79888716738659526</v>
      </c>
      <c r="O2092" s="5">
        <f t="shared" si="902"/>
        <v>761.77971167614305</v>
      </c>
    </row>
    <row r="2093" spans="1:15" x14ac:dyDescent="0.35">
      <c r="A2093" t="s">
        <v>35</v>
      </c>
      <c r="B2093" t="s">
        <v>21</v>
      </c>
      <c r="C2093">
        <v>2016</v>
      </c>
      <c r="D2093" t="s">
        <v>18</v>
      </c>
      <c r="E2093" s="3">
        <v>159285</v>
      </c>
      <c r="F2093" s="3">
        <v>561965</v>
      </c>
      <c r="G2093" s="1">
        <f t="shared" si="912"/>
        <v>721250</v>
      </c>
      <c r="H2093" s="2">
        <f t="shared" si="913"/>
        <v>0.22084575389948008</v>
      </c>
      <c r="I2093" s="2">
        <f t="shared" si="914"/>
        <v>0.77915424610051998</v>
      </c>
      <c r="J2093" s="3">
        <v>118703</v>
      </c>
      <c r="K2093" s="3">
        <v>482093</v>
      </c>
      <c r="L2093" s="1">
        <f t="shared" si="899"/>
        <v>600796</v>
      </c>
      <c r="M2093" s="2">
        <f t="shared" si="900"/>
        <v>0.19757621555403165</v>
      </c>
      <c r="N2093" s="2">
        <f t="shared" si="901"/>
        <v>0.8024237844459684</v>
      </c>
      <c r="O2093" s="5">
        <f t="shared" si="902"/>
        <v>832.99272097053722</v>
      </c>
    </row>
    <row r="2094" spans="1:15" x14ac:dyDescent="0.35">
      <c r="A2094" t="s">
        <v>35</v>
      </c>
      <c r="B2094" t="s">
        <v>22</v>
      </c>
      <c r="C2094">
        <v>2016</v>
      </c>
      <c r="D2094" t="s">
        <v>18</v>
      </c>
      <c r="E2094" s="3">
        <v>158478</v>
      </c>
      <c r="F2094" s="3">
        <v>565875</v>
      </c>
      <c r="G2094" s="1">
        <f t="shared" si="912"/>
        <v>724353</v>
      </c>
      <c r="H2094" s="2">
        <f t="shared" si="913"/>
        <v>0.21878559210771545</v>
      </c>
      <c r="I2094" s="2">
        <f t="shared" si="914"/>
        <v>0.78121440789228458</v>
      </c>
      <c r="J2094" s="3">
        <v>144183</v>
      </c>
      <c r="K2094" s="3">
        <v>591969</v>
      </c>
      <c r="L2094" s="1">
        <f t="shared" si="899"/>
        <v>736152</v>
      </c>
      <c r="M2094" s="2">
        <f t="shared" si="900"/>
        <v>0.1958603657940208</v>
      </c>
      <c r="N2094" s="2">
        <f t="shared" si="901"/>
        <v>0.80413963420597923</v>
      </c>
      <c r="O2094" s="5">
        <f t="shared" si="902"/>
        <v>1016.2890193041238</v>
      </c>
    </row>
    <row r="2095" spans="1:15" x14ac:dyDescent="0.35">
      <c r="A2095" t="s">
        <v>35</v>
      </c>
      <c r="B2095" t="s">
        <v>23</v>
      </c>
      <c r="C2095">
        <v>2016</v>
      </c>
      <c r="D2095" t="s">
        <v>18</v>
      </c>
      <c r="E2095" s="3">
        <v>156875</v>
      </c>
      <c r="F2095" s="3">
        <v>565175</v>
      </c>
      <c r="G2095" s="1">
        <f t="shared" si="912"/>
        <v>722050</v>
      </c>
      <c r="H2095" s="2">
        <f t="shared" si="913"/>
        <v>0.21726334741361403</v>
      </c>
      <c r="I2095" s="2">
        <f t="shared" si="914"/>
        <v>0.78273665258638603</v>
      </c>
      <c r="J2095" s="3">
        <v>182975</v>
      </c>
      <c r="K2095" s="3">
        <v>744646</v>
      </c>
      <c r="L2095" s="1">
        <f t="shared" si="899"/>
        <v>927621</v>
      </c>
      <c r="M2095" s="2">
        <f t="shared" si="900"/>
        <v>0.19725189490104256</v>
      </c>
      <c r="N2095" s="2">
        <f t="shared" si="901"/>
        <v>0.80274810509895744</v>
      </c>
      <c r="O2095" s="5">
        <f t="shared" si="902"/>
        <v>1284.7046603420815</v>
      </c>
    </row>
    <row r="2096" spans="1:15" x14ac:dyDescent="0.35">
      <c r="A2096" t="s">
        <v>35</v>
      </c>
      <c r="B2096" t="s">
        <v>24</v>
      </c>
      <c r="C2096">
        <v>2016</v>
      </c>
      <c r="D2096" t="s">
        <v>18</v>
      </c>
      <c r="E2096" s="12">
        <v>155892</v>
      </c>
      <c r="F2096" s="12">
        <v>570465</v>
      </c>
      <c r="G2096" s="1">
        <f t="shared" si="912"/>
        <v>726357</v>
      </c>
      <c r="H2096" s="2">
        <f t="shared" si="913"/>
        <v>0.21462173559282832</v>
      </c>
      <c r="I2096" s="2">
        <f t="shared" si="914"/>
        <v>0.78537826440717173</v>
      </c>
      <c r="J2096" s="12">
        <v>224443.128</v>
      </c>
      <c r="K2096" s="12">
        <v>907526.02000000037</v>
      </c>
      <c r="L2096" s="1">
        <f t="shared" si="899"/>
        <v>1131969.1480000003</v>
      </c>
      <c r="M2096" s="2">
        <f t="shared" si="900"/>
        <v>0.19827671840398953</v>
      </c>
      <c r="N2096" s="2">
        <f t="shared" si="901"/>
        <v>0.80172328159601058</v>
      </c>
      <c r="O2096" s="5">
        <f t="shared" si="902"/>
        <v>1558.4198238607189</v>
      </c>
    </row>
    <row r="2097" spans="1:15" x14ac:dyDescent="0.35">
      <c r="A2097" t="s">
        <v>35</v>
      </c>
      <c r="B2097" t="s">
        <v>25</v>
      </c>
      <c r="C2097">
        <v>2016</v>
      </c>
      <c r="D2097" t="s">
        <v>18</v>
      </c>
      <c r="E2097" s="12">
        <v>154070</v>
      </c>
      <c r="F2097" s="12">
        <v>572434</v>
      </c>
      <c r="G2097" s="1">
        <f t="shared" si="912"/>
        <v>726504</v>
      </c>
      <c r="H2097" s="2">
        <f t="shared" si="913"/>
        <v>0.21207040842170174</v>
      </c>
      <c r="I2097" s="2">
        <f t="shared" si="914"/>
        <v>0.78792959157829823</v>
      </c>
      <c r="J2097" s="12">
        <v>224035.99400000001</v>
      </c>
      <c r="K2097" s="12">
        <v>917684.52799999993</v>
      </c>
      <c r="L2097" s="1">
        <f t="shared" si="899"/>
        <v>1141720.5219999999</v>
      </c>
      <c r="M2097" s="2">
        <f t="shared" si="900"/>
        <v>0.196226650640865</v>
      </c>
      <c r="N2097" s="2">
        <f t="shared" si="901"/>
        <v>0.80377334935913503</v>
      </c>
      <c r="O2097" s="5">
        <f t="shared" si="902"/>
        <v>1571.5268216004317</v>
      </c>
    </row>
    <row r="2098" spans="1:15" x14ac:dyDescent="0.35">
      <c r="A2098" t="s">
        <v>35</v>
      </c>
      <c r="B2098" t="s">
        <v>26</v>
      </c>
      <c r="C2098">
        <v>2016</v>
      </c>
      <c r="D2098" t="s">
        <v>18</v>
      </c>
      <c r="E2098" s="12">
        <v>151792</v>
      </c>
      <c r="F2098" s="12">
        <v>572243</v>
      </c>
      <c r="G2098" s="1">
        <f t="shared" si="912"/>
        <v>724035</v>
      </c>
      <c r="H2098" s="2">
        <f t="shared" si="913"/>
        <v>0.20964732367910391</v>
      </c>
      <c r="I2098" s="2">
        <f t="shared" si="914"/>
        <v>0.79035267632089612</v>
      </c>
      <c r="J2098" s="12">
        <v>204771.247</v>
      </c>
      <c r="K2098" s="12">
        <v>860489.73699999973</v>
      </c>
      <c r="L2098" s="1">
        <f t="shared" si="899"/>
        <v>1065260.9839999997</v>
      </c>
      <c r="M2098" s="2">
        <f t="shared" si="900"/>
        <v>0.1922263652528553</v>
      </c>
      <c r="N2098" s="2">
        <f t="shared" si="901"/>
        <v>0.8077736347471447</v>
      </c>
      <c r="O2098" s="5">
        <f t="shared" si="902"/>
        <v>1471.2838246769836</v>
      </c>
    </row>
    <row r="2099" spans="1:15" x14ac:dyDescent="0.35">
      <c r="A2099" t="s">
        <v>35</v>
      </c>
      <c r="B2099" t="s">
        <v>27</v>
      </c>
      <c r="C2099">
        <v>2016</v>
      </c>
      <c r="D2099" t="s">
        <v>18</v>
      </c>
      <c r="E2099" s="12">
        <v>150157</v>
      </c>
      <c r="F2099" s="12">
        <v>575113</v>
      </c>
      <c r="G2099" s="1">
        <f t="shared" si="912"/>
        <v>725270</v>
      </c>
      <c r="H2099" s="2">
        <f t="shared" si="913"/>
        <v>0.20703600038606312</v>
      </c>
      <c r="I2099" s="2">
        <f t="shared" si="914"/>
        <v>0.79296399961393693</v>
      </c>
      <c r="J2099" s="3">
        <v>172029</v>
      </c>
      <c r="K2099" s="3">
        <v>743340</v>
      </c>
      <c r="L2099" s="1">
        <f t="shared" si="899"/>
        <v>915369</v>
      </c>
      <c r="M2099" s="2">
        <f t="shared" si="900"/>
        <v>0.18793404626986493</v>
      </c>
      <c r="N2099" s="2">
        <f t="shared" si="901"/>
        <v>0.81206595373013502</v>
      </c>
      <c r="O2099" s="5">
        <f t="shared" si="902"/>
        <v>1262.107904642409</v>
      </c>
    </row>
    <row r="2100" spans="1:15" x14ac:dyDescent="0.35">
      <c r="A2100" t="s">
        <v>35</v>
      </c>
      <c r="B2100" t="s">
        <v>28</v>
      </c>
      <c r="C2100">
        <v>2016</v>
      </c>
      <c r="D2100" t="s">
        <v>18</v>
      </c>
      <c r="E2100" s="12">
        <v>142985</v>
      </c>
      <c r="F2100" s="12">
        <v>554874</v>
      </c>
      <c r="G2100" s="1">
        <f t="shared" si="912"/>
        <v>697859</v>
      </c>
      <c r="H2100" s="2">
        <f t="shared" si="913"/>
        <v>0.2048909593485217</v>
      </c>
      <c r="I2100" s="2">
        <f t="shared" si="914"/>
        <v>0.79510904065147836</v>
      </c>
      <c r="J2100" s="3">
        <v>128870</v>
      </c>
      <c r="K2100" s="3">
        <v>573125</v>
      </c>
      <c r="L2100" s="1">
        <f t="shared" si="899"/>
        <v>701995</v>
      </c>
      <c r="M2100" s="2">
        <f t="shared" si="900"/>
        <v>0.18357680610260757</v>
      </c>
      <c r="N2100" s="2">
        <f t="shared" si="901"/>
        <v>0.81642319389739249</v>
      </c>
      <c r="O2100" s="5">
        <f t="shared" si="902"/>
        <v>1005.9266986597579</v>
      </c>
    </row>
    <row r="2101" spans="1:15" x14ac:dyDescent="0.35">
      <c r="A2101" t="s">
        <v>35</v>
      </c>
      <c r="B2101" t="s">
        <v>29</v>
      </c>
      <c r="C2101">
        <v>2016</v>
      </c>
      <c r="D2101" t="s">
        <v>18</v>
      </c>
      <c r="E2101" s="12">
        <v>147262</v>
      </c>
      <c r="F2101" s="12">
        <v>577651</v>
      </c>
      <c r="G2101" s="1">
        <f t="shared" si="912"/>
        <v>724913</v>
      </c>
      <c r="H2101" s="2">
        <f t="shared" si="913"/>
        <v>0.20314437732527904</v>
      </c>
      <c r="I2101" s="2">
        <f t="shared" si="914"/>
        <v>0.79685562267472099</v>
      </c>
      <c r="J2101" s="3">
        <v>121747</v>
      </c>
      <c r="K2101" s="3">
        <v>542390</v>
      </c>
      <c r="L2101" s="1">
        <f t="shared" si="899"/>
        <v>664137</v>
      </c>
      <c r="M2101" s="2">
        <f t="shared" si="900"/>
        <v>0.18331609291456433</v>
      </c>
      <c r="N2101" s="2">
        <f t="shared" si="901"/>
        <v>0.8166839070854357</v>
      </c>
      <c r="O2101" s="5">
        <f t="shared" si="902"/>
        <v>916.16097379961457</v>
      </c>
    </row>
    <row r="2102" spans="1:15" x14ac:dyDescent="0.35">
      <c r="A2102" t="s">
        <v>35</v>
      </c>
      <c r="B2102" t="s">
        <v>17</v>
      </c>
      <c r="C2102">
        <v>2017</v>
      </c>
      <c r="D2102" t="s">
        <v>18</v>
      </c>
      <c r="E2102" s="3">
        <v>145952</v>
      </c>
      <c r="F2102" s="3">
        <v>580195</v>
      </c>
      <c r="G2102" s="1">
        <f>SUM(E2102:F2102)</f>
        <v>726147</v>
      </c>
      <c r="H2102" s="2">
        <f>SUM(E2102)/G2102</f>
        <v>0.20099511531411685</v>
      </c>
      <c r="I2102" s="2">
        <f>SUM(F2102/G2102)</f>
        <v>0.79900488468588315</v>
      </c>
      <c r="J2102" s="3">
        <v>139687</v>
      </c>
      <c r="K2102" s="3">
        <v>617801</v>
      </c>
      <c r="L2102" s="1">
        <f t="shared" si="899"/>
        <v>757488</v>
      </c>
      <c r="M2102" s="2">
        <f t="shared" si="900"/>
        <v>0.18440820184610185</v>
      </c>
      <c r="N2102" s="2">
        <f t="shared" si="901"/>
        <v>0.81559179815389815</v>
      </c>
      <c r="O2102" s="5">
        <f t="shared" si="902"/>
        <v>1043.1606823411789</v>
      </c>
    </row>
    <row r="2103" spans="1:15" x14ac:dyDescent="0.35">
      <c r="A2103" t="s">
        <v>35</v>
      </c>
      <c r="B2103" t="s">
        <v>19</v>
      </c>
      <c r="C2103">
        <v>2017</v>
      </c>
      <c r="D2103" t="s">
        <v>18</v>
      </c>
      <c r="E2103" s="3">
        <v>132760</v>
      </c>
      <c r="F2103" s="3">
        <v>533925</v>
      </c>
      <c r="G2103" s="1">
        <f t="shared" ref="G2103:G2166" si="915">SUM(E2103:F2103)</f>
        <v>666685</v>
      </c>
      <c r="H2103" s="2">
        <f t="shared" ref="H2103:H2166" si="916">SUM(E2103)/G2103</f>
        <v>0.19913452380059549</v>
      </c>
      <c r="I2103" s="2">
        <f t="shared" ref="I2103:I2166" si="917">SUM(F2103/G2103)</f>
        <v>0.80086547619940451</v>
      </c>
      <c r="J2103" s="3">
        <v>96463</v>
      </c>
      <c r="K2103" s="3">
        <v>435779</v>
      </c>
      <c r="L2103" s="1">
        <f t="shared" si="899"/>
        <v>532242</v>
      </c>
      <c r="M2103" s="2">
        <f t="shared" si="900"/>
        <v>0.18123898527361615</v>
      </c>
      <c r="N2103" s="2">
        <f t="shared" si="901"/>
        <v>0.81876101472638385</v>
      </c>
      <c r="O2103" s="5">
        <f t="shared" si="902"/>
        <v>798.34104562124537</v>
      </c>
    </row>
    <row r="2104" spans="1:15" x14ac:dyDescent="0.35">
      <c r="A2104" t="s">
        <v>35</v>
      </c>
      <c r="B2104" t="s">
        <v>20</v>
      </c>
      <c r="C2104">
        <v>2017</v>
      </c>
      <c r="D2104" t="s">
        <v>18</v>
      </c>
      <c r="E2104" s="3">
        <v>143106</v>
      </c>
      <c r="F2104" s="3">
        <v>582343</v>
      </c>
      <c r="G2104" s="1">
        <f t="shared" si="915"/>
        <v>725449</v>
      </c>
      <c r="H2104" s="2">
        <f t="shared" si="916"/>
        <v>0.19726541769304251</v>
      </c>
      <c r="I2104" s="2">
        <f t="shared" si="917"/>
        <v>0.80273458230695749</v>
      </c>
      <c r="J2104" s="3">
        <v>98593</v>
      </c>
      <c r="K2104" s="3">
        <v>461015</v>
      </c>
      <c r="L2104" s="1">
        <f t="shared" si="899"/>
        <v>559608</v>
      </c>
      <c r="M2104" s="2">
        <f t="shared" si="900"/>
        <v>0.17618225615073407</v>
      </c>
      <c r="N2104" s="2">
        <f t="shared" si="901"/>
        <v>0.82381774384926587</v>
      </c>
      <c r="O2104" s="5">
        <f t="shared" si="902"/>
        <v>771.39537031548741</v>
      </c>
    </row>
    <row r="2105" spans="1:15" x14ac:dyDescent="0.35">
      <c r="A2105" t="s">
        <v>35</v>
      </c>
      <c r="B2105" t="s">
        <v>21</v>
      </c>
      <c r="C2105">
        <v>2017</v>
      </c>
      <c r="D2105" t="s">
        <v>18</v>
      </c>
      <c r="E2105" s="3">
        <v>142232</v>
      </c>
      <c r="F2105" s="3">
        <v>587402</v>
      </c>
      <c r="G2105" s="1">
        <f t="shared" si="915"/>
        <v>729634</v>
      </c>
      <c r="H2105" s="2">
        <f t="shared" si="916"/>
        <v>0.19493609124574787</v>
      </c>
      <c r="I2105" s="2">
        <f t="shared" si="917"/>
        <v>0.80506390875425216</v>
      </c>
      <c r="J2105" s="3">
        <v>113648</v>
      </c>
      <c r="K2105" s="3">
        <v>541883</v>
      </c>
      <c r="L2105" s="1">
        <f t="shared" si="899"/>
        <v>655531</v>
      </c>
      <c r="M2105" s="2">
        <f t="shared" si="900"/>
        <v>0.17336784988047857</v>
      </c>
      <c r="N2105" s="2">
        <f t="shared" si="901"/>
        <v>0.8266321501195214</v>
      </c>
      <c r="O2105" s="5">
        <f t="shared" si="902"/>
        <v>898.43812103054404</v>
      </c>
    </row>
    <row r="2106" spans="1:15" x14ac:dyDescent="0.35">
      <c r="A2106" t="s">
        <v>35</v>
      </c>
      <c r="B2106" t="s">
        <v>22</v>
      </c>
      <c r="C2106">
        <v>2017</v>
      </c>
      <c r="D2106" t="s">
        <v>18</v>
      </c>
      <c r="E2106" s="3">
        <v>141252</v>
      </c>
      <c r="F2106" s="3">
        <v>590159</v>
      </c>
      <c r="G2106" s="1">
        <f t="shared" si="915"/>
        <v>731411</v>
      </c>
      <c r="H2106" s="2">
        <f t="shared" si="916"/>
        <v>0.19312260821890839</v>
      </c>
      <c r="I2106" s="2">
        <f t="shared" si="917"/>
        <v>0.80687739178109164</v>
      </c>
      <c r="J2106" s="3">
        <v>128434</v>
      </c>
      <c r="K2106" s="3">
        <v>614111</v>
      </c>
      <c r="L2106" s="1">
        <f t="shared" si="899"/>
        <v>742545</v>
      </c>
      <c r="M2106" s="2">
        <f t="shared" si="900"/>
        <v>0.17296460147196466</v>
      </c>
      <c r="N2106" s="2">
        <f t="shared" si="901"/>
        <v>0.82703539852803531</v>
      </c>
      <c r="O2106" s="5">
        <f t="shared" si="902"/>
        <v>1015.2226313249322</v>
      </c>
    </row>
    <row r="2107" spans="1:15" x14ac:dyDescent="0.35">
      <c r="A2107" t="s">
        <v>35</v>
      </c>
      <c r="B2107" t="s">
        <v>23</v>
      </c>
      <c r="C2107">
        <v>2017</v>
      </c>
      <c r="D2107" t="s">
        <v>18</v>
      </c>
      <c r="E2107" s="3">
        <v>139958</v>
      </c>
      <c r="F2107" s="3">
        <v>593011</v>
      </c>
      <c r="G2107" s="1">
        <f t="shared" si="915"/>
        <v>732969</v>
      </c>
      <c r="H2107" s="2">
        <f t="shared" si="916"/>
        <v>0.19094668396617046</v>
      </c>
      <c r="I2107" s="2">
        <f t="shared" si="917"/>
        <v>0.80905331603382957</v>
      </c>
      <c r="J2107" s="3">
        <v>168006</v>
      </c>
      <c r="K2107" s="3">
        <v>797999</v>
      </c>
      <c r="L2107" s="1">
        <f t="shared" si="899"/>
        <v>966005</v>
      </c>
      <c r="M2107" s="2">
        <f t="shared" si="900"/>
        <v>0.17391835445986303</v>
      </c>
      <c r="N2107" s="2">
        <f t="shared" si="901"/>
        <v>0.82608164554013697</v>
      </c>
      <c r="O2107" s="5">
        <f t="shared" si="902"/>
        <v>1317.9343191867597</v>
      </c>
    </row>
    <row r="2108" spans="1:15" x14ac:dyDescent="0.35">
      <c r="A2108" t="s">
        <v>35</v>
      </c>
      <c r="B2108" t="s">
        <v>24</v>
      </c>
      <c r="C2108">
        <v>2017</v>
      </c>
      <c r="D2108" t="s">
        <v>18</v>
      </c>
      <c r="E2108" s="3">
        <v>138969</v>
      </c>
      <c r="F2108" s="3">
        <v>595406</v>
      </c>
      <c r="G2108" s="1">
        <f t="shared" si="915"/>
        <v>734375</v>
      </c>
      <c r="H2108" s="2">
        <f t="shared" si="916"/>
        <v>0.18923438297872341</v>
      </c>
      <c r="I2108" s="2">
        <f t="shared" si="917"/>
        <v>0.81076561702127659</v>
      </c>
      <c r="J2108" s="3">
        <v>194543</v>
      </c>
      <c r="K2108" s="3">
        <v>918228</v>
      </c>
      <c r="L2108" s="1">
        <f t="shared" si="899"/>
        <v>1112771</v>
      </c>
      <c r="M2108" s="2">
        <f t="shared" si="900"/>
        <v>0.17482752516016323</v>
      </c>
      <c r="N2108" s="2">
        <f t="shared" si="901"/>
        <v>0.8251724748398368</v>
      </c>
      <c r="O2108" s="5">
        <f t="shared" si="902"/>
        <v>1515.2626382978724</v>
      </c>
    </row>
    <row r="2109" spans="1:15" x14ac:dyDescent="0.35">
      <c r="A2109" t="s">
        <v>35</v>
      </c>
      <c r="B2109" t="s">
        <v>25</v>
      </c>
      <c r="C2109">
        <v>2017</v>
      </c>
      <c r="D2109" t="s">
        <v>18</v>
      </c>
      <c r="E2109" s="3">
        <v>137304</v>
      </c>
      <c r="F2109" s="3">
        <v>597278</v>
      </c>
      <c r="G2109" s="1">
        <f t="shared" si="915"/>
        <v>734582</v>
      </c>
      <c r="H2109" s="2">
        <f t="shared" si="916"/>
        <v>0.18691446291904784</v>
      </c>
      <c r="I2109" s="2">
        <f t="shared" si="917"/>
        <v>0.81308553708095221</v>
      </c>
      <c r="J2109" s="3">
        <v>195848</v>
      </c>
      <c r="K2109" s="3">
        <v>932589</v>
      </c>
      <c r="L2109" s="1">
        <f t="shared" si="899"/>
        <v>1128437</v>
      </c>
      <c r="M2109" s="2">
        <f t="shared" si="900"/>
        <v>0.17355687557214095</v>
      </c>
      <c r="N2109" s="2">
        <f t="shared" si="901"/>
        <v>0.82644312442785905</v>
      </c>
      <c r="O2109" s="5">
        <f t="shared" si="902"/>
        <v>1536.1620622340324</v>
      </c>
    </row>
    <row r="2110" spans="1:15" x14ac:dyDescent="0.35">
      <c r="A2110" t="s">
        <v>35</v>
      </c>
      <c r="B2110" t="s">
        <v>26</v>
      </c>
      <c r="C2110">
        <v>2017</v>
      </c>
      <c r="D2110" t="s">
        <v>18</v>
      </c>
      <c r="E2110" s="3">
        <v>135502</v>
      </c>
      <c r="F2110" s="3">
        <v>592296</v>
      </c>
      <c r="G2110" s="1">
        <f t="shared" si="915"/>
        <v>727798</v>
      </c>
      <c r="H2110" s="2">
        <f t="shared" si="916"/>
        <v>0.18618078093097259</v>
      </c>
      <c r="I2110" s="2">
        <f t="shared" si="917"/>
        <v>0.81381921906902743</v>
      </c>
      <c r="J2110" s="3">
        <v>172038</v>
      </c>
      <c r="K2110" s="3">
        <v>830980</v>
      </c>
      <c r="L2110" s="1">
        <f t="shared" si="899"/>
        <v>1003018</v>
      </c>
      <c r="M2110" s="2">
        <f t="shared" si="900"/>
        <v>0.17152035157893478</v>
      </c>
      <c r="N2110" s="2">
        <f t="shared" si="901"/>
        <v>0.82847964842106525</v>
      </c>
      <c r="O2110" s="5">
        <f t="shared" si="902"/>
        <v>1378.1543780004893</v>
      </c>
    </row>
    <row r="2111" spans="1:15" x14ac:dyDescent="0.35">
      <c r="A2111" t="s">
        <v>35</v>
      </c>
      <c r="B2111" t="s">
        <v>27</v>
      </c>
      <c r="C2111">
        <v>2017</v>
      </c>
      <c r="D2111" t="s">
        <v>18</v>
      </c>
      <c r="E2111" s="3">
        <v>134355</v>
      </c>
      <c r="F2111" s="3">
        <v>597346</v>
      </c>
      <c r="G2111" s="1">
        <f t="shared" si="915"/>
        <v>731701</v>
      </c>
      <c r="H2111" s="2">
        <f t="shared" si="916"/>
        <v>0.18362008525340268</v>
      </c>
      <c r="I2111" s="2">
        <f t="shared" si="917"/>
        <v>0.81637991474659732</v>
      </c>
      <c r="J2111" s="3">
        <v>148176</v>
      </c>
      <c r="K2111" s="3">
        <v>736719</v>
      </c>
      <c r="L2111" s="1">
        <f t="shared" si="899"/>
        <v>884895</v>
      </c>
      <c r="M2111" s="2">
        <f t="shared" si="900"/>
        <v>0.1674503754682759</v>
      </c>
      <c r="N2111" s="2">
        <f t="shared" si="901"/>
        <v>0.8325496245317241</v>
      </c>
      <c r="O2111" s="5">
        <f t="shared" si="902"/>
        <v>1209.3669408679227</v>
      </c>
    </row>
    <row r="2112" spans="1:15" x14ac:dyDescent="0.35">
      <c r="A2112" t="s">
        <v>35</v>
      </c>
      <c r="B2112" t="s">
        <v>28</v>
      </c>
      <c r="C2112">
        <v>2017</v>
      </c>
      <c r="D2112" t="s">
        <v>18</v>
      </c>
      <c r="E2112" s="3">
        <v>133220</v>
      </c>
      <c r="F2112" s="3">
        <v>598037</v>
      </c>
      <c r="G2112" s="1">
        <f t="shared" si="915"/>
        <v>731257</v>
      </c>
      <c r="H2112" s="2">
        <f t="shared" si="916"/>
        <v>0.18217945264113711</v>
      </c>
      <c r="I2112" s="2">
        <f t="shared" si="917"/>
        <v>0.81782054735886289</v>
      </c>
      <c r="J2112" s="3">
        <v>106822</v>
      </c>
      <c r="K2112" s="3">
        <v>546625</v>
      </c>
      <c r="L2112" s="1">
        <f t="shared" si="899"/>
        <v>653447</v>
      </c>
      <c r="M2112" s="2">
        <f t="shared" si="900"/>
        <v>0.16347461997683055</v>
      </c>
      <c r="N2112" s="2">
        <f t="shared" si="901"/>
        <v>0.83652538002316945</v>
      </c>
      <c r="O2112" s="5">
        <f t="shared" si="902"/>
        <v>893.5941809787804</v>
      </c>
    </row>
    <row r="2113" spans="1:16" x14ac:dyDescent="0.35">
      <c r="A2113" t="s">
        <v>35</v>
      </c>
      <c r="B2113" t="s">
        <v>29</v>
      </c>
      <c r="C2113">
        <v>2017</v>
      </c>
      <c r="D2113" t="s">
        <v>18</v>
      </c>
      <c r="E2113" s="3">
        <v>132167</v>
      </c>
      <c r="F2113" s="3">
        <v>595844</v>
      </c>
      <c r="G2113" s="1">
        <f t="shared" si="915"/>
        <v>728011</v>
      </c>
      <c r="H2113" s="2">
        <f t="shared" si="916"/>
        <v>0.18154533379303334</v>
      </c>
      <c r="I2113" s="2">
        <f t="shared" si="917"/>
        <v>0.81845466620696661</v>
      </c>
      <c r="J2113" s="3">
        <v>114739</v>
      </c>
      <c r="K2113" s="3">
        <v>579638</v>
      </c>
      <c r="L2113" s="1">
        <f t="shared" si="899"/>
        <v>694377</v>
      </c>
      <c r="M2113" s="2">
        <f t="shared" si="900"/>
        <v>0.16524020812901349</v>
      </c>
      <c r="N2113" s="2">
        <f t="shared" si="901"/>
        <v>0.83475979187098648</v>
      </c>
      <c r="O2113" s="5">
        <f t="shared" si="902"/>
        <v>953.80014862412793</v>
      </c>
    </row>
    <row r="2114" spans="1:16" x14ac:dyDescent="0.35">
      <c r="A2114" t="s">
        <v>35</v>
      </c>
      <c r="B2114" t="s">
        <v>17</v>
      </c>
      <c r="C2114">
        <v>2002</v>
      </c>
      <c r="D2114" t="s">
        <v>30</v>
      </c>
      <c r="E2114" s="3">
        <v>85696</v>
      </c>
      <c r="F2114" s="3">
        <v>3746</v>
      </c>
      <c r="G2114" s="1">
        <f t="shared" si="915"/>
        <v>89442</v>
      </c>
      <c r="H2114" s="2">
        <f t="shared" si="916"/>
        <v>0.95811811006015069</v>
      </c>
      <c r="I2114" s="2">
        <f t="shared" si="917"/>
        <v>4.1881889939849287E-2</v>
      </c>
      <c r="J2114" s="3">
        <f>J2115</f>
        <v>297159.61900000001</v>
      </c>
      <c r="K2114" s="3">
        <v>28229.243999999999</v>
      </c>
      <c r="L2114" s="1">
        <f t="shared" si="899"/>
        <v>325388.86300000001</v>
      </c>
      <c r="M2114" s="2">
        <f t="shared" si="900"/>
        <v>0.9132445906730372</v>
      </c>
      <c r="N2114" s="2">
        <f t="shared" si="901"/>
        <v>8.6755409326962726E-2</v>
      </c>
      <c r="P2114" s="5">
        <f>SUM(1000*L2114)/G2114</f>
        <v>3637.9873325730641</v>
      </c>
    </row>
    <row r="2115" spans="1:16" x14ac:dyDescent="0.35">
      <c r="A2115" t="s">
        <v>35</v>
      </c>
      <c r="B2115" t="s">
        <v>19</v>
      </c>
      <c r="C2115">
        <v>2002</v>
      </c>
      <c r="D2115" t="s">
        <v>30</v>
      </c>
      <c r="E2115" s="3">
        <v>86203</v>
      </c>
      <c r="F2115" s="3">
        <v>5169</v>
      </c>
      <c r="G2115" s="1">
        <f t="shared" si="915"/>
        <v>91372</v>
      </c>
      <c r="H2115" s="2">
        <f t="shared" si="916"/>
        <v>0.94342905923039877</v>
      </c>
      <c r="I2115" s="2">
        <f t="shared" si="917"/>
        <v>5.6570940769601188E-2</v>
      </c>
      <c r="J2115" s="3">
        <v>297159.61900000001</v>
      </c>
      <c r="K2115" s="3">
        <v>64815.006000000001</v>
      </c>
      <c r="L2115" s="1">
        <f t="shared" ref="L2115:L2178" si="918">SUM(J2115:K2115)</f>
        <v>361974.625</v>
      </c>
      <c r="M2115" s="2">
        <f t="shared" ref="M2115:M2178" si="919">SUM(J2115)/L2115</f>
        <v>0.82094047062000552</v>
      </c>
      <c r="N2115" s="2">
        <f t="shared" ref="N2115:N2178" si="920">SUM(K2115/L2115)</f>
        <v>0.17905952937999453</v>
      </c>
      <c r="P2115" s="5">
        <f>SUM(1000*L2115)/G2115</f>
        <v>3961.5486691765532</v>
      </c>
    </row>
    <row r="2116" spans="1:16" x14ac:dyDescent="0.35">
      <c r="A2116" t="s">
        <v>35</v>
      </c>
      <c r="B2116" t="s">
        <v>20</v>
      </c>
      <c r="C2116">
        <v>2002</v>
      </c>
      <c r="D2116" t="s">
        <v>30</v>
      </c>
      <c r="E2116" s="3">
        <v>85492</v>
      </c>
      <c r="F2116" s="3">
        <v>6459</v>
      </c>
      <c r="G2116" s="1">
        <f t="shared" si="915"/>
        <v>91951</v>
      </c>
      <c r="H2116" s="2">
        <f t="shared" si="916"/>
        <v>0.92975606573066094</v>
      </c>
      <c r="I2116" s="2">
        <f t="shared" si="917"/>
        <v>7.0243934269339101E-2</v>
      </c>
      <c r="J2116" s="3">
        <v>326385.36</v>
      </c>
      <c r="K2116" s="3">
        <v>76898.690999999992</v>
      </c>
      <c r="L2116" s="1">
        <f t="shared" si="918"/>
        <v>403284.05099999998</v>
      </c>
      <c r="M2116" s="2">
        <f t="shared" si="919"/>
        <v>0.80931878954965175</v>
      </c>
      <c r="N2116" s="2">
        <f t="shared" si="920"/>
        <v>0.1906812104503483</v>
      </c>
      <c r="P2116" s="5">
        <f t="shared" ref="P2116:P2179" si="921">SUM(1000*L2116)/G2116</f>
        <v>4385.8582397146311</v>
      </c>
    </row>
    <row r="2117" spans="1:16" x14ac:dyDescent="0.35">
      <c r="A2117" t="s">
        <v>35</v>
      </c>
      <c r="B2117" t="s">
        <v>21</v>
      </c>
      <c r="C2117">
        <v>2002</v>
      </c>
      <c r="D2117" t="s">
        <v>30</v>
      </c>
      <c r="E2117" s="3">
        <v>84963</v>
      </c>
      <c r="F2117" s="3">
        <v>7329</v>
      </c>
      <c r="G2117" s="1">
        <f t="shared" si="915"/>
        <v>92292</v>
      </c>
      <c r="H2117" s="2">
        <f t="shared" si="916"/>
        <v>0.92058900013002209</v>
      </c>
      <c r="I2117" s="2">
        <f t="shared" si="917"/>
        <v>7.9410999869977891E-2</v>
      </c>
      <c r="J2117" s="3">
        <v>353972.67200000002</v>
      </c>
      <c r="K2117" s="3">
        <v>107431.659</v>
      </c>
      <c r="L2117" s="1">
        <f t="shared" si="918"/>
        <v>461404.33100000001</v>
      </c>
      <c r="M2117" s="2">
        <f t="shared" si="919"/>
        <v>0.76716373951851791</v>
      </c>
      <c r="N2117" s="2">
        <f t="shared" si="920"/>
        <v>0.23283626048148212</v>
      </c>
      <c r="P2117" s="5">
        <f t="shared" si="921"/>
        <v>4999.3968166254926</v>
      </c>
    </row>
    <row r="2118" spans="1:16" x14ac:dyDescent="0.35">
      <c r="A2118" t="s">
        <v>35</v>
      </c>
      <c r="B2118" t="s">
        <v>22</v>
      </c>
      <c r="C2118">
        <v>2002</v>
      </c>
      <c r="D2118" t="s">
        <v>30</v>
      </c>
      <c r="E2118" s="3">
        <v>84820</v>
      </c>
      <c r="F2118" s="3">
        <v>8369</v>
      </c>
      <c r="G2118" s="1">
        <f t="shared" si="915"/>
        <v>93189</v>
      </c>
      <c r="H2118" s="2">
        <f t="shared" si="916"/>
        <v>0.91019326315337645</v>
      </c>
      <c r="I2118" s="2">
        <f t="shared" si="917"/>
        <v>8.9806736846623533E-2</v>
      </c>
      <c r="J2118" s="3">
        <v>363442.696</v>
      </c>
      <c r="K2118" s="3">
        <v>138895.47899999999</v>
      </c>
      <c r="L2118" s="1">
        <f t="shared" si="918"/>
        <v>502338.17499999999</v>
      </c>
      <c r="M2118" s="2">
        <f t="shared" si="919"/>
        <v>0.7235020432201873</v>
      </c>
      <c r="N2118" s="2">
        <f t="shared" si="920"/>
        <v>0.2764979567798127</v>
      </c>
      <c r="P2118" s="5">
        <f t="shared" si="921"/>
        <v>5390.5308029917696</v>
      </c>
    </row>
    <row r="2119" spans="1:16" x14ac:dyDescent="0.35">
      <c r="A2119" t="s">
        <v>35</v>
      </c>
      <c r="B2119" t="s">
        <v>23</v>
      </c>
      <c r="C2119">
        <v>2002</v>
      </c>
      <c r="D2119" t="s">
        <v>30</v>
      </c>
      <c r="E2119" s="3">
        <v>85008</v>
      </c>
      <c r="F2119" s="3">
        <v>8985</v>
      </c>
      <c r="G2119" s="1">
        <f t="shared" si="915"/>
        <v>93993</v>
      </c>
      <c r="H2119" s="2">
        <f t="shared" si="916"/>
        <v>0.90440777504707792</v>
      </c>
      <c r="I2119" s="2">
        <f t="shared" si="917"/>
        <v>9.5592224952922022E-2</v>
      </c>
      <c r="J2119" s="3">
        <v>359374.02299999999</v>
      </c>
      <c r="K2119" s="3">
        <v>177241.587</v>
      </c>
      <c r="L2119" s="1">
        <f t="shared" si="918"/>
        <v>536615.61</v>
      </c>
      <c r="M2119" s="2">
        <f t="shared" si="919"/>
        <v>0.66970475010967345</v>
      </c>
      <c r="N2119" s="2">
        <f t="shared" si="920"/>
        <v>0.33029524989032655</v>
      </c>
      <c r="P2119" s="5">
        <f t="shared" si="921"/>
        <v>5709.1018480099583</v>
      </c>
    </row>
    <row r="2120" spans="1:16" x14ac:dyDescent="0.35">
      <c r="A2120" t="s">
        <v>35</v>
      </c>
      <c r="B2120" t="s">
        <v>24</v>
      </c>
      <c r="C2120">
        <v>2002</v>
      </c>
      <c r="D2120" t="s">
        <v>30</v>
      </c>
      <c r="E2120" s="3">
        <v>85364</v>
      </c>
      <c r="F2120" s="3">
        <v>9925</v>
      </c>
      <c r="G2120" s="1">
        <f t="shared" si="915"/>
        <v>95289</v>
      </c>
      <c r="H2120" s="2">
        <f t="shared" si="916"/>
        <v>0.89584317182465967</v>
      </c>
      <c r="I2120" s="2">
        <f t="shared" si="917"/>
        <v>0.10415682817534028</v>
      </c>
      <c r="J2120" s="3">
        <v>346913.86200000002</v>
      </c>
      <c r="K2120" s="3">
        <v>173422.17299999995</v>
      </c>
      <c r="L2120" s="1">
        <f t="shared" si="918"/>
        <v>520336.03499999997</v>
      </c>
      <c r="M2120" s="2">
        <f t="shared" si="919"/>
        <v>0.66671119942711643</v>
      </c>
      <c r="N2120" s="2">
        <f t="shared" si="920"/>
        <v>0.33328880057288357</v>
      </c>
      <c r="P2120" s="5">
        <f t="shared" si="921"/>
        <v>5460.6096716305137</v>
      </c>
    </row>
    <row r="2121" spans="1:16" x14ac:dyDescent="0.35">
      <c r="A2121" t="s">
        <v>35</v>
      </c>
      <c r="B2121" t="s">
        <v>25</v>
      </c>
      <c r="C2121">
        <v>2002</v>
      </c>
      <c r="D2121" t="s">
        <v>30</v>
      </c>
      <c r="E2121" s="3">
        <v>85531</v>
      </c>
      <c r="F2121" s="3">
        <v>10725</v>
      </c>
      <c r="G2121" s="1">
        <f t="shared" si="915"/>
        <v>96256</v>
      </c>
      <c r="H2121" s="2">
        <f t="shared" si="916"/>
        <v>0.88857837433510634</v>
      </c>
      <c r="I2121" s="2">
        <f t="shared" si="917"/>
        <v>0.11142162566489362</v>
      </c>
      <c r="J2121" s="3">
        <v>375660.56700000004</v>
      </c>
      <c r="K2121" s="3">
        <v>180977.43599999999</v>
      </c>
      <c r="L2121" s="1">
        <f t="shared" si="918"/>
        <v>556638.00300000003</v>
      </c>
      <c r="M2121" s="2">
        <f t="shared" si="919"/>
        <v>0.67487409227429274</v>
      </c>
      <c r="N2121" s="2">
        <f t="shared" si="920"/>
        <v>0.32512590772570726</v>
      </c>
      <c r="P2121" s="5">
        <f t="shared" si="921"/>
        <v>5782.8914872839096</v>
      </c>
    </row>
    <row r="2122" spans="1:16" x14ac:dyDescent="0.35">
      <c r="A2122" t="s">
        <v>35</v>
      </c>
      <c r="B2122" t="s">
        <v>26</v>
      </c>
      <c r="C2122">
        <v>2002</v>
      </c>
      <c r="D2122" t="s">
        <v>30</v>
      </c>
      <c r="E2122" s="3">
        <v>84966</v>
      </c>
      <c r="F2122" s="3">
        <v>11015</v>
      </c>
      <c r="G2122" s="1">
        <f t="shared" si="915"/>
        <v>95981</v>
      </c>
      <c r="H2122" s="2">
        <f t="shared" si="916"/>
        <v>0.88523770329544393</v>
      </c>
      <c r="I2122" s="2">
        <f t="shared" si="917"/>
        <v>0.11476229670455611</v>
      </c>
      <c r="J2122" s="3">
        <v>349870.95299999998</v>
      </c>
      <c r="K2122" s="3">
        <v>232750.37</v>
      </c>
      <c r="L2122" s="1">
        <f t="shared" si="918"/>
        <v>582621.32299999997</v>
      </c>
      <c r="M2122" s="2">
        <f t="shared" si="919"/>
        <v>0.60051175469937268</v>
      </c>
      <c r="N2122" s="2">
        <f t="shared" si="920"/>
        <v>0.39948824530062726</v>
      </c>
      <c r="P2122" s="5">
        <f t="shared" si="921"/>
        <v>6070.1735030891532</v>
      </c>
    </row>
    <row r="2123" spans="1:16" x14ac:dyDescent="0.35">
      <c r="A2123" t="s">
        <v>35</v>
      </c>
      <c r="B2123" t="s">
        <v>27</v>
      </c>
      <c r="C2123">
        <v>2002</v>
      </c>
      <c r="D2123" t="s">
        <v>30</v>
      </c>
      <c r="E2123" s="3">
        <v>84816</v>
      </c>
      <c r="F2123" s="3">
        <v>12922</v>
      </c>
      <c r="G2123" s="1">
        <f t="shared" si="915"/>
        <v>97738</v>
      </c>
      <c r="H2123" s="2">
        <f t="shared" si="916"/>
        <v>0.86778939614070272</v>
      </c>
      <c r="I2123" s="2">
        <f t="shared" si="917"/>
        <v>0.13221060385929731</v>
      </c>
      <c r="J2123" s="3">
        <v>308568.06</v>
      </c>
      <c r="K2123" s="3">
        <v>230920.666</v>
      </c>
      <c r="L2123" s="1">
        <f t="shared" si="918"/>
        <v>539488.72600000002</v>
      </c>
      <c r="M2123" s="2">
        <f t="shared" si="919"/>
        <v>0.57196387084463374</v>
      </c>
      <c r="N2123" s="2">
        <f t="shared" si="920"/>
        <v>0.42803612915536626</v>
      </c>
      <c r="P2123" s="5">
        <f t="shared" si="921"/>
        <v>5519.7438662546811</v>
      </c>
    </row>
    <row r="2124" spans="1:16" x14ac:dyDescent="0.35">
      <c r="A2124" t="s">
        <v>35</v>
      </c>
      <c r="B2124" t="s">
        <v>28</v>
      </c>
      <c r="C2124">
        <v>2002</v>
      </c>
      <c r="D2124" t="s">
        <v>30</v>
      </c>
      <c r="E2124" s="3">
        <v>83370</v>
      </c>
      <c r="F2124" s="3">
        <v>13754</v>
      </c>
      <c r="G2124" s="1">
        <f t="shared" si="915"/>
        <v>97124</v>
      </c>
      <c r="H2124" s="2">
        <f t="shared" si="916"/>
        <v>0.85838721634199577</v>
      </c>
      <c r="I2124" s="2">
        <f t="shared" si="917"/>
        <v>0.1416127836580042</v>
      </c>
      <c r="J2124" s="3">
        <v>235309.94500000001</v>
      </c>
      <c r="K2124" s="3">
        <v>190371.57499999998</v>
      </c>
      <c r="L2124" s="1">
        <f t="shared" si="918"/>
        <v>425681.52</v>
      </c>
      <c r="M2124" s="2">
        <f t="shared" si="919"/>
        <v>0.55278402736393162</v>
      </c>
      <c r="N2124" s="2">
        <f t="shared" si="920"/>
        <v>0.44721597263606833</v>
      </c>
      <c r="P2124" s="5">
        <f t="shared" si="921"/>
        <v>4382.8664387792924</v>
      </c>
    </row>
    <row r="2125" spans="1:16" x14ac:dyDescent="0.35">
      <c r="A2125" t="s">
        <v>35</v>
      </c>
      <c r="B2125" t="s">
        <v>29</v>
      </c>
      <c r="C2125">
        <v>2002</v>
      </c>
      <c r="D2125" t="s">
        <v>30</v>
      </c>
      <c r="E2125" s="3">
        <v>83457</v>
      </c>
      <c r="F2125" s="3">
        <v>14285</v>
      </c>
      <c r="G2125" s="1">
        <f t="shared" si="915"/>
        <v>97742</v>
      </c>
      <c r="H2125" s="2">
        <f t="shared" si="916"/>
        <v>0.85384993145219046</v>
      </c>
      <c r="I2125" s="2">
        <f t="shared" si="917"/>
        <v>0.14615006854780954</v>
      </c>
      <c r="J2125" s="3">
        <v>215556.34399999998</v>
      </c>
      <c r="K2125" s="3">
        <v>199354.31900000002</v>
      </c>
      <c r="L2125" s="1">
        <f t="shared" si="918"/>
        <v>414910.663</v>
      </c>
      <c r="M2125" s="2">
        <f t="shared" si="919"/>
        <v>0.51952471513126663</v>
      </c>
      <c r="N2125" s="2">
        <f t="shared" si="920"/>
        <v>0.48047528486873337</v>
      </c>
      <c r="P2125" s="5">
        <f t="shared" si="921"/>
        <v>4244.9577765955273</v>
      </c>
    </row>
    <row r="2126" spans="1:16" x14ac:dyDescent="0.35">
      <c r="A2126" t="s">
        <v>35</v>
      </c>
      <c r="B2126" t="s">
        <v>17</v>
      </c>
      <c r="C2126">
        <v>2003</v>
      </c>
      <c r="D2126" t="s">
        <v>30</v>
      </c>
      <c r="E2126" s="3">
        <f>48750+39166</f>
        <v>87916</v>
      </c>
      <c r="F2126" s="3">
        <f>5594+12347</f>
        <v>17941</v>
      </c>
      <c r="G2126" s="1">
        <f t="shared" si="915"/>
        <v>105857</v>
      </c>
      <c r="H2126" s="2">
        <f t="shared" si="916"/>
        <v>0.83051664037333384</v>
      </c>
      <c r="I2126" s="2">
        <f t="shared" si="917"/>
        <v>0.16948335962666616</v>
      </c>
      <c r="J2126" s="3">
        <f>22671+213321</f>
        <v>235992</v>
      </c>
      <c r="K2126" s="3">
        <f>3788+210252</f>
        <v>214040</v>
      </c>
      <c r="L2126" s="1">
        <f t="shared" si="918"/>
        <v>450032</v>
      </c>
      <c r="M2126" s="2">
        <f t="shared" si="919"/>
        <v>0.52438937675543074</v>
      </c>
      <c r="N2126" s="2">
        <f t="shared" si="920"/>
        <v>0.47561062324456926</v>
      </c>
      <c r="P2126" s="5">
        <f t="shared" si="921"/>
        <v>4251.3201772202119</v>
      </c>
    </row>
    <row r="2127" spans="1:16" x14ac:dyDescent="0.35">
      <c r="A2127" t="s">
        <v>35</v>
      </c>
      <c r="B2127" t="s">
        <v>19</v>
      </c>
      <c r="C2127">
        <v>2003</v>
      </c>
      <c r="D2127" t="s">
        <v>30</v>
      </c>
      <c r="E2127" s="3">
        <f>43605+34188</f>
        <v>77793</v>
      </c>
      <c r="F2127" s="3">
        <f>5637+11708</f>
        <v>17345</v>
      </c>
      <c r="G2127" s="1">
        <f t="shared" si="915"/>
        <v>95138</v>
      </c>
      <c r="H2127" s="2">
        <f t="shared" si="916"/>
        <v>0.81768588786814944</v>
      </c>
      <c r="I2127" s="2">
        <f t="shared" si="917"/>
        <v>0.18231411213185059</v>
      </c>
      <c r="J2127" s="3">
        <f>18996+170154</f>
        <v>189150</v>
      </c>
      <c r="K2127" s="3">
        <f>187091+3663</f>
        <v>190754</v>
      </c>
      <c r="L2127" s="1">
        <f t="shared" si="918"/>
        <v>379904</v>
      </c>
      <c r="M2127" s="2">
        <f t="shared" si="919"/>
        <v>0.49788894036388143</v>
      </c>
      <c r="N2127" s="2">
        <f t="shared" si="920"/>
        <v>0.50211105963611857</v>
      </c>
      <c r="P2127" s="5">
        <f t="shared" si="921"/>
        <v>3993.1888414723876</v>
      </c>
    </row>
    <row r="2128" spans="1:16" x14ac:dyDescent="0.35">
      <c r="A2128" t="s">
        <v>35</v>
      </c>
      <c r="B2128" t="s">
        <v>20</v>
      </c>
      <c r="C2128">
        <v>2003</v>
      </c>
      <c r="D2128" t="s">
        <v>30</v>
      </c>
      <c r="E2128" s="3">
        <f>45963+36348</f>
        <v>82311</v>
      </c>
      <c r="F2128" s="3">
        <f>6504+13302</f>
        <v>19806</v>
      </c>
      <c r="G2128" s="1">
        <f t="shared" si="915"/>
        <v>102117</v>
      </c>
      <c r="H2128" s="2">
        <f t="shared" si="916"/>
        <v>0.8060460060518817</v>
      </c>
      <c r="I2128" s="2">
        <f t="shared" si="917"/>
        <v>0.19395399394811833</v>
      </c>
      <c r="J2128" s="3">
        <f>20040+182815</f>
        <v>202855</v>
      </c>
      <c r="K2128" s="3">
        <f>202718+4181</f>
        <v>206899</v>
      </c>
      <c r="L2128" s="1">
        <f t="shared" si="918"/>
        <v>409754</v>
      </c>
      <c r="M2128" s="2">
        <f t="shared" si="919"/>
        <v>0.49506533188205604</v>
      </c>
      <c r="N2128" s="2">
        <f t="shared" si="920"/>
        <v>0.50493466811794396</v>
      </c>
      <c r="P2128" s="5">
        <f t="shared" si="921"/>
        <v>4012.5933977692257</v>
      </c>
    </row>
    <row r="2129" spans="1:16" x14ac:dyDescent="0.35">
      <c r="A2129" t="s">
        <v>35</v>
      </c>
      <c r="B2129" t="s">
        <v>21</v>
      </c>
      <c r="C2129">
        <v>2003</v>
      </c>
      <c r="D2129" t="s">
        <v>30</v>
      </c>
      <c r="E2129" s="3">
        <f>45229+35136</f>
        <v>80365</v>
      </c>
      <c r="F2129" s="3">
        <f>6520+12509</f>
        <v>19029</v>
      </c>
      <c r="G2129" s="1">
        <f t="shared" si="915"/>
        <v>99394</v>
      </c>
      <c r="H2129" s="2">
        <f t="shared" si="916"/>
        <v>0.80854981185987085</v>
      </c>
      <c r="I2129" s="2">
        <f t="shared" si="917"/>
        <v>0.19145018814012918</v>
      </c>
      <c r="J2129" s="3">
        <f>19280+199445</f>
        <v>218725</v>
      </c>
      <c r="K2129" s="3">
        <f>3995+198232</f>
        <v>202227</v>
      </c>
      <c r="L2129" s="1">
        <f t="shared" si="918"/>
        <v>420952</v>
      </c>
      <c r="M2129" s="2">
        <f t="shared" si="919"/>
        <v>0.51959605845797141</v>
      </c>
      <c r="N2129" s="2">
        <f t="shared" si="920"/>
        <v>0.48040394154202853</v>
      </c>
      <c r="P2129" s="5">
        <f t="shared" si="921"/>
        <v>4235.1852224480353</v>
      </c>
    </row>
    <row r="2130" spans="1:16" x14ac:dyDescent="0.35">
      <c r="A2130" t="s">
        <v>35</v>
      </c>
      <c r="B2130" t="s">
        <v>22</v>
      </c>
      <c r="C2130">
        <v>2003</v>
      </c>
      <c r="D2130" t="s">
        <v>30</v>
      </c>
      <c r="E2130" s="3">
        <f>45033+34413</f>
        <v>79446</v>
      </c>
      <c r="F2130" s="3">
        <f>6910+13223</f>
        <v>20133</v>
      </c>
      <c r="G2130" s="1">
        <f t="shared" si="915"/>
        <v>99579</v>
      </c>
      <c r="H2130" s="2">
        <f t="shared" si="916"/>
        <v>0.7978188172204983</v>
      </c>
      <c r="I2130" s="2">
        <f t="shared" si="917"/>
        <v>0.2021811827795017</v>
      </c>
      <c r="J2130" s="3">
        <f>23794+238485</f>
        <v>262279</v>
      </c>
      <c r="K2130" s="3">
        <f>4988+249763</f>
        <v>254751</v>
      </c>
      <c r="L2130" s="1">
        <f t="shared" si="918"/>
        <v>517030</v>
      </c>
      <c r="M2130" s="2">
        <f t="shared" si="919"/>
        <v>0.50728004177707287</v>
      </c>
      <c r="N2130" s="2">
        <f t="shared" si="920"/>
        <v>0.49271995822292708</v>
      </c>
      <c r="P2130" s="5">
        <f t="shared" si="921"/>
        <v>5192.1589893451428</v>
      </c>
    </row>
    <row r="2131" spans="1:16" x14ac:dyDescent="0.35">
      <c r="A2131" t="s">
        <v>35</v>
      </c>
      <c r="B2131" t="s">
        <v>23</v>
      </c>
      <c r="C2131">
        <v>2003</v>
      </c>
      <c r="D2131" t="s">
        <v>30</v>
      </c>
      <c r="E2131" s="3">
        <f>44716+33581</f>
        <v>78297</v>
      </c>
      <c r="F2131" s="3">
        <f>7237+13854</f>
        <v>21091</v>
      </c>
      <c r="G2131" s="1">
        <f t="shared" si="915"/>
        <v>99388</v>
      </c>
      <c r="H2131" s="2">
        <f t="shared" si="916"/>
        <v>0.7877912826498169</v>
      </c>
      <c r="I2131" s="2">
        <f t="shared" si="917"/>
        <v>0.21220871735018312</v>
      </c>
      <c r="J2131" s="3">
        <f>29323+259264</f>
        <v>288587</v>
      </c>
      <c r="K2131" s="3">
        <f>6210+282992</f>
        <v>289202</v>
      </c>
      <c r="L2131" s="1">
        <f t="shared" si="918"/>
        <v>577789</v>
      </c>
      <c r="M2131" s="2">
        <f t="shared" si="919"/>
        <v>0.49946779879852332</v>
      </c>
      <c r="N2131" s="2">
        <f t="shared" si="920"/>
        <v>0.50053220120147668</v>
      </c>
      <c r="P2131" s="5">
        <f t="shared" si="921"/>
        <v>5813.468426771844</v>
      </c>
    </row>
    <row r="2132" spans="1:16" x14ac:dyDescent="0.35">
      <c r="A2132" t="s">
        <v>35</v>
      </c>
      <c r="B2132" t="s">
        <v>24</v>
      </c>
      <c r="C2132">
        <v>2003</v>
      </c>
      <c r="D2132" t="s">
        <v>30</v>
      </c>
      <c r="E2132" s="3">
        <f>46174+35068</f>
        <v>81242</v>
      </c>
      <c r="F2132" s="3">
        <v>23531</v>
      </c>
      <c r="G2132" s="1">
        <f t="shared" si="915"/>
        <v>104773</v>
      </c>
      <c r="H2132" s="2">
        <f t="shared" si="916"/>
        <v>0.77540969524591263</v>
      </c>
      <c r="I2132" s="2">
        <f t="shared" si="917"/>
        <v>0.22459030475408739</v>
      </c>
      <c r="J2132" s="3">
        <f>27598+262695</f>
        <v>290293</v>
      </c>
      <c r="K2132" s="3">
        <v>305098</v>
      </c>
      <c r="L2132" s="1">
        <f t="shared" si="918"/>
        <v>595391</v>
      </c>
      <c r="M2132" s="2">
        <f t="shared" si="919"/>
        <v>0.48756699379063506</v>
      </c>
      <c r="N2132" s="2">
        <f t="shared" si="920"/>
        <v>0.51243300620936494</v>
      </c>
      <c r="P2132" s="5">
        <f t="shared" si="921"/>
        <v>5682.6758802363202</v>
      </c>
    </row>
    <row r="2133" spans="1:16" x14ac:dyDescent="0.35">
      <c r="A2133" t="s">
        <v>35</v>
      </c>
      <c r="B2133" t="s">
        <v>25</v>
      </c>
      <c r="C2133">
        <v>2003</v>
      </c>
      <c r="D2133" t="s">
        <v>30</v>
      </c>
      <c r="E2133" s="3">
        <f>43441+32223</f>
        <v>75664</v>
      </c>
      <c r="F2133" s="3">
        <v>24122</v>
      </c>
      <c r="G2133" s="1">
        <f t="shared" si="915"/>
        <v>99786</v>
      </c>
      <c r="H2133" s="2">
        <f t="shared" si="916"/>
        <v>0.7582626821397791</v>
      </c>
      <c r="I2133" s="2">
        <f t="shared" si="917"/>
        <v>0.24173731786022087</v>
      </c>
      <c r="J2133" s="3">
        <f>26404+238307</f>
        <v>264711</v>
      </c>
      <c r="K2133" s="3">
        <v>301249</v>
      </c>
      <c r="L2133" s="1">
        <f t="shared" si="918"/>
        <v>565960</v>
      </c>
      <c r="M2133" s="2">
        <f t="shared" si="919"/>
        <v>0.46772033359248005</v>
      </c>
      <c r="N2133" s="2">
        <f t="shared" si="920"/>
        <v>0.53227966640752</v>
      </c>
      <c r="P2133" s="5">
        <f t="shared" si="921"/>
        <v>5671.7375182891392</v>
      </c>
    </row>
    <row r="2134" spans="1:16" x14ac:dyDescent="0.35">
      <c r="A2134" t="s">
        <v>35</v>
      </c>
      <c r="B2134" t="s">
        <v>26</v>
      </c>
      <c r="C2134">
        <v>2003</v>
      </c>
      <c r="D2134" t="s">
        <v>30</v>
      </c>
      <c r="E2134" s="3">
        <f>43579+31555</f>
        <v>75134</v>
      </c>
      <c r="F2134" s="3">
        <v>24776</v>
      </c>
      <c r="G2134" s="1">
        <f t="shared" si="915"/>
        <v>99910</v>
      </c>
      <c r="H2134" s="2">
        <f t="shared" si="916"/>
        <v>0.75201681513362029</v>
      </c>
      <c r="I2134" s="2">
        <f t="shared" si="917"/>
        <v>0.24798318486637974</v>
      </c>
      <c r="J2134" s="3">
        <f>26658+228018</f>
        <v>254676</v>
      </c>
      <c r="K2134" s="3">
        <v>324174</v>
      </c>
      <c r="L2134" s="1">
        <f t="shared" si="918"/>
        <v>578850</v>
      </c>
      <c r="M2134" s="2">
        <f t="shared" si="919"/>
        <v>0.43996890386110393</v>
      </c>
      <c r="N2134" s="2">
        <f t="shared" si="920"/>
        <v>0.56003109613889612</v>
      </c>
      <c r="P2134" s="5">
        <f t="shared" si="921"/>
        <v>5793.7143429086182</v>
      </c>
    </row>
    <row r="2135" spans="1:16" x14ac:dyDescent="0.35">
      <c r="A2135" t="s">
        <v>35</v>
      </c>
      <c r="B2135" t="s">
        <v>27</v>
      </c>
      <c r="C2135">
        <v>2003</v>
      </c>
      <c r="D2135" t="s">
        <v>30</v>
      </c>
      <c r="E2135" s="3">
        <f>47279+33889</f>
        <v>81168</v>
      </c>
      <c r="F2135" s="3">
        <v>28205</v>
      </c>
      <c r="G2135" s="1">
        <f t="shared" si="915"/>
        <v>109373</v>
      </c>
      <c r="H2135" s="2">
        <f t="shared" si="916"/>
        <v>0.74212099878397775</v>
      </c>
      <c r="I2135" s="2">
        <f t="shared" si="917"/>
        <v>0.25787900121602225</v>
      </c>
      <c r="J2135" s="3">
        <f>21937+199285</f>
        <v>221222</v>
      </c>
      <c r="K2135" s="3">
        <v>331951</v>
      </c>
      <c r="L2135" s="1">
        <f t="shared" si="918"/>
        <v>553173</v>
      </c>
      <c r="M2135" s="2">
        <f t="shared" si="919"/>
        <v>0.39991467407122183</v>
      </c>
      <c r="N2135" s="2">
        <f t="shared" si="920"/>
        <v>0.60008532592877817</v>
      </c>
      <c r="P2135" s="5">
        <f t="shared" si="921"/>
        <v>5057.6741974710394</v>
      </c>
    </row>
    <row r="2136" spans="1:16" x14ac:dyDescent="0.35">
      <c r="A2136" t="s">
        <v>35</v>
      </c>
      <c r="B2136" t="s">
        <v>28</v>
      </c>
      <c r="C2136">
        <v>2003</v>
      </c>
      <c r="D2136" t="s">
        <v>30</v>
      </c>
      <c r="E2136" s="3">
        <f>36836+26023</f>
        <v>62859</v>
      </c>
      <c r="F2136" s="3">
        <v>23306</v>
      </c>
      <c r="G2136" s="1">
        <f t="shared" si="915"/>
        <v>86165</v>
      </c>
      <c r="H2136" s="2">
        <f t="shared" si="916"/>
        <v>0.72951894620785707</v>
      </c>
      <c r="I2136" s="2">
        <f t="shared" si="917"/>
        <v>0.27048105379214299</v>
      </c>
      <c r="J2136" s="3">
        <f>16795+137390</f>
        <v>154185</v>
      </c>
      <c r="K2136" s="3">
        <v>249719</v>
      </c>
      <c r="L2136" s="1">
        <f t="shared" si="918"/>
        <v>403904</v>
      </c>
      <c r="M2136" s="2">
        <f t="shared" si="919"/>
        <v>0.38173674932657264</v>
      </c>
      <c r="N2136" s="2">
        <f t="shared" si="920"/>
        <v>0.61826325067342736</v>
      </c>
      <c r="P2136" s="5">
        <f t="shared" si="921"/>
        <v>4687.5645563743983</v>
      </c>
    </row>
    <row r="2137" spans="1:16" x14ac:dyDescent="0.35">
      <c r="A2137" t="s">
        <v>35</v>
      </c>
      <c r="B2137" t="s">
        <v>29</v>
      </c>
      <c r="C2137">
        <v>2003</v>
      </c>
      <c r="D2137" t="s">
        <v>30</v>
      </c>
      <c r="E2137" s="3">
        <f>42708+29644</f>
        <v>72352</v>
      </c>
      <c r="F2137" s="3">
        <v>28168</v>
      </c>
      <c r="G2137" s="1">
        <f t="shared" si="915"/>
        <v>100520</v>
      </c>
      <c r="H2137" s="2">
        <f t="shared" si="916"/>
        <v>0.7197771587743732</v>
      </c>
      <c r="I2137" s="2">
        <f t="shared" si="917"/>
        <v>0.28022284122562674</v>
      </c>
      <c r="J2137" s="3">
        <f>20230+150587</f>
        <v>170817</v>
      </c>
      <c r="K2137" s="3">
        <v>286727</v>
      </c>
      <c r="L2137" s="1">
        <f t="shared" si="918"/>
        <v>457544</v>
      </c>
      <c r="M2137" s="2">
        <f t="shared" si="919"/>
        <v>0.3733345864004336</v>
      </c>
      <c r="N2137" s="2">
        <f t="shared" si="920"/>
        <v>0.6266654135995664</v>
      </c>
      <c r="P2137" s="5">
        <f t="shared" si="921"/>
        <v>4551.7707918822125</v>
      </c>
    </row>
    <row r="2138" spans="1:16" x14ac:dyDescent="0.35">
      <c r="A2138" t="s">
        <v>35</v>
      </c>
      <c r="B2138" t="s">
        <v>17</v>
      </c>
      <c r="C2138">
        <v>2004</v>
      </c>
      <c r="D2138" t="s">
        <v>30</v>
      </c>
      <c r="E2138" s="3">
        <f>43350+29146</f>
        <v>72496</v>
      </c>
      <c r="F2138" s="3">
        <f>10129+19874</f>
        <v>30003</v>
      </c>
      <c r="G2138" s="1">
        <f t="shared" si="915"/>
        <v>102499</v>
      </c>
      <c r="H2138" s="2">
        <f t="shared" si="916"/>
        <v>0.7072849491214549</v>
      </c>
      <c r="I2138" s="2">
        <f t="shared" si="917"/>
        <v>0.29271505087854516</v>
      </c>
      <c r="J2138" s="3">
        <f>20452+143902</f>
        <v>164354</v>
      </c>
      <c r="K2138" s="3">
        <f>7402+272736</f>
        <v>280138</v>
      </c>
      <c r="L2138" s="1">
        <f t="shared" si="918"/>
        <v>444492</v>
      </c>
      <c r="M2138" s="2">
        <f t="shared" si="919"/>
        <v>0.36975693600784715</v>
      </c>
      <c r="N2138" s="2">
        <f t="shared" si="920"/>
        <v>0.6302430639921528</v>
      </c>
      <c r="P2138" s="5">
        <f t="shared" si="921"/>
        <v>4336.5496248743893</v>
      </c>
    </row>
    <row r="2139" spans="1:16" x14ac:dyDescent="0.35">
      <c r="A2139" t="s">
        <v>35</v>
      </c>
      <c r="B2139" t="s">
        <v>19</v>
      </c>
      <c r="C2139">
        <v>2004</v>
      </c>
      <c r="D2139" t="s">
        <v>30</v>
      </c>
      <c r="E2139" s="3">
        <f>41203+27338</f>
        <v>68541</v>
      </c>
      <c r="F2139" s="3">
        <f>10137+19174</f>
        <v>29311</v>
      </c>
      <c r="G2139" s="1">
        <f t="shared" si="915"/>
        <v>97852</v>
      </c>
      <c r="H2139" s="2">
        <f t="shared" si="916"/>
        <v>0.70045579037730454</v>
      </c>
      <c r="I2139" s="2">
        <f t="shared" si="917"/>
        <v>0.29954420962269551</v>
      </c>
      <c r="J2139" s="3">
        <f>17811+121976</f>
        <v>139787</v>
      </c>
      <c r="K2139" s="3">
        <f>6676+240637</f>
        <v>247313</v>
      </c>
      <c r="L2139" s="1">
        <f t="shared" si="918"/>
        <v>387100</v>
      </c>
      <c r="M2139" s="2">
        <f t="shared" si="919"/>
        <v>0.36111340738827175</v>
      </c>
      <c r="N2139" s="2">
        <f t="shared" si="920"/>
        <v>0.6388865926117282</v>
      </c>
      <c r="P2139" s="5">
        <f t="shared" si="921"/>
        <v>3955.9743285778522</v>
      </c>
    </row>
    <row r="2140" spans="1:16" x14ac:dyDescent="0.35">
      <c r="A2140" t="s">
        <v>35</v>
      </c>
      <c r="B2140" t="s">
        <v>20</v>
      </c>
      <c r="C2140">
        <v>2004</v>
      </c>
      <c r="D2140" t="s">
        <v>30</v>
      </c>
      <c r="E2140" s="3">
        <f>46558+31569</f>
        <v>78127</v>
      </c>
      <c r="F2140" s="3">
        <f>12120+23083</f>
        <v>35203</v>
      </c>
      <c r="G2140" s="1">
        <f t="shared" si="915"/>
        <v>113330</v>
      </c>
      <c r="H2140" s="2">
        <f t="shared" si="916"/>
        <v>0.68937615812229769</v>
      </c>
      <c r="I2140" s="2">
        <f t="shared" si="917"/>
        <v>0.31062384187770231</v>
      </c>
      <c r="J2140" s="3">
        <f>20386+143060</f>
        <v>163446</v>
      </c>
      <c r="K2140" s="3">
        <f>7764+306384</f>
        <v>314148</v>
      </c>
      <c r="L2140" s="1">
        <f t="shared" si="918"/>
        <v>477594</v>
      </c>
      <c r="M2140" s="2">
        <f t="shared" si="919"/>
        <v>0.34222791743614872</v>
      </c>
      <c r="N2140" s="2">
        <f t="shared" si="920"/>
        <v>0.65777208256385133</v>
      </c>
      <c r="P2140" s="5">
        <f t="shared" si="921"/>
        <v>4214.1886526074295</v>
      </c>
    </row>
    <row r="2141" spans="1:16" x14ac:dyDescent="0.35">
      <c r="A2141" t="s">
        <v>35</v>
      </c>
      <c r="B2141" t="s">
        <v>21</v>
      </c>
      <c r="C2141">
        <v>2004</v>
      </c>
      <c r="D2141" t="s">
        <v>30</v>
      </c>
      <c r="E2141" s="3">
        <f>42490+27502</f>
        <v>69992</v>
      </c>
      <c r="F2141" s="3">
        <f>11128+20892</f>
        <v>32020</v>
      </c>
      <c r="G2141" s="1">
        <f t="shared" si="915"/>
        <v>102012</v>
      </c>
      <c r="H2141" s="2">
        <f t="shared" si="916"/>
        <v>0.68611535897737519</v>
      </c>
      <c r="I2141" s="2">
        <f t="shared" si="917"/>
        <v>0.31388464102262481</v>
      </c>
      <c r="J2141" s="3">
        <f>19862+130724</f>
        <v>150586</v>
      </c>
      <c r="K2141" s="3">
        <f>7869+302860</f>
        <v>310729</v>
      </c>
      <c r="L2141" s="1">
        <f t="shared" si="918"/>
        <v>461315</v>
      </c>
      <c r="M2141" s="2">
        <f t="shared" si="919"/>
        <v>0.32642771208393395</v>
      </c>
      <c r="N2141" s="2">
        <f t="shared" si="920"/>
        <v>0.67357228791606605</v>
      </c>
      <c r="P2141" s="5">
        <f t="shared" si="921"/>
        <v>4522.1640591302985</v>
      </c>
    </row>
    <row r="2142" spans="1:16" x14ac:dyDescent="0.35">
      <c r="A2142" t="s">
        <v>35</v>
      </c>
      <c r="B2142" t="s">
        <v>22</v>
      </c>
      <c r="C2142">
        <v>2004</v>
      </c>
      <c r="D2142" t="s">
        <v>30</v>
      </c>
      <c r="E2142" s="3">
        <f>40192+25637</f>
        <v>65829</v>
      </c>
      <c r="F2142" s="3">
        <f>11072+20385</f>
        <v>31457</v>
      </c>
      <c r="G2142" s="1">
        <f t="shared" si="915"/>
        <v>97286</v>
      </c>
      <c r="H2142" s="2">
        <f t="shared" si="916"/>
        <v>0.67665440042760516</v>
      </c>
      <c r="I2142" s="2">
        <f t="shared" si="917"/>
        <v>0.32334559957239478</v>
      </c>
      <c r="J2142" s="3">
        <f>19277+126811</f>
        <v>146088</v>
      </c>
      <c r="K2142" s="3">
        <f>7736+315381</f>
        <v>323117</v>
      </c>
      <c r="L2142" s="1">
        <f t="shared" si="918"/>
        <v>469205</v>
      </c>
      <c r="M2142" s="2">
        <f t="shared" si="919"/>
        <v>0.31135218081648747</v>
      </c>
      <c r="N2142" s="2">
        <f t="shared" si="920"/>
        <v>0.68864781918351259</v>
      </c>
      <c r="P2142" s="5">
        <f t="shared" si="921"/>
        <v>4822.944719692453</v>
      </c>
    </row>
    <row r="2143" spans="1:16" x14ac:dyDescent="0.35">
      <c r="A2143" t="s">
        <v>35</v>
      </c>
      <c r="B2143" t="s">
        <v>23</v>
      </c>
      <c r="C2143">
        <v>2004</v>
      </c>
      <c r="D2143" t="s">
        <v>30</v>
      </c>
      <c r="E2143" s="3">
        <f>43241+27972</f>
        <v>71213</v>
      </c>
      <c r="F2143" s="3">
        <f>12542+22867</f>
        <v>35409</v>
      </c>
      <c r="G2143" s="1">
        <f t="shared" si="915"/>
        <v>106622</v>
      </c>
      <c r="H2143" s="2">
        <f t="shared" si="916"/>
        <v>0.66790155877773816</v>
      </c>
      <c r="I2143" s="2">
        <f t="shared" si="917"/>
        <v>0.33209844122226184</v>
      </c>
      <c r="J2143" s="3">
        <f>24837+167226</f>
        <v>192063</v>
      </c>
      <c r="K2143" s="3">
        <f>9940+399189</f>
        <v>409129</v>
      </c>
      <c r="L2143" s="1">
        <f t="shared" si="918"/>
        <v>601192</v>
      </c>
      <c r="M2143" s="2">
        <f t="shared" si="919"/>
        <v>0.31947031896632022</v>
      </c>
      <c r="N2143" s="2">
        <f t="shared" si="920"/>
        <v>0.68052968103367972</v>
      </c>
      <c r="P2143" s="5">
        <f t="shared" si="921"/>
        <v>5638.5361370073715</v>
      </c>
    </row>
    <row r="2144" spans="1:16" x14ac:dyDescent="0.35">
      <c r="A2144" t="s">
        <v>35</v>
      </c>
      <c r="B2144" t="s">
        <v>24</v>
      </c>
      <c r="C2144">
        <v>2004</v>
      </c>
      <c r="D2144" t="s">
        <v>30</v>
      </c>
      <c r="E2144" s="3">
        <f>40750+25925</f>
        <v>66675</v>
      </c>
      <c r="F2144" s="3">
        <f>13017+22962</f>
        <v>35979</v>
      </c>
      <c r="G2144" s="1">
        <f t="shared" si="915"/>
        <v>102654</v>
      </c>
      <c r="H2144" s="2">
        <f t="shared" si="916"/>
        <v>0.64951195277339413</v>
      </c>
      <c r="I2144" s="2">
        <f t="shared" si="917"/>
        <v>0.35048804722660587</v>
      </c>
      <c r="J2144" s="3">
        <f>24801+156485</f>
        <v>181286</v>
      </c>
      <c r="K2144" s="3">
        <f>11194+405970</f>
        <v>417164</v>
      </c>
      <c r="L2144" s="1">
        <f t="shared" si="918"/>
        <v>598450</v>
      </c>
      <c r="M2144" s="2">
        <f t="shared" si="919"/>
        <v>0.30292589188737573</v>
      </c>
      <c r="N2144" s="2">
        <f t="shared" si="920"/>
        <v>0.69707410811262427</v>
      </c>
      <c r="P2144" s="5">
        <f t="shared" si="921"/>
        <v>5829.7776998460849</v>
      </c>
    </row>
    <row r="2145" spans="1:16" x14ac:dyDescent="0.35">
      <c r="A2145" t="s">
        <v>35</v>
      </c>
      <c r="B2145" t="s">
        <v>25</v>
      </c>
      <c r="C2145">
        <v>2004</v>
      </c>
      <c r="D2145" t="s">
        <v>30</v>
      </c>
      <c r="E2145" s="3">
        <f>42258+26281</f>
        <v>68539</v>
      </c>
      <c r="F2145" s="3">
        <f>14244+24819</f>
        <v>39063</v>
      </c>
      <c r="G2145" s="1">
        <f t="shared" si="915"/>
        <v>107602</v>
      </c>
      <c r="H2145" s="2">
        <f t="shared" si="916"/>
        <v>0.63696771435475175</v>
      </c>
      <c r="I2145" s="2">
        <f t="shared" si="917"/>
        <v>0.36303228564524825</v>
      </c>
      <c r="J2145" s="3">
        <f>25495+155089</f>
        <v>180584</v>
      </c>
      <c r="K2145" s="3">
        <f>12202+439841</f>
        <v>452043</v>
      </c>
      <c r="L2145" s="1">
        <f t="shared" si="918"/>
        <v>632627</v>
      </c>
      <c r="M2145" s="2">
        <f t="shared" si="919"/>
        <v>0.28545098454539564</v>
      </c>
      <c r="N2145" s="2">
        <f t="shared" si="920"/>
        <v>0.71454901545460436</v>
      </c>
      <c r="P2145" s="5">
        <f t="shared" si="921"/>
        <v>5879.3238043902529</v>
      </c>
    </row>
    <row r="2146" spans="1:16" x14ac:dyDescent="0.35">
      <c r="A2146" t="s">
        <v>35</v>
      </c>
      <c r="B2146" t="s">
        <v>26</v>
      </c>
      <c r="C2146">
        <v>2004</v>
      </c>
      <c r="D2146" t="s">
        <v>30</v>
      </c>
      <c r="E2146" s="3">
        <f>40091+24917</f>
        <v>65008</v>
      </c>
      <c r="F2146" s="3">
        <f>14130+24792</f>
        <v>38922</v>
      </c>
      <c r="G2146" s="1">
        <f t="shared" si="915"/>
        <v>103930</v>
      </c>
      <c r="H2146" s="2">
        <f t="shared" si="916"/>
        <v>0.62549793129991338</v>
      </c>
      <c r="I2146" s="2">
        <f t="shared" si="917"/>
        <v>0.37450206870008662</v>
      </c>
      <c r="J2146" s="3">
        <f>24045+141083</f>
        <v>165128</v>
      </c>
      <c r="K2146" s="3">
        <f>1227+456189</f>
        <v>457416</v>
      </c>
      <c r="L2146" s="1">
        <f t="shared" si="918"/>
        <v>622544</v>
      </c>
      <c r="M2146" s="2">
        <f t="shared" si="919"/>
        <v>0.26524711506335297</v>
      </c>
      <c r="N2146" s="2">
        <f t="shared" si="920"/>
        <v>0.73475288493664703</v>
      </c>
      <c r="P2146" s="5">
        <f t="shared" si="921"/>
        <v>5990.0317521408642</v>
      </c>
    </row>
    <row r="2147" spans="1:16" x14ac:dyDescent="0.35">
      <c r="A2147" t="s">
        <v>35</v>
      </c>
      <c r="B2147" t="s">
        <v>27</v>
      </c>
      <c r="C2147">
        <v>2004</v>
      </c>
      <c r="D2147" t="s">
        <v>30</v>
      </c>
      <c r="E2147" s="3">
        <f>38947+23732</f>
        <v>62679</v>
      </c>
      <c r="F2147" s="3">
        <f>14304+24801</f>
        <v>39105</v>
      </c>
      <c r="G2147" s="1">
        <f t="shared" si="915"/>
        <v>101784</v>
      </c>
      <c r="H2147" s="2">
        <f t="shared" si="916"/>
        <v>0.61580405564725305</v>
      </c>
      <c r="I2147" s="2">
        <f t="shared" si="917"/>
        <v>0.38419594435274701</v>
      </c>
      <c r="J2147" s="3">
        <f>21171+117293</f>
        <v>138464</v>
      </c>
      <c r="K2147" s="3">
        <f>11629+420747</f>
        <v>432376</v>
      </c>
      <c r="L2147" s="1">
        <f t="shared" si="918"/>
        <v>570840</v>
      </c>
      <c r="M2147" s="2">
        <f t="shared" si="919"/>
        <v>0.24256183869385467</v>
      </c>
      <c r="N2147" s="2">
        <f t="shared" si="920"/>
        <v>0.75743816130614527</v>
      </c>
      <c r="P2147" s="5">
        <f t="shared" si="921"/>
        <v>5608.347087950955</v>
      </c>
    </row>
    <row r="2148" spans="1:16" x14ac:dyDescent="0.35">
      <c r="A2148" t="s">
        <v>35</v>
      </c>
      <c r="B2148" t="s">
        <v>28</v>
      </c>
      <c r="C2148">
        <v>2004</v>
      </c>
      <c r="D2148" t="s">
        <v>30</v>
      </c>
      <c r="E2148" s="3">
        <f>37022+22359</f>
        <v>59381</v>
      </c>
      <c r="F2148" s="3">
        <f>14477+24779</f>
        <v>39256</v>
      </c>
      <c r="G2148" s="1">
        <f t="shared" si="915"/>
        <v>98637</v>
      </c>
      <c r="H2148" s="2">
        <f t="shared" si="916"/>
        <v>0.60201547086792984</v>
      </c>
      <c r="I2148" s="2">
        <f t="shared" si="917"/>
        <v>0.39798452913207011</v>
      </c>
      <c r="J2148" s="3">
        <f>18144+99691</f>
        <v>117835</v>
      </c>
      <c r="K2148" s="3">
        <f>10574+375627</f>
        <v>386201</v>
      </c>
      <c r="L2148" s="1">
        <f t="shared" si="918"/>
        <v>504036</v>
      </c>
      <c r="M2148" s="2">
        <f t="shared" si="919"/>
        <v>0.23378290439571778</v>
      </c>
      <c r="N2148" s="2">
        <f t="shared" si="920"/>
        <v>0.76621709560428219</v>
      </c>
      <c r="P2148" s="5">
        <f t="shared" si="921"/>
        <v>5110.0094285105997</v>
      </c>
    </row>
    <row r="2149" spans="1:16" x14ac:dyDescent="0.35">
      <c r="A2149" t="s">
        <v>35</v>
      </c>
      <c r="B2149" t="s">
        <v>29</v>
      </c>
      <c r="C2149">
        <v>2004</v>
      </c>
      <c r="D2149" t="s">
        <v>30</v>
      </c>
      <c r="E2149" s="3">
        <f>35548+21212</f>
        <v>56760</v>
      </c>
      <c r="F2149" s="3">
        <f>14257+24280</f>
        <v>38537</v>
      </c>
      <c r="G2149" s="1">
        <f t="shared" si="915"/>
        <v>95297</v>
      </c>
      <c r="H2149" s="2">
        <f t="shared" si="916"/>
        <v>0.59561161421660702</v>
      </c>
      <c r="I2149" s="2">
        <f t="shared" si="917"/>
        <v>0.40438838578339298</v>
      </c>
      <c r="J2149" s="3">
        <f>17132+86136</f>
        <v>103268</v>
      </c>
      <c r="K2149" s="3">
        <f>10416+342124</f>
        <v>352540</v>
      </c>
      <c r="L2149" s="1">
        <f t="shared" si="918"/>
        <v>455808</v>
      </c>
      <c r="M2149" s="2">
        <f t="shared" si="919"/>
        <v>0.22656030609379388</v>
      </c>
      <c r="N2149" s="2">
        <f t="shared" si="920"/>
        <v>0.77343969390620615</v>
      </c>
      <c r="P2149" s="5">
        <f t="shared" si="921"/>
        <v>4783.0256986054128</v>
      </c>
    </row>
    <row r="2150" spans="1:16" x14ac:dyDescent="0.35">
      <c r="A2150" t="s">
        <v>35</v>
      </c>
      <c r="B2150" t="s">
        <v>17</v>
      </c>
      <c r="C2150">
        <v>2005</v>
      </c>
      <c r="D2150" t="s">
        <v>30</v>
      </c>
      <c r="E2150" s="3">
        <f>38372+22728</f>
        <v>61100</v>
      </c>
      <c r="F2150" s="3">
        <f>16237+27584</f>
        <v>43821</v>
      </c>
      <c r="G2150" s="1">
        <f t="shared" si="915"/>
        <v>104921</v>
      </c>
      <c r="H2150" s="2">
        <f t="shared" si="916"/>
        <v>0.58234290561470059</v>
      </c>
      <c r="I2150" s="2">
        <f t="shared" si="917"/>
        <v>0.41765709438529941</v>
      </c>
      <c r="J2150" s="3">
        <f>18977+89636</f>
        <v>108613</v>
      </c>
      <c r="K2150" s="3">
        <f>11937+367361</f>
        <v>379298</v>
      </c>
      <c r="L2150" s="1">
        <f t="shared" si="918"/>
        <v>487911</v>
      </c>
      <c r="M2150" s="2">
        <f t="shared" si="919"/>
        <v>0.22260822158139495</v>
      </c>
      <c r="N2150" s="2">
        <f t="shared" si="920"/>
        <v>0.77739177841860507</v>
      </c>
      <c r="P2150" s="5">
        <f t="shared" si="921"/>
        <v>4650.2702032958132</v>
      </c>
    </row>
    <row r="2151" spans="1:16" x14ac:dyDescent="0.35">
      <c r="A2151" t="s">
        <v>35</v>
      </c>
      <c r="B2151" t="s">
        <v>19</v>
      </c>
      <c r="C2151">
        <v>2005</v>
      </c>
      <c r="D2151" t="s">
        <v>30</v>
      </c>
      <c r="E2151" s="3">
        <f>20352+34160</f>
        <v>54512</v>
      </c>
      <c r="F2151" s="3">
        <f>14937+25187</f>
        <v>40124</v>
      </c>
      <c r="G2151" s="1">
        <f t="shared" si="915"/>
        <v>94636</v>
      </c>
      <c r="H2151" s="2">
        <f t="shared" si="916"/>
        <v>0.57601758316074225</v>
      </c>
      <c r="I2151" s="2">
        <f t="shared" si="917"/>
        <v>0.4239824168392578</v>
      </c>
      <c r="J2151" s="3">
        <f>15181+70175</f>
        <v>85356</v>
      </c>
      <c r="K2151" s="3">
        <f>9882+297080</f>
        <v>306962</v>
      </c>
      <c r="L2151" s="1">
        <f t="shared" si="918"/>
        <v>392318</v>
      </c>
      <c r="M2151" s="2">
        <f t="shared" si="919"/>
        <v>0.21756840114396994</v>
      </c>
      <c r="N2151" s="2">
        <f t="shared" si="920"/>
        <v>0.78243159885603009</v>
      </c>
      <c r="P2151" s="5">
        <f t="shared" si="921"/>
        <v>4145.5471490764612</v>
      </c>
    </row>
    <row r="2152" spans="1:16" x14ac:dyDescent="0.35">
      <c r="A2152" t="s">
        <v>35</v>
      </c>
      <c r="B2152" t="s">
        <v>20</v>
      </c>
      <c r="C2152">
        <v>2005</v>
      </c>
      <c r="D2152" t="s">
        <v>30</v>
      </c>
      <c r="E2152" s="3">
        <f>37065+22386</f>
        <v>59451</v>
      </c>
      <c r="F2152" s="3">
        <f>16680+27865</f>
        <v>44545</v>
      </c>
      <c r="G2152" s="1">
        <f t="shared" si="915"/>
        <v>103996</v>
      </c>
      <c r="H2152" s="2">
        <f t="shared" si="916"/>
        <v>0.57166621793145889</v>
      </c>
      <c r="I2152" s="2">
        <f t="shared" si="917"/>
        <v>0.42833378206854111</v>
      </c>
      <c r="J2152" s="3">
        <f>15785+78867</f>
        <v>94652</v>
      </c>
      <c r="K2152" s="3">
        <f>11208+348065</f>
        <v>359273</v>
      </c>
      <c r="L2152" s="1">
        <f t="shared" si="918"/>
        <v>453925</v>
      </c>
      <c r="M2152" s="2">
        <f t="shared" si="919"/>
        <v>0.20851902847386683</v>
      </c>
      <c r="N2152" s="2">
        <f t="shared" si="920"/>
        <v>0.79148097152613317</v>
      </c>
      <c r="P2152" s="5">
        <f t="shared" si="921"/>
        <v>4364.83133966691</v>
      </c>
    </row>
    <row r="2153" spans="1:16" x14ac:dyDescent="0.35">
      <c r="A2153" t="s">
        <v>35</v>
      </c>
      <c r="B2153" t="s">
        <v>21</v>
      </c>
      <c r="C2153">
        <v>2005</v>
      </c>
      <c r="D2153" t="s">
        <v>30</v>
      </c>
      <c r="E2153" s="3">
        <f>35468+20415</f>
        <v>55883</v>
      </c>
      <c r="F2153" s="3">
        <f>16218+26342</f>
        <v>42560</v>
      </c>
      <c r="G2153" s="1">
        <f t="shared" si="915"/>
        <v>98443</v>
      </c>
      <c r="H2153" s="2">
        <f t="shared" si="916"/>
        <v>0.56766860010361331</v>
      </c>
      <c r="I2153" s="2">
        <f t="shared" si="917"/>
        <v>0.43233139989638675</v>
      </c>
      <c r="J2153" s="3">
        <f>15775+76948</f>
        <v>92723</v>
      </c>
      <c r="K2153" s="3">
        <f>10944+355346</f>
        <v>366290</v>
      </c>
      <c r="L2153" s="1">
        <f t="shared" si="918"/>
        <v>459013</v>
      </c>
      <c r="M2153" s="2">
        <f t="shared" si="919"/>
        <v>0.20200517196680703</v>
      </c>
      <c r="N2153" s="2">
        <f t="shared" si="920"/>
        <v>0.79799482803319299</v>
      </c>
      <c r="P2153" s="5">
        <f t="shared" si="921"/>
        <v>4662.7286856353421</v>
      </c>
    </row>
    <row r="2154" spans="1:16" x14ac:dyDescent="0.35">
      <c r="A2154" t="s">
        <v>35</v>
      </c>
      <c r="B2154" t="s">
        <v>22</v>
      </c>
      <c r="C2154">
        <v>2005</v>
      </c>
      <c r="D2154" t="s">
        <v>30</v>
      </c>
      <c r="E2154" s="3">
        <f>20495+35455</f>
        <v>55950</v>
      </c>
      <c r="F2154" s="3">
        <f>16800+27202</f>
        <v>44002</v>
      </c>
      <c r="G2154" s="1">
        <f t="shared" si="915"/>
        <v>99952</v>
      </c>
      <c r="H2154" s="2">
        <f t="shared" si="916"/>
        <v>0.55976868897070597</v>
      </c>
      <c r="I2154" s="2">
        <f t="shared" si="917"/>
        <v>0.44023131102929408</v>
      </c>
      <c r="J2154" s="3">
        <f>16517+83486</f>
        <v>100003</v>
      </c>
      <c r="K2154" s="3">
        <f>11795+392593</f>
        <v>404388</v>
      </c>
      <c r="L2154" s="1">
        <f t="shared" si="918"/>
        <v>504391</v>
      </c>
      <c r="M2154" s="2">
        <f t="shared" si="919"/>
        <v>0.19826483819100657</v>
      </c>
      <c r="N2154" s="2">
        <f t="shared" si="920"/>
        <v>0.8017351618089934</v>
      </c>
      <c r="P2154" s="5">
        <f t="shared" si="921"/>
        <v>5046.3322394749475</v>
      </c>
    </row>
    <row r="2155" spans="1:16" x14ac:dyDescent="0.35">
      <c r="A2155" t="s">
        <v>35</v>
      </c>
      <c r="B2155" t="s">
        <v>23</v>
      </c>
      <c r="C2155">
        <v>2005</v>
      </c>
      <c r="D2155" t="s">
        <v>30</v>
      </c>
      <c r="E2155" s="3">
        <f>36590+21383</f>
        <v>57973</v>
      </c>
      <c r="F2155" s="3">
        <f>17819+29009</f>
        <v>46828</v>
      </c>
      <c r="G2155" s="1">
        <f t="shared" si="915"/>
        <v>104801</v>
      </c>
      <c r="H2155" s="2">
        <f t="shared" si="916"/>
        <v>0.55317220255531918</v>
      </c>
      <c r="I2155" s="2">
        <f t="shared" si="917"/>
        <v>0.44682779744468087</v>
      </c>
      <c r="J2155" s="3">
        <f>20638+108078</f>
        <v>128716</v>
      </c>
      <c r="K2155" s="3">
        <f>14183+483842</f>
        <v>498025</v>
      </c>
      <c r="L2155" s="1">
        <f t="shared" si="918"/>
        <v>626741</v>
      </c>
      <c r="M2155" s="2">
        <f t="shared" si="919"/>
        <v>0.20537351154623681</v>
      </c>
      <c r="N2155" s="2">
        <f t="shared" si="920"/>
        <v>0.79462648845376316</v>
      </c>
      <c r="P2155" s="5">
        <f t="shared" si="921"/>
        <v>5980.2959895420845</v>
      </c>
    </row>
    <row r="2156" spans="1:16" x14ac:dyDescent="0.35">
      <c r="A2156" t="s">
        <v>35</v>
      </c>
      <c r="B2156" t="s">
        <v>24</v>
      </c>
      <c r="C2156">
        <v>2005</v>
      </c>
      <c r="D2156" t="s">
        <v>30</v>
      </c>
      <c r="E2156" s="3">
        <f>35065+19927</f>
        <v>54992</v>
      </c>
      <c r="F2156" s="3">
        <f>27487+17304</f>
        <v>44791</v>
      </c>
      <c r="G2156" s="1">
        <f t="shared" si="915"/>
        <v>99783</v>
      </c>
      <c r="H2156" s="2">
        <f t="shared" si="916"/>
        <v>0.55111592154976297</v>
      </c>
      <c r="I2156" s="2">
        <f t="shared" si="917"/>
        <v>0.44888407845023703</v>
      </c>
      <c r="J2156" s="3">
        <f>20996+102536</f>
        <v>123532</v>
      </c>
      <c r="K2156" s="3">
        <f>14457+472980</f>
        <v>487437</v>
      </c>
      <c r="L2156" s="1">
        <f t="shared" si="918"/>
        <v>610969</v>
      </c>
      <c r="M2156" s="2">
        <f t="shared" si="919"/>
        <v>0.2021902911604353</v>
      </c>
      <c r="N2156" s="2">
        <f t="shared" si="920"/>
        <v>0.7978097088395647</v>
      </c>
      <c r="P2156" s="5">
        <f t="shared" si="921"/>
        <v>6122.9768597857346</v>
      </c>
    </row>
    <row r="2157" spans="1:16" x14ac:dyDescent="0.35">
      <c r="A2157" t="s">
        <v>35</v>
      </c>
      <c r="B2157" t="s">
        <v>25</v>
      </c>
      <c r="C2157">
        <v>2005</v>
      </c>
      <c r="D2157" t="s">
        <v>30</v>
      </c>
      <c r="E2157" s="3">
        <f>39548+22688</f>
        <v>62236</v>
      </c>
      <c r="F2157" s="3">
        <f>19951+31529</f>
        <v>51480</v>
      </c>
      <c r="G2157" s="1">
        <f t="shared" si="915"/>
        <v>113716</v>
      </c>
      <c r="H2157" s="2">
        <f t="shared" si="916"/>
        <v>0.54729325688557462</v>
      </c>
      <c r="I2157" s="2">
        <f t="shared" si="917"/>
        <v>0.45270674311442544</v>
      </c>
      <c r="J2157" s="3">
        <f>23464+114221</f>
        <v>137685</v>
      </c>
      <c r="K2157" s="3">
        <f>16551+538916</f>
        <v>555467</v>
      </c>
      <c r="L2157" s="1">
        <f t="shared" si="918"/>
        <v>693152</v>
      </c>
      <c r="M2157" s="2">
        <f t="shared" si="919"/>
        <v>0.19863608559161627</v>
      </c>
      <c r="N2157" s="2">
        <f t="shared" si="920"/>
        <v>0.80136391440838373</v>
      </c>
      <c r="P2157" s="5">
        <f t="shared" si="921"/>
        <v>6095.4658974990325</v>
      </c>
    </row>
    <row r="2158" spans="1:16" x14ac:dyDescent="0.35">
      <c r="A2158" t="s">
        <v>35</v>
      </c>
      <c r="B2158" t="s">
        <v>26</v>
      </c>
      <c r="C2158">
        <v>2005</v>
      </c>
      <c r="D2158" t="s">
        <v>30</v>
      </c>
      <c r="E2158" s="3">
        <f>36762+20879</f>
        <v>57641</v>
      </c>
      <c r="F2158" s="3">
        <f>18912+29842</f>
        <v>48754</v>
      </c>
      <c r="G2158" s="1">
        <f t="shared" si="915"/>
        <v>106395</v>
      </c>
      <c r="H2158" s="2">
        <f t="shared" si="916"/>
        <v>0.5417641806475868</v>
      </c>
      <c r="I2158" s="2">
        <f t="shared" si="917"/>
        <v>0.4582358193524132</v>
      </c>
      <c r="J2158" s="3">
        <f>22252+107031</f>
        <v>129283</v>
      </c>
      <c r="K2158" s="3">
        <f>16210+549074</f>
        <v>565284</v>
      </c>
      <c r="L2158" s="1">
        <f t="shared" si="918"/>
        <v>694567</v>
      </c>
      <c r="M2158" s="2">
        <f t="shared" si="919"/>
        <v>0.18613467095327016</v>
      </c>
      <c r="N2158" s="2">
        <f t="shared" si="920"/>
        <v>0.81386532904672981</v>
      </c>
      <c r="P2158" s="5">
        <f t="shared" si="921"/>
        <v>6528.1921142910851</v>
      </c>
    </row>
    <row r="2159" spans="1:16" x14ac:dyDescent="0.35">
      <c r="A2159" t="s">
        <v>35</v>
      </c>
      <c r="B2159" t="s">
        <v>27</v>
      </c>
      <c r="C2159">
        <v>2005</v>
      </c>
      <c r="D2159" t="s">
        <v>30</v>
      </c>
      <c r="E2159" s="3">
        <f>36245+20366</f>
        <v>56611</v>
      </c>
      <c r="F2159" s="3">
        <f>19235+29810</f>
        <v>49045</v>
      </c>
      <c r="G2159" s="1">
        <f t="shared" si="915"/>
        <v>105656</v>
      </c>
      <c r="H2159" s="2">
        <f t="shared" si="916"/>
        <v>0.53580487620201411</v>
      </c>
      <c r="I2159" s="2">
        <f t="shared" si="917"/>
        <v>0.46419512379798594</v>
      </c>
      <c r="J2159" s="3">
        <f>19532+90698</f>
        <v>110230</v>
      </c>
      <c r="K2159" s="3">
        <f>14775+479867</f>
        <v>494642</v>
      </c>
      <c r="L2159" s="1">
        <f t="shared" si="918"/>
        <v>604872</v>
      </c>
      <c r="M2159" s="2">
        <f t="shared" si="919"/>
        <v>0.18223690301419143</v>
      </c>
      <c r="N2159" s="2">
        <f t="shared" si="920"/>
        <v>0.81776309698580851</v>
      </c>
      <c r="P2159" s="5">
        <f t="shared" si="921"/>
        <v>5724.9186037707277</v>
      </c>
    </row>
    <row r="2160" spans="1:16" x14ac:dyDescent="0.35">
      <c r="A2160" t="s">
        <v>35</v>
      </c>
      <c r="B2160" t="s">
        <v>28</v>
      </c>
      <c r="C2160">
        <v>2005</v>
      </c>
      <c r="D2160" t="s">
        <v>30</v>
      </c>
      <c r="E2160" s="3">
        <f>34043+19297</f>
        <v>53340</v>
      </c>
      <c r="F2160" s="3">
        <f>18374+28483</f>
        <v>46857</v>
      </c>
      <c r="G2160" s="1">
        <f t="shared" si="915"/>
        <v>100197</v>
      </c>
      <c r="H2160" s="2">
        <f t="shared" si="916"/>
        <v>0.53235126800203603</v>
      </c>
      <c r="I2160" s="2">
        <f t="shared" si="917"/>
        <v>0.46764873199796403</v>
      </c>
      <c r="J2160" s="3">
        <f>15257+69921</f>
        <v>85178</v>
      </c>
      <c r="K2160" s="3">
        <f>12275+391327</f>
        <v>403602</v>
      </c>
      <c r="L2160" s="1">
        <f t="shared" si="918"/>
        <v>488780</v>
      </c>
      <c r="M2160" s="2">
        <f t="shared" si="919"/>
        <v>0.17426654118417284</v>
      </c>
      <c r="N2160" s="2">
        <f t="shared" si="920"/>
        <v>0.82573345881582716</v>
      </c>
      <c r="P2160" s="5">
        <f t="shared" si="921"/>
        <v>4878.1899657674385</v>
      </c>
    </row>
    <row r="2161" spans="1:16" x14ac:dyDescent="0.35">
      <c r="A2161" t="s">
        <v>35</v>
      </c>
      <c r="B2161" t="s">
        <v>29</v>
      </c>
      <c r="C2161">
        <v>2005</v>
      </c>
      <c r="D2161" t="s">
        <v>30</v>
      </c>
      <c r="E2161" s="3">
        <f>33648+18963</f>
        <v>52611</v>
      </c>
      <c r="F2161" s="3">
        <f>18808+28465</f>
        <v>47273</v>
      </c>
      <c r="G2161" s="1">
        <f t="shared" si="915"/>
        <v>99884</v>
      </c>
      <c r="H2161" s="2">
        <f t="shared" si="916"/>
        <v>0.52672099635577274</v>
      </c>
      <c r="I2161" s="2">
        <f t="shared" si="917"/>
        <v>0.47327900364422731</v>
      </c>
      <c r="J2161" s="3">
        <f>15681+68446</f>
        <v>84127</v>
      </c>
      <c r="K2161" s="3">
        <f>13015+376990</f>
        <v>390005</v>
      </c>
      <c r="L2161" s="1">
        <f t="shared" si="918"/>
        <v>474132</v>
      </c>
      <c r="M2161" s="2">
        <f t="shared" si="919"/>
        <v>0.17743371044350517</v>
      </c>
      <c r="N2161" s="2">
        <f t="shared" si="920"/>
        <v>0.8225662895564948</v>
      </c>
      <c r="P2161" s="5">
        <f t="shared" si="921"/>
        <v>4746.8263185294945</v>
      </c>
    </row>
    <row r="2162" spans="1:16" x14ac:dyDescent="0.35">
      <c r="A2162" t="s">
        <v>35</v>
      </c>
      <c r="B2162" t="s">
        <v>17</v>
      </c>
      <c r="C2162">
        <v>2006</v>
      </c>
      <c r="D2162" t="s">
        <v>30</v>
      </c>
      <c r="E2162" s="3">
        <f>35187+20299</f>
        <v>55486</v>
      </c>
      <c r="F2162" s="3">
        <f>19672+30027</f>
        <v>49699</v>
      </c>
      <c r="G2162" s="1">
        <f t="shared" si="915"/>
        <v>105185</v>
      </c>
      <c r="H2162" s="2">
        <f t="shared" si="916"/>
        <v>0.5275086751913296</v>
      </c>
      <c r="I2162" s="2">
        <f t="shared" si="917"/>
        <v>0.47249132480867045</v>
      </c>
      <c r="J2162" s="3">
        <f>16667+71184</f>
        <v>87851</v>
      </c>
      <c r="K2162" s="3">
        <f>13590+379111</f>
        <v>392701</v>
      </c>
      <c r="L2162" s="1">
        <f t="shared" si="918"/>
        <v>480552</v>
      </c>
      <c r="M2162" s="2">
        <f t="shared" si="919"/>
        <v>0.18281268208227205</v>
      </c>
      <c r="N2162" s="2">
        <f t="shared" si="920"/>
        <v>0.81718731791772792</v>
      </c>
      <c r="P2162" s="5">
        <f t="shared" si="921"/>
        <v>4568.6362123876979</v>
      </c>
    </row>
    <row r="2163" spans="1:16" x14ac:dyDescent="0.35">
      <c r="A2163" t="s">
        <v>35</v>
      </c>
      <c r="B2163" t="s">
        <v>19</v>
      </c>
      <c r="C2163">
        <v>2006</v>
      </c>
      <c r="D2163" t="s">
        <v>30</v>
      </c>
      <c r="E2163" s="3">
        <f>33372+19138</f>
        <v>52510</v>
      </c>
      <c r="F2163" s="3">
        <f>18758+28875</f>
        <v>47633</v>
      </c>
      <c r="G2163" s="1">
        <f t="shared" si="915"/>
        <v>100143</v>
      </c>
      <c r="H2163" s="2">
        <f t="shared" si="916"/>
        <v>0.52435017924368155</v>
      </c>
      <c r="I2163" s="2">
        <f t="shared" si="917"/>
        <v>0.47564982075631845</v>
      </c>
      <c r="J2163" s="3">
        <f>14112+61679</f>
        <v>75791</v>
      </c>
      <c r="K2163" s="3">
        <f>11827+341846</f>
        <v>353673</v>
      </c>
      <c r="L2163" s="1">
        <f t="shared" si="918"/>
        <v>429464</v>
      </c>
      <c r="M2163" s="2">
        <f t="shared" si="919"/>
        <v>0.17647812156548628</v>
      </c>
      <c r="N2163" s="2">
        <f t="shared" si="920"/>
        <v>0.82352187843451374</v>
      </c>
      <c r="P2163" s="5">
        <f t="shared" si="921"/>
        <v>4288.507434368853</v>
      </c>
    </row>
    <row r="2164" spans="1:16" x14ac:dyDescent="0.35">
      <c r="A2164" t="s">
        <v>35</v>
      </c>
      <c r="B2164" t="s">
        <v>20</v>
      </c>
      <c r="C2164">
        <v>2006</v>
      </c>
      <c r="D2164" t="s">
        <v>30</v>
      </c>
      <c r="E2164" s="3">
        <f>37805+22276</f>
        <v>60081</v>
      </c>
      <c r="F2164" s="3">
        <f>22193+34115</f>
        <v>56308</v>
      </c>
      <c r="G2164" s="1">
        <f t="shared" si="915"/>
        <v>116389</v>
      </c>
      <c r="H2164" s="2">
        <f t="shared" si="916"/>
        <v>0.51620857641186024</v>
      </c>
      <c r="I2164" s="2">
        <f t="shared" si="917"/>
        <v>0.48379142358813976</v>
      </c>
      <c r="J2164" s="3">
        <f>16381+76900</f>
        <v>93281</v>
      </c>
      <c r="K2164" s="3">
        <f>14326+428516</f>
        <v>442842</v>
      </c>
      <c r="L2164" s="1">
        <f t="shared" si="918"/>
        <v>536123</v>
      </c>
      <c r="M2164" s="2">
        <f t="shared" si="919"/>
        <v>0.17399178919762814</v>
      </c>
      <c r="N2164" s="2">
        <f t="shared" si="920"/>
        <v>0.82600821080237186</v>
      </c>
      <c r="P2164" s="5">
        <f t="shared" si="921"/>
        <v>4606.3030011427199</v>
      </c>
    </row>
    <row r="2165" spans="1:16" x14ac:dyDescent="0.35">
      <c r="A2165" t="s">
        <v>35</v>
      </c>
      <c r="B2165" t="s">
        <v>21</v>
      </c>
      <c r="C2165">
        <v>2006</v>
      </c>
      <c r="D2165" t="s">
        <v>30</v>
      </c>
      <c r="E2165" s="3">
        <f>32392+18645</f>
        <v>51037</v>
      </c>
      <c r="F2165" s="3">
        <f>19447+28859</f>
        <v>48306</v>
      </c>
      <c r="G2165" s="1">
        <f t="shared" si="915"/>
        <v>99343</v>
      </c>
      <c r="H2165" s="2">
        <f t="shared" si="916"/>
        <v>0.51374530666478768</v>
      </c>
      <c r="I2165" s="2">
        <f t="shared" si="917"/>
        <v>0.48625469333521232</v>
      </c>
      <c r="J2165" s="3">
        <f>14164+64634</f>
        <v>78798</v>
      </c>
      <c r="K2165" s="3">
        <f>12722+381999</f>
        <v>394721</v>
      </c>
      <c r="L2165" s="1">
        <f t="shared" si="918"/>
        <v>473519</v>
      </c>
      <c r="M2165" s="2">
        <f t="shared" si="919"/>
        <v>0.16640937322472804</v>
      </c>
      <c r="N2165" s="2">
        <f t="shared" si="920"/>
        <v>0.83359062677527196</v>
      </c>
      <c r="P2165" s="5">
        <f t="shared" si="921"/>
        <v>4766.5059440524246</v>
      </c>
    </row>
    <row r="2166" spans="1:16" x14ac:dyDescent="0.35">
      <c r="A2166" t="s">
        <v>35</v>
      </c>
      <c r="B2166" t="s">
        <v>22</v>
      </c>
      <c r="C2166">
        <v>2006</v>
      </c>
      <c r="D2166" t="s">
        <v>30</v>
      </c>
      <c r="E2166" s="3">
        <f>35225+20607</f>
        <v>55832</v>
      </c>
      <c r="F2166" s="3">
        <f>22247+32986</f>
        <v>55233</v>
      </c>
      <c r="G2166" s="1">
        <f t="shared" si="915"/>
        <v>111065</v>
      </c>
      <c r="H2166" s="2">
        <f t="shared" si="916"/>
        <v>0.5026966190969252</v>
      </c>
      <c r="I2166" s="2">
        <f t="shared" si="917"/>
        <v>0.4973033809030748</v>
      </c>
      <c r="J2166" s="3">
        <f>17582+88631</f>
        <v>106213</v>
      </c>
      <c r="K2166" s="3">
        <f>499976+16297</f>
        <v>516273</v>
      </c>
      <c r="L2166" s="1">
        <f t="shared" si="918"/>
        <v>622486</v>
      </c>
      <c r="M2166" s="2">
        <f t="shared" si="919"/>
        <v>0.17062713057000478</v>
      </c>
      <c r="N2166" s="2">
        <f t="shared" si="920"/>
        <v>0.82937286942999522</v>
      </c>
      <c r="P2166" s="5">
        <f t="shared" si="921"/>
        <v>5604.6999504794494</v>
      </c>
    </row>
    <row r="2167" spans="1:16" x14ac:dyDescent="0.35">
      <c r="A2167" t="s">
        <v>35</v>
      </c>
      <c r="B2167" t="s">
        <v>23</v>
      </c>
      <c r="C2167">
        <v>2006</v>
      </c>
      <c r="D2167" t="s">
        <v>30</v>
      </c>
      <c r="E2167" s="3">
        <f>34792+20117</f>
        <v>54909</v>
      </c>
      <c r="F2167" s="3">
        <f>22646+32632</f>
        <v>55278</v>
      </c>
      <c r="G2167" s="1">
        <f t="shared" ref="G2167:G2230" si="922">SUM(E2167:F2167)</f>
        <v>110187</v>
      </c>
      <c r="H2167" s="2">
        <f t="shared" ref="H2167:H2230" si="923">SUM(E2167)/G2167</f>
        <v>0.49832557379727194</v>
      </c>
      <c r="I2167" s="2">
        <f t="shared" ref="I2167:I2230" si="924">SUM(F2167/G2167)</f>
        <v>0.50167442620272806</v>
      </c>
      <c r="J2167" s="3">
        <f>18928+92382</f>
        <v>111310</v>
      </c>
      <c r="K2167" s="3">
        <f>17670+520593</f>
        <v>538263</v>
      </c>
      <c r="L2167" s="1">
        <f t="shared" si="918"/>
        <v>649573</v>
      </c>
      <c r="M2167" s="2">
        <f t="shared" si="919"/>
        <v>0.17135872334595187</v>
      </c>
      <c r="N2167" s="2">
        <f t="shared" si="920"/>
        <v>0.82864127665404808</v>
      </c>
      <c r="P2167" s="5">
        <f t="shared" si="921"/>
        <v>5895.1872725457633</v>
      </c>
    </row>
    <row r="2168" spans="1:16" x14ac:dyDescent="0.35">
      <c r="A2168" t="s">
        <v>35</v>
      </c>
      <c r="B2168" t="s">
        <v>24</v>
      </c>
      <c r="C2168">
        <v>2006</v>
      </c>
      <c r="D2168" t="s">
        <v>30</v>
      </c>
      <c r="E2168" s="3">
        <f>31704+18160</f>
        <v>49864</v>
      </c>
      <c r="F2168" s="3">
        <f>21234+30461</f>
        <v>51695</v>
      </c>
      <c r="G2168" s="1">
        <f t="shared" si="922"/>
        <v>101559</v>
      </c>
      <c r="H2168" s="2">
        <f t="shared" si="923"/>
        <v>0.49098553550153112</v>
      </c>
      <c r="I2168" s="2">
        <f t="shared" si="924"/>
        <v>0.50901446449846888</v>
      </c>
      <c r="J2168" s="3">
        <f>17967+88226</f>
        <v>106193</v>
      </c>
      <c r="K2168" s="3">
        <f>17638+498722</f>
        <v>516360</v>
      </c>
      <c r="L2168" s="1">
        <f t="shared" si="918"/>
        <v>622553</v>
      </c>
      <c r="M2168" s="2">
        <f t="shared" si="919"/>
        <v>0.17057664166745642</v>
      </c>
      <c r="N2168" s="2">
        <f t="shared" si="920"/>
        <v>0.82942335833254355</v>
      </c>
      <c r="P2168" s="5">
        <f t="shared" si="921"/>
        <v>6129.9638633700606</v>
      </c>
    </row>
    <row r="2169" spans="1:16" x14ac:dyDescent="0.35">
      <c r="A2169" t="s">
        <v>35</v>
      </c>
      <c r="B2169" t="s">
        <v>25</v>
      </c>
      <c r="C2169">
        <v>2006</v>
      </c>
      <c r="D2169" t="s">
        <v>30</v>
      </c>
      <c r="E2169" s="3">
        <f>35677+20203</f>
        <v>55880</v>
      </c>
      <c r="F2169" s="3">
        <f>24382+34658</f>
        <v>59040</v>
      </c>
      <c r="G2169" s="1">
        <f t="shared" si="922"/>
        <v>114920</v>
      </c>
      <c r="H2169" s="2">
        <f t="shared" si="923"/>
        <v>0.48625130525583016</v>
      </c>
      <c r="I2169" s="2">
        <f t="shared" si="924"/>
        <v>0.51374869474416984</v>
      </c>
      <c r="J2169" s="3">
        <f>20194+92381</f>
        <v>112575</v>
      </c>
      <c r="K2169" s="3">
        <f>20150+569614</f>
        <v>589764</v>
      </c>
      <c r="L2169" s="1">
        <f t="shared" si="918"/>
        <v>702339</v>
      </c>
      <c r="M2169" s="2">
        <f t="shared" si="919"/>
        <v>0.16028584486978512</v>
      </c>
      <c r="N2169" s="2">
        <f t="shared" si="920"/>
        <v>0.83971415513021486</v>
      </c>
      <c r="P2169" s="5">
        <f t="shared" si="921"/>
        <v>6111.5471632439958</v>
      </c>
    </row>
    <row r="2170" spans="1:16" x14ac:dyDescent="0.35">
      <c r="A2170" t="s">
        <v>35</v>
      </c>
      <c r="B2170" t="s">
        <v>26</v>
      </c>
      <c r="C2170">
        <v>2006</v>
      </c>
      <c r="D2170" t="s">
        <v>30</v>
      </c>
      <c r="E2170" s="3">
        <f>30857+17759</f>
        <v>48616</v>
      </c>
      <c r="F2170" s="3">
        <f>22052+31174</f>
        <v>53226</v>
      </c>
      <c r="G2170" s="1">
        <f t="shared" si="922"/>
        <v>101842</v>
      </c>
      <c r="H2170" s="2">
        <f t="shared" si="923"/>
        <v>0.4773669016712162</v>
      </c>
      <c r="I2170" s="2">
        <f t="shared" si="924"/>
        <v>0.5226330983287838</v>
      </c>
      <c r="J2170" s="3">
        <f>18137+82342</f>
        <v>100479</v>
      </c>
      <c r="K2170" s="3">
        <f>18508+540801</f>
        <v>559309</v>
      </c>
      <c r="L2170" s="1">
        <f t="shared" si="918"/>
        <v>659788</v>
      </c>
      <c r="M2170" s="2">
        <f t="shared" si="919"/>
        <v>0.15228982642909542</v>
      </c>
      <c r="N2170" s="2">
        <f t="shared" si="920"/>
        <v>0.84771017357090461</v>
      </c>
      <c r="P2170" s="5">
        <f t="shared" si="921"/>
        <v>6478.5451974627367</v>
      </c>
    </row>
    <row r="2171" spans="1:16" x14ac:dyDescent="0.35">
      <c r="A2171" t="s">
        <v>35</v>
      </c>
      <c r="B2171" t="s">
        <v>27</v>
      </c>
      <c r="C2171">
        <v>2006</v>
      </c>
      <c r="D2171" t="s">
        <v>30</v>
      </c>
      <c r="E2171" s="3">
        <f>33074+18801</f>
        <v>51875</v>
      </c>
      <c r="F2171" s="3">
        <f>24980+34332</f>
        <v>59312</v>
      </c>
      <c r="G2171" s="1">
        <f t="shared" si="922"/>
        <v>111187</v>
      </c>
      <c r="H2171" s="2">
        <f t="shared" si="923"/>
        <v>0.4665563420184014</v>
      </c>
      <c r="I2171" s="2">
        <f t="shared" si="924"/>
        <v>0.53344365798159854</v>
      </c>
      <c r="J2171" s="3">
        <f>16791+73437</f>
        <v>90228</v>
      </c>
      <c r="K2171" s="3">
        <f>513970+243501</f>
        <v>757471</v>
      </c>
      <c r="L2171" s="1">
        <f t="shared" si="918"/>
        <v>847699</v>
      </c>
      <c r="M2171" s="2">
        <f t="shared" si="919"/>
        <v>0.1064387241225954</v>
      </c>
      <c r="N2171" s="2">
        <f t="shared" si="920"/>
        <v>0.89356127587740464</v>
      </c>
      <c r="P2171" s="5">
        <f t="shared" si="921"/>
        <v>7624.0837507982051</v>
      </c>
    </row>
    <row r="2172" spans="1:16" x14ac:dyDescent="0.35">
      <c r="A2172" t="s">
        <v>35</v>
      </c>
      <c r="B2172" t="s">
        <v>28</v>
      </c>
      <c r="C2172">
        <v>2006</v>
      </c>
      <c r="D2172" t="s">
        <v>30</v>
      </c>
      <c r="E2172" s="3">
        <f>29535+16958</f>
        <v>46493</v>
      </c>
      <c r="F2172" s="3">
        <f>23161+32076</f>
        <v>55237</v>
      </c>
      <c r="G2172" s="1">
        <f t="shared" si="922"/>
        <v>101730</v>
      </c>
      <c r="H2172" s="2">
        <f t="shared" si="923"/>
        <v>0.45702349356138799</v>
      </c>
      <c r="I2172" s="2">
        <f t="shared" si="924"/>
        <v>0.54297650643861206</v>
      </c>
      <c r="J2172" s="3">
        <f>12890+59040</f>
        <v>71930</v>
      </c>
      <c r="K2172" s="3">
        <f>421930+194338</f>
        <v>616268</v>
      </c>
      <c r="L2172" s="1">
        <f t="shared" si="918"/>
        <v>688198</v>
      </c>
      <c r="M2172" s="2">
        <f t="shared" si="919"/>
        <v>0.10451933891118545</v>
      </c>
      <c r="N2172" s="2">
        <f t="shared" si="920"/>
        <v>0.89548066108881452</v>
      </c>
      <c r="P2172" s="5">
        <f t="shared" si="921"/>
        <v>6764.9464268160818</v>
      </c>
    </row>
    <row r="2173" spans="1:16" x14ac:dyDescent="0.35">
      <c r="A2173" t="s">
        <v>35</v>
      </c>
      <c r="B2173" t="s">
        <v>29</v>
      </c>
      <c r="C2173">
        <v>2006</v>
      </c>
      <c r="D2173" t="s">
        <v>30</v>
      </c>
      <c r="E2173" s="3">
        <f>28009+15461</f>
        <v>43470</v>
      </c>
      <c r="F2173" s="3">
        <f>21981+30194</f>
        <v>52175</v>
      </c>
      <c r="G2173" s="1">
        <f t="shared" si="922"/>
        <v>95645</v>
      </c>
      <c r="H2173" s="2">
        <f t="shared" si="923"/>
        <v>0.45449317789743321</v>
      </c>
      <c r="I2173" s="2">
        <f t="shared" si="924"/>
        <v>0.54550682210256674</v>
      </c>
      <c r="J2173" s="3">
        <f>12440+53216</f>
        <v>65656</v>
      </c>
      <c r="K2173" s="3">
        <f>388715+177449</f>
        <v>566164</v>
      </c>
      <c r="L2173" s="1">
        <f t="shared" si="918"/>
        <v>631820</v>
      </c>
      <c r="M2173" s="2">
        <f t="shared" si="919"/>
        <v>0.10391567218511602</v>
      </c>
      <c r="N2173" s="2">
        <f t="shared" si="920"/>
        <v>0.89608432781488401</v>
      </c>
      <c r="P2173" s="5">
        <f t="shared" si="921"/>
        <v>6605.8863505672016</v>
      </c>
    </row>
    <row r="2174" spans="1:16" x14ac:dyDescent="0.35">
      <c r="A2174" t="s">
        <v>35</v>
      </c>
      <c r="B2174" t="s">
        <v>17</v>
      </c>
      <c r="C2174">
        <v>2007</v>
      </c>
      <c r="D2174" t="s">
        <v>30</v>
      </c>
      <c r="E2174" s="3">
        <f>30717+17418</f>
        <v>48135</v>
      </c>
      <c r="F2174" s="3">
        <f>24987+34646</f>
        <v>59633</v>
      </c>
      <c r="G2174" s="1">
        <f t="shared" si="922"/>
        <v>107768</v>
      </c>
      <c r="H2174" s="2">
        <f t="shared" si="923"/>
        <v>0.44665392324252096</v>
      </c>
      <c r="I2174" s="2">
        <f t="shared" si="924"/>
        <v>0.55334607675747904</v>
      </c>
      <c r="J2174" s="3">
        <f>14399+61159</f>
        <v>75558</v>
      </c>
      <c r="K2174" s="3">
        <f>16949+425613</f>
        <v>442562</v>
      </c>
      <c r="L2174" s="1">
        <f t="shared" si="918"/>
        <v>518120</v>
      </c>
      <c r="M2174" s="2">
        <f t="shared" si="919"/>
        <v>0.14583108160271752</v>
      </c>
      <c r="N2174" s="2">
        <f t="shared" si="920"/>
        <v>0.85416891839728248</v>
      </c>
      <c r="P2174" s="5">
        <f t="shared" si="921"/>
        <v>4807.7351347338727</v>
      </c>
    </row>
    <row r="2175" spans="1:16" x14ac:dyDescent="0.35">
      <c r="A2175" t="s">
        <v>35</v>
      </c>
      <c r="B2175" t="s">
        <v>19</v>
      </c>
      <c r="C2175">
        <v>2007</v>
      </c>
      <c r="D2175" t="s">
        <v>30</v>
      </c>
      <c r="E2175" s="3">
        <f>27275+15993</f>
        <v>43268</v>
      </c>
      <c r="F2175" s="3">
        <f>24648+32674</f>
        <v>57322</v>
      </c>
      <c r="G2175" s="1">
        <f t="shared" si="922"/>
        <v>100590</v>
      </c>
      <c r="H2175" s="2">
        <f t="shared" si="923"/>
        <v>0.43014216124863308</v>
      </c>
      <c r="I2175" s="2">
        <f t="shared" si="924"/>
        <v>0.56985783875136697</v>
      </c>
      <c r="J2175" s="3">
        <f>11359+51743</f>
        <v>63102</v>
      </c>
      <c r="K2175" s="3">
        <f>373176+16474</f>
        <v>389650</v>
      </c>
      <c r="L2175" s="1">
        <f t="shared" si="918"/>
        <v>452752</v>
      </c>
      <c r="M2175" s="2">
        <f t="shared" si="919"/>
        <v>0.13937431529844152</v>
      </c>
      <c r="N2175" s="2">
        <f t="shared" si="920"/>
        <v>0.86062568470155842</v>
      </c>
      <c r="P2175" s="5">
        <f t="shared" si="921"/>
        <v>4500.9643105676505</v>
      </c>
    </row>
    <row r="2176" spans="1:16" x14ac:dyDescent="0.35">
      <c r="A2176" t="s">
        <v>35</v>
      </c>
      <c r="B2176" t="s">
        <v>20</v>
      </c>
      <c r="C2176">
        <v>2007</v>
      </c>
      <c r="D2176" t="s">
        <v>30</v>
      </c>
      <c r="E2176" s="3">
        <f>29689+18295</f>
        <v>47984</v>
      </c>
      <c r="F2176" s="3">
        <f>27397+37341</f>
        <v>64738</v>
      </c>
      <c r="G2176" s="1">
        <f t="shared" si="922"/>
        <v>112722</v>
      </c>
      <c r="H2176" s="2">
        <f t="shared" si="923"/>
        <v>0.42568442717481947</v>
      </c>
      <c r="I2176" s="2">
        <f t="shared" si="924"/>
        <v>0.57431557282518053</v>
      </c>
      <c r="J2176" s="3">
        <f>10594+57018</f>
        <v>67612</v>
      </c>
      <c r="K2176" s="3">
        <f>17723+428246</f>
        <v>445969</v>
      </c>
      <c r="L2176" s="1">
        <f t="shared" si="918"/>
        <v>513581</v>
      </c>
      <c r="M2176" s="2">
        <f t="shared" si="919"/>
        <v>0.13164817234282422</v>
      </c>
      <c r="N2176" s="2">
        <f t="shared" si="920"/>
        <v>0.86835182765717578</v>
      </c>
      <c r="P2176" s="5">
        <f t="shared" si="921"/>
        <v>4556.1735952165509</v>
      </c>
    </row>
    <row r="2177" spans="1:16" x14ac:dyDescent="0.35">
      <c r="A2177" t="s">
        <v>35</v>
      </c>
      <c r="B2177" t="s">
        <v>21</v>
      </c>
      <c r="C2177">
        <v>2007</v>
      </c>
      <c r="D2177" t="s">
        <v>30</v>
      </c>
      <c r="E2177" s="3">
        <f>27018+15978</f>
        <v>42996</v>
      </c>
      <c r="F2177" s="3">
        <f>24925+33421</f>
        <v>58346</v>
      </c>
      <c r="G2177" s="1">
        <f t="shared" si="922"/>
        <v>101342</v>
      </c>
      <c r="H2177" s="2">
        <f t="shared" si="923"/>
        <v>0.42426634564149118</v>
      </c>
      <c r="I2177" s="2">
        <f t="shared" si="924"/>
        <v>0.57573365435850876</v>
      </c>
      <c r="J2177" s="3">
        <f>9986+50885</f>
        <v>60871</v>
      </c>
      <c r="K2177" s="3">
        <f>16615+413415</f>
        <v>430030</v>
      </c>
      <c r="L2177" s="1">
        <f t="shared" si="918"/>
        <v>490901</v>
      </c>
      <c r="M2177" s="2">
        <f t="shared" si="919"/>
        <v>0.12399852516087766</v>
      </c>
      <c r="N2177" s="2">
        <f t="shared" si="920"/>
        <v>0.87600147483912238</v>
      </c>
      <c r="P2177" s="5">
        <f t="shared" si="921"/>
        <v>4844.0034733871444</v>
      </c>
    </row>
    <row r="2178" spans="1:16" x14ac:dyDescent="0.35">
      <c r="A2178" t="s">
        <v>35</v>
      </c>
      <c r="B2178" t="s">
        <v>22</v>
      </c>
      <c r="C2178">
        <v>2007</v>
      </c>
      <c r="D2178" t="s">
        <v>30</v>
      </c>
      <c r="E2178" s="3">
        <f>29354+17755</f>
        <v>47109</v>
      </c>
      <c r="F2178" s="3">
        <f>28041+37845</f>
        <v>65886</v>
      </c>
      <c r="G2178" s="1">
        <f t="shared" si="922"/>
        <v>112995</v>
      </c>
      <c r="H2178" s="2">
        <f t="shared" si="923"/>
        <v>0.41691225275454669</v>
      </c>
      <c r="I2178" s="2">
        <f t="shared" si="924"/>
        <v>0.58308774724545331</v>
      </c>
      <c r="J2178" s="3">
        <f>11733+64610</f>
        <v>76343</v>
      </c>
      <c r="K2178" s="3">
        <f>19057+498722</f>
        <v>517779</v>
      </c>
      <c r="L2178" s="1">
        <f t="shared" si="918"/>
        <v>594122</v>
      </c>
      <c r="M2178" s="2">
        <f t="shared" si="919"/>
        <v>0.1284971773474135</v>
      </c>
      <c r="N2178" s="2">
        <f t="shared" si="920"/>
        <v>0.8715028226525865</v>
      </c>
      <c r="P2178" s="5">
        <f t="shared" si="921"/>
        <v>5257.9494667905656</v>
      </c>
    </row>
    <row r="2179" spans="1:16" x14ac:dyDescent="0.35">
      <c r="A2179" t="s">
        <v>35</v>
      </c>
      <c r="B2179" t="s">
        <v>23</v>
      </c>
      <c r="C2179">
        <v>2007</v>
      </c>
      <c r="D2179" t="s">
        <v>30</v>
      </c>
      <c r="E2179" s="3">
        <f>28286+16476</f>
        <v>44762</v>
      </c>
      <c r="F2179" s="3">
        <f>27061+36183</f>
        <v>63244</v>
      </c>
      <c r="G2179" s="1">
        <f t="shared" si="922"/>
        <v>108006</v>
      </c>
      <c r="H2179" s="2">
        <f t="shared" si="923"/>
        <v>0.41443993852193395</v>
      </c>
      <c r="I2179" s="2">
        <f t="shared" si="924"/>
        <v>0.58556006147806605</v>
      </c>
      <c r="J2179" s="3">
        <f>13297+64898</f>
        <v>78195</v>
      </c>
      <c r="K2179" s="3">
        <f>20071+524585</f>
        <v>544656</v>
      </c>
      <c r="L2179" s="1">
        <f t="shared" ref="L2179:L2242" si="925">SUM(J2179:K2179)</f>
        <v>622851</v>
      </c>
      <c r="M2179" s="2">
        <f t="shared" ref="M2179:M2242" si="926">SUM(J2179)/L2179</f>
        <v>0.12554366935270234</v>
      </c>
      <c r="N2179" s="2">
        <f t="shared" ref="N2179:N2242" si="927">SUM(K2179/L2179)</f>
        <v>0.87445633064729766</v>
      </c>
      <c r="P2179" s="5">
        <f t="shared" si="921"/>
        <v>5766.8185100827732</v>
      </c>
    </row>
    <row r="2180" spans="1:16" x14ac:dyDescent="0.35">
      <c r="A2180" t="s">
        <v>35</v>
      </c>
      <c r="B2180" t="s">
        <v>24</v>
      </c>
      <c r="C2180">
        <v>2007</v>
      </c>
      <c r="D2180" t="s">
        <v>30</v>
      </c>
      <c r="E2180" s="3">
        <f>27882+16124</f>
        <v>44006</v>
      </c>
      <c r="F2180" s="3">
        <f>27609+36642</f>
        <v>64251</v>
      </c>
      <c r="G2180" s="1">
        <f t="shared" si="922"/>
        <v>108257</v>
      </c>
      <c r="H2180" s="2">
        <f t="shared" si="923"/>
        <v>0.40649565386072034</v>
      </c>
      <c r="I2180" s="2">
        <f t="shared" si="924"/>
        <v>0.59350434613927971</v>
      </c>
      <c r="J2180" s="8">
        <f>13575+69217</f>
        <v>82792</v>
      </c>
      <c r="K2180" s="8">
        <f>21430+538563</f>
        <v>559993</v>
      </c>
      <c r="L2180" s="1">
        <f t="shared" si="925"/>
        <v>642785</v>
      </c>
      <c r="M2180" s="2">
        <f t="shared" si="926"/>
        <v>0.12880201000334482</v>
      </c>
      <c r="N2180" s="2">
        <f t="shared" si="927"/>
        <v>0.87119798999665521</v>
      </c>
      <c r="P2180" s="5">
        <f t="shared" ref="P2180:P2243" si="928">SUM(1000*L2180)/G2180</f>
        <v>5937.5837128315025</v>
      </c>
    </row>
    <row r="2181" spans="1:16" x14ac:dyDescent="0.35">
      <c r="A2181" t="s">
        <v>35</v>
      </c>
      <c r="B2181" t="s">
        <v>25</v>
      </c>
      <c r="C2181">
        <v>2007</v>
      </c>
      <c r="D2181" t="s">
        <v>30</v>
      </c>
      <c r="E2181" s="3">
        <f>29583+17045</f>
        <v>46628</v>
      </c>
      <c r="F2181" s="3">
        <f>30227+39840</f>
        <v>70067</v>
      </c>
      <c r="G2181" s="1">
        <f t="shared" si="922"/>
        <v>116695</v>
      </c>
      <c r="H2181" s="2">
        <f t="shared" si="923"/>
        <v>0.39957153262779038</v>
      </c>
      <c r="I2181" s="2">
        <f t="shared" si="924"/>
        <v>0.60042846737220956</v>
      </c>
      <c r="J2181" s="8">
        <f>13884+70612</f>
        <v>84496</v>
      </c>
      <c r="K2181" s="8">
        <f>23333+571927</f>
        <v>595260</v>
      </c>
      <c r="L2181" s="1">
        <f t="shared" si="925"/>
        <v>679756</v>
      </c>
      <c r="M2181" s="2">
        <f t="shared" si="926"/>
        <v>0.12430342652363495</v>
      </c>
      <c r="N2181" s="2">
        <f t="shared" si="927"/>
        <v>0.87569657347636509</v>
      </c>
      <c r="P2181" s="5">
        <f t="shared" si="928"/>
        <v>5825.0653412742622</v>
      </c>
    </row>
    <row r="2182" spans="1:16" x14ac:dyDescent="0.35">
      <c r="A2182" t="s">
        <v>35</v>
      </c>
      <c r="B2182" t="s">
        <v>26</v>
      </c>
      <c r="C2182">
        <v>2007</v>
      </c>
      <c r="D2182" t="s">
        <v>30</v>
      </c>
      <c r="E2182" s="3">
        <f>24667+14036</f>
        <v>38703</v>
      </c>
      <c r="F2182" s="3">
        <f>25760+34391</f>
        <v>60151</v>
      </c>
      <c r="G2182" s="1">
        <f t="shared" si="922"/>
        <v>98854</v>
      </c>
      <c r="H2182" s="2">
        <f t="shared" si="923"/>
        <v>0.39151678232544967</v>
      </c>
      <c r="I2182" s="2">
        <f t="shared" si="924"/>
        <v>0.60848321767455038</v>
      </c>
      <c r="J2182" s="8">
        <f>11793+59556</f>
        <v>71349</v>
      </c>
      <c r="K2182" s="8">
        <f>20368+527125</f>
        <v>547493</v>
      </c>
      <c r="L2182" s="1">
        <f t="shared" si="925"/>
        <v>618842</v>
      </c>
      <c r="M2182" s="2">
        <f t="shared" si="926"/>
        <v>0.11529437239230692</v>
      </c>
      <c r="N2182" s="2">
        <f t="shared" si="927"/>
        <v>0.88470562760769311</v>
      </c>
      <c r="P2182" s="5">
        <f t="shared" si="928"/>
        <v>6260.1614502195152</v>
      </c>
    </row>
    <row r="2183" spans="1:16" x14ac:dyDescent="0.35">
      <c r="A2183" t="s">
        <v>35</v>
      </c>
      <c r="B2183" t="s">
        <v>27</v>
      </c>
      <c r="C2183">
        <v>2007</v>
      </c>
      <c r="D2183" t="s">
        <v>30</v>
      </c>
      <c r="E2183" s="3">
        <f>26743+15021</f>
        <v>41764</v>
      </c>
      <c r="F2183" s="3">
        <f>29089+38289</f>
        <v>67378</v>
      </c>
      <c r="G2183" s="1">
        <f t="shared" si="922"/>
        <v>109142</v>
      </c>
      <c r="H2183" s="2">
        <f t="shared" si="923"/>
        <v>0.38265745542504259</v>
      </c>
      <c r="I2183" s="2">
        <f t="shared" si="924"/>
        <v>0.61734254457495741</v>
      </c>
      <c r="J2183" s="3">
        <f>11800+58916</f>
        <v>70716</v>
      </c>
      <c r="K2183" s="3">
        <f>22032+550070</f>
        <v>572102</v>
      </c>
      <c r="L2183" s="1">
        <f t="shared" si="925"/>
        <v>642818</v>
      </c>
      <c r="M2183" s="2">
        <f t="shared" si="926"/>
        <v>0.11000936501466978</v>
      </c>
      <c r="N2183" s="2">
        <f t="shared" si="927"/>
        <v>0.88999063498533026</v>
      </c>
      <c r="P2183" s="5">
        <f t="shared" si="928"/>
        <v>5889.7399717798835</v>
      </c>
    </row>
    <row r="2184" spans="1:16" x14ac:dyDescent="0.35">
      <c r="A2184" t="s">
        <v>35</v>
      </c>
      <c r="B2184" t="s">
        <v>28</v>
      </c>
      <c r="C2184">
        <v>2007</v>
      </c>
      <c r="D2184" t="s">
        <v>30</v>
      </c>
      <c r="E2184" s="3">
        <f>26483+14649</f>
        <v>41132</v>
      </c>
      <c r="F2184" s="3">
        <f>29321+38536</f>
        <v>67857</v>
      </c>
      <c r="G2184" s="1">
        <f t="shared" si="922"/>
        <v>108989</v>
      </c>
      <c r="H2184" s="2">
        <f t="shared" si="923"/>
        <v>0.37739588398829238</v>
      </c>
      <c r="I2184" s="2">
        <f t="shared" si="924"/>
        <v>0.62260411601170762</v>
      </c>
      <c r="J2184" s="3">
        <f>9929+48120</f>
        <v>58049</v>
      </c>
      <c r="K2184" s="3">
        <f>20094+480935</f>
        <v>501029</v>
      </c>
      <c r="L2184" s="1">
        <f t="shared" si="925"/>
        <v>559078</v>
      </c>
      <c r="M2184" s="2">
        <f t="shared" si="926"/>
        <v>0.1038298770475676</v>
      </c>
      <c r="N2184" s="2">
        <f t="shared" si="927"/>
        <v>0.89617012295243237</v>
      </c>
      <c r="P2184" s="5">
        <f t="shared" si="928"/>
        <v>5129.6736367890335</v>
      </c>
    </row>
    <row r="2185" spans="1:16" x14ac:dyDescent="0.35">
      <c r="A2185" t="s">
        <v>35</v>
      </c>
      <c r="B2185" t="s">
        <v>29</v>
      </c>
      <c r="C2185">
        <v>2007</v>
      </c>
      <c r="D2185" t="s">
        <v>30</v>
      </c>
      <c r="E2185" s="3">
        <f>26107+14412</f>
        <v>40519</v>
      </c>
      <c r="F2185" s="3">
        <f>29638+38907</f>
        <v>68545</v>
      </c>
      <c r="G2185" s="1">
        <f t="shared" si="922"/>
        <v>109064</v>
      </c>
      <c r="H2185" s="2">
        <f t="shared" si="923"/>
        <v>0.37151580723245065</v>
      </c>
      <c r="I2185" s="2">
        <f t="shared" si="924"/>
        <v>0.6284841927675493</v>
      </c>
      <c r="J2185" s="3">
        <f>10233+45532</f>
        <v>55765</v>
      </c>
      <c r="K2185" s="3">
        <f>470526+20381</f>
        <v>490907</v>
      </c>
      <c r="L2185" s="1">
        <f t="shared" si="925"/>
        <v>546672</v>
      </c>
      <c r="M2185" s="2">
        <f t="shared" si="926"/>
        <v>0.10200815113998887</v>
      </c>
      <c r="N2185" s="2">
        <f t="shared" si="927"/>
        <v>0.89799184886001115</v>
      </c>
      <c r="P2185" s="5">
        <f t="shared" si="928"/>
        <v>5012.3963911098072</v>
      </c>
    </row>
    <row r="2186" spans="1:16" x14ac:dyDescent="0.35">
      <c r="A2186" t="s">
        <v>35</v>
      </c>
      <c r="B2186" t="s">
        <v>17</v>
      </c>
      <c r="C2186">
        <v>2008</v>
      </c>
      <c r="D2186" t="s">
        <v>30</v>
      </c>
      <c r="E2186" s="3">
        <f>25765+14155</f>
        <v>39920</v>
      </c>
      <c r="F2186" s="3">
        <f>29770+39385</f>
        <v>69155</v>
      </c>
      <c r="G2186" s="1">
        <f t="shared" si="922"/>
        <v>109075</v>
      </c>
      <c r="H2186" s="2">
        <f t="shared" si="923"/>
        <v>0.36598670639468256</v>
      </c>
      <c r="I2186" s="2">
        <f t="shared" si="924"/>
        <v>0.63401329360531744</v>
      </c>
      <c r="J2186" s="3">
        <f>10315+45429</f>
        <v>55744</v>
      </c>
      <c r="K2186" s="3">
        <f>20724+451543</f>
        <v>472267</v>
      </c>
      <c r="L2186" s="1">
        <f t="shared" si="925"/>
        <v>528011</v>
      </c>
      <c r="M2186" s="2">
        <f t="shared" si="926"/>
        <v>0.10557355812662994</v>
      </c>
      <c r="N2186" s="2">
        <f t="shared" si="927"/>
        <v>0.89442644187337006</v>
      </c>
      <c r="P2186" s="5">
        <f t="shared" si="928"/>
        <v>4840.8067843227136</v>
      </c>
    </row>
    <row r="2187" spans="1:16" x14ac:dyDescent="0.35">
      <c r="A2187" t="s">
        <v>35</v>
      </c>
      <c r="B2187" t="s">
        <v>19</v>
      </c>
      <c r="C2187">
        <v>2008</v>
      </c>
      <c r="D2187" t="s">
        <v>30</v>
      </c>
      <c r="E2187" s="3">
        <f>25451+14034</f>
        <v>39485</v>
      </c>
      <c r="F2187" s="3">
        <f>29999+39429</f>
        <v>69428</v>
      </c>
      <c r="G2187" s="1">
        <f t="shared" si="922"/>
        <v>108913</v>
      </c>
      <c r="H2187" s="2">
        <f t="shared" si="923"/>
        <v>0.36253707087308218</v>
      </c>
      <c r="I2187" s="2">
        <f t="shared" si="924"/>
        <v>0.63746292912691782</v>
      </c>
      <c r="J2187" s="3">
        <f>8815+40714</f>
        <v>49529</v>
      </c>
      <c r="K2187" s="3">
        <f>19109+418467</f>
        <v>437576</v>
      </c>
      <c r="L2187" s="1">
        <f t="shared" si="925"/>
        <v>487105</v>
      </c>
      <c r="M2187" s="2">
        <f t="shared" si="926"/>
        <v>0.10168033586187783</v>
      </c>
      <c r="N2187" s="2">
        <f t="shared" si="927"/>
        <v>0.89831966413812214</v>
      </c>
      <c r="P2187" s="5">
        <f t="shared" si="928"/>
        <v>4472.422943083011</v>
      </c>
    </row>
    <row r="2188" spans="1:16" x14ac:dyDescent="0.35">
      <c r="A2188" t="s">
        <v>35</v>
      </c>
      <c r="B2188" t="s">
        <v>20</v>
      </c>
      <c r="C2188">
        <v>2008</v>
      </c>
      <c r="D2188" t="s">
        <v>30</v>
      </c>
      <c r="E2188" s="3">
        <f>25234+13841</f>
        <v>39075</v>
      </c>
      <c r="F2188" s="3">
        <f>30457+39782</f>
        <v>70239</v>
      </c>
      <c r="G2188" s="1">
        <f t="shared" si="922"/>
        <v>109314</v>
      </c>
      <c r="H2188" s="2">
        <f t="shared" si="923"/>
        <v>0.35745650145452551</v>
      </c>
      <c r="I2188" s="2">
        <f t="shared" si="924"/>
        <v>0.64254349854547455</v>
      </c>
      <c r="J2188" s="3">
        <f>8458+39807</f>
        <v>48265</v>
      </c>
      <c r="K2188" s="3">
        <f>19168+436675</f>
        <v>455843</v>
      </c>
      <c r="L2188" s="1">
        <f t="shared" si="925"/>
        <v>504108</v>
      </c>
      <c r="M2188" s="2">
        <f t="shared" si="926"/>
        <v>9.5743372451934899E-2</v>
      </c>
      <c r="N2188" s="2">
        <f t="shared" si="927"/>
        <v>0.90425662754806513</v>
      </c>
      <c r="P2188" s="5">
        <f t="shared" si="928"/>
        <v>4611.5593611065369</v>
      </c>
    </row>
    <row r="2189" spans="1:16" x14ac:dyDescent="0.35">
      <c r="A2189" t="s">
        <v>35</v>
      </c>
      <c r="B2189" t="s">
        <v>21</v>
      </c>
      <c r="C2189">
        <v>2008</v>
      </c>
      <c r="D2189" t="s">
        <v>30</v>
      </c>
      <c r="E2189" s="3">
        <f>25006+13456</f>
        <v>38462</v>
      </c>
      <c r="F2189" s="3">
        <f>30972+39815</f>
        <v>70787</v>
      </c>
      <c r="G2189" s="1">
        <f t="shared" si="922"/>
        <v>109249</v>
      </c>
      <c r="H2189" s="2">
        <f t="shared" si="923"/>
        <v>0.35205814240862615</v>
      </c>
      <c r="I2189" s="2">
        <f t="shared" si="924"/>
        <v>0.64794185759137379</v>
      </c>
      <c r="J2189" s="3">
        <f>9105+43169</f>
        <v>52274</v>
      </c>
      <c r="K2189" s="3">
        <f>20836+477162</f>
        <v>497998</v>
      </c>
      <c r="L2189" s="1">
        <f t="shared" si="925"/>
        <v>550272</v>
      </c>
      <c r="M2189" s="2">
        <f t="shared" si="926"/>
        <v>9.499665619911607E-2</v>
      </c>
      <c r="N2189" s="2">
        <f t="shared" si="927"/>
        <v>0.90500334380088387</v>
      </c>
      <c r="P2189" s="5">
        <f t="shared" si="928"/>
        <v>5036.8607492974761</v>
      </c>
    </row>
    <row r="2190" spans="1:16" x14ac:dyDescent="0.35">
      <c r="A2190" t="s">
        <v>35</v>
      </c>
      <c r="B2190" t="s">
        <v>22</v>
      </c>
      <c r="C2190">
        <v>2008</v>
      </c>
      <c r="D2190" t="s">
        <v>30</v>
      </c>
      <c r="E2190" s="3">
        <f>24791+13309</f>
        <v>38100</v>
      </c>
      <c r="F2190" s="3">
        <f>31455+40002</f>
        <v>71457</v>
      </c>
      <c r="G2190" s="1">
        <f t="shared" si="922"/>
        <v>109557</v>
      </c>
      <c r="H2190" s="2">
        <f t="shared" si="923"/>
        <v>0.34776417755141159</v>
      </c>
      <c r="I2190" s="2">
        <f t="shared" si="924"/>
        <v>0.65223582244858835</v>
      </c>
      <c r="J2190" s="3">
        <f>9639+45085</f>
        <v>54724</v>
      </c>
      <c r="K2190" s="3">
        <f>21579+501095</f>
        <v>522674</v>
      </c>
      <c r="L2190" s="1">
        <f t="shared" si="925"/>
        <v>577398</v>
      </c>
      <c r="M2190" s="2">
        <f t="shared" si="926"/>
        <v>9.4776912978569369E-2</v>
      </c>
      <c r="N2190" s="2">
        <f t="shared" si="927"/>
        <v>0.90522308702143062</v>
      </c>
      <c r="P2190" s="5">
        <f t="shared" si="928"/>
        <v>5270.2976532763769</v>
      </c>
    </row>
    <row r="2191" spans="1:16" x14ac:dyDescent="0.35">
      <c r="A2191" t="s">
        <v>35</v>
      </c>
      <c r="B2191" t="s">
        <v>23</v>
      </c>
      <c r="C2191">
        <v>2008</v>
      </c>
      <c r="D2191" t="s">
        <v>30</v>
      </c>
      <c r="E2191" s="3">
        <f>24607+13198</f>
        <v>37805</v>
      </c>
      <c r="F2191" s="3">
        <f>40114+31544</f>
        <v>71658</v>
      </c>
      <c r="G2191" s="1">
        <f t="shared" si="922"/>
        <v>109463</v>
      </c>
      <c r="H2191" s="2">
        <f t="shared" si="923"/>
        <v>0.34536784118834674</v>
      </c>
      <c r="I2191" s="2">
        <f t="shared" si="924"/>
        <v>0.65463215881165326</v>
      </c>
      <c r="J2191" s="3">
        <f>11655+55928</f>
        <v>67583</v>
      </c>
      <c r="K2191" s="3">
        <f>25150+588652</f>
        <v>613802</v>
      </c>
      <c r="L2191" s="1">
        <f t="shared" si="925"/>
        <v>681385</v>
      </c>
      <c r="M2191" s="2">
        <f t="shared" si="926"/>
        <v>9.9184748710347312E-2</v>
      </c>
      <c r="N2191" s="2">
        <f t="shared" si="927"/>
        <v>0.90081525128965267</v>
      </c>
      <c r="P2191" s="5">
        <f t="shared" si="928"/>
        <v>6224.7974201328307</v>
      </c>
    </row>
    <row r="2192" spans="1:16" x14ac:dyDescent="0.35">
      <c r="A2192" t="s">
        <v>35</v>
      </c>
      <c r="B2192" t="s">
        <v>24</v>
      </c>
      <c r="C2192">
        <v>2008</v>
      </c>
      <c r="D2192" t="s">
        <v>30</v>
      </c>
      <c r="E2192" s="3">
        <f>24397+13004</f>
        <v>37401</v>
      </c>
      <c r="F2192" s="3">
        <f>31802+40395</f>
        <v>72197</v>
      </c>
      <c r="G2192" s="1">
        <f t="shared" si="922"/>
        <v>109598</v>
      </c>
      <c r="H2192" s="2">
        <f t="shared" si="923"/>
        <v>0.34125622730341792</v>
      </c>
      <c r="I2192" s="2">
        <f t="shared" si="924"/>
        <v>0.65874377269658202</v>
      </c>
      <c r="J2192" s="3">
        <f>11848+54568</f>
        <v>66416</v>
      </c>
      <c r="K2192" s="3">
        <f>24888+580562</f>
        <v>605450</v>
      </c>
      <c r="L2192" s="1">
        <f t="shared" si="925"/>
        <v>671866</v>
      </c>
      <c r="M2192" s="2">
        <f t="shared" si="926"/>
        <v>9.885304510125531E-2</v>
      </c>
      <c r="N2192" s="2">
        <f t="shared" si="927"/>
        <v>0.90114695489874475</v>
      </c>
      <c r="P2192" s="5">
        <f t="shared" si="928"/>
        <v>6130.2760999288312</v>
      </c>
    </row>
    <row r="2193" spans="1:16" x14ac:dyDescent="0.35">
      <c r="A2193" t="s">
        <v>35</v>
      </c>
      <c r="B2193" t="s">
        <v>25</v>
      </c>
      <c r="C2193">
        <v>2008</v>
      </c>
      <c r="D2193" t="s">
        <v>30</v>
      </c>
      <c r="E2193" s="3">
        <f>24138+12825</f>
        <v>36963</v>
      </c>
      <c r="F2193" s="3">
        <f>32067+40667</f>
        <v>72734</v>
      </c>
      <c r="G2193" s="1">
        <f t="shared" si="922"/>
        <v>109697</v>
      </c>
      <c r="H2193" s="2">
        <f t="shared" si="923"/>
        <v>0.33695543178026749</v>
      </c>
      <c r="I2193" s="2">
        <f t="shared" si="924"/>
        <v>0.66304456821973257</v>
      </c>
      <c r="J2193" s="3">
        <f>10984+50744</f>
        <v>61728</v>
      </c>
      <c r="K2193" s="3">
        <f>24112+551898</f>
        <v>576010</v>
      </c>
      <c r="L2193" s="1">
        <f t="shared" si="925"/>
        <v>637738</v>
      </c>
      <c r="M2193" s="2">
        <f t="shared" si="926"/>
        <v>9.679209957694225E-2</v>
      </c>
      <c r="N2193" s="2">
        <f t="shared" si="927"/>
        <v>0.90320790042305776</v>
      </c>
      <c r="P2193" s="5">
        <f t="shared" si="928"/>
        <v>5813.6320956817417</v>
      </c>
    </row>
    <row r="2194" spans="1:16" x14ac:dyDescent="0.35">
      <c r="A2194" t="s">
        <v>35</v>
      </c>
      <c r="B2194" t="s">
        <v>26</v>
      </c>
      <c r="C2194">
        <v>2008</v>
      </c>
      <c r="D2194" t="s">
        <v>30</v>
      </c>
      <c r="E2194" s="3">
        <f>23775+12623</f>
        <v>36398</v>
      </c>
      <c r="F2194" s="3">
        <f>40855+32199</f>
        <v>73054</v>
      </c>
      <c r="G2194" s="1">
        <f t="shared" si="922"/>
        <v>109452</v>
      </c>
      <c r="H2194" s="2">
        <f t="shared" si="923"/>
        <v>0.33254760077476886</v>
      </c>
      <c r="I2194" s="2">
        <f t="shared" si="924"/>
        <v>0.66745239922523114</v>
      </c>
      <c r="J2194" s="3">
        <f>10743+52524</f>
        <v>63267</v>
      </c>
      <c r="K2194" s="3">
        <f>24380+582412</f>
        <v>606792</v>
      </c>
      <c r="L2194" s="1">
        <f t="shared" si="925"/>
        <v>670059</v>
      </c>
      <c r="M2194" s="2">
        <f t="shared" si="926"/>
        <v>9.4420043608100176E-2</v>
      </c>
      <c r="N2194" s="2">
        <f t="shared" si="927"/>
        <v>0.90557995639189981</v>
      </c>
      <c r="P2194" s="5">
        <f t="shared" si="928"/>
        <v>6121.9438658041881</v>
      </c>
    </row>
    <row r="2195" spans="1:16" x14ac:dyDescent="0.35">
      <c r="A2195" t="s">
        <v>35</v>
      </c>
      <c r="B2195" t="s">
        <v>27</v>
      </c>
      <c r="C2195">
        <v>2008</v>
      </c>
      <c r="D2195" t="s">
        <v>30</v>
      </c>
      <c r="E2195" s="3">
        <f>23495+12257</f>
        <v>35752</v>
      </c>
      <c r="F2195" s="3">
        <f>32710+41171</f>
        <v>73881</v>
      </c>
      <c r="G2195" s="1">
        <f t="shared" si="922"/>
        <v>109633</v>
      </c>
      <c r="H2195" s="2">
        <f t="shared" si="923"/>
        <v>0.32610619065427382</v>
      </c>
      <c r="I2195" s="2">
        <f t="shared" si="924"/>
        <v>0.67389380934572618</v>
      </c>
      <c r="J2195" s="3">
        <f>9363+43081</f>
        <v>52444</v>
      </c>
      <c r="K2195" s="3">
        <f>22273.31+519579.31</f>
        <v>541852.62</v>
      </c>
      <c r="L2195" s="1">
        <f t="shared" si="925"/>
        <v>594296.62</v>
      </c>
      <c r="M2195" s="2">
        <f t="shared" si="926"/>
        <v>8.8245495994912437E-2</v>
      </c>
      <c r="N2195" s="2">
        <f t="shared" si="927"/>
        <v>0.91175450400508751</v>
      </c>
      <c r="P2195" s="5">
        <f t="shared" si="928"/>
        <v>5420.7822462214845</v>
      </c>
    </row>
    <row r="2196" spans="1:16" x14ac:dyDescent="0.35">
      <c r="A2196" t="s">
        <v>35</v>
      </c>
      <c r="B2196" t="s">
        <v>28</v>
      </c>
      <c r="C2196">
        <v>2008</v>
      </c>
      <c r="D2196" t="s">
        <v>30</v>
      </c>
      <c r="E2196" s="3">
        <f>23241+11948</f>
        <v>35189</v>
      </c>
      <c r="F2196" s="3">
        <f>33298+42009</f>
        <v>75307</v>
      </c>
      <c r="G2196" s="1">
        <f t="shared" si="922"/>
        <v>110496</v>
      </c>
      <c r="H2196" s="2">
        <f t="shared" si="923"/>
        <v>0.3184640167969881</v>
      </c>
      <c r="I2196" s="2">
        <f t="shared" si="924"/>
        <v>0.6815359832030119</v>
      </c>
      <c r="J2196" s="3">
        <f>36113+8151</f>
        <v>44264</v>
      </c>
      <c r="K2196" s="3">
        <f>466399.08+20554.35</f>
        <v>486953.43</v>
      </c>
      <c r="L2196" s="1">
        <f t="shared" si="925"/>
        <v>531217.42999999993</v>
      </c>
      <c r="M2196" s="2">
        <f t="shared" si="926"/>
        <v>8.3325579132446773E-2</v>
      </c>
      <c r="N2196" s="2">
        <f t="shared" si="927"/>
        <v>0.91667442086755335</v>
      </c>
      <c r="P2196" s="5">
        <f t="shared" si="928"/>
        <v>4807.5715863017658</v>
      </c>
    </row>
    <row r="2197" spans="1:16" x14ac:dyDescent="0.35">
      <c r="A2197" t="s">
        <v>35</v>
      </c>
      <c r="B2197" t="s">
        <v>29</v>
      </c>
      <c r="C2197">
        <v>2008</v>
      </c>
      <c r="D2197" t="s">
        <v>30</v>
      </c>
      <c r="E2197" s="3">
        <f>23064+11661</f>
        <v>34725</v>
      </c>
      <c r="F2197" s="3">
        <f>34486+42789</f>
        <v>77275</v>
      </c>
      <c r="G2197" s="1">
        <f t="shared" si="922"/>
        <v>112000</v>
      </c>
      <c r="H2197" s="2">
        <f t="shared" si="923"/>
        <v>0.31004464285714284</v>
      </c>
      <c r="I2197" s="2">
        <f t="shared" si="924"/>
        <v>0.68995535714285716</v>
      </c>
      <c r="J2197" s="3">
        <f>33703+8407</f>
        <v>42110</v>
      </c>
      <c r="K2197" s="3">
        <f>21349.35+458422.1</f>
        <v>479771.44999999995</v>
      </c>
      <c r="L2197" s="1">
        <f t="shared" si="925"/>
        <v>521881.44999999995</v>
      </c>
      <c r="M2197" s="2">
        <f t="shared" si="926"/>
        <v>8.0688823103407872E-2</v>
      </c>
      <c r="N2197" s="2">
        <f t="shared" si="927"/>
        <v>0.91931117689659214</v>
      </c>
      <c r="P2197" s="5">
        <f t="shared" si="928"/>
        <v>4659.6558035714279</v>
      </c>
    </row>
    <row r="2198" spans="1:16" x14ac:dyDescent="0.35">
      <c r="A2198" t="s">
        <v>35</v>
      </c>
      <c r="B2198" t="s">
        <v>17</v>
      </c>
      <c r="C2198">
        <v>2009</v>
      </c>
      <c r="D2198" t="s">
        <v>30</v>
      </c>
      <c r="E2198" s="3">
        <f>22534+11439</f>
        <v>33973</v>
      </c>
      <c r="F2198" s="3">
        <f>33173+41779</f>
        <v>74952</v>
      </c>
      <c r="G2198" s="1">
        <f t="shared" si="922"/>
        <v>108925</v>
      </c>
      <c r="H2198" s="2">
        <f t="shared" si="923"/>
        <v>0.31189350470507232</v>
      </c>
      <c r="I2198" s="2">
        <f t="shared" si="924"/>
        <v>0.68810649529492773</v>
      </c>
      <c r="J2198" s="3">
        <f>8674+33313</f>
        <v>41987</v>
      </c>
      <c r="K2198" s="3">
        <f>22691+458478</f>
        <v>481169</v>
      </c>
      <c r="L2198" s="1">
        <f t="shared" si="925"/>
        <v>523156</v>
      </c>
      <c r="M2198" s="2">
        <f t="shared" si="926"/>
        <v>8.0257131715970001E-2</v>
      </c>
      <c r="N2198" s="2">
        <f t="shared" si="927"/>
        <v>0.91974286828402996</v>
      </c>
      <c r="P2198" s="5">
        <f t="shared" si="928"/>
        <v>4802.9010787238922</v>
      </c>
    </row>
    <row r="2199" spans="1:16" x14ac:dyDescent="0.35">
      <c r="A2199" t="s">
        <v>35</v>
      </c>
      <c r="B2199" t="s">
        <v>19</v>
      </c>
      <c r="C2199">
        <v>2009</v>
      </c>
      <c r="D2199" t="s">
        <v>30</v>
      </c>
      <c r="E2199" s="3">
        <f>22098+11300</f>
        <v>33398</v>
      </c>
      <c r="F2199" s="3">
        <f>33311+42269</f>
        <v>75580</v>
      </c>
      <c r="G2199" s="1">
        <f t="shared" si="922"/>
        <v>108978</v>
      </c>
      <c r="H2199" s="2">
        <f t="shared" si="923"/>
        <v>0.30646552515186554</v>
      </c>
      <c r="I2199" s="2">
        <f t="shared" si="924"/>
        <v>0.69353447484813446</v>
      </c>
      <c r="J2199" s="3">
        <f>7188+28741</f>
        <v>35929</v>
      </c>
      <c r="K2199" s="3">
        <f>20222+417565</f>
        <v>437787</v>
      </c>
      <c r="L2199" s="1">
        <f t="shared" si="925"/>
        <v>473716</v>
      </c>
      <c r="M2199" s="2">
        <f t="shared" si="926"/>
        <v>7.5845021067475024E-2</v>
      </c>
      <c r="N2199" s="2">
        <f t="shared" si="927"/>
        <v>0.92415497893252496</v>
      </c>
      <c r="P2199" s="5">
        <f t="shared" si="928"/>
        <v>4346.8957037200171</v>
      </c>
    </row>
    <row r="2200" spans="1:16" x14ac:dyDescent="0.35">
      <c r="A2200" t="s">
        <v>35</v>
      </c>
      <c r="B2200" t="s">
        <v>20</v>
      </c>
      <c r="C2200">
        <v>2009</v>
      </c>
      <c r="D2200" t="s">
        <v>30</v>
      </c>
      <c r="E2200" s="3">
        <f>21981+11034</f>
        <v>33015</v>
      </c>
      <c r="F2200" s="3">
        <f>33649+42212</f>
        <v>75861</v>
      </c>
      <c r="G2200" s="1">
        <f t="shared" si="922"/>
        <v>108876</v>
      </c>
      <c r="H2200" s="2">
        <f t="shared" si="923"/>
        <v>0.30323487269921745</v>
      </c>
      <c r="I2200" s="2">
        <f t="shared" si="924"/>
        <v>0.69676512730078255</v>
      </c>
      <c r="J2200" s="3">
        <f>28734+7090</f>
        <v>35824</v>
      </c>
      <c r="K2200" s="3">
        <f>20529+434924</f>
        <v>455453</v>
      </c>
      <c r="L2200" s="1">
        <f t="shared" si="925"/>
        <v>491277</v>
      </c>
      <c r="M2200" s="2">
        <f t="shared" si="926"/>
        <v>7.2920165202116125E-2</v>
      </c>
      <c r="N2200" s="2">
        <f t="shared" si="927"/>
        <v>0.92707983479788392</v>
      </c>
      <c r="P2200" s="5">
        <f t="shared" si="928"/>
        <v>4512.2616554612587</v>
      </c>
    </row>
    <row r="2201" spans="1:16" x14ac:dyDescent="0.35">
      <c r="A2201" t="s">
        <v>35</v>
      </c>
      <c r="B2201" t="s">
        <v>21</v>
      </c>
      <c r="C2201">
        <v>2009</v>
      </c>
      <c r="D2201" t="s">
        <v>30</v>
      </c>
      <c r="E2201" s="3">
        <f>21870+10771</f>
        <v>32641</v>
      </c>
      <c r="F2201" s="3">
        <f>34057+42341</f>
        <v>76398</v>
      </c>
      <c r="G2201" s="1">
        <f t="shared" si="922"/>
        <v>109039</v>
      </c>
      <c r="H2201" s="2">
        <f t="shared" si="923"/>
        <v>0.29935160814020673</v>
      </c>
      <c r="I2201" s="2">
        <f t="shared" si="924"/>
        <v>0.70064839185979333</v>
      </c>
      <c r="J2201" s="3">
        <f>7542+29924</f>
        <v>37466</v>
      </c>
      <c r="K2201" s="3">
        <f>21531+461458</f>
        <v>482989</v>
      </c>
      <c r="L2201" s="1">
        <f t="shared" si="925"/>
        <v>520455</v>
      </c>
      <c r="M2201" s="2">
        <f t="shared" si="926"/>
        <v>7.1987011365055573E-2</v>
      </c>
      <c r="N2201" s="2">
        <f t="shared" si="927"/>
        <v>0.92801298863494441</v>
      </c>
      <c r="P2201" s="5">
        <f t="shared" si="928"/>
        <v>4773.1087042250938</v>
      </c>
    </row>
    <row r="2202" spans="1:16" x14ac:dyDescent="0.35">
      <c r="A2202" t="s">
        <v>35</v>
      </c>
      <c r="B2202" t="s">
        <v>22</v>
      </c>
      <c r="C2202">
        <v>2009</v>
      </c>
      <c r="D2202" t="s">
        <v>30</v>
      </c>
      <c r="E2202" s="3">
        <f>21596+10526</f>
        <v>32122</v>
      </c>
      <c r="F2202" s="3">
        <f>34466+42538</f>
        <v>77004</v>
      </c>
      <c r="G2202" s="1">
        <f t="shared" si="922"/>
        <v>109126</v>
      </c>
      <c r="H2202" s="2">
        <f t="shared" si="923"/>
        <v>0.29435698183750891</v>
      </c>
      <c r="I2202" s="2">
        <f t="shared" si="924"/>
        <v>0.70564301816249109</v>
      </c>
      <c r="J2202" s="3">
        <f>34087+8287</f>
        <v>42374</v>
      </c>
      <c r="K2202" s="3">
        <f>23803+525725</f>
        <v>549528</v>
      </c>
      <c r="L2202" s="1">
        <f t="shared" si="925"/>
        <v>591902</v>
      </c>
      <c r="M2202" s="2">
        <f t="shared" si="926"/>
        <v>7.1589553676115303E-2</v>
      </c>
      <c r="N2202" s="2">
        <f t="shared" si="927"/>
        <v>0.9284104463238847</v>
      </c>
      <c r="P2202" s="5">
        <f t="shared" si="928"/>
        <v>5424.0236057401535</v>
      </c>
    </row>
    <row r="2203" spans="1:16" x14ac:dyDescent="0.35">
      <c r="A2203" t="s">
        <v>35</v>
      </c>
      <c r="B2203" t="s">
        <v>23</v>
      </c>
      <c r="C2203">
        <v>2009</v>
      </c>
      <c r="D2203" t="s">
        <v>30</v>
      </c>
      <c r="E2203" s="3">
        <f>21299+10276</f>
        <v>31575</v>
      </c>
      <c r="F2203" s="3">
        <f>42828+35037</f>
        <v>77865</v>
      </c>
      <c r="G2203" s="1">
        <f t="shared" si="922"/>
        <v>109440</v>
      </c>
      <c r="H2203" s="2">
        <f t="shared" si="923"/>
        <v>0.2885142543859649</v>
      </c>
      <c r="I2203" s="2">
        <f t="shared" si="924"/>
        <v>0.7114857456140351</v>
      </c>
      <c r="J2203" s="3">
        <f>9025+36743</f>
        <v>45768</v>
      </c>
      <c r="K2203" s="3">
        <f>25954+566343</f>
        <v>592297</v>
      </c>
      <c r="L2203" s="1">
        <f t="shared" si="925"/>
        <v>638065</v>
      </c>
      <c r="M2203" s="2">
        <f t="shared" si="926"/>
        <v>7.1729369264886808E-2</v>
      </c>
      <c r="N2203" s="2">
        <f t="shared" si="927"/>
        <v>0.92827063073511318</v>
      </c>
      <c r="P2203" s="5">
        <f t="shared" si="928"/>
        <v>5830.2722953216371</v>
      </c>
    </row>
    <row r="2204" spans="1:16" x14ac:dyDescent="0.35">
      <c r="A2204" t="s">
        <v>35</v>
      </c>
      <c r="B2204" t="s">
        <v>24</v>
      </c>
      <c r="C2204">
        <v>2009</v>
      </c>
      <c r="D2204" t="s">
        <v>30</v>
      </c>
      <c r="E2204" s="3">
        <f>20849+9942</f>
        <v>30791</v>
      </c>
      <c r="F2204" s="3">
        <f>35357+43119</f>
        <v>78476</v>
      </c>
      <c r="G2204" s="1">
        <f t="shared" si="922"/>
        <v>109267</v>
      </c>
      <c r="H2204" s="2">
        <f t="shared" si="923"/>
        <v>0.28179596767551046</v>
      </c>
      <c r="I2204" s="2">
        <f t="shared" si="924"/>
        <v>0.71820403232448959</v>
      </c>
      <c r="J2204" s="3">
        <f>9979+40872</f>
        <v>50851</v>
      </c>
      <c r="K2204" s="3">
        <f>28852+610978</f>
        <v>639830</v>
      </c>
      <c r="L2204" s="1">
        <f t="shared" si="925"/>
        <v>690681</v>
      </c>
      <c r="M2204" s="2">
        <f t="shared" si="926"/>
        <v>7.362443733069246E-2</v>
      </c>
      <c r="N2204" s="2">
        <f t="shared" si="927"/>
        <v>0.92637556266930754</v>
      </c>
      <c r="P2204" s="5">
        <f t="shared" si="928"/>
        <v>6321.0392890808753</v>
      </c>
    </row>
    <row r="2205" spans="1:16" x14ac:dyDescent="0.35">
      <c r="A2205" t="s">
        <v>35</v>
      </c>
      <c r="B2205" t="s">
        <v>25</v>
      </c>
      <c r="C2205">
        <v>2009</v>
      </c>
      <c r="D2205" t="s">
        <v>30</v>
      </c>
      <c r="E2205" s="3">
        <f>20560+9613</f>
        <v>30173</v>
      </c>
      <c r="F2205" s="3">
        <f>36013+43384</f>
        <v>79397</v>
      </c>
      <c r="G2205" s="1">
        <f t="shared" si="922"/>
        <v>109570</v>
      </c>
      <c r="H2205" s="2">
        <f t="shared" si="923"/>
        <v>0.27537647166195128</v>
      </c>
      <c r="I2205" s="2">
        <f t="shared" si="924"/>
        <v>0.72462352833804877</v>
      </c>
      <c r="J2205" s="3">
        <f>9672+39408</f>
        <v>49080</v>
      </c>
      <c r="K2205" s="3">
        <f>28974+615502</f>
        <v>644476</v>
      </c>
      <c r="L2205" s="1">
        <f t="shared" si="925"/>
        <v>693556</v>
      </c>
      <c r="M2205" s="2">
        <f t="shared" si="926"/>
        <v>7.0765734850538387E-2</v>
      </c>
      <c r="N2205" s="2">
        <f t="shared" si="927"/>
        <v>0.92923426514946161</v>
      </c>
      <c r="P2205" s="5">
        <f t="shared" si="928"/>
        <v>6329.7983024550513</v>
      </c>
    </row>
    <row r="2206" spans="1:16" x14ac:dyDescent="0.35">
      <c r="A2206" t="s">
        <v>35</v>
      </c>
      <c r="B2206" t="s">
        <v>26</v>
      </c>
      <c r="C2206">
        <v>2009</v>
      </c>
      <c r="D2206" t="s">
        <v>30</v>
      </c>
      <c r="E2206" s="3">
        <f>20022+9282</f>
        <v>29304</v>
      </c>
      <c r="F2206" s="3">
        <f>36472+43832</f>
        <v>80304</v>
      </c>
      <c r="G2206" s="1">
        <f t="shared" si="922"/>
        <v>109608</v>
      </c>
      <c r="H2206" s="2">
        <f t="shared" si="923"/>
        <v>0.2673527479746004</v>
      </c>
      <c r="I2206" s="2">
        <f t="shared" si="924"/>
        <v>0.7326472520253996</v>
      </c>
      <c r="J2206" s="3">
        <f>8905+35446</f>
        <v>44351</v>
      </c>
      <c r="K2206" s="3">
        <f>28652+609965</f>
        <v>638617</v>
      </c>
      <c r="L2206" s="1">
        <f t="shared" si="925"/>
        <v>682968</v>
      </c>
      <c r="M2206" s="2">
        <f t="shared" si="926"/>
        <v>6.493862084314346E-2</v>
      </c>
      <c r="N2206" s="2">
        <f t="shared" si="927"/>
        <v>0.9350613791568565</v>
      </c>
      <c r="P2206" s="5">
        <f t="shared" si="928"/>
        <v>6231.0050361287495</v>
      </c>
    </row>
    <row r="2207" spans="1:16" x14ac:dyDescent="0.35">
      <c r="A2207" t="s">
        <v>35</v>
      </c>
      <c r="B2207" t="s">
        <v>27</v>
      </c>
      <c r="C2207">
        <v>2009</v>
      </c>
      <c r="D2207" t="s">
        <v>30</v>
      </c>
      <c r="E2207" s="3">
        <f>19595+8769</f>
        <v>28364</v>
      </c>
      <c r="F2207" s="3">
        <f>37048+44266</f>
        <v>81314</v>
      </c>
      <c r="G2207" s="1">
        <f t="shared" si="922"/>
        <v>109678</v>
      </c>
      <c r="H2207" s="2">
        <f t="shared" si="923"/>
        <v>0.25861157205638324</v>
      </c>
      <c r="I2207" s="2">
        <f t="shared" si="924"/>
        <v>0.74138842794361681</v>
      </c>
      <c r="J2207" s="3">
        <f>7492+29171</f>
        <v>36663</v>
      </c>
      <c r="K2207" s="3">
        <f>26482+555028</f>
        <v>581510</v>
      </c>
      <c r="L2207" s="1">
        <f t="shared" si="925"/>
        <v>618173</v>
      </c>
      <c r="M2207" s="2">
        <f t="shared" si="926"/>
        <v>5.9308640137954907E-2</v>
      </c>
      <c r="N2207" s="2">
        <f t="shared" si="927"/>
        <v>0.94069135986204511</v>
      </c>
      <c r="P2207" s="5">
        <f t="shared" si="928"/>
        <v>5636.2533963055494</v>
      </c>
    </row>
    <row r="2208" spans="1:16" x14ac:dyDescent="0.35">
      <c r="A2208" t="s">
        <v>35</v>
      </c>
      <c r="B2208" t="s">
        <v>28</v>
      </c>
      <c r="C2208">
        <v>2009</v>
      </c>
      <c r="D2208" t="s">
        <v>30</v>
      </c>
      <c r="E2208" s="3">
        <f>19311+8495</f>
        <v>27806</v>
      </c>
      <c r="F2208" s="3">
        <f>37453+44522</f>
        <v>81975</v>
      </c>
      <c r="G2208" s="1">
        <f t="shared" si="922"/>
        <v>109781</v>
      </c>
      <c r="H2208" s="2">
        <f t="shared" si="923"/>
        <v>0.25328608775653344</v>
      </c>
      <c r="I2208" s="2">
        <f t="shared" si="924"/>
        <v>0.7467139122434665</v>
      </c>
      <c r="J2208" s="3">
        <f>6216+23568</f>
        <v>29784</v>
      </c>
      <c r="K2208" s="3">
        <f>23727+481226</f>
        <v>504953</v>
      </c>
      <c r="L2208" s="1">
        <f t="shared" si="925"/>
        <v>534737</v>
      </c>
      <c r="M2208" s="2">
        <f t="shared" si="926"/>
        <v>5.5698408750469858E-2</v>
      </c>
      <c r="N2208" s="2">
        <f t="shared" si="927"/>
        <v>0.94430159124953017</v>
      </c>
      <c r="P2208" s="5">
        <f t="shared" si="928"/>
        <v>4870.9430593636425</v>
      </c>
    </row>
    <row r="2209" spans="1:16" x14ac:dyDescent="0.35">
      <c r="A2209" t="s">
        <v>35</v>
      </c>
      <c r="B2209" t="s">
        <v>29</v>
      </c>
      <c r="C2209">
        <v>2009</v>
      </c>
      <c r="D2209" t="s">
        <v>30</v>
      </c>
      <c r="E2209" s="3">
        <f>19070+8307</f>
        <v>27377</v>
      </c>
      <c r="F2209" s="3">
        <f>37717+44630</f>
        <v>82347</v>
      </c>
      <c r="G2209" s="1">
        <f t="shared" si="922"/>
        <v>109724</v>
      </c>
      <c r="H2209" s="2">
        <f t="shared" si="923"/>
        <v>0.24950785607524334</v>
      </c>
      <c r="I2209" s="2">
        <f t="shared" si="924"/>
        <v>0.75049214392475672</v>
      </c>
      <c r="J2209" s="3">
        <f>6435+22191</f>
        <v>28626</v>
      </c>
      <c r="K2209" s="3">
        <f>24598+465722</f>
        <v>490320</v>
      </c>
      <c r="L2209" s="1">
        <f t="shared" si="925"/>
        <v>518946</v>
      </c>
      <c r="M2209" s="2">
        <f t="shared" si="926"/>
        <v>5.5161808743106222E-2</v>
      </c>
      <c r="N2209" s="2">
        <f t="shared" si="927"/>
        <v>0.94483819125689383</v>
      </c>
      <c r="P2209" s="5">
        <f t="shared" si="928"/>
        <v>4729.5577995698295</v>
      </c>
    </row>
    <row r="2210" spans="1:16" x14ac:dyDescent="0.35">
      <c r="A2210" t="s">
        <v>35</v>
      </c>
      <c r="B2210" t="s">
        <v>17</v>
      </c>
      <c r="C2210">
        <v>2010</v>
      </c>
      <c r="D2210" t="s">
        <v>30</v>
      </c>
      <c r="E2210" s="3">
        <f>17331+7601</f>
        <v>24932</v>
      </c>
      <c r="F2210" s="3">
        <f>34603+40933</f>
        <v>75536</v>
      </c>
      <c r="G2210" s="1">
        <f t="shared" si="922"/>
        <v>100468</v>
      </c>
      <c r="H2210" s="2">
        <f t="shared" si="923"/>
        <v>0.24815861766930764</v>
      </c>
      <c r="I2210" s="2">
        <f t="shared" si="924"/>
        <v>0.75184138233069231</v>
      </c>
      <c r="J2210" s="3">
        <f>6527+22579</f>
        <v>29106</v>
      </c>
      <c r="K2210" s="3">
        <f>23785+427962</f>
        <v>451747</v>
      </c>
      <c r="L2210" s="1">
        <f t="shared" si="925"/>
        <v>480853</v>
      </c>
      <c r="M2210" s="2">
        <f t="shared" si="926"/>
        <v>6.0529933264428008E-2</v>
      </c>
      <c r="N2210" s="2">
        <f t="shared" si="927"/>
        <v>0.93947006673557198</v>
      </c>
      <c r="P2210" s="5">
        <f t="shared" si="928"/>
        <v>4786.1309073535849</v>
      </c>
    </row>
    <row r="2211" spans="1:16" x14ac:dyDescent="0.35">
      <c r="A2211" t="s">
        <v>35</v>
      </c>
      <c r="B2211" t="s">
        <v>19</v>
      </c>
      <c r="C2211">
        <v>2010</v>
      </c>
      <c r="D2211" t="s">
        <v>30</v>
      </c>
      <c r="E2211" s="3">
        <f>18408+8245</f>
        <v>26653</v>
      </c>
      <c r="F2211" s="3">
        <f>37423+45455</f>
        <v>82878</v>
      </c>
      <c r="G2211" s="1">
        <f t="shared" si="922"/>
        <v>109531</v>
      </c>
      <c r="H2211" s="2">
        <f t="shared" si="923"/>
        <v>0.24333750262482767</v>
      </c>
      <c r="I2211" s="2">
        <f t="shared" si="924"/>
        <v>0.75666249737517233</v>
      </c>
      <c r="J2211" s="3">
        <f>5802+20912</f>
        <v>26714</v>
      </c>
      <c r="K2211" s="3">
        <f>22637+430014</f>
        <v>452651</v>
      </c>
      <c r="L2211" s="1">
        <f t="shared" si="925"/>
        <v>479365</v>
      </c>
      <c r="M2211" s="2">
        <f t="shared" si="926"/>
        <v>5.5727890021173843E-2</v>
      </c>
      <c r="N2211" s="2">
        <f t="shared" si="927"/>
        <v>0.94427210997882616</v>
      </c>
      <c r="P2211" s="5">
        <f t="shared" si="928"/>
        <v>4376.5235412805505</v>
      </c>
    </row>
    <row r="2212" spans="1:16" x14ac:dyDescent="0.35">
      <c r="A2212" t="s">
        <v>35</v>
      </c>
      <c r="B2212" t="s">
        <v>20</v>
      </c>
      <c r="C2212">
        <v>2010</v>
      </c>
      <c r="D2212" t="s">
        <v>30</v>
      </c>
      <c r="E2212" s="3">
        <f>18038+8249</f>
        <v>26287</v>
      </c>
      <c r="F2212" s="3">
        <f>37402+45919</f>
        <v>83321</v>
      </c>
      <c r="G2212" s="1">
        <f t="shared" si="922"/>
        <v>109608</v>
      </c>
      <c r="H2212" s="2">
        <f t="shared" si="923"/>
        <v>0.23982738486241881</v>
      </c>
      <c r="I2212" s="2">
        <f t="shared" si="924"/>
        <v>0.76017261513758116</v>
      </c>
      <c r="J2212" s="3">
        <f>5264+20107</f>
        <v>25371</v>
      </c>
      <c r="K2212" s="3">
        <f>21819+423457</f>
        <v>445276</v>
      </c>
      <c r="L2212" s="1">
        <f t="shared" si="925"/>
        <v>470647</v>
      </c>
      <c r="M2212" s="2">
        <f t="shared" si="926"/>
        <v>5.3906643407904437E-2</v>
      </c>
      <c r="N2212" s="2">
        <f t="shared" si="927"/>
        <v>0.94609335659209559</v>
      </c>
      <c r="P2212" s="5">
        <f t="shared" si="928"/>
        <v>4293.9110283920882</v>
      </c>
    </row>
    <row r="2213" spans="1:16" x14ac:dyDescent="0.35">
      <c r="A2213" t="s">
        <v>35</v>
      </c>
      <c r="B2213" t="s">
        <v>21</v>
      </c>
      <c r="C2213">
        <v>2010</v>
      </c>
      <c r="D2213" t="s">
        <v>30</v>
      </c>
      <c r="E2213" s="3">
        <f>17776+8163</f>
        <v>25939</v>
      </c>
      <c r="F2213" s="3">
        <f>37686+46047</f>
        <v>83733</v>
      </c>
      <c r="G2213" s="1">
        <f t="shared" si="922"/>
        <v>109672</v>
      </c>
      <c r="H2213" s="2">
        <f t="shared" si="923"/>
        <v>0.23651433364942739</v>
      </c>
      <c r="I2213" s="2">
        <f t="shared" si="924"/>
        <v>0.76348566635057258</v>
      </c>
      <c r="J2213" s="3">
        <f>5188+19810</f>
        <v>24998</v>
      </c>
      <c r="K2213" s="3">
        <f>22664+456757</f>
        <v>479421</v>
      </c>
      <c r="L2213" s="1">
        <f t="shared" si="925"/>
        <v>504419</v>
      </c>
      <c r="M2213" s="2">
        <f t="shared" si="926"/>
        <v>4.9558006339967368E-2</v>
      </c>
      <c r="N2213" s="2">
        <f t="shared" si="927"/>
        <v>0.95044199366003268</v>
      </c>
      <c r="P2213" s="5">
        <f t="shared" si="928"/>
        <v>4599.3416733532713</v>
      </c>
    </row>
    <row r="2214" spans="1:16" x14ac:dyDescent="0.35">
      <c r="A2214" t="s">
        <v>35</v>
      </c>
      <c r="B2214" t="s">
        <v>22</v>
      </c>
      <c r="C2214">
        <v>2010</v>
      </c>
      <c r="D2214" t="s">
        <v>30</v>
      </c>
      <c r="E2214" s="3">
        <f>17665+7983</f>
        <v>25648</v>
      </c>
      <c r="F2214" s="3">
        <f>37948+46046</f>
        <v>83994</v>
      </c>
      <c r="G2214" s="1">
        <f t="shared" si="922"/>
        <v>109642</v>
      </c>
      <c r="H2214" s="2">
        <f t="shared" si="923"/>
        <v>0.23392495576512651</v>
      </c>
      <c r="I2214" s="2">
        <f t="shared" si="924"/>
        <v>0.76607504423487349</v>
      </c>
      <c r="J2214" s="3">
        <f>5493+22044</f>
        <v>27537</v>
      </c>
      <c r="K2214" s="3">
        <f>24010+505676</f>
        <v>529686</v>
      </c>
      <c r="L2214" s="1">
        <f t="shared" si="925"/>
        <v>557223</v>
      </c>
      <c r="M2214" s="2">
        <f t="shared" si="926"/>
        <v>4.9418275986454256E-2</v>
      </c>
      <c r="N2214" s="2">
        <f t="shared" si="927"/>
        <v>0.95058172401354579</v>
      </c>
      <c r="P2214" s="5">
        <f t="shared" si="928"/>
        <v>5082.2038999653414</v>
      </c>
    </row>
    <row r="2215" spans="1:16" x14ac:dyDescent="0.35">
      <c r="A2215" t="s">
        <v>35</v>
      </c>
      <c r="B2215" t="s">
        <v>23</v>
      </c>
      <c r="C2215">
        <v>2010</v>
      </c>
      <c r="D2215" t="s">
        <v>30</v>
      </c>
      <c r="E2215" s="3">
        <f>17418+7866</f>
        <v>25284</v>
      </c>
      <c r="F2215" s="3">
        <f>38452+46102</f>
        <v>84554</v>
      </c>
      <c r="G2215" s="1">
        <f t="shared" si="922"/>
        <v>109838</v>
      </c>
      <c r="H2215" s="2">
        <f t="shared" si="923"/>
        <v>0.2301935577851017</v>
      </c>
      <c r="I2215" s="2">
        <f t="shared" si="924"/>
        <v>0.76980644221489836</v>
      </c>
      <c r="J2215" s="3">
        <f>6576+26393</f>
        <v>32969</v>
      </c>
      <c r="K2215" s="3">
        <f>28023+586765</f>
        <v>614788</v>
      </c>
      <c r="L2215" s="1">
        <f t="shared" si="925"/>
        <v>647757</v>
      </c>
      <c r="M2215" s="2">
        <f t="shared" si="926"/>
        <v>5.0897172859575429E-2</v>
      </c>
      <c r="N2215" s="2">
        <f t="shared" si="927"/>
        <v>0.9491028271404246</v>
      </c>
      <c r="P2215" s="5">
        <f t="shared" si="928"/>
        <v>5897.3852400808464</v>
      </c>
    </row>
    <row r="2216" spans="1:16" x14ac:dyDescent="0.35">
      <c r="A2216" t="s">
        <v>35</v>
      </c>
      <c r="B2216" t="s">
        <v>24</v>
      </c>
      <c r="C2216">
        <v>2010</v>
      </c>
      <c r="D2216" t="s">
        <v>30</v>
      </c>
      <c r="E2216" s="3">
        <f>17176+7700</f>
        <v>24876</v>
      </c>
      <c r="F2216" s="3">
        <f>38614+46255</f>
        <v>84869</v>
      </c>
      <c r="G2216" s="1">
        <f t="shared" si="922"/>
        <v>109745</v>
      </c>
      <c r="H2216" s="2">
        <f t="shared" si="923"/>
        <v>0.22667091894847147</v>
      </c>
      <c r="I2216" s="2">
        <f t="shared" si="924"/>
        <v>0.77332908105152853</v>
      </c>
      <c r="J2216" s="3">
        <f>7036+27904</f>
        <v>34940</v>
      </c>
      <c r="K2216" s="3">
        <f>29412+607463</f>
        <v>636875</v>
      </c>
      <c r="L2216" s="1">
        <f t="shared" si="925"/>
        <v>671815</v>
      </c>
      <c r="M2216" s="2">
        <f t="shared" si="926"/>
        <v>5.2008365398212304E-2</v>
      </c>
      <c r="N2216" s="2">
        <f t="shared" si="927"/>
        <v>0.9479916346017877</v>
      </c>
      <c r="P2216" s="5">
        <f t="shared" si="928"/>
        <v>6121.6000728962599</v>
      </c>
    </row>
    <row r="2217" spans="1:16" x14ac:dyDescent="0.35">
      <c r="A2217" t="s">
        <v>35</v>
      </c>
      <c r="B2217" t="s">
        <v>25</v>
      </c>
      <c r="C2217">
        <v>2010</v>
      </c>
      <c r="D2217" t="s">
        <v>30</v>
      </c>
      <c r="E2217" s="3">
        <f>16255+7220</f>
        <v>23475</v>
      </c>
      <c r="F2217" s="3">
        <f>37139+44224</f>
        <v>81363</v>
      </c>
      <c r="G2217" s="1">
        <f t="shared" si="922"/>
        <v>104838</v>
      </c>
      <c r="H2217" s="2">
        <f t="shared" si="923"/>
        <v>0.22391690036055628</v>
      </c>
      <c r="I2217" s="2">
        <f t="shared" si="924"/>
        <v>0.77608309963944366</v>
      </c>
      <c r="J2217" s="3">
        <f>6559+27539</f>
        <v>34098</v>
      </c>
      <c r="K2217" s="3">
        <f>27522+570842</f>
        <v>598364</v>
      </c>
      <c r="L2217" s="1">
        <f t="shared" si="925"/>
        <v>632462</v>
      </c>
      <c r="M2217" s="2">
        <f t="shared" si="926"/>
        <v>5.3913120472059983E-2</v>
      </c>
      <c r="N2217" s="2">
        <f t="shared" si="927"/>
        <v>0.94608687952794002</v>
      </c>
      <c r="P2217" s="5">
        <f t="shared" si="928"/>
        <v>6032.7552986512528</v>
      </c>
    </row>
    <row r="2218" spans="1:16" x14ac:dyDescent="0.35">
      <c r="A2218" t="s">
        <v>35</v>
      </c>
      <c r="B2218" t="s">
        <v>26</v>
      </c>
      <c r="C2218">
        <v>2010</v>
      </c>
      <c r="D2218" t="s">
        <v>30</v>
      </c>
      <c r="E2218" s="3">
        <f>16855+7472</f>
        <v>24327</v>
      </c>
      <c r="F2218" s="3">
        <f>39168+46496</f>
        <v>85664</v>
      </c>
      <c r="G2218" s="1">
        <f t="shared" si="922"/>
        <v>109991</v>
      </c>
      <c r="H2218" s="2">
        <f t="shared" si="923"/>
        <v>0.22117264139793255</v>
      </c>
      <c r="I2218" s="2">
        <f t="shared" si="924"/>
        <v>0.77882735860206742</v>
      </c>
      <c r="J2218" s="3">
        <f>7057+27987</f>
        <v>35044</v>
      </c>
      <c r="K2218" s="3">
        <f>29719+645314</f>
        <v>675033</v>
      </c>
      <c r="L2218" s="1">
        <f t="shared" si="925"/>
        <v>710077</v>
      </c>
      <c r="M2218" s="2">
        <f t="shared" si="926"/>
        <v>4.9352394176969537E-2</v>
      </c>
      <c r="N2218" s="2">
        <f t="shared" si="927"/>
        <v>0.95064760582303043</v>
      </c>
      <c r="P2218" s="5">
        <f t="shared" si="928"/>
        <v>6455.773654208072</v>
      </c>
    </row>
    <row r="2219" spans="1:16" x14ac:dyDescent="0.35">
      <c r="A2219" t="s">
        <v>35</v>
      </c>
      <c r="B2219" t="s">
        <v>27</v>
      </c>
      <c r="C2219">
        <v>2010</v>
      </c>
      <c r="D2219" t="s">
        <v>30</v>
      </c>
      <c r="E2219" s="3">
        <f>15831+6887</f>
        <v>22718</v>
      </c>
      <c r="F2219" s="3">
        <f>37230+43639</f>
        <v>80869</v>
      </c>
      <c r="G2219" s="1">
        <f t="shared" si="922"/>
        <v>103587</v>
      </c>
      <c r="H2219" s="2">
        <f t="shared" si="923"/>
        <v>0.2193132342861556</v>
      </c>
      <c r="I2219" s="2">
        <f t="shared" si="924"/>
        <v>0.78068676571384443</v>
      </c>
      <c r="J2219" s="3">
        <f>5467+20994</f>
        <v>26461</v>
      </c>
      <c r="K2219" s="3">
        <f>25001+517201</f>
        <v>542202</v>
      </c>
      <c r="L2219" s="1">
        <f t="shared" si="925"/>
        <v>568663</v>
      </c>
      <c r="M2219" s="2">
        <f t="shared" si="926"/>
        <v>4.6531953019626739E-2</v>
      </c>
      <c r="N2219" s="2">
        <f t="shared" si="927"/>
        <v>0.95346804698037324</v>
      </c>
      <c r="P2219" s="5">
        <f t="shared" si="928"/>
        <v>5489.7139602459765</v>
      </c>
    </row>
    <row r="2220" spans="1:16" x14ac:dyDescent="0.35">
      <c r="A2220" t="s">
        <v>35</v>
      </c>
      <c r="B2220" t="s">
        <v>28</v>
      </c>
      <c r="C2220">
        <v>2010</v>
      </c>
      <c r="D2220" t="s">
        <v>30</v>
      </c>
      <c r="E2220" s="3">
        <f>15633+6883</f>
        <v>22516</v>
      </c>
      <c r="F2220" s="3">
        <f>38013+44939</f>
        <v>82952</v>
      </c>
      <c r="G2220" s="1">
        <f t="shared" si="922"/>
        <v>105468</v>
      </c>
      <c r="H2220" s="2">
        <f t="shared" si="923"/>
        <v>0.21348655516365153</v>
      </c>
      <c r="I2220" s="2">
        <f t="shared" si="924"/>
        <v>0.78651344483634844</v>
      </c>
      <c r="J2220" s="3">
        <f>4729+18250</f>
        <v>22979</v>
      </c>
      <c r="K2220" s="3">
        <f>23358+478582</f>
        <v>501940</v>
      </c>
      <c r="L2220" s="1">
        <f t="shared" si="925"/>
        <v>524919</v>
      </c>
      <c r="M2220" s="2">
        <f t="shared" si="926"/>
        <v>4.37762778638228E-2</v>
      </c>
      <c r="N2220" s="2">
        <f t="shared" si="927"/>
        <v>0.95622372213617723</v>
      </c>
      <c r="P2220" s="5">
        <f t="shared" si="928"/>
        <v>4977.045170098987</v>
      </c>
    </row>
    <row r="2221" spans="1:16" x14ac:dyDescent="0.35">
      <c r="A2221" t="s">
        <v>35</v>
      </c>
      <c r="B2221" t="s">
        <v>29</v>
      </c>
      <c r="C2221">
        <v>2010</v>
      </c>
      <c r="D2221" t="s">
        <v>30</v>
      </c>
      <c r="E2221" s="3">
        <f>15622+6825</f>
        <v>22447</v>
      </c>
      <c r="F2221" s="3">
        <f>39190+46784</f>
        <v>85974</v>
      </c>
      <c r="G2221" s="1">
        <f t="shared" si="922"/>
        <v>108421</v>
      </c>
      <c r="H2221" s="2">
        <f t="shared" si="923"/>
        <v>0.20703553739589195</v>
      </c>
      <c r="I2221" s="2">
        <f t="shared" si="924"/>
        <v>0.79296446260410802</v>
      </c>
      <c r="J2221" s="3">
        <f>4887+18330</f>
        <v>23217</v>
      </c>
      <c r="K2221" s="3">
        <f>24677+480084</f>
        <v>504761</v>
      </c>
      <c r="L2221" s="1">
        <f t="shared" si="925"/>
        <v>527978</v>
      </c>
      <c r="M2221" s="2">
        <f t="shared" si="926"/>
        <v>4.3973423135054868E-2</v>
      </c>
      <c r="N2221" s="2">
        <f t="shared" si="927"/>
        <v>0.95602657686494508</v>
      </c>
      <c r="P2221" s="5">
        <f t="shared" si="928"/>
        <v>4869.7023639331865</v>
      </c>
    </row>
    <row r="2222" spans="1:16" x14ac:dyDescent="0.35">
      <c r="A2222" t="s">
        <v>35</v>
      </c>
      <c r="B2222" t="s">
        <v>17</v>
      </c>
      <c r="C2222">
        <v>2011</v>
      </c>
      <c r="D2222" t="s">
        <v>30</v>
      </c>
      <c r="E2222" s="3">
        <f>14471+6277</f>
        <v>20748</v>
      </c>
      <c r="F2222" s="3">
        <f>36400+42950</f>
        <v>79350</v>
      </c>
      <c r="G2222" s="1">
        <f t="shared" si="922"/>
        <v>100098</v>
      </c>
      <c r="H2222" s="2">
        <f t="shared" si="923"/>
        <v>0.20727686866870468</v>
      </c>
      <c r="I2222" s="2">
        <f t="shared" si="924"/>
        <v>0.79272313133129535</v>
      </c>
      <c r="J2222" s="3">
        <f>4737+16342</f>
        <v>21079</v>
      </c>
      <c r="K2222" s="3">
        <f>23931+427332</f>
        <v>451263</v>
      </c>
      <c r="L2222" s="1">
        <f t="shared" si="925"/>
        <v>472342</v>
      </c>
      <c r="M2222" s="2">
        <f t="shared" si="926"/>
        <v>4.4626562956501858E-2</v>
      </c>
      <c r="N2222" s="2">
        <f t="shared" si="927"/>
        <v>0.9553734370434982</v>
      </c>
      <c r="P2222" s="5">
        <f t="shared" si="928"/>
        <v>4718.7955803312752</v>
      </c>
    </row>
    <row r="2223" spans="1:16" x14ac:dyDescent="0.35">
      <c r="A2223" t="s">
        <v>35</v>
      </c>
      <c r="B2223" t="s">
        <v>19</v>
      </c>
      <c r="C2223">
        <v>2011</v>
      </c>
      <c r="D2223" t="s">
        <v>30</v>
      </c>
      <c r="E2223" s="3">
        <f>15528+6710</f>
        <v>22238</v>
      </c>
      <c r="F2223" s="3">
        <f>40069+47232</f>
        <v>87301</v>
      </c>
      <c r="G2223" s="1">
        <f t="shared" si="922"/>
        <v>109539</v>
      </c>
      <c r="H2223" s="2">
        <f t="shared" si="923"/>
        <v>0.20301445147390426</v>
      </c>
      <c r="I2223" s="2">
        <f t="shared" si="924"/>
        <v>0.79698554852609571</v>
      </c>
      <c r="J2223" s="3">
        <f>4861+18172</f>
        <v>23033</v>
      </c>
      <c r="K2223" s="3">
        <f>24871+456218</f>
        <v>481089</v>
      </c>
      <c r="L2223" s="1">
        <f t="shared" si="925"/>
        <v>504122</v>
      </c>
      <c r="M2223" s="2">
        <f t="shared" si="926"/>
        <v>4.5689337104907149E-2</v>
      </c>
      <c r="N2223" s="2">
        <f t="shared" si="927"/>
        <v>0.95431066289509281</v>
      </c>
      <c r="P2223" s="5">
        <f t="shared" si="928"/>
        <v>4602.2147363039649</v>
      </c>
    </row>
    <row r="2224" spans="1:16" x14ac:dyDescent="0.35">
      <c r="A2224" t="s">
        <v>35</v>
      </c>
      <c r="B2224" t="s">
        <v>20</v>
      </c>
      <c r="C2224">
        <v>2011</v>
      </c>
      <c r="D2224" t="s">
        <v>30</v>
      </c>
      <c r="E2224" s="3">
        <f>15325+6747</f>
        <v>22072</v>
      </c>
      <c r="F2224" s="3">
        <f>39754+47796</f>
        <v>87550</v>
      </c>
      <c r="G2224" s="1">
        <f t="shared" si="922"/>
        <v>109622</v>
      </c>
      <c r="H2224" s="2">
        <f t="shared" si="923"/>
        <v>0.20134644505664923</v>
      </c>
      <c r="I2224" s="2">
        <f t="shared" si="924"/>
        <v>0.79865355494335077</v>
      </c>
      <c r="J2224" s="3">
        <f>4277+16521</f>
        <v>20798</v>
      </c>
      <c r="K2224" s="3">
        <f>23292+456316</f>
        <v>479608</v>
      </c>
      <c r="L2224" s="1">
        <f t="shared" si="925"/>
        <v>500406</v>
      </c>
      <c r="M2224" s="2">
        <f t="shared" si="926"/>
        <v>4.1562251451821124E-2</v>
      </c>
      <c r="N2224" s="2">
        <f t="shared" si="927"/>
        <v>0.95843774854817887</v>
      </c>
      <c r="P2224" s="5">
        <f t="shared" si="928"/>
        <v>4564.8318768130484</v>
      </c>
    </row>
    <row r="2225" spans="1:16" x14ac:dyDescent="0.35">
      <c r="A2225" t="s">
        <v>35</v>
      </c>
      <c r="B2225" t="s">
        <v>21</v>
      </c>
      <c r="C2225">
        <v>2011</v>
      </c>
      <c r="D2225" t="s">
        <v>30</v>
      </c>
      <c r="E2225" s="3">
        <f>14650+6420</f>
        <v>21070</v>
      </c>
      <c r="F2225" s="3">
        <f>38470+46008</f>
        <v>84478</v>
      </c>
      <c r="G2225" s="1">
        <f t="shared" si="922"/>
        <v>105548</v>
      </c>
      <c r="H2225" s="2">
        <f t="shared" si="923"/>
        <v>0.19962481524993367</v>
      </c>
      <c r="I2225" s="2">
        <f t="shared" si="924"/>
        <v>0.8003751847500663</v>
      </c>
      <c r="J2225" s="3">
        <f>4436+17197</f>
        <v>21633</v>
      </c>
      <c r="K2225" s="3">
        <f>23906+478006</f>
        <v>501912</v>
      </c>
      <c r="L2225" s="1">
        <f t="shared" si="925"/>
        <v>523545</v>
      </c>
      <c r="M2225" s="2">
        <f t="shared" si="926"/>
        <v>4.1320230352691743E-2</v>
      </c>
      <c r="N2225" s="2">
        <f t="shared" si="927"/>
        <v>0.95867976964730828</v>
      </c>
      <c r="P2225" s="5">
        <f t="shared" si="928"/>
        <v>4960.2550498351457</v>
      </c>
    </row>
    <row r="2226" spans="1:16" x14ac:dyDescent="0.35">
      <c r="A2226" t="s">
        <v>35</v>
      </c>
      <c r="B2226" t="s">
        <v>22</v>
      </c>
      <c r="C2226">
        <v>2011</v>
      </c>
      <c r="D2226" t="s">
        <v>30</v>
      </c>
      <c r="E2226" s="3">
        <f>13785+6002</f>
        <v>19787</v>
      </c>
      <c r="F2226" s="3">
        <f>37285+43671</f>
        <v>80956</v>
      </c>
      <c r="G2226" s="1">
        <f t="shared" si="922"/>
        <v>100743</v>
      </c>
      <c r="H2226" s="2">
        <f t="shared" si="923"/>
        <v>0.19641066873132623</v>
      </c>
      <c r="I2226" s="2">
        <f t="shared" si="924"/>
        <v>0.80358933126867371</v>
      </c>
      <c r="J2226" s="3">
        <f>4866+18152</f>
        <v>23018</v>
      </c>
      <c r="K2226" s="3">
        <f>24853+512380</f>
        <v>537233</v>
      </c>
      <c r="L2226" s="1">
        <f t="shared" si="925"/>
        <v>560251</v>
      </c>
      <c r="M2226" s="2">
        <f t="shared" si="926"/>
        <v>4.1085156474508749E-2</v>
      </c>
      <c r="N2226" s="2">
        <f t="shared" si="927"/>
        <v>0.95891484352549128</v>
      </c>
      <c r="P2226" s="5">
        <f t="shared" si="928"/>
        <v>5561.1903556574653</v>
      </c>
    </row>
    <row r="2227" spans="1:16" x14ac:dyDescent="0.35">
      <c r="A2227" t="s">
        <v>35</v>
      </c>
      <c r="B2227" t="s">
        <v>23</v>
      </c>
      <c r="C2227">
        <v>2011</v>
      </c>
      <c r="D2227" t="s">
        <v>30</v>
      </c>
      <c r="E2227" s="3">
        <f>14961+6500</f>
        <v>21461</v>
      </c>
      <c r="F2227" s="3">
        <f>40501+48192</f>
        <v>88693</v>
      </c>
      <c r="G2227" s="1">
        <f t="shared" si="922"/>
        <v>110154</v>
      </c>
      <c r="H2227" s="2">
        <f t="shared" si="923"/>
        <v>0.19482724186139405</v>
      </c>
      <c r="I2227" s="2">
        <f t="shared" si="924"/>
        <v>0.805172758138606</v>
      </c>
      <c r="J2227" s="3">
        <f>6051+22771</f>
        <v>28822</v>
      </c>
      <c r="K2227" s="3">
        <f>29812+613848</f>
        <v>643660</v>
      </c>
      <c r="L2227" s="1">
        <f t="shared" si="925"/>
        <v>672482</v>
      </c>
      <c r="M2227" s="2">
        <f t="shared" si="926"/>
        <v>4.2859139724185924E-2</v>
      </c>
      <c r="N2227" s="2">
        <f t="shared" si="927"/>
        <v>0.95714086027581402</v>
      </c>
      <c r="P2227" s="5">
        <f t="shared" si="928"/>
        <v>6104.9258311091744</v>
      </c>
    </row>
    <row r="2228" spans="1:16" x14ac:dyDescent="0.35">
      <c r="A2228" t="s">
        <v>35</v>
      </c>
      <c r="B2228" t="s">
        <v>24</v>
      </c>
      <c r="C2228">
        <v>2011</v>
      </c>
      <c r="D2228" t="s">
        <v>30</v>
      </c>
      <c r="E2228" s="3">
        <f>14225+6109</f>
        <v>20334</v>
      </c>
      <c r="F2228" s="3">
        <f>39626+46530</f>
        <v>86156</v>
      </c>
      <c r="G2228" s="1">
        <f t="shared" si="922"/>
        <v>106490</v>
      </c>
      <c r="H2228" s="2">
        <f t="shared" si="923"/>
        <v>0.19094750680815101</v>
      </c>
      <c r="I2228" s="2">
        <f t="shared" si="924"/>
        <v>0.80905249319184902</v>
      </c>
      <c r="J2228" s="3">
        <f>5979+22510</f>
        <v>28489</v>
      </c>
      <c r="K2228" s="3">
        <f>30085+595476</f>
        <v>625561</v>
      </c>
      <c r="L2228" s="1">
        <f t="shared" si="925"/>
        <v>654050</v>
      </c>
      <c r="M2228" s="2">
        <f t="shared" si="926"/>
        <v>4.3557831970032872E-2</v>
      </c>
      <c r="N2228" s="2">
        <f t="shared" si="927"/>
        <v>0.95644216802996718</v>
      </c>
      <c r="P2228" s="5">
        <f t="shared" si="928"/>
        <v>6141.8912573950602</v>
      </c>
    </row>
    <row r="2229" spans="1:16" x14ac:dyDescent="0.35">
      <c r="A2229" t="s">
        <v>35</v>
      </c>
      <c r="B2229" t="s">
        <v>25</v>
      </c>
      <c r="C2229">
        <v>2011</v>
      </c>
      <c r="D2229" t="s">
        <v>30</v>
      </c>
      <c r="E2229" s="3">
        <f>14474+6235</f>
        <v>20709</v>
      </c>
      <c r="F2229" s="3">
        <f>41284+48733</f>
        <v>90017</v>
      </c>
      <c r="G2229" s="1">
        <f t="shared" si="922"/>
        <v>110726</v>
      </c>
      <c r="H2229" s="2">
        <f t="shared" si="923"/>
        <v>0.187029243357477</v>
      </c>
      <c r="I2229" s="2">
        <f t="shared" si="924"/>
        <v>0.81297075664252294</v>
      </c>
      <c r="J2229" s="3">
        <f>6298+23793</f>
        <v>30091</v>
      </c>
      <c r="K2229" s="3">
        <f>31468+650539</f>
        <v>682007</v>
      </c>
      <c r="L2229" s="1">
        <f t="shared" si="925"/>
        <v>712098</v>
      </c>
      <c r="M2229" s="2">
        <f t="shared" si="926"/>
        <v>4.225682420116332E-2</v>
      </c>
      <c r="N2229" s="2">
        <f t="shared" si="927"/>
        <v>0.95774317579883672</v>
      </c>
      <c r="P2229" s="5">
        <f t="shared" si="928"/>
        <v>6431.1724436898294</v>
      </c>
    </row>
    <row r="2230" spans="1:16" x14ac:dyDescent="0.35">
      <c r="A2230" t="s">
        <v>35</v>
      </c>
      <c r="B2230" t="s">
        <v>26</v>
      </c>
      <c r="C2230">
        <v>2011</v>
      </c>
      <c r="D2230" t="s">
        <v>30</v>
      </c>
      <c r="E2230" s="3">
        <f>13633+5893</f>
        <v>19526</v>
      </c>
      <c r="F2230" s="3">
        <f>39322+46760</f>
        <v>86082</v>
      </c>
      <c r="G2230" s="1">
        <f t="shared" si="922"/>
        <v>105608</v>
      </c>
      <c r="H2230" s="2">
        <f t="shared" si="923"/>
        <v>0.18489129611393076</v>
      </c>
      <c r="I2230" s="2">
        <f t="shared" si="924"/>
        <v>0.81510870388606926</v>
      </c>
      <c r="J2230" s="3">
        <f>5982+22911</f>
        <v>28893</v>
      </c>
      <c r="K2230" s="3">
        <f>30437+647730</f>
        <v>678167</v>
      </c>
      <c r="L2230" s="1">
        <f t="shared" si="925"/>
        <v>707060</v>
      </c>
      <c r="M2230" s="2">
        <f t="shared" si="926"/>
        <v>4.0863575934149861E-2</v>
      </c>
      <c r="N2230" s="2">
        <f t="shared" si="927"/>
        <v>0.95913642406585009</v>
      </c>
      <c r="P2230" s="5">
        <f t="shared" si="928"/>
        <v>6695.1367320657528</v>
      </c>
    </row>
    <row r="2231" spans="1:16" x14ac:dyDescent="0.35">
      <c r="A2231" t="s">
        <v>35</v>
      </c>
      <c r="B2231" t="s">
        <v>27</v>
      </c>
      <c r="C2231">
        <v>2011</v>
      </c>
      <c r="D2231" t="s">
        <v>30</v>
      </c>
      <c r="E2231" s="3">
        <f>13018+5495</f>
        <v>18513</v>
      </c>
      <c r="F2231" s="3">
        <f>38467+44731</f>
        <v>83198</v>
      </c>
      <c r="G2231" s="1">
        <f t="shared" ref="G2231:G2294" si="929">SUM(E2231:F2231)</f>
        <v>101711</v>
      </c>
      <c r="H2231" s="2">
        <f t="shared" ref="H2231:H2294" si="930">SUM(E2231)/G2231</f>
        <v>0.18201571118168144</v>
      </c>
      <c r="I2231" s="2">
        <f t="shared" ref="I2231:I2294" si="931">SUM(F2231/G2231)</f>
        <v>0.81798428881831853</v>
      </c>
      <c r="J2231" s="3">
        <f>5075+18057</f>
        <v>23132</v>
      </c>
      <c r="K2231" s="3">
        <f>26344+534552</f>
        <v>560896</v>
      </c>
      <c r="L2231" s="1">
        <f t="shared" si="925"/>
        <v>584028</v>
      </c>
      <c r="M2231" s="2">
        <f t="shared" si="926"/>
        <v>3.9607690042258246E-2</v>
      </c>
      <c r="N2231" s="2">
        <f t="shared" si="927"/>
        <v>0.96039230995774172</v>
      </c>
      <c r="P2231" s="5">
        <f t="shared" si="928"/>
        <v>5742.0338016537053</v>
      </c>
    </row>
    <row r="2232" spans="1:16" x14ac:dyDescent="0.35">
      <c r="A2232" t="s">
        <v>35</v>
      </c>
      <c r="B2232" t="s">
        <v>28</v>
      </c>
      <c r="C2232">
        <v>2011</v>
      </c>
      <c r="D2232" t="s">
        <v>30</v>
      </c>
      <c r="E2232" s="3">
        <f>13373+5633</f>
        <v>19006</v>
      </c>
      <c r="F2232" s="3">
        <f>40690+47039</f>
        <v>87729</v>
      </c>
      <c r="G2232" s="1">
        <f t="shared" si="929"/>
        <v>106735</v>
      </c>
      <c r="H2232" s="2">
        <f t="shared" si="930"/>
        <v>0.17806717571555722</v>
      </c>
      <c r="I2232" s="2">
        <f t="shared" si="931"/>
        <v>0.82193282428444281</v>
      </c>
      <c r="J2232" s="3">
        <f>4316+14784</f>
        <v>19100</v>
      </c>
      <c r="K2232" s="3">
        <f>24440+467192</f>
        <v>491632</v>
      </c>
      <c r="L2232" s="1">
        <f t="shared" si="925"/>
        <v>510732</v>
      </c>
      <c r="M2232" s="2">
        <f t="shared" si="926"/>
        <v>3.739730426133471E-2</v>
      </c>
      <c r="N2232" s="2">
        <f t="shared" si="927"/>
        <v>0.9626026957386653</v>
      </c>
      <c r="P2232" s="5">
        <f t="shared" si="928"/>
        <v>4785.0470792148781</v>
      </c>
    </row>
    <row r="2233" spans="1:16" x14ac:dyDescent="0.35">
      <c r="A2233" t="s">
        <v>35</v>
      </c>
      <c r="B2233" t="s">
        <v>29</v>
      </c>
      <c r="C2233">
        <v>2011</v>
      </c>
      <c r="D2233" t="s">
        <v>30</v>
      </c>
      <c r="E2233" s="3">
        <f>12098+5153</f>
        <v>17251</v>
      </c>
      <c r="F2233" s="3">
        <f>37425+43671</f>
        <v>81096</v>
      </c>
      <c r="G2233" s="1">
        <f t="shared" si="929"/>
        <v>98347</v>
      </c>
      <c r="H2233" s="2">
        <f t="shared" si="930"/>
        <v>0.17540951935493712</v>
      </c>
      <c r="I2233" s="2">
        <f t="shared" si="931"/>
        <v>0.82459048064506291</v>
      </c>
      <c r="J2233" s="3">
        <f>3928+13536</f>
        <v>17464</v>
      </c>
      <c r="K2233" s="3">
        <f>23314+433884</f>
        <v>457198</v>
      </c>
      <c r="L2233" s="1">
        <f t="shared" si="925"/>
        <v>474662</v>
      </c>
      <c r="M2233" s="2">
        <f t="shared" si="926"/>
        <v>3.6792496555443664E-2</v>
      </c>
      <c r="N2233" s="2">
        <f t="shared" si="927"/>
        <v>0.9632075034445563</v>
      </c>
      <c r="P2233" s="5">
        <f t="shared" si="928"/>
        <v>4826.4003985886711</v>
      </c>
    </row>
    <row r="2234" spans="1:16" x14ac:dyDescent="0.35">
      <c r="A2234" t="s">
        <v>35</v>
      </c>
      <c r="B2234" t="s">
        <v>17</v>
      </c>
      <c r="C2234">
        <v>2012</v>
      </c>
      <c r="D2234" t="s">
        <v>30</v>
      </c>
      <c r="E2234" s="3">
        <f>12621+5429</f>
        <v>18050</v>
      </c>
      <c r="F2234" s="3">
        <f>39022+45681</f>
        <v>84703</v>
      </c>
      <c r="G2234" s="1">
        <f t="shared" si="929"/>
        <v>102753</v>
      </c>
      <c r="H2234" s="2">
        <f t="shared" si="930"/>
        <v>0.17566397088162877</v>
      </c>
      <c r="I2234" s="2">
        <f t="shared" si="931"/>
        <v>0.82433602911837123</v>
      </c>
      <c r="J2234" s="3">
        <f>4186+14339</f>
        <v>18525</v>
      </c>
      <c r="K2234" s="3">
        <f>24024+442195</f>
        <v>466219</v>
      </c>
      <c r="L2234" s="1">
        <f t="shared" si="925"/>
        <v>484744</v>
      </c>
      <c r="M2234" s="2">
        <f t="shared" si="926"/>
        <v>3.8216048058356579E-2</v>
      </c>
      <c r="N2234" s="2">
        <f t="shared" si="927"/>
        <v>0.96178395194164346</v>
      </c>
      <c r="P2234" s="5">
        <f t="shared" si="928"/>
        <v>4717.5654238805682</v>
      </c>
    </row>
    <row r="2235" spans="1:16" x14ac:dyDescent="0.35">
      <c r="A2235" t="s">
        <v>35</v>
      </c>
      <c r="B2235" t="s">
        <v>19</v>
      </c>
      <c r="C2235">
        <v>2012</v>
      </c>
      <c r="D2235" t="s">
        <v>30</v>
      </c>
      <c r="E2235" s="3">
        <f>13100+5663</f>
        <v>18763</v>
      </c>
      <c r="F2235" s="3">
        <f>40770+48431</f>
        <v>89201</v>
      </c>
      <c r="G2235" s="1">
        <f t="shared" si="929"/>
        <v>107964</v>
      </c>
      <c r="H2235" s="2">
        <f t="shared" si="930"/>
        <v>0.17378941128524322</v>
      </c>
      <c r="I2235" s="2">
        <f t="shared" si="931"/>
        <v>0.82621058871475672</v>
      </c>
      <c r="J2235" s="3">
        <f>3624+13462</f>
        <v>17086</v>
      </c>
      <c r="K2235" s="3">
        <f>22619+432790</f>
        <v>455409</v>
      </c>
      <c r="L2235" s="1">
        <f t="shared" si="925"/>
        <v>472495</v>
      </c>
      <c r="M2235" s="2">
        <f t="shared" si="926"/>
        <v>3.616122921935682E-2</v>
      </c>
      <c r="N2235" s="2">
        <f t="shared" si="927"/>
        <v>0.96383877078064317</v>
      </c>
      <c r="P2235" s="5">
        <f t="shared" si="928"/>
        <v>4376.4125078729949</v>
      </c>
    </row>
    <row r="2236" spans="1:16" x14ac:dyDescent="0.35">
      <c r="A2236" t="s">
        <v>35</v>
      </c>
      <c r="B2236" t="s">
        <v>20</v>
      </c>
      <c r="C2236">
        <v>2012</v>
      </c>
      <c r="D2236" t="s">
        <v>30</v>
      </c>
      <c r="E2236" s="3">
        <f>13768+5701</f>
        <v>19469</v>
      </c>
      <c r="F2236" s="3">
        <f>43861+49543</f>
        <v>93404</v>
      </c>
      <c r="G2236" s="1">
        <f t="shared" si="929"/>
        <v>112873</v>
      </c>
      <c r="H2236" s="2">
        <f t="shared" si="930"/>
        <v>0.1724858912228788</v>
      </c>
      <c r="I2236" s="2">
        <f t="shared" si="931"/>
        <v>0.82751410877712117</v>
      </c>
      <c r="J2236" s="3">
        <f>3909+13984</f>
        <v>17893</v>
      </c>
      <c r="K2236" s="3">
        <f>24968+461475</f>
        <v>486443</v>
      </c>
      <c r="L2236" s="1">
        <f t="shared" si="925"/>
        <v>504336</v>
      </c>
      <c r="M2236" s="2">
        <f t="shared" si="926"/>
        <v>3.5478331905713652E-2</v>
      </c>
      <c r="N2236" s="2">
        <f t="shared" si="927"/>
        <v>0.9645216680942863</v>
      </c>
      <c r="P2236" s="5">
        <f t="shared" si="928"/>
        <v>4468.172193527239</v>
      </c>
    </row>
    <row r="2237" spans="1:16" x14ac:dyDescent="0.35">
      <c r="A2237" t="s">
        <v>35</v>
      </c>
      <c r="B2237" t="s">
        <v>21</v>
      </c>
      <c r="C2237">
        <v>2012</v>
      </c>
      <c r="D2237" t="s">
        <v>30</v>
      </c>
      <c r="E2237" s="3">
        <f>13812+5600</f>
        <v>19412</v>
      </c>
      <c r="F2237" s="3">
        <f>44740+49380</f>
        <v>94120</v>
      </c>
      <c r="G2237" s="1">
        <f t="shared" si="929"/>
        <v>113532</v>
      </c>
      <c r="H2237" s="2">
        <f t="shared" si="930"/>
        <v>0.17098263044780326</v>
      </c>
      <c r="I2237" s="2">
        <f t="shared" si="931"/>
        <v>0.82901736955219674</v>
      </c>
      <c r="J2237" s="3">
        <f>4435+16059</f>
        <v>20494</v>
      </c>
      <c r="K2237" s="3">
        <f>28070+533119</f>
        <v>561189</v>
      </c>
      <c r="L2237" s="1">
        <f t="shared" si="925"/>
        <v>581683</v>
      </c>
      <c r="M2237" s="2">
        <f t="shared" si="926"/>
        <v>3.5232248492735735E-2</v>
      </c>
      <c r="N2237" s="2">
        <f t="shared" si="927"/>
        <v>0.96476775150726424</v>
      </c>
      <c r="P2237" s="5">
        <f t="shared" si="928"/>
        <v>5123.5158369446499</v>
      </c>
    </row>
    <row r="2238" spans="1:16" x14ac:dyDescent="0.35">
      <c r="A2238" t="s">
        <v>35</v>
      </c>
      <c r="B2238" t="s">
        <v>22</v>
      </c>
      <c r="C2238">
        <v>2012</v>
      </c>
      <c r="D2238" t="s">
        <v>30</v>
      </c>
      <c r="E2238" s="3">
        <f>13688+5514</f>
        <v>19202</v>
      </c>
      <c r="F2238" s="3">
        <f>45009+49318</f>
        <v>94327</v>
      </c>
      <c r="G2238" s="1">
        <f t="shared" si="929"/>
        <v>113529</v>
      </c>
      <c r="H2238" s="2">
        <f t="shared" si="930"/>
        <v>0.16913740101648037</v>
      </c>
      <c r="I2238" s="2">
        <f t="shared" si="931"/>
        <v>0.83086259898351966</v>
      </c>
      <c r="J2238" s="3">
        <f>4699+17161</f>
        <v>21860</v>
      </c>
      <c r="K2238" s="3">
        <f>28838+557945</f>
        <v>586783</v>
      </c>
      <c r="L2238" s="1">
        <f t="shared" si="925"/>
        <v>608643</v>
      </c>
      <c r="M2238" s="2">
        <f t="shared" si="926"/>
        <v>3.5915963873732221E-2</v>
      </c>
      <c r="N2238" s="2">
        <f t="shared" si="927"/>
        <v>0.96408403612626781</v>
      </c>
      <c r="P2238" s="5">
        <f t="shared" si="928"/>
        <v>5361.1235895674236</v>
      </c>
    </row>
    <row r="2239" spans="1:16" x14ac:dyDescent="0.35">
      <c r="A2239" t="s">
        <v>35</v>
      </c>
      <c r="B2239" t="s">
        <v>23</v>
      </c>
      <c r="C2239">
        <v>2012</v>
      </c>
      <c r="D2239" t="s">
        <v>30</v>
      </c>
      <c r="E2239" s="3">
        <f>13457+5434</f>
        <v>18891</v>
      </c>
      <c r="F2239" s="3">
        <f>44868+49751</f>
        <v>94619</v>
      </c>
      <c r="G2239" s="1">
        <f t="shared" si="929"/>
        <v>113510</v>
      </c>
      <c r="H2239" s="2">
        <f t="shared" si="930"/>
        <v>0.16642586556250549</v>
      </c>
      <c r="I2239" s="2">
        <f t="shared" si="931"/>
        <v>0.83357413443749451</v>
      </c>
      <c r="J2239" s="3">
        <f>5272+19590</f>
        <v>24862</v>
      </c>
      <c r="K2239" s="3">
        <f>31966+626379</f>
        <v>658345</v>
      </c>
      <c r="L2239" s="1">
        <f t="shared" si="925"/>
        <v>683207</v>
      </c>
      <c r="M2239" s="2">
        <f t="shared" si="926"/>
        <v>3.6390142372663047E-2</v>
      </c>
      <c r="N2239" s="2">
        <f t="shared" si="927"/>
        <v>0.96360985762733697</v>
      </c>
      <c r="P2239" s="5">
        <f t="shared" si="928"/>
        <v>6018.9146330719759</v>
      </c>
    </row>
    <row r="2240" spans="1:16" x14ac:dyDescent="0.35">
      <c r="A2240" t="s">
        <v>35</v>
      </c>
      <c r="B2240" t="s">
        <v>24</v>
      </c>
      <c r="C2240">
        <v>2012</v>
      </c>
      <c r="D2240" t="s">
        <v>30</v>
      </c>
      <c r="E2240" s="3">
        <f>13461+5407</f>
        <v>18868</v>
      </c>
      <c r="F2240" s="3">
        <f>45457+49770</f>
        <v>95227</v>
      </c>
      <c r="G2240" s="1">
        <f t="shared" si="929"/>
        <v>114095</v>
      </c>
      <c r="H2240" s="2">
        <f t="shared" si="930"/>
        <v>0.16537096279416275</v>
      </c>
      <c r="I2240" s="2">
        <f t="shared" si="931"/>
        <v>0.83462903720583725</v>
      </c>
      <c r="J2240" s="3">
        <f>5767+20999</f>
        <v>26766</v>
      </c>
      <c r="K2240" s="3">
        <f>34824+641883</f>
        <v>676707</v>
      </c>
      <c r="L2240" s="1">
        <f t="shared" si="925"/>
        <v>703473</v>
      </c>
      <c r="M2240" s="2">
        <f t="shared" si="926"/>
        <v>3.8048368594103828E-2</v>
      </c>
      <c r="N2240" s="2">
        <f t="shared" si="927"/>
        <v>0.96195163140589612</v>
      </c>
      <c r="P2240" s="5">
        <f t="shared" si="928"/>
        <v>6165.6777247030986</v>
      </c>
    </row>
    <row r="2241" spans="1:16" x14ac:dyDescent="0.35">
      <c r="A2241" t="s">
        <v>35</v>
      </c>
      <c r="B2241" t="s">
        <v>25</v>
      </c>
      <c r="C2241">
        <v>2012</v>
      </c>
      <c r="D2241" t="s">
        <v>30</v>
      </c>
      <c r="E2241" s="3">
        <f>13312+5344</f>
        <v>18656</v>
      </c>
      <c r="F2241" s="3">
        <f>45810+50088</f>
        <v>95898</v>
      </c>
      <c r="G2241" s="1">
        <f t="shared" si="929"/>
        <v>114554</v>
      </c>
      <c r="H2241" s="2">
        <f t="shared" si="930"/>
        <v>0.16285769156904167</v>
      </c>
      <c r="I2241" s="2">
        <f t="shared" si="931"/>
        <v>0.83714230843095827</v>
      </c>
      <c r="J2241" s="3">
        <f>6179+21592</f>
        <v>27771</v>
      </c>
      <c r="K2241" s="3">
        <f>34942+661316</f>
        <v>696258</v>
      </c>
      <c r="L2241" s="1">
        <f t="shared" si="925"/>
        <v>724029</v>
      </c>
      <c r="M2241" s="2">
        <f t="shared" si="926"/>
        <v>3.8356198439565267E-2</v>
      </c>
      <c r="N2241" s="2">
        <f t="shared" si="927"/>
        <v>0.96164380156043472</v>
      </c>
      <c r="P2241" s="5">
        <f t="shared" si="928"/>
        <v>6320.4165720970022</v>
      </c>
    </row>
    <row r="2242" spans="1:16" x14ac:dyDescent="0.35">
      <c r="A2242" t="s">
        <v>35</v>
      </c>
      <c r="B2242" t="s">
        <v>26</v>
      </c>
      <c r="C2242">
        <v>2012</v>
      </c>
      <c r="D2242" t="s">
        <v>30</v>
      </c>
      <c r="E2242" s="3">
        <f>13172+5264</f>
        <v>18436</v>
      </c>
      <c r="F2242" s="3">
        <f>45988+50147</f>
        <v>96135</v>
      </c>
      <c r="G2242" s="1">
        <f t="shared" si="929"/>
        <v>114571</v>
      </c>
      <c r="H2242" s="2">
        <f t="shared" si="930"/>
        <v>0.16091332012463888</v>
      </c>
      <c r="I2242" s="2">
        <f t="shared" si="931"/>
        <v>0.83908667987536112</v>
      </c>
      <c r="J2242" s="3">
        <f>5927+21039</f>
        <v>26966</v>
      </c>
      <c r="K2242" s="3">
        <f>35759+689002</f>
        <v>724761</v>
      </c>
      <c r="L2242" s="1">
        <f t="shared" si="925"/>
        <v>751727</v>
      </c>
      <c r="M2242" s="2">
        <f t="shared" si="926"/>
        <v>3.5872065257733191E-2</v>
      </c>
      <c r="N2242" s="2">
        <f t="shared" si="927"/>
        <v>0.96412793474226677</v>
      </c>
      <c r="P2242" s="5">
        <f t="shared" si="928"/>
        <v>6561.2327726911699</v>
      </c>
    </row>
    <row r="2243" spans="1:16" x14ac:dyDescent="0.35">
      <c r="A2243" t="s">
        <v>35</v>
      </c>
      <c r="B2243" t="s">
        <v>27</v>
      </c>
      <c r="C2243">
        <v>2012</v>
      </c>
      <c r="D2243" t="s">
        <v>30</v>
      </c>
      <c r="E2243" s="3">
        <f>13167+5154</f>
        <v>18321</v>
      </c>
      <c r="F2243" s="3">
        <f>45927+50290</f>
        <v>96217</v>
      </c>
      <c r="G2243" s="1">
        <f t="shared" si="929"/>
        <v>114538</v>
      </c>
      <c r="H2243" s="2">
        <f t="shared" si="930"/>
        <v>0.15995564790724476</v>
      </c>
      <c r="I2243" s="2">
        <f t="shared" si="931"/>
        <v>0.8400443520927553</v>
      </c>
      <c r="J2243" s="3">
        <f>5028+17449</f>
        <v>22477</v>
      </c>
      <c r="K2243" s="3">
        <f>31420+601024</f>
        <v>632444</v>
      </c>
      <c r="L2243" s="1">
        <f t="shared" ref="L2243:L2306" si="932">SUM(J2243:K2243)</f>
        <v>654921</v>
      </c>
      <c r="M2243" s="2">
        <f t="shared" ref="M2243:M2306" si="933">SUM(J2243)/L2243</f>
        <v>3.4320169913623168E-2</v>
      </c>
      <c r="N2243" s="2">
        <f t="shared" ref="N2243:N2306" si="934">SUM(K2243/L2243)</f>
        <v>0.96567983008637681</v>
      </c>
      <c r="P2243" s="5">
        <f t="shared" si="928"/>
        <v>5717.9364053851123</v>
      </c>
    </row>
    <row r="2244" spans="1:16" x14ac:dyDescent="0.35">
      <c r="A2244" t="s">
        <v>35</v>
      </c>
      <c r="B2244" t="s">
        <v>28</v>
      </c>
      <c r="C2244">
        <v>2012</v>
      </c>
      <c r="D2244" t="s">
        <v>30</v>
      </c>
      <c r="E2244" s="3">
        <f>13018+5038</f>
        <v>18056</v>
      </c>
      <c r="F2244" s="3">
        <f>46277+50751</f>
        <v>97028</v>
      </c>
      <c r="G2244" s="1">
        <f t="shared" si="929"/>
        <v>115084</v>
      </c>
      <c r="H2244" s="2">
        <f t="shared" si="930"/>
        <v>0.15689409474818394</v>
      </c>
      <c r="I2244" s="2">
        <f t="shared" si="931"/>
        <v>0.84310590525181606</v>
      </c>
      <c r="J2244" s="3">
        <f>4388+15353</f>
        <v>19741</v>
      </c>
      <c r="K2244" s="3">
        <f>29066+548561</f>
        <v>577627</v>
      </c>
      <c r="L2244" s="1">
        <f t="shared" si="932"/>
        <v>597368</v>
      </c>
      <c r="M2244" s="2">
        <f t="shared" si="933"/>
        <v>3.3046631222295134E-2</v>
      </c>
      <c r="N2244" s="2">
        <f t="shared" si="934"/>
        <v>0.96695336877770488</v>
      </c>
      <c r="P2244" s="5">
        <f t="shared" ref="P2244:P2305" si="935">SUM(1000*L2244)/G2244</f>
        <v>5190.7128705988671</v>
      </c>
    </row>
    <row r="2245" spans="1:16" x14ac:dyDescent="0.35">
      <c r="A2245" t="s">
        <v>35</v>
      </c>
      <c r="B2245" t="s">
        <v>29</v>
      </c>
      <c r="C2245">
        <v>2012</v>
      </c>
      <c r="D2245" t="s">
        <v>30</v>
      </c>
      <c r="E2245" s="3">
        <f>12941+5011</f>
        <v>17952</v>
      </c>
      <c r="F2245" s="3">
        <f>46317+50713</f>
        <v>97030</v>
      </c>
      <c r="G2245" s="1">
        <f t="shared" si="929"/>
        <v>114982</v>
      </c>
      <c r="H2245" s="2">
        <f t="shared" si="930"/>
        <v>0.15612878537510219</v>
      </c>
      <c r="I2245" s="2">
        <f t="shared" si="931"/>
        <v>0.84387121462489778</v>
      </c>
      <c r="J2245" s="3">
        <f>4245+14040</f>
        <v>18285</v>
      </c>
      <c r="K2245" s="3">
        <f>28753+521289</f>
        <v>550042</v>
      </c>
      <c r="L2245" s="1">
        <f t="shared" si="932"/>
        <v>568327</v>
      </c>
      <c r="M2245" s="2">
        <f t="shared" si="933"/>
        <v>3.2173379058183051E-2</v>
      </c>
      <c r="N2245" s="2">
        <f t="shared" si="934"/>
        <v>0.96782662094181693</v>
      </c>
      <c r="P2245" s="5">
        <f t="shared" si="935"/>
        <v>4942.7475604877282</v>
      </c>
    </row>
    <row r="2246" spans="1:16" x14ac:dyDescent="0.35">
      <c r="A2246" t="s">
        <v>35</v>
      </c>
      <c r="B2246" t="s">
        <v>17</v>
      </c>
      <c r="C2246">
        <v>2013</v>
      </c>
      <c r="D2246" t="s">
        <v>30</v>
      </c>
      <c r="E2246" s="3">
        <f>12742+4926</f>
        <v>17668</v>
      </c>
      <c r="F2246" s="3">
        <f>46707+50911</f>
        <v>97618</v>
      </c>
      <c r="G2246" s="1">
        <f t="shared" si="929"/>
        <v>115286</v>
      </c>
      <c r="H2246" s="2">
        <f t="shared" si="930"/>
        <v>0.15325364745068784</v>
      </c>
      <c r="I2246" s="2">
        <f t="shared" si="931"/>
        <v>0.84674635254931219</v>
      </c>
      <c r="J2246" s="3">
        <f>4451+14034</f>
        <v>18485</v>
      </c>
      <c r="K2246" s="3">
        <f>29877+511781</f>
        <v>541658</v>
      </c>
      <c r="L2246" s="1">
        <f t="shared" si="932"/>
        <v>560143</v>
      </c>
      <c r="M2246" s="2">
        <f t="shared" si="933"/>
        <v>3.3000501657612431E-2</v>
      </c>
      <c r="N2246" s="2">
        <f t="shared" si="934"/>
        <v>0.96699949834238752</v>
      </c>
      <c r="P2246" s="5">
        <f t="shared" si="935"/>
        <v>4858.7252571864756</v>
      </c>
    </row>
    <row r="2247" spans="1:16" x14ac:dyDescent="0.35">
      <c r="A2247" t="s">
        <v>35</v>
      </c>
      <c r="B2247" t="s">
        <v>19</v>
      </c>
      <c r="C2247">
        <v>2013</v>
      </c>
      <c r="D2247" t="s">
        <v>30</v>
      </c>
      <c r="E2247" s="3">
        <f>12464+4882</f>
        <v>17346</v>
      </c>
      <c r="F2247" s="3">
        <f>46245+51618</f>
        <v>97863</v>
      </c>
      <c r="G2247" s="1">
        <f t="shared" si="929"/>
        <v>115209</v>
      </c>
      <c r="H2247" s="2">
        <f t="shared" si="930"/>
        <v>0.15056115407650444</v>
      </c>
      <c r="I2247" s="2">
        <f t="shared" si="931"/>
        <v>0.84943884592349561</v>
      </c>
      <c r="J2247" s="3">
        <f>3663+12103</f>
        <v>15766</v>
      </c>
      <c r="K2247" s="3">
        <f>26043+472622</f>
        <v>498665</v>
      </c>
      <c r="L2247" s="1">
        <f t="shared" si="932"/>
        <v>514431</v>
      </c>
      <c r="M2247" s="2">
        <f t="shared" si="933"/>
        <v>3.0647453205580533E-2</v>
      </c>
      <c r="N2247" s="2">
        <f t="shared" si="934"/>
        <v>0.96935254679441951</v>
      </c>
      <c r="P2247" s="5">
        <f t="shared" si="935"/>
        <v>4465.1980314037964</v>
      </c>
    </row>
    <row r="2248" spans="1:16" x14ac:dyDescent="0.35">
      <c r="A2248" t="s">
        <v>35</v>
      </c>
      <c r="B2248" t="s">
        <v>20</v>
      </c>
      <c r="C2248">
        <v>2013</v>
      </c>
      <c r="D2248" t="s">
        <v>30</v>
      </c>
      <c r="E2248" s="3">
        <f>12336+4782</f>
        <v>17118</v>
      </c>
      <c r="F2248" s="3">
        <f>46535+51780</f>
        <v>98315</v>
      </c>
      <c r="G2248" s="1">
        <f t="shared" si="929"/>
        <v>115433</v>
      </c>
      <c r="H2248" s="2">
        <f t="shared" si="930"/>
        <v>0.14829381546005041</v>
      </c>
      <c r="I2248" s="2">
        <f t="shared" si="931"/>
        <v>0.85170618453994962</v>
      </c>
      <c r="J2248" s="3">
        <f>3644+11322</f>
        <v>14966</v>
      </c>
      <c r="K2248" s="3">
        <f>25716+467541</f>
        <v>493257</v>
      </c>
      <c r="L2248" s="1">
        <f t="shared" si="932"/>
        <v>508223</v>
      </c>
      <c r="M2248" s="2">
        <f t="shared" si="933"/>
        <v>2.9447703075224853E-2</v>
      </c>
      <c r="N2248" s="2">
        <f t="shared" si="934"/>
        <v>0.97055229692477518</v>
      </c>
      <c r="P2248" s="5">
        <f t="shared" si="935"/>
        <v>4402.7531121949532</v>
      </c>
    </row>
    <row r="2249" spans="1:16" x14ac:dyDescent="0.35">
      <c r="A2249" t="s">
        <v>35</v>
      </c>
      <c r="B2249" t="s">
        <v>21</v>
      </c>
      <c r="C2249">
        <v>2013</v>
      </c>
      <c r="D2249" t="s">
        <v>30</v>
      </c>
      <c r="E2249" s="3">
        <f>12077+4648</f>
        <v>16725</v>
      </c>
      <c r="F2249" s="3">
        <f>46738+51243</f>
        <v>97981</v>
      </c>
      <c r="G2249" s="1">
        <f t="shared" si="929"/>
        <v>114706</v>
      </c>
      <c r="H2249" s="2">
        <f t="shared" si="930"/>
        <v>0.1458075427614946</v>
      </c>
      <c r="I2249" s="2">
        <f t="shared" si="931"/>
        <v>0.85419245723850534</v>
      </c>
      <c r="J2249" s="3">
        <f>3736+12692</f>
        <v>16428</v>
      </c>
      <c r="K2249" s="3">
        <f>27458+514239</f>
        <v>541697</v>
      </c>
      <c r="L2249" s="1">
        <f t="shared" si="932"/>
        <v>558125</v>
      </c>
      <c r="M2249" s="2">
        <f t="shared" si="933"/>
        <v>2.9434266517357224E-2</v>
      </c>
      <c r="N2249" s="2">
        <f t="shared" si="934"/>
        <v>0.97056573348264275</v>
      </c>
      <c r="P2249" s="5">
        <f t="shared" si="935"/>
        <v>4865.7001377434481</v>
      </c>
    </row>
    <row r="2250" spans="1:16" x14ac:dyDescent="0.35">
      <c r="A2250" t="s">
        <v>35</v>
      </c>
      <c r="B2250" t="s">
        <v>22</v>
      </c>
      <c r="C2250">
        <v>2013</v>
      </c>
      <c r="D2250" t="s">
        <v>30</v>
      </c>
      <c r="E2250" s="3">
        <f>12026+4581</f>
        <v>16607</v>
      </c>
      <c r="F2250" s="3">
        <f>46800+50673</f>
        <v>97473</v>
      </c>
      <c r="G2250" s="1">
        <f t="shared" si="929"/>
        <v>114080</v>
      </c>
      <c r="H2250" s="2">
        <f t="shared" si="930"/>
        <v>0.14557328190743338</v>
      </c>
      <c r="I2250" s="2">
        <f t="shared" si="931"/>
        <v>0.85442671809256665</v>
      </c>
      <c r="J2250" s="3">
        <f>3683+12689</f>
        <v>16372</v>
      </c>
      <c r="K2250" s="3">
        <f>26785+515284</f>
        <v>542069</v>
      </c>
      <c r="L2250" s="1">
        <f t="shared" si="932"/>
        <v>558441</v>
      </c>
      <c r="M2250" s="2">
        <f t="shared" si="933"/>
        <v>2.9317331642913037E-2</v>
      </c>
      <c r="N2250" s="2">
        <f t="shared" si="934"/>
        <v>0.97068266835708694</v>
      </c>
      <c r="P2250" s="5">
        <f t="shared" si="935"/>
        <v>4895.170056100982</v>
      </c>
    </row>
    <row r="2251" spans="1:16" x14ac:dyDescent="0.35">
      <c r="A2251" t="s">
        <v>35</v>
      </c>
      <c r="B2251" t="s">
        <v>23</v>
      </c>
      <c r="C2251">
        <v>2013</v>
      </c>
      <c r="D2251" t="s">
        <v>30</v>
      </c>
      <c r="E2251" s="3">
        <f>11826+4518</f>
        <v>16344</v>
      </c>
      <c r="F2251" s="3">
        <f>48708+53049</f>
        <v>101757</v>
      </c>
      <c r="G2251" s="1">
        <f t="shared" si="929"/>
        <v>118101</v>
      </c>
      <c r="H2251" s="2">
        <f t="shared" si="930"/>
        <v>0.1383900220997282</v>
      </c>
      <c r="I2251" s="2">
        <f t="shared" si="931"/>
        <v>0.86160997790027183</v>
      </c>
      <c r="J2251" s="3">
        <f>4465+15827</f>
        <v>20292</v>
      </c>
      <c r="K2251" s="3">
        <f>34113+632416</f>
        <v>666529</v>
      </c>
      <c r="L2251" s="1">
        <f t="shared" si="932"/>
        <v>686821</v>
      </c>
      <c r="M2251" s="2">
        <f t="shared" si="933"/>
        <v>2.9544815898174343E-2</v>
      </c>
      <c r="N2251" s="2">
        <f t="shared" si="934"/>
        <v>0.97045518410182563</v>
      </c>
      <c r="P2251" s="5">
        <f t="shared" si="935"/>
        <v>5815.5392418353786</v>
      </c>
    </row>
    <row r="2252" spans="1:16" x14ac:dyDescent="0.35">
      <c r="A2252" t="s">
        <v>35</v>
      </c>
      <c r="B2252" t="s">
        <v>24</v>
      </c>
      <c r="C2252">
        <v>2013</v>
      </c>
      <c r="D2252" t="s">
        <v>30</v>
      </c>
      <c r="E2252" s="3">
        <f>11763+4429</f>
        <v>16192</v>
      </c>
      <c r="F2252" s="3">
        <f>48578+52086</f>
        <v>100664</v>
      </c>
      <c r="G2252" s="1">
        <f t="shared" si="929"/>
        <v>116856</v>
      </c>
      <c r="H2252" s="2">
        <f t="shared" si="930"/>
        <v>0.13856370233449716</v>
      </c>
      <c r="I2252" s="2">
        <f t="shared" si="931"/>
        <v>0.86143629766550289</v>
      </c>
      <c r="J2252" s="3">
        <f>4945+17025</f>
        <v>21970</v>
      </c>
      <c r="K2252" s="3">
        <f>35749+662319</f>
        <v>698068</v>
      </c>
      <c r="L2252" s="1">
        <f t="shared" si="932"/>
        <v>720038</v>
      </c>
      <c r="M2252" s="2">
        <f t="shared" si="933"/>
        <v>3.051227851863374E-2</v>
      </c>
      <c r="N2252" s="2">
        <f t="shared" si="934"/>
        <v>0.9694877214813663</v>
      </c>
      <c r="P2252" s="5">
        <f t="shared" si="935"/>
        <v>6161.7546381871707</v>
      </c>
    </row>
    <row r="2253" spans="1:16" x14ac:dyDescent="0.35">
      <c r="A2253" t="s">
        <v>35</v>
      </c>
      <c r="B2253" t="s">
        <v>25</v>
      </c>
      <c r="C2253">
        <v>2013</v>
      </c>
      <c r="D2253" t="s">
        <v>30</v>
      </c>
      <c r="E2253" s="3">
        <f>11757+4311</f>
        <v>16068</v>
      </c>
      <c r="F2253" s="3">
        <f>48987+51643</f>
        <v>100630</v>
      </c>
      <c r="G2253" s="1">
        <f t="shared" si="929"/>
        <v>116698</v>
      </c>
      <c r="H2253" s="2">
        <f t="shared" si="930"/>
        <v>0.13768873502545032</v>
      </c>
      <c r="I2253" s="2">
        <f t="shared" si="931"/>
        <v>0.86231126497454968</v>
      </c>
      <c r="J2253" s="3">
        <f>5006+16909</f>
        <v>21915</v>
      </c>
      <c r="K2253" s="3">
        <f>36465+661113</f>
        <v>697578</v>
      </c>
      <c r="L2253" s="1">
        <f t="shared" si="932"/>
        <v>719493</v>
      </c>
      <c r="M2253" s="2">
        <f t="shared" si="933"/>
        <v>3.0458948176007271E-2</v>
      </c>
      <c r="N2253" s="2">
        <f t="shared" si="934"/>
        <v>0.96954105182399275</v>
      </c>
      <c r="P2253" s="5">
        <f t="shared" si="935"/>
        <v>6165.4269996058201</v>
      </c>
    </row>
    <row r="2254" spans="1:16" x14ac:dyDescent="0.35">
      <c r="A2254" t="s">
        <v>35</v>
      </c>
      <c r="B2254" t="s">
        <v>26</v>
      </c>
      <c r="C2254">
        <v>2013</v>
      </c>
      <c r="D2254" t="s">
        <v>30</v>
      </c>
      <c r="E2254" s="3">
        <f>11656+4245</f>
        <v>15901</v>
      </c>
      <c r="F2254" s="3">
        <f>49240+51513</f>
        <v>100753</v>
      </c>
      <c r="G2254" s="1">
        <f t="shared" si="929"/>
        <v>116654</v>
      </c>
      <c r="H2254" s="2">
        <f t="shared" si="930"/>
        <v>0.13630908498636995</v>
      </c>
      <c r="I2254" s="2">
        <f t="shared" si="931"/>
        <v>0.86369091501363005</v>
      </c>
      <c r="J2254" s="3">
        <f>4916+16390</f>
        <v>21306</v>
      </c>
      <c r="K2254" s="3">
        <f>36720+678395</f>
        <v>715115</v>
      </c>
      <c r="L2254" s="1">
        <f t="shared" si="932"/>
        <v>736421</v>
      </c>
      <c r="M2254" s="2">
        <f t="shared" si="933"/>
        <v>2.8931820249558336E-2</v>
      </c>
      <c r="N2254" s="2">
        <f t="shared" si="934"/>
        <v>0.97106817975044168</v>
      </c>
      <c r="P2254" s="5">
        <f t="shared" si="935"/>
        <v>6312.8653968145109</v>
      </c>
    </row>
    <row r="2255" spans="1:16" x14ac:dyDescent="0.35">
      <c r="A2255" t="s">
        <v>35</v>
      </c>
      <c r="B2255" t="s">
        <v>27</v>
      </c>
      <c r="C2255">
        <v>2013</v>
      </c>
      <c r="D2255" t="s">
        <v>30</v>
      </c>
      <c r="E2255" s="3">
        <f>11636+4156</f>
        <v>15792</v>
      </c>
      <c r="F2255" s="3">
        <f>49646+51538</f>
        <v>101184</v>
      </c>
      <c r="G2255" s="1">
        <f t="shared" si="929"/>
        <v>116976</v>
      </c>
      <c r="H2255" s="2">
        <f t="shared" si="930"/>
        <v>0.13500205170291341</v>
      </c>
      <c r="I2255" s="2">
        <f t="shared" si="931"/>
        <v>0.86499794829708654</v>
      </c>
      <c r="J2255" s="3">
        <f>4265+13968</f>
        <v>18233</v>
      </c>
      <c r="K2255" s="3">
        <f>33537+612318</f>
        <v>645855</v>
      </c>
      <c r="L2255" s="1">
        <f t="shared" si="932"/>
        <v>664088</v>
      </c>
      <c r="M2255" s="2">
        <f t="shared" si="933"/>
        <v>2.7455698642348605E-2</v>
      </c>
      <c r="N2255" s="2">
        <f t="shared" si="934"/>
        <v>0.97254430135765135</v>
      </c>
      <c r="P2255" s="5">
        <f t="shared" si="935"/>
        <v>5677.1303515250993</v>
      </c>
    </row>
    <row r="2256" spans="1:16" x14ac:dyDescent="0.35">
      <c r="A2256" t="s">
        <v>35</v>
      </c>
      <c r="B2256" t="s">
        <v>28</v>
      </c>
      <c r="C2256">
        <v>2013</v>
      </c>
      <c r="D2256" t="s">
        <v>30</v>
      </c>
      <c r="E2256" s="3">
        <f>11543+4078</f>
        <v>15621</v>
      </c>
      <c r="F2256" s="3">
        <f>50023+51791</f>
        <v>101814</v>
      </c>
      <c r="G2256" s="1">
        <f t="shared" si="929"/>
        <v>117435</v>
      </c>
      <c r="H2256" s="2">
        <f t="shared" si="930"/>
        <v>0.13301826542342574</v>
      </c>
      <c r="I2256" s="2">
        <f t="shared" si="931"/>
        <v>0.86698173457657424</v>
      </c>
      <c r="J2256" s="3">
        <f>3719+12448</f>
        <v>16167</v>
      </c>
      <c r="K2256" s="3">
        <f>30168+544011</f>
        <v>574179</v>
      </c>
      <c r="L2256" s="1">
        <f t="shared" si="932"/>
        <v>590346</v>
      </c>
      <c r="M2256" s="2">
        <f t="shared" si="933"/>
        <v>2.7385634864977488E-2</v>
      </c>
      <c r="N2256" s="2">
        <f t="shared" si="934"/>
        <v>0.97261436513502253</v>
      </c>
      <c r="P2256" s="5">
        <f t="shared" si="935"/>
        <v>5027.0021714139739</v>
      </c>
    </row>
    <row r="2257" spans="1:16" x14ac:dyDescent="0.35">
      <c r="A2257" t="s">
        <v>35</v>
      </c>
      <c r="B2257" t="s">
        <v>29</v>
      </c>
      <c r="C2257">
        <v>2013</v>
      </c>
      <c r="D2257" t="s">
        <v>30</v>
      </c>
      <c r="E2257" s="3">
        <f>11397+4021</f>
        <v>15418</v>
      </c>
      <c r="F2257" s="3">
        <f>49921+51595</f>
        <v>101516</v>
      </c>
      <c r="G2257" s="1">
        <f t="shared" si="929"/>
        <v>116934</v>
      </c>
      <c r="H2257" s="2">
        <f t="shared" si="930"/>
        <v>0.13185215591701302</v>
      </c>
      <c r="I2257" s="2">
        <f t="shared" si="931"/>
        <v>0.86814784408298695</v>
      </c>
      <c r="J2257" s="3">
        <f>3985+11618</f>
        <v>15603</v>
      </c>
      <c r="K2257" s="3">
        <f>31545+535183</f>
        <v>566728</v>
      </c>
      <c r="L2257" s="1">
        <f t="shared" si="932"/>
        <v>582331</v>
      </c>
      <c r="M2257" s="2">
        <f t="shared" si="933"/>
        <v>2.6794039815843565E-2</v>
      </c>
      <c r="N2257" s="2">
        <f t="shared" si="934"/>
        <v>0.97320596018415639</v>
      </c>
      <c r="P2257" s="5">
        <f t="shared" si="935"/>
        <v>4979.9972634135493</v>
      </c>
    </row>
    <row r="2258" spans="1:16" x14ac:dyDescent="0.35">
      <c r="A2258" t="s">
        <v>35</v>
      </c>
      <c r="B2258" t="s">
        <v>17</v>
      </c>
      <c r="C2258">
        <v>2014</v>
      </c>
      <c r="D2258" t="s">
        <v>30</v>
      </c>
      <c r="E2258" s="3">
        <f>10781+3932</f>
        <v>14713</v>
      </c>
      <c r="F2258" s="3">
        <f>46632+49714</f>
        <v>96346</v>
      </c>
      <c r="G2258" s="1">
        <f t="shared" si="929"/>
        <v>111059</v>
      </c>
      <c r="H2258" s="2">
        <f t="shared" si="930"/>
        <v>0.13247913271324252</v>
      </c>
      <c r="I2258" s="2">
        <f t="shared" si="931"/>
        <v>0.86752086728675748</v>
      </c>
      <c r="J2258" s="3">
        <f>3883+11579</f>
        <v>15462</v>
      </c>
      <c r="K2258" s="3">
        <f>29014+475463</f>
        <v>504477</v>
      </c>
      <c r="L2258" s="1">
        <f t="shared" si="932"/>
        <v>519939</v>
      </c>
      <c r="M2258" s="2">
        <f t="shared" si="933"/>
        <v>2.9738103892956672E-2</v>
      </c>
      <c r="N2258" s="2">
        <f t="shared" si="934"/>
        <v>0.97026189610704328</v>
      </c>
      <c r="P2258" s="5">
        <f t="shared" si="935"/>
        <v>4681.6466922986883</v>
      </c>
    </row>
    <row r="2259" spans="1:16" x14ac:dyDescent="0.35">
      <c r="A2259" t="s">
        <v>35</v>
      </c>
      <c r="B2259" t="s">
        <v>19</v>
      </c>
      <c r="C2259">
        <v>2014</v>
      </c>
      <c r="D2259" t="s">
        <v>30</v>
      </c>
      <c r="E2259" s="3">
        <f>10496+3909</f>
        <v>14405</v>
      </c>
      <c r="F2259" s="3">
        <f>48475+52509</f>
        <v>100984</v>
      </c>
      <c r="G2259" s="1">
        <f t="shared" si="929"/>
        <v>115389</v>
      </c>
      <c r="H2259" s="2">
        <f t="shared" si="930"/>
        <v>0.12483858946693359</v>
      </c>
      <c r="I2259" s="2">
        <f t="shared" si="931"/>
        <v>0.8751614105330664</v>
      </c>
      <c r="J2259" s="3">
        <f>3336+11155</f>
        <v>14491</v>
      </c>
      <c r="K2259" s="3">
        <f>29395+508019</f>
        <v>537414</v>
      </c>
      <c r="L2259" s="1">
        <f t="shared" si="932"/>
        <v>551905</v>
      </c>
      <c r="M2259" s="2">
        <f t="shared" si="933"/>
        <v>2.6256330346708219E-2</v>
      </c>
      <c r="N2259" s="2">
        <f t="shared" si="934"/>
        <v>0.97374366965329173</v>
      </c>
      <c r="P2259" s="5">
        <f t="shared" si="935"/>
        <v>4782.9949128599783</v>
      </c>
    </row>
    <row r="2260" spans="1:16" x14ac:dyDescent="0.35">
      <c r="A2260" t="s">
        <v>35</v>
      </c>
      <c r="B2260" t="s">
        <v>20</v>
      </c>
      <c r="C2260">
        <v>2014</v>
      </c>
      <c r="D2260" t="s">
        <v>30</v>
      </c>
      <c r="E2260" s="3">
        <f>10593+4052</f>
        <v>14645</v>
      </c>
      <c r="F2260" s="3">
        <f>47643+53856</f>
        <v>101499</v>
      </c>
      <c r="G2260" s="1">
        <f t="shared" si="929"/>
        <v>116144</v>
      </c>
      <c r="H2260" s="2">
        <f t="shared" si="930"/>
        <v>0.12609347017495523</v>
      </c>
      <c r="I2260" s="2">
        <f t="shared" si="931"/>
        <v>0.8739065298250448</v>
      </c>
      <c r="J2260" s="3">
        <f>3104+10462</f>
        <v>13566</v>
      </c>
      <c r="K2260" s="3">
        <f>26904+494124</f>
        <v>521028</v>
      </c>
      <c r="L2260" s="1">
        <f t="shared" si="932"/>
        <v>534594</v>
      </c>
      <c r="M2260" s="2">
        <f t="shared" si="933"/>
        <v>2.5376266849235121E-2</v>
      </c>
      <c r="N2260" s="2">
        <f t="shared" si="934"/>
        <v>0.97462373315076489</v>
      </c>
      <c r="P2260" s="5">
        <f t="shared" si="935"/>
        <v>4602.8550764568126</v>
      </c>
    </row>
    <row r="2261" spans="1:16" x14ac:dyDescent="0.35">
      <c r="A2261" t="s">
        <v>35</v>
      </c>
      <c r="B2261" t="s">
        <v>21</v>
      </c>
      <c r="C2261">
        <v>2014</v>
      </c>
      <c r="D2261" t="s">
        <v>30</v>
      </c>
      <c r="E2261" s="3">
        <f>10687+4025</f>
        <v>14712</v>
      </c>
      <c r="F2261" s="3">
        <f>48642+54012</f>
        <v>102654</v>
      </c>
      <c r="G2261" s="1">
        <f t="shared" si="929"/>
        <v>117366</v>
      </c>
      <c r="H2261" s="2">
        <f t="shared" si="930"/>
        <v>0.12535146464904656</v>
      </c>
      <c r="I2261" s="2">
        <f t="shared" si="931"/>
        <v>0.87464853535095344</v>
      </c>
      <c r="J2261" s="3">
        <f>3043+9834</f>
        <v>12877</v>
      </c>
      <c r="K2261" s="3">
        <f>26931+501805</f>
        <v>528736</v>
      </c>
      <c r="L2261" s="1">
        <f t="shared" si="932"/>
        <v>541613</v>
      </c>
      <c r="M2261" s="2">
        <f t="shared" si="933"/>
        <v>2.3775278658377846E-2</v>
      </c>
      <c r="N2261" s="2">
        <f t="shared" si="934"/>
        <v>0.97622472134162219</v>
      </c>
      <c r="P2261" s="5">
        <f t="shared" si="935"/>
        <v>4614.7351021590584</v>
      </c>
    </row>
    <row r="2262" spans="1:16" x14ac:dyDescent="0.35">
      <c r="A2262" t="s">
        <v>35</v>
      </c>
      <c r="B2262" t="s">
        <v>22</v>
      </c>
      <c r="C2262">
        <v>2014</v>
      </c>
      <c r="D2262" t="s">
        <v>30</v>
      </c>
      <c r="E2262" s="3">
        <f>10624+4010</f>
        <v>14634</v>
      </c>
      <c r="F2262" s="3">
        <f>48831+54264</f>
        <v>103095</v>
      </c>
      <c r="G2262" s="1">
        <f t="shared" si="929"/>
        <v>117729</v>
      </c>
      <c r="H2262" s="2">
        <f t="shared" si="930"/>
        <v>0.12430242336212828</v>
      </c>
      <c r="I2262" s="2">
        <f t="shared" si="931"/>
        <v>0.87569757663787173</v>
      </c>
      <c r="J2262" s="3">
        <f>3310+10975</f>
        <v>14285</v>
      </c>
      <c r="K2262" s="3">
        <f>29150+563597</f>
        <v>592747</v>
      </c>
      <c r="L2262" s="1">
        <f t="shared" si="932"/>
        <v>607032</v>
      </c>
      <c r="M2262" s="2">
        <f t="shared" si="933"/>
        <v>2.3532532057618051E-2</v>
      </c>
      <c r="N2262" s="2">
        <f t="shared" si="934"/>
        <v>0.97646746794238193</v>
      </c>
      <c r="P2262" s="5">
        <f t="shared" si="935"/>
        <v>5156.1807201284309</v>
      </c>
    </row>
    <row r="2263" spans="1:16" x14ac:dyDescent="0.35">
      <c r="A2263" t="s">
        <v>35</v>
      </c>
      <c r="B2263" t="s">
        <v>23</v>
      </c>
      <c r="C2263">
        <v>2014</v>
      </c>
      <c r="D2263" t="s">
        <v>30</v>
      </c>
      <c r="E2263" s="3">
        <f>10613+4003</f>
        <v>14616</v>
      </c>
      <c r="F2263" s="3">
        <f>49034+53819</f>
        <v>102853</v>
      </c>
      <c r="G2263" s="1">
        <f t="shared" si="929"/>
        <v>117469</v>
      </c>
      <c r="H2263" s="2">
        <f t="shared" si="930"/>
        <v>0.12442431620257259</v>
      </c>
      <c r="I2263" s="2">
        <f t="shared" si="931"/>
        <v>0.87557568379742745</v>
      </c>
      <c r="J2263" s="3">
        <f>3804+12807</f>
        <v>16611</v>
      </c>
      <c r="K2263" s="3">
        <f>32829+634986</f>
        <v>667815</v>
      </c>
      <c r="L2263" s="1">
        <f t="shared" si="932"/>
        <v>684426</v>
      </c>
      <c r="M2263" s="2">
        <f t="shared" si="933"/>
        <v>2.4269972210290081E-2</v>
      </c>
      <c r="N2263" s="2">
        <f t="shared" si="934"/>
        <v>0.97573002778970996</v>
      </c>
      <c r="P2263" s="5">
        <f t="shared" si="935"/>
        <v>5826.4393159046213</v>
      </c>
    </row>
    <row r="2264" spans="1:16" x14ac:dyDescent="0.35">
      <c r="A2264" t="s">
        <v>35</v>
      </c>
      <c r="B2264" t="s">
        <v>24</v>
      </c>
      <c r="C2264">
        <v>2014</v>
      </c>
      <c r="D2264" t="s">
        <v>30</v>
      </c>
      <c r="E2264" s="3">
        <f>10530+3990</f>
        <v>14520</v>
      </c>
      <c r="F2264" s="3">
        <f>49415+54804</f>
        <v>104219</v>
      </c>
      <c r="G2264" s="1">
        <f t="shared" si="929"/>
        <v>118739</v>
      </c>
      <c r="H2264" s="2">
        <f t="shared" si="930"/>
        <v>0.12228501166423837</v>
      </c>
      <c r="I2264" s="2">
        <f t="shared" si="931"/>
        <v>0.87771498833576167</v>
      </c>
      <c r="J2264" s="3">
        <f>4278+14241</f>
        <v>18519</v>
      </c>
      <c r="K2264" s="3">
        <f>32451+685677</f>
        <v>718128</v>
      </c>
      <c r="L2264" s="1">
        <f t="shared" si="932"/>
        <v>736647</v>
      </c>
      <c r="M2264" s="2">
        <f t="shared" si="933"/>
        <v>2.5139585174445835E-2</v>
      </c>
      <c r="N2264" s="2">
        <f t="shared" si="934"/>
        <v>0.97486041482555419</v>
      </c>
      <c r="P2264" s="5">
        <f t="shared" si="935"/>
        <v>6203.9178365996004</v>
      </c>
    </row>
    <row r="2265" spans="1:16" x14ac:dyDescent="0.35">
      <c r="A2265" t="s">
        <v>35</v>
      </c>
      <c r="B2265" t="s">
        <v>25</v>
      </c>
      <c r="C2265">
        <v>2014</v>
      </c>
      <c r="D2265" t="s">
        <v>30</v>
      </c>
      <c r="E2265" s="3">
        <f>10488+3962</f>
        <v>14450</v>
      </c>
      <c r="F2265" s="3">
        <f>49744+54596</f>
        <v>104340</v>
      </c>
      <c r="G2265" s="1">
        <f t="shared" si="929"/>
        <v>118790</v>
      </c>
      <c r="H2265" s="2">
        <f t="shared" si="930"/>
        <v>0.12164323596262312</v>
      </c>
      <c r="I2265" s="2">
        <f t="shared" si="931"/>
        <v>0.87835676403737684</v>
      </c>
      <c r="J2265" s="3">
        <f>4317+14364</f>
        <v>18681</v>
      </c>
      <c r="K2265" s="3">
        <f>35789+693393</f>
        <v>729182</v>
      </c>
      <c r="L2265" s="1">
        <f t="shared" si="932"/>
        <v>747863</v>
      </c>
      <c r="M2265" s="2">
        <f t="shared" si="933"/>
        <v>2.4979173993097667E-2</v>
      </c>
      <c r="N2265" s="2">
        <f t="shared" si="934"/>
        <v>0.97502082600690232</v>
      </c>
      <c r="P2265" s="5">
        <f t="shared" si="935"/>
        <v>6295.6730364508794</v>
      </c>
    </row>
    <row r="2266" spans="1:16" x14ac:dyDescent="0.35">
      <c r="A2266" t="s">
        <v>35</v>
      </c>
      <c r="B2266" t="s">
        <v>26</v>
      </c>
      <c r="C2266">
        <v>2014</v>
      </c>
      <c r="D2266" t="s">
        <v>30</v>
      </c>
      <c r="E2266" s="3">
        <f>10411+3938</f>
        <v>14349</v>
      </c>
      <c r="F2266" s="3">
        <f>49468+54468</f>
        <v>103936</v>
      </c>
      <c r="G2266" s="1">
        <f t="shared" si="929"/>
        <v>118285</v>
      </c>
      <c r="H2266" s="2">
        <f t="shared" si="930"/>
        <v>0.12130870355497315</v>
      </c>
      <c r="I2266" s="2">
        <f t="shared" si="931"/>
        <v>0.87869129644502686</v>
      </c>
      <c r="J2266" s="3">
        <f>4366+14512</f>
        <v>18878</v>
      </c>
      <c r="K2266" s="3">
        <f>36025+729683</f>
        <v>765708</v>
      </c>
      <c r="L2266" s="1">
        <f t="shared" si="932"/>
        <v>784586</v>
      </c>
      <c r="M2266" s="2">
        <f t="shared" si="933"/>
        <v>2.4061097190110452E-2</v>
      </c>
      <c r="N2266" s="2">
        <f t="shared" si="934"/>
        <v>0.9759389028098896</v>
      </c>
      <c r="P2266" s="5">
        <f t="shared" si="935"/>
        <v>6633.0134843809446</v>
      </c>
    </row>
    <row r="2267" spans="1:16" x14ac:dyDescent="0.35">
      <c r="A2267" t="s">
        <v>35</v>
      </c>
      <c r="B2267" t="s">
        <v>27</v>
      </c>
      <c r="C2267">
        <v>2014</v>
      </c>
      <c r="D2267" t="s">
        <v>30</v>
      </c>
      <c r="E2267" s="3">
        <f>10368+3901</f>
        <v>14269</v>
      </c>
      <c r="F2267" s="3">
        <f>49414+54259</f>
        <v>103673</v>
      </c>
      <c r="G2267" s="1">
        <f t="shared" si="929"/>
        <v>117942</v>
      </c>
      <c r="H2267" s="2">
        <f t="shared" si="930"/>
        <v>0.12098319512980957</v>
      </c>
      <c r="I2267" s="2">
        <f t="shared" si="931"/>
        <v>0.8790168048701904</v>
      </c>
      <c r="J2267" s="3">
        <f>3676+12238</f>
        <v>15914</v>
      </c>
      <c r="K2267" s="3">
        <f>32338+636645</f>
        <v>668983</v>
      </c>
      <c r="L2267" s="1">
        <f t="shared" si="932"/>
        <v>684897</v>
      </c>
      <c r="M2267" s="2">
        <f t="shared" si="933"/>
        <v>2.3235610610062536E-2</v>
      </c>
      <c r="N2267" s="2">
        <f t="shared" si="934"/>
        <v>0.97676438938993748</v>
      </c>
      <c r="P2267" s="5">
        <f t="shared" si="935"/>
        <v>5807.0661850740198</v>
      </c>
    </row>
    <row r="2268" spans="1:16" x14ac:dyDescent="0.35">
      <c r="A2268" t="s">
        <v>35</v>
      </c>
      <c r="B2268" t="s">
        <v>28</v>
      </c>
      <c r="C2268">
        <v>2014</v>
      </c>
      <c r="D2268" t="s">
        <v>30</v>
      </c>
      <c r="E2268" s="3">
        <f>10340+3860</f>
        <v>14200</v>
      </c>
      <c r="F2268" s="3">
        <f>49987+54996</f>
        <v>104983</v>
      </c>
      <c r="G2268" s="1">
        <f t="shared" si="929"/>
        <v>119183</v>
      </c>
      <c r="H2268" s="2">
        <f t="shared" si="930"/>
        <v>0.11914450886451927</v>
      </c>
      <c r="I2268" s="2">
        <f t="shared" si="931"/>
        <v>0.88085549113548078</v>
      </c>
      <c r="J2268" s="3">
        <f>3217+10447</f>
        <v>13664</v>
      </c>
      <c r="K2268" s="3">
        <f>29089+563640</f>
        <v>592729</v>
      </c>
      <c r="L2268" s="1">
        <f t="shared" si="932"/>
        <v>606393</v>
      </c>
      <c r="M2268" s="2">
        <f t="shared" si="933"/>
        <v>2.2533241643620555E-2</v>
      </c>
      <c r="N2268" s="2">
        <f t="shared" si="934"/>
        <v>0.97746675835637942</v>
      </c>
      <c r="P2268" s="5">
        <f t="shared" si="935"/>
        <v>5087.9152228086223</v>
      </c>
    </row>
    <row r="2269" spans="1:16" x14ac:dyDescent="0.35">
      <c r="A2269" t="s">
        <v>35</v>
      </c>
      <c r="B2269" t="s">
        <v>29</v>
      </c>
      <c r="C2269">
        <v>2014</v>
      </c>
      <c r="D2269" t="s">
        <v>30</v>
      </c>
      <c r="E2269" s="3">
        <f>10306+3835</f>
        <v>14141</v>
      </c>
      <c r="F2269" s="3">
        <f>50150+55264</f>
        <v>105414</v>
      </c>
      <c r="G2269" s="1">
        <f t="shared" si="929"/>
        <v>119555</v>
      </c>
      <c r="H2269" s="2">
        <f t="shared" si="930"/>
        <v>0.11828028940654929</v>
      </c>
      <c r="I2269" s="2">
        <f t="shared" si="931"/>
        <v>0.88171971059345067</v>
      </c>
      <c r="J2269" s="3">
        <f>3162+9624</f>
        <v>12786</v>
      </c>
      <c r="K2269" s="3">
        <f>29530+534738</f>
        <v>564268</v>
      </c>
      <c r="L2269" s="1">
        <f t="shared" si="932"/>
        <v>577054</v>
      </c>
      <c r="M2269" s="2">
        <f t="shared" si="933"/>
        <v>2.215737175377001E-2</v>
      </c>
      <c r="N2269" s="2">
        <f t="shared" si="934"/>
        <v>0.97784262824623003</v>
      </c>
      <c r="P2269" s="5">
        <f t="shared" si="935"/>
        <v>4826.6822801221197</v>
      </c>
    </row>
    <row r="2270" spans="1:16" x14ac:dyDescent="0.35">
      <c r="A2270" t="s">
        <v>35</v>
      </c>
      <c r="B2270" t="s">
        <v>17</v>
      </c>
      <c r="C2270">
        <v>2015</v>
      </c>
      <c r="D2270" t="s">
        <v>30</v>
      </c>
      <c r="E2270" s="3">
        <f>10244+3808</f>
        <v>14052</v>
      </c>
      <c r="F2270" s="3">
        <f>49524+54977</f>
        <v>104501</v>
      </c>
      <c r="G2270" s="1">
        <f t="shared" si="929"/>
        <v>118553</v>
      </c>
      <c r="H2270" s="2">
        <f t="shared" si="930"/>
        <v>0.11852926539185006</v>
      </c>
      <c r="I2270" s="2">
        <f t="shared" si="931"/>
        <v>0.88147073460814995</v>
      </c>
      <c r="J2270" s="3">
        <f>3553+11069</f>
        <v>14622</v>
      </c>
      <c r="K2270" s="3">
        <f>31597+549570</f>
        <v>581167</v>
      </c>
      <c r="L2270" s="1">
        <f t="shared" si="932"/>
        <v>595789</v>
      </c>
      <c r="M2270" s="2">
        <f t="shared" si="933"/>
        <v>2.4542245660796019E-2</v>
      </c>
      <c r="N2270" s="2">
        <f t="shared" si="934"/>
        <v>0.97545775433920401</v>
      </c>
      <c r="P2270" s="5">
        <f t="shared" si="935"/>
        <v>5025.5075788887671</v>
      </c>
    </row>
    <row r="2271" spans="1:16" x14ac:dyDescent="0.35">
      <c r="A2271" t="s">
        <v>35</v>
      </c>
      <c r="B2271" t="s">
        <v>19</v>
      </c>
      <c r="C2271">
        <v>2015</v>
      </c>
      <c r="D2271" t="s">
        <v>30</v>
      </c>
      <c r="E2271" s="3">
        <f>10116+3773</f>
        <v>13889</v>
      </c>
      <c r="F2271" s="3">
        <f>49786+55598</f>
        <v>105384</v>
      </c>
      <c r="G2271" s="1">
        <f t="shared" si="929"/>
        <v>119273</v>
      </c>
      <c r="H2271" s="2">
        <f t="shared" si="930"/>
        <v>0.11644714227025396</v>
      </c>
      <c r="I2271" s="2">
        <f t="shared" si="931"/>
        <v>0.88355285772974601</v>
      </c>
      <c r="J2271" s="3">
        <f>3008+9738</f>
        <v>12746</v>
      </c>
      <c r="K2271" s="3">
        <f>27996+503247</f>
        <v>531243</v>
      </c>
      <c r="L2271" s="1">
        <f t="shared" si="932"/>
        <v>543989</v>
      </c>
      <c r="M2271" s="2">
        <f t="shared" si="933"/>
        <v>2.3430620839759629E-2</v>
      </c>
      <c r="N2271" s="2">
        <f t="shared" si="934"/>
        <v>0.97656937916024034</v>
      </c>
      <c r="P2271" s="5">
        <f t="shared" si="935"/>
        <v>4560.872955320986</v>
      </c>
    </row>
    <row r="2272" spans="1:16" x14ac:dyDescent="0.35">
      <c r="A2272" t="s">
        <v>35</v>
      </c>
      <c r="B2272" t="s">
        <v>20</v>
      </c>
      <c r="C2272">
        <v>2015</v>
      </c>
      <c r="D2272" t="s">
        <v>30</v>
      </c>
      <c r="E2272" s="3">
        <f>9976+3710</f>
        <v>13686</v>
      </c>
      <c r="F2272" s="3">
        <f>50011+55466</f>
        <v>105477</v>
      </c>
      <c r="G2272" s="1">
        <f t="shared" si="929"/>
        <v>119163</v>
      </c>
      <c r="H2272" s="2">
        <f t="shared" si="930"/>
        <v>0.11485108632713174</v>
      </c>
      <c r="I2272" s="2">
        <f t="shared" si="931"/>
        <v>0.8851489136728683</v>
      </c>
      <c r="J2272" s="3">
        <f>2883+9465</f>
        <v>12348</v>
      </c>
      <c r="K2272" s="3">
        <f>27671+498961</f>
        <v>526632</v>
      </c>
      <c r="L2272" s="1">
        <f t="shared" si="932"/>
        <v>538980</v>
      </c>
      <c r="M2272" s="2">
        <f t="shared" si="933"/>
        <v>2.2909940999666034E-2</v>
      </c>
      <c r="N2272" s="2">
        <f t="shared" si="934"/>
        <v>0.97709005900033397</v>
      </c>
      <c r="P2272" s="5">
        <f t="shared" si="935"/>
        <v>4523.0482616248328</v>
      </c>
    </row>
    <row r="2273" spans="1:16" x14ac:dyDescent="0.35">
      <c r="A2273" t="s">
        <v>35</v>
      </c>
      <c r="B2273" t="s">
        <v>21</v>
      </c>
      <c r="C2273">
        <v>2015</v>
      </c>
      <c r="D2273" t="s">
        <v>30</v>
      </c>
      <c r="E2273" s="3">
        <f>9929+3632</f>
        <v>13561</v>
      </c>
      <c r="F2273" s="3">
        <f>50437+55511</f>
        <v>105948</v>
      </c>
      <c r="G2273" s="1">
        <f t="shared" si="929"/>
        <v>119509</v>
      </c>
      <c r="H2273" s="2">
        <f t="shared" si="930"/>
        <v>0.11347262549264073</v>
      </c>
      <c r="I2273" s="2">
        <f t="shared" si="931"/>
        <v>0.8865273745073593</v>
      </c>
      <c r="J2273" s="3">
        <f>2796+8933</f>
        <v>11729</v>
      </c>
      <c r="K2273" s="3">
        <f>28038+538199</f>
        <v>566237</v>
      </c>
      <c r="L2273" s="1">
        <f t="shared" si="932"/>
        <v>577966</v>
      </c>
      <c r="M2273" s="2">
        <f t="shared" si="933"/>
        <v>2.0293581283328085E-2</v>
      </c>
      <c r="N2273" s="2">
        <f t="shared" si="934"/>
        <v>0.97970641871667197</v>
      </c>
      <c r="P2273" s="5">
        <f t="shared" si="935"/>
        <v>4836.1713343764904</v>
      </c>
    </row>
    <row r="2274" spans="1:16" x14ac:dyDescent="0.35">
      <c r="A2274" t="s">
        <v>35</v>
      </c>
      <c r="B2274" t="s">
        <v>22</v>
      </c>
      <c r="C2274">
        <v>2015</v>
      </c>
      <c r="D2274" t="s">
        <v>30</v>
      </c>
      <c r="E2274" s="3">
        <f>9841+3584</f>
        <v>13425</v>
      </c>
      <c r="F2274" s="3">
        <f>50282+55185</f>
        <v>105467</v>
      </c>
      <c r="G2274" s="1">
        <f t="shared" si="929"/>
        <v>118892</v>
      </c>
      <c r="H2274" s="2">
        <f t="shared" si="930"/>
        <v>0.11291760589442519</v>
      </c>
      <c r="I2274" s="2">
        <f t="shared" si="931"/>
        <v>0.88708239410557477</v>
      </c>
      <c r="J2274" s="3">
        <f>2893+9307</f>
        <v>12200</v>
      </c>
      <c r="K2274" s="3">
        <f>27562+566368</f>
        <v>593930</v>
      </c>
      <c r="L2274" s="1">
        <f t="shared" si="932"/>
        <v>606130</v>
      </c>
      <c r="M2274" s="2">
        <f t="shared" si="933"/>
        <v>2.012769537887912E-2</v>
      </c>
      <c r="N2274" s="2">
        <f t="shared" si="934"/>
        <v>0.97987230462112085</v>
      </c>
      <c r="P2274" s="5">
        <f t="shared" si="935"/>
        <v>5098.1563099283385</v>
      </c>
    </row>
    <row r="2275" spans="1:16" x14ac:dyDescent="0.35">
      <c r="A2275" t="s">
        <v>35</v>
      </c>
      <c r="B2275" t="s">
        <v>23</v>
      </c>
      <c r="C2275">
        <v>2015</v>
      </c>
      <c r="D2275" t="s">
        <v>30</v>
      </c>
      <c r="E2275" s="3">
        <f>9690+3488</f>
        <v>13178</v>
      </c>
      <c r="F2275" s="3">
        <f>51373+55398</f>
        <v>106771</v>
      </c>
      <c r="G2275" s="1">
        <f t="shared" si="929"/>
        <v>119949</v>
      </c>
      <c r="H2275" s="2">
        <f t="shared" si="930"/>
        <v>0.10986335859406915</v>
      </c>
      <c r="I2275" s="2">
        <f t="shared" si="931"/>
        <v>0.89013664140593085</v>
      </c>
      <c r="J2275" s="3">
        <f>3330+10710</f>
        <v>14040</v>
      </c>
      <c r="K2275" s="3">
        <f>32784+647102</f>
        <v>679886</v>
      </c>
      <c r="L2275" s="1">
        <f t="shared" si="932"/>
        <v>693926</v>
      </c>
      <c r="M2275" s="2">
        <f t="shared" si="933"/>
        <v>2.0232704928191191E-2</v>
      </c>
      <c r="N2275" s="2">
        <f t="shared" si="934"/>
        <v>0.97976729507180882</v>
      </c>
      <c r="P2275" s="5">
        <f t="shared" si="935"/>
        <v>5785.1753661973007</v>
      </c>
    </row>
    <row r="2276" spans="1:16" x14ac:dyDescent="0.35">
      <c r="A2276" t="s">
        <v>35</v>
      </c>
      <c r="B2276" t="s">
        <v>24</v>
      </c>
      <c r="C2276">
        <v>2015</v>
      </c>
      <c r="D2276" t="s">
        <v>30</v>
      </c>
      <c r="E2276" s="3">
        <f>9400+3417</f>
        <v>12817</v>
      </c>
      <c r="F2276" s="3">
        <f>51424+55803</f>
        <v>107227</v>
      </c>
      <c r="G2276" s="1">
        <f t="shared" si="929"/>
        <v>120044</v>
      </c>
      <c r="H2276" s="2">
        <f t="shared" si="930"/>
        <v>0.10676918463230149</v>
      </c>
      <c r="I2276" s="2">
        <f t="shared" si="931"/>
        <v>0.89323081536769855</v>
      </c>
      <c r="J2276" s="3">
        <f>3478+11476</f>
        <v>14954</v>
      </c>
      <c r="K2276" s="3">
        <f>34431+677642</f>
        <v>712073</v>
      </c>
      <c r="L2276" s="1">
        <f t="shared" si="932"/>
        <v>727027</v>
      </c>
      <c r="M2276" s="2">
        <f t="shared" si="933"/>
        <v>2.0568699649394038E-2</v>
      </c>
      <c r="N2276" s="2">
        <f t="shared" si="934"/>
        <v>0.97943130035060599</v>
      </c>
      <c r="P2276" s="5">
        <f t="shared" si="935"/>
        <v>6056.3376761853988</v>
      </c>
    </row>
    <row r="2277" spans="1:16" x14ac:dyDescent="0.35">
      <c r="A2277" t="s">
        <v>35</v>
      </c>
      <c r="B2277" t="s">
        <v>25</v>
      </c>
      <c r="C2277">
        <v>2015</v>
      </c>
      <c r="D2277" t="s">
        <v>30</v>
      </c>
      <c r="E2277" s="3">
        <f>9318+3340</f>
        <v>12658</v>
      </c>
      <c r="F2277" s="3">
        <f>51680+55665</f>
        <v>107345</v>
      </c>
      <c r="G2277" s="1">
        <f t="shared" si="929"/>
        <v>120003</v>
      </c>
      <c r="H2277" s="2">
        <f t="shared" si="930"/>
        <v>0.10548069631592544</v>
      </c>
      <c r="I2277" s="2">
        <f t="shared" si="931"/>
        <v>0.89451930368407462</v>
      </c>
      <c r="J2277" s="3">
        <f>3664+11913</f>
        <v>15577</v>
      </c>
      <c r="K2277" s="3">
        <f>35564+703445</f>
        <v>739009</v>
      </c>
      <c r="L2277" s="1">
        <f t="shared" si="932"/>
        <v>754586</v>
      </c>
      <c r="M2277" s="2">
        <f t="shared" si="933"/>
        <v>2.0643107611325946E-2</v>
      </c>
      <c r="N2277" s="2">
        <f t="shared" si="934"/>
        <v>0.97935689238867407</v>
      </c>
      <c r="P2277" s="5">
        <f t="shared" si="935"/>
        <v>6288.0594651800375</v>
      </c>
    </row>
    <row r="2278" spans="1:16" x14ac:dyDescent="0.35">
      <c r="A2278" t="s">
        <v>35</v>
      </c>
      <c r="B2278" t="s">
        <v>26</v>
      </c>
      <c r="C2278">
        <v>2015</v>
      </c>
      <c r="D2278" t="s">
        <v>30</v>
      </c>
      <c r="E2278" s="3">
        <f>9152+3241</f>
        <v>12393</v>
      </c>
      <c r="F2278" s="3">
        <f>51987+55770</f>
        <v>107757</v>
      </c>
      <c r="G2278" s="1">
        <f t="shared" si="929"/>
        <v>120150</v>
      </c>
      <c r="H2278" s="2">
        <f t="shared" si="930"/>
        <v>0.10314606741573033</v>
      </c>
      <c r="I2278" s="2">
        <f t="shared" si="931"/>
        <v>0.89685393258426971</v>
      </c>
      <c r="J2278" s="3">
        <f>3590+11488</f>
        <v>15078</v>
      </c>
      <c r="K2278" s="3">
        <f>35701+725869</f>
        <v>761570</v>
      </c>
      <c r="L2278" s="1">
        <f t="shared" si="932"/>
        <v>776648</v>
      </c>
      <c r="M2278" s="2">
        <f t="shared" si="933"/>
        <v>1.9414200512973701E-2</v>
      </c>
      <c r="N2278" s="2">
        <f t="shared" si="934"/>
        <v>0.98058579948702629</v>
      </c>
      <c r="P2278" s="5">
        <f t="shared" si="935"/>
        <v>6463.9866833125261</v>
      </c>
    </row>
    <row r="2279" spans="1:16" x14ac:dyDescent="0.35">
      <c r="A2279" t="s">
        <v>35</v>
      </c>
      <c r="B2279" t="s">
        <v>27</v>
      </c>
      <c r="C2279">
        <v>2015</v>
      </c>
      <c r="D2279" t="s">
        <v>30</v>
      </c>
      <c r="E2279" s="3">
        <f>9017+3176</f>
        <v>12193</v>
      </c>
      <c r="F2279" s="3">
        <f>52222+55669</f>
        <v>107891</v>
      </c>
      <c r="G2279" s="1">
        <f t="shared" si="929"/>
        <v>120084</v>
      </c>
      <c r="H2279" s="2">
        <f t="shared" si="930"/>
        <v>0.10153725725325606</v>
      </c>
      <c r="I2279" s="2">
        <f t="shared" si="931"/>
        <v>0.89846274274674398</v>
      </c>
      <c r="J2279" s="3">
        <f>3158+9888</f>
        <v>13046</v>
      </c>
      <c r="K2279" s="3">
        <f>32938+656117</f>
        <v>689055</v>
      </c>
      <c r="L2279" s="1">
        <f t="shared" si="932"/>
        <v>702101</v>
      </c>
      <c r="M2279" s="2">
        <f t="shared" si="933"/>
        <v>1.858137219573822E-2</v>
      </c>
      <c r="N2279" s="2">
        <f t="shared" si="934"/>
        <v>0.98141862780426181</v>
      </c>
      <c r="P2279" s="5">
        <f t="shared" si="935"/>
        <v>5846.7489424069818</v>
      </c>
    </row>
    <row r="2280" spans="1:16" x14ac:dyDescent="0.35">
      <c r="A2280" t="s">
        <v>35</v>
      </c>
      <c r="B2280" t="s">
        <v>28</v>
      </c>
      <c r="C2280">
        <v>2015</v>
      </c>
      <c r="D2280" t="s">
        <v>30</v>
      </c>
      <c r="E2280" s="3">
        <f>8886+3073</f>
        <v>11959</v>
      </c>
      <c r="F2280" s="3">
        <f>52475+55796</f>
        <v>108271</v>
      </c>
      <c r="G2280" s="1">
        <f t="shared" si="929"/>
        <v>120230</v>
      </c>
      <c r="H2280" s="2">
        <f t="shared" si="930"/>
        <v>9.9467686933377694E-2</v>
      </c>
      <c r="I2280" s="2">
        <f t="shared" si="931"/>
        <v>0.90053231306662229</v>
      </c>
      <c r="J2280" s="3">
        <f>2656+7891</f>
        <v>10547</v>
      </c>
      <c r="K2280" s="3">
        <f>29710+574737</f>
        <v>604447</v>
      </c>
      <c r="L2280" s="1">
        <f t="shared" si="932"/>
        <v>614994</v>
      </c>
      <c r="M2280" s="2">
        <f t="shared" si="933"/>
        <v>1.7149760810674576E-2</v>
      </c>
      <c r="N2280" s="2">
        <f t="shared" si="934"/>
        <v>0.98285023918932546</v>
      </c>
      <c r="P2280" s="5">
        <f t="shared" si="935"/>
        <v>5115.145970223738</v>
      </c>
    </row>
    <row r="2281" spans="1:16" x14ac:dyDescent="0.35">
      <c r="A2281" t="s">
        <v>35</v>
      </c>
      <c r="B2281" t="s">
        <v>29</v>
      </c>
      <c r="C2281">
        <v>2015</v>
      </c>
      <c r="D2281" t="s">
        <v>30</v>
      </c>
      <c r="E2281" s="3">
        <f>8741+2992</f>
        <v>11733</v>
      </c>
      <c r="F2281" s="3">
        <f>52258+55462</f>
        <v>107720</v>
      </c>
      <c r="G2281" s="1">
        <f t="shared" si="929"/>
        <v>119453</v>
      </c>
      <c r="H2281" s="2">
        <f t="shared" si="930"/>
        <v>9.822273195315312E-2</v>
      </c>
      <c r="I2281" s="2">
        <f t="shared" si="931"/>
        <v>0.90177726804684688</v>
      </c>
      <c r="J2281" s="3">
        <f>2633+7245</f>
        <v>9878</v>
      </c>
      <c r="K2281" s="3">
        <f>29339+547950</f>
        <v>577289</v>
      </c>
      <c r="L2281" s="1">
        <f t="shared" si="932"/>
        <v>587167</v>
      </c>
      <c r="M2281" s="2">
        <f t="shared" si="933"/>
        <v>1.682315252730484E-2</v>
      </c>
      <c r="N2281" s="2">
        <f t="shared" si="934"/>
        <v>0.98317684747269518</v>
      </c>
      <c r="P2281" s="5">
        <f t="shared" si="935"/>
        <v>4915.4646597406509</v>
      </c>
    </row>
    <row r="2282" spans="1:16" x14ac:dyDescent="0.35">
      <c r="A2282" t="s">
        <v>35</v>
      </c>
      <c r="B2282" t="s">
        <v>17</v>
      </c>
      <c r="C2282">
        <v>2016</v>
      </c>
      <c r="D2282" t="s">
        <v>30</v>
      </c>
      <c r="E2282" s="3">
        <f>8606+2891</f>
        <v>11497</v>
      </c>
      <c r="F2282" s="3">
        <f>52588+55655</f>
        <v>108243</v>
      </c>
      <c r="G2282" s="1">
        <f t="shared" si="929"/>
        <v>119740</v>
      </c>
      <c r="H2282" s="2">
        <f t="shared" si="930"/>
        <v>9.6016368799064639E-2</v>
      </c>
      <c r="I2282" s="2">
        <f t="shared" si="931"/>
        <v>0.90398363120093539</v>
      </c>
      <c r="J2282" s="3">
        <f>2689+7465</f>
        <v>10154</v>
      </c>
      <c r="K2282" s="3">
        <f>30939+524508</f>
        <v>555447</v>
      </c>
      <c r="L2282" s="1">
        <f t="shared" si="932"/>
        <v>565601</v>
      </c>
      <c r="M2282" s="2">
        <f t="shared" si="933"/>
        <v>1.795258494946084E-2</v>
      </c>
      <c r="N2282" s="2">
        <f t="shared" si="934"/>
        <v>0.98204741505053916</v>
      </c>
      <c r="P2282" s="5">
        <f t="shared" si="935"/>
        <v>4723.5760815099384</v>
      </c>
    </row>
    <row r="2283" spans="1:16" x14ac:dyDescent="0.35">
      <c r="A2283" t="s">
        <v>35</v>
      </c>
      <c r="B2283" t="s">
        <v>19</v>
      </c>
      <c r="C2283">
        <v>2016</v>
      </c>
      <c r="D2283" t="s">
        <v>30</v>
      </c>
      <c r="E2283" s="3">
        <f>8545+2802</f>
        <v>11347</v>
      </c>
      <c r="F2283" s="3">
        <f>53158+56517</f>
        <v>109675</v>
      </c>
      <c r="G2283" s="1">
        <f t="shared" si="929"/>
        <v>121022</v>
      </c>
      <c r="H2283" s="2">
        <f t="shared" si="930"/>
        <v>9.3759812265538492E-2</v>
      </c>
      <c r="I2283" s="2">
        <f t="shared" si="931"/>
        <v>0.90624018773446147</v>
      </c>
      <c r="J2283" s="3">
        <f>2311+6319</f>
        <v>8630</v>
      </c>
      <c r="K2283" s="3">
        <f>27709+497633</f>
        <v>525342</v>
      </c>
      <c r="L2283" s="1">
        <f t="shared" si="932"/>
        <v>533972</v>
      </c>
      <c r="M2283" s="2">
        <f t="shared" si="933"/>
        <v>1.616189612938506E-2</v>
      </c>
      <c r="N2283" s="2">
        <f t="shared" si="934"/>
        <v>0.98383810387061499</v>
      </c>
      <c r="P2283" s="5">
        <f t="shared" si="935"/>
        <v>4412.1895192609609</v>
      </c>
    </row>
    <row r="2284" spans="1:16" x14ac:dyDescent="0.35">
      <c r="A2284" t="s">
        <v>35</v>
      </c>
      <c r="B2284" t="s">
        <v>20</v>
      </c>
      <c r="C2284">
        <v>2016</v>
      </c>
      <c r="D2284" t="s">
        <v>30</v>
      </c>
      <c r="E2284" s="3">
        <f>8452+2713</f>
        <v>11165</v>
      </c>
      <c r="F2284" s="3">
        <f>53478+55850</f>
        <v>109328</v>
      </c>
      <c r="G2284" s="1">
        <f t="shared" si="929"/>
        <v>120493</v>
      </c>
      <c r="H2284" s="2">
        <f t="shared" si="930"/>
        <v>9.2660984455528533E-2</v>
      </c>
      <c r="I2284" s="2">
        <f t="shared" si="931"/>
        <v>0.90733901554447149</v>
      </c>
      <c r="J2284" s="3">
        <f>2217+5917</f>
        <v>8134</v>
      </c>
      <c r="K2284" s="3">
        <f>27609+513213</f>
        <v>540822</v>
      </c>
      <c r="L2284" s="1">
        <f t="shared" si="932"/>
        <v>548956</v>
      </c>
      <c r="M2284" s="2">
        <f t="shared" si="933"/>
        <v>1.4817216680389685E-2</v>
      </c>
      <c r="N2284" s="2">
        <f t="shared" si="934"/>
        <v>0.98518278331961029</v>
      </c>
      <c r="P2284" s="5">
        <f t="shared" si="935"/>
        <v>4555.9161113093705</v>
      </c>
    </row>
    <row r="2285" spans="1:16" x14ac:dyDescent="0.35">
      <c r="A2285" t="s">
        <v>35</v>
      </c>
      <c r="B2285" t="s">
        <v>21</v>
      </c>
      <c r="C2285">
        <v>2016</v>
      </c>
      <c r="D2285" t="s">
        <v>30</v>
      </c>
      <c r="E2285" s="3">
        <f>8392+2609</f>
        <v>11001</v>
      </c>
      <c r="F2285" s="3">
        <f>54189+54794</f>
        <v>108983</v>
      </c>
      <c r="G2285" s="1">
        <f t="shared" si="929"/>
        <v>119984</v>
      </c>
      <c r="H2285" s="2">
        <f t="shared" si="930"/>
        <v>9.1687224963328443E-2</v>
      </c>
      <c r="I2285" s="2">
        <f t="shared" si="931"/>
        <v>0.90831277503667152</v>
      </c>
      <c r="J2285" s="3">
        <f>2347+6098</f>
        <v>8445</v>
      </c>
      <c r="K2285" s="3">
        <f>29336+541966</f>
        <v>571302</v>
      </c>
      <c r="L2285" s="1">
        <f t="shared" si="932"/>
        <v>579747</v>
      </c>
      <c r="M2285" s="2">
        <f t="shared" si="933"/>
        <v>1.4566698922116027E-2</v>
      </c>
      <c r="N2285" s="2">
        <f t="shared" si="934"/>
        <v>0.98543330107788396</v>
      </c>
      <c r="P2285" s="5">
        <f t="shared" si="935"/>
        <v>4831.8692492332311</v>
      </c>
    </row>
    <row r="2286" spans="1:16" x14ac:dyDescent="0.35">
      <c r="A2286" t="s">
        <v>35</v>
      </c>
      <c r="B2286" t="s">
        <v>22</v>
      </c>
      <c r="C2286">
        <v>2016</v>
      </c>
      <c r="D2286" t="s">
        <v>30</v>
      </c>
      <c r="E2286" s="3">
        <f>8333+2535</f>
        <v>10868</v>
      </c>
      <c r="F2286" s="3">
        <f>54408+54816</f>
        <v>109224</v>
      </c>
      <c r="G2286" s="1">
        <f t="shared" si="929"/>
        <v>120092</v>
      </c>
      <c r="H2286" s="2">
        <f t="shared" si="930"/>
        <v>9.0497285414515544E-2</v>
      </c>
      <c r="I2286" s="2">
        <f t="shared" si="931"/>
        <v>0.90950271458548448</v>
      </c>
      <c r="J2286" s="3">
        <f>2554+6684</f>
        <v>9238</v>
      </c>
      <c r="K2286" s="3">
        <f>31457+585948</f>
        <v>617405</v>
      </c>
      <c r="L2286" s="1">
        <f t="shared" si="932"/>
        <v>626643</v>
      </c>
      <c r="M2286" s="2">
        <f t="shared" si="933"/>
        <v>1.4742046109188165E-2</v>
      </c>
      <c r="N2286" s="2">
        <f t="shared" si="934"/>
        <v>0.98525795389081183</v>
      </c>
      <c r="P2286" s="5">
        <f t="shared" si="935"/>
        <v>5218.0245145388535</v>
      </c>
    </row>
    <row r="2287" spans="1:16" x14ac:dyDescent="0.35">
      <c r="A2287" t="s">
        <v>35</v>
      </c>
      <c r="B2287" t="s">
        <v>23</v>
      </c>
      <c r="C2287">
        <v>2016</v>
      </c>
      <c r="D2287" t="s">
        <v>30</v>
      </c>
      <c r="E2287" s="3">
        <f>8185+2517</f>
        <v>10702</v>
      </c>
      <c r="F2287" s="3">
        <f>55335+54718</f>
        <v>110053</v>
      </c>
      <c r="G2287" s="1">
        <f t="shared" si="929"/>
        <v>120755</v>
      </c>
      <c r="H2287" s="2">
        <f t="shared" si="930"/>
        <v>8.8625729783445822E-2</v>
      </c>
      <c r="I2287" s="2">
        <f t="shared" si="931"/>
        <v>0.91137427021655415</v>
      </c>
      <c r="J2287" s="3">
        <f>2875+7597</f>
        <v>10472</v>
      </c>
      <c r="K2287" s="3">
        <f>35625+651830</f>
        <v>687455</v>
      </c>
      <c r="L2287" s="1">
        <f t="shared" si="932"/>
        <v>697927</v>
      </c>
      <c r="M2287" s="2">
        <f t="shared" si="933"/>
        <v>1.500443456120769E-2</v>
      </c>
      <c r="N2287" s="2">
        <f t="shared" si="934"/>
        <v>0.9849955654387923</v>
      </c>
      <c r="P2287" s="5">
        <f t="shared" si="935"/>
        <v>5779.6944225911966</v>
      </c>
    </row>
    <row r="2288" spans="1:16" x14ac:dyDescent="0.35">
      <c r="A2288" t="s">
        <v>35</v>
      </c>
      <c r="B2288" t="s">
        <v>24</v>
      </c>
      <c r="C2288">
        <v>2016</v>
      </c>
      <c r="D2288" t="s">
        <v>30</v>
      </c>
      <c r="E2288" s="3">
        <f>8046+2446</f>
        <v>10492</v>
      </c>
      <c r="F2288" s="3">
        <f>55485+55110</f>
        <v>110595</v>
      </c>
      <c r="G2288" s="1">
        <f t="shared" si="929"/>
        <v>121087</v>
      </c>
      <c r="H2288" s="2">
        <f t="shared" si="930"/>
        <v>8.6648442855137217E-2</v>
      </c>
      <c r="I2288" s="2">
        <f t="shared" si="931"/>
        <v>0.91335155714486282</v>
      </c>
      <c r="J2288" s="3">
        <f>3242+8607</f>
        <v>11849</v>
      </c>
      <c r="K2288" s="3">
        <f>39568+712593</f>
        <v>752161</v>
      </c>
      <c r="L2288" s="1">
        <f t="shared" si="932"/>
        <v>764010</v>
      </c>
      <c r="M2288" s="2">
        <f t="shared" si="933"/>
        <v>1.5508959306815355E-2</v>
      </c>
      <c r="N2288" s="2">
        <f t="shared" si="934"/>
        <v>0.9844910406931846</v>
      </c>
      <c r="P2288" s="5">
        <f t="shared" si="935"/>
        <v>6309.5955800374941</v>
      </c>
    </row>
    <row r="2289" spans="1:16" x14ac:dyDescent="0.35">
      <c r="A2289" t="s">
        <v>35</v>
      </c>
      <c r="B2289" t="s">
        <v>25</v>
      </c>
      <c r="C2289">
        <v>2016</v>
      </c>
      <c r="D2289" t="s">
        <v>30</v>
      </c>
      <c r="E2289" s="3">
        <f>7942+2409</f>
        <v>10351</v>
      </c>
      <c r="F2289" s="3">
        <f>55554+55197</f>
        <v>110751</v>
      </c>
      <c r="G2289" s="1">
        <f t="shared" si="929"/>
        <v>121102</v>
      </c>
      <c r="H2289" s="2">
        <f t="shared" si="930"/>
        <v>8.5473402586249608E-2</v>
      </c>
      <c r="I2289" s="2">
        <f t="shared" si="931"/>
        <v>0.91452659741375042</v>
      </c>
      <c r="J2289" s="3">
        <f>3231+8440</f>
        <v>11671</v>
      </c>
      <c r="K2289" s="3">
        <f>39581+726623</f>
        <v>766204</v>
      </c>
      <c r="L2289" s="1">
        <f t="shared" si="932"/>
        <v>777875</v>
      </c>
      <c r="M2289" s="2">
        <f t="shared" si="933"/>
        <v>1.5003695966575607E-2</v>
      </c>
      <c r="N2289" s="2">
        <f t="shared" si="934"/>
        <v>0.98499630403342442</v>
      </c>
      <c r="P2289" s="5">
        <f t="shared" si="935"/>
        <v>6423.3043219765159</v>
      </c>
    </row>
    <row r="2290" spans="1:16" x14ac:dyDescent="0.35">
      <c r="A2290" t="s">
        <v>35</v>
      </c>
      <c r="B2290" t="s">
        <v>26</v>
      </c>
      <c r="C2290">
        <v>2016</v>
      </c>
      <c r="D2290" t="s">
        <v>30</v>
      </c>
      <c r="E2290" s="3">
        <f>7916+2376</f>
        <v>10292</v>
      </c>
      <c r="F2290" s="3">
        <f>55751+55085</f>
        <v>110836</v>
      </c>
      <c r="G2290" s="1">
        <f t="shared" si="929"/>
        <v>121128</v>
      </c>
      <c r="H2290" s="2">
        <f t="shared" si="930"/>
        <v>8.4967967769632127E-2</v>
      </c>
      <c r="I2290" s="2">
        <f t="shared" si="931"/>
        <v>0.91503203223036789</v>
      </c>
      <c r="J2290" s="3">
        <f>3093+7986</f>
        <v>11079</v>
      </c>
      <c r="K2290" s="3">
        <f>39166+729869</f>
        <v>769035</v>
      </c>
      <c r="L2290" s="1">
        <f t="shared" si="932"/>
        <v>780114</v>
      </c>
      <c r="M2290" s="2">
        <f t="shared" si="933"/>
        <v>1.4201770510463856E-2</v>
      </c>
      <c r="N2290" s="2">
        <f t="shared" si="934"/>
        <v>0.9857982294895361</v>
      </c>
      <c r="P2290" s="5">
        <f t="shared" si="935"/>
        <v>6440.4101446403802</v>
      </c>
    </row>
    <row r="2291" spans="1:16" x14ac:dyDescent="0.35">
      <c r="A2291" t="s">
        <v>35</v>
      </c>
      <c r="B2291" t="s">
        <v>27</v>
      </c>
      <c r="C2291">
        <v>2016</v>
      </c>
      <c r="D2291" t="s">
        <v>30</v>
      </c>
      <c r="E2291" s="3">
        <f>7808+2330</f>
        <v>10138</v>
      </c>
      <c r="F2291" s="3">
        <f>55728+54916</f>
        <v>110644</v>
      </c>
      <c r="G2291" s="1">
        <f t="shared" si="929"/>
        <v>120782</v>
      </c>
      <c r="H2291" s="2">
        <f t="shared" si="930"/>
        <v>8.3936348131344068E-2</v>
      </c>
      <c r="I2291" s="2">
        <f t="shared" si="931"/>
        <v>0.9160636518686559</v>
      </c>
      <c r="J2291" s="3">
        <f>2808+7075</f>
        <v>9883</v>
      </c>
      <c r="K2291" s="3">
        <f>36146+665605</f>
        <v>701751</v>
      </c>
      <c r="L2291" s="1">
        <f t="shared" si="932"/>
        <v>711634</v>
      </c>
      <c r="M2291" s="2">
        <f t="shared" si="933"/>
        <v>1.3887756908748036E-2</v>
      </c>
      <c r="N2291" s="2">
        <f t="shared" si="934"/>
        <v>0.98611224309125201</v>
      </c>
      <c r="P2291" s="5">
        <f t="shared" si="935"/>
        <v>5891.8878640857083</v>
      </c>
    </row>
    <row r="2292" spans="1:16" x14ac:dyDescent="0.35">
      <c r="A2292" t="s">
        <v>35</v>
      </c>
      <c r="B2292" t="s">
        <v>28</v>
      </c>
      <c r="C2292">
        <v>2016</v>
      </c>
      <c r="D2292" t="s">
        <v>30</v>
      </c>
      <c r="E2292" s="3">
        <f>7320+2192</f>
        <v>9512</v>
      </c>
      <c r="F2292" s="3">
        <f>53563+52531</f>
        <v>106094</v>
      </c>
      <c r="G2292" s="1">
        <f t="shared" si="929"/>
        <v>115606</v>
      </c>
      <c r="H2292" s="2">
        <f t="shared" si="930"/>
        <v>8.2279466463678355E-2</v>
      </c>
      <c r="I2292" s="2">
        <f t="shared" si="931"/>
        <v>0.91772053353632166</v>
      </c>
      <c r="J2292" s="3">
        <f>2308+5482</f>
        <v>7790</v>
      </c>
      <c r="K2292" s="3">
        <f>31485+572617</f>
        <v>604102</v>
      </c>
      <c r="L2292" s="1">
        <f t="shared" si="932"/>
        <v>611892</v>
      </c>
      <c r="M2292" s="2">
        <f t="shared" si="933"/>
        <v>1.2731004817843672E-2</v>
      </c>
      <c r="N2292" s="2">
        <f t="shared" si="934"/>
        <v>0.98726899518215638</v>
      </c>
      <c r="P2292" s="5">
        <f t="shared" si="935"/>
        <v>5292.9086725602474</v>
      </c>
    </row>
    <row r="2293" spans="1:16" x14ac:dyDescent="0.35">
      <c r="A2293" t="s">
        <v>35</v>
      </c>
      <c r="B2293" t="s">
        <v>29</v>
      </c>
      <c r="C2293">
        <v>2016</v>
      </c>
      <c r="D2293" t="s">
        <v>30</v>
      </c>
      <c r="E2293" s="3">
        <f>7587+2262</f>
        <v>9849</v>
      </c>
      <c r="F2293" s="3">
        <f>56339+54805</f>
        <v>111144</v>
      </c>
      <c r="G2293" s="1">
        <f t="shared" si="929"/>
        <v>120993</v>
      </c>
      <c r="H2293" s="2">
        <f t="shared" si="930"/>
        <v>8.1401403386972798E-2</v>
      </c>
      <c r="I2293" s="2">
        <f t="shared" si="931"/>
        <v>0.91859859661302723</v>
      </c>
      <c r="J2293" s="3">
        <f>2274+5052</f>
        <v>7326</v>
      </c>
      <c r="K2293" s="3">
        <f>32222+551569</f>
        <v>583791</v>
      </c>
      <c r="L2293" s="1">
        <f t="shared" si="932"/>
        <v>591117</v>
      </c>
      <c r="M2293" s="2">
        <f t="shared" si="933"/>
        <v>1.2393485553621365E-2</v>
      </c>
      <c r="N2293" s="2">
        <f t="shared" si="934"/>
        <v>0.98760651444637859</v>
      </c>
      <c r="P2293" s="5">
        <f t="shared" si="935"/>
        <v>4885.5470977659861</v>
      </c>
    </row>
    <row r="2294" spans="1:16" x14ac:dyDescent="0.35">
      <c r="A2294" t="s">
        <v>35</v>
      </c>
      <c r="B2294" t="s">
        <v>17</v>
      </c>
      <c r="C2294">
        <v>2017</v>
      </c>
      <c r="D2294" t="s">
        <v>30</v>
      </c>
      <c r="E2294" s="3">
        <f>7474+2245</f>
        <v>9719</v>
      </c>
      <c r="F2294" s="3">
        <f>55726+54932</f>
        <v>110658</v>
      </c>
      <c r="G2294" s="1">
        <f t="shared" si="929"/>
        <v>120377</v>
      </c>
      <c r="H2294" s="2">
        <f t="shared" si="930"/>
        <v>8.0738014737034486E-2</v>
      </c>
      <c r="I2294" s="2">
        <f t="shared" si="931"/>
        <v>0.91926198526296554</v>
      </c>
      <c r="J2294" s="3">
        <f>2288+5179</f>
        <v>7467</v>
      </c>
      <c r="K2294" s="3">
        <f>32040+539537</f>
        <v>571577</v>
      </c>
      <c r="L2294" s="1">
        <f t="shared" si="932"/>
        <v>579044</v>
      </c>
      <c r="M2294" s="2">
        <f t="shared" si="933"/>
        <v>1.2895393096206851E-2</v>
      </c>
      <c r="N2294" s="2">
        <f t="shared" si="934"/>
        <v>0.9871046069037932</v>
      </c>
      <c r="P2294" s="5">
        <f t="shared" si="935"/>
        <v>4810.2544506010281</v>
      </c>
    </row>
    <row r="2295" spans="1:16" x14ac:dyDescent="0.35">
      <c r="A2295" t="s">
        <v>35</v>
      </c>
      <c r="B2295" t="s">
        <v>19</v>
      </c>
      <c r="C2295">
        <v>2017</v>
      </c>
      <c r="D2295" t="s">
        <v>30</v>
      </c>
      <c r="E2295" s="3">
        <f>6626+1952</f>
        <v>8578</v>
      </c>
      <c r="F2295" s="3">
        <f>50501+50246</f>
        <v>100747</v>
      </c>
      <c r="G2295" s="1">
        <f t="shared" ref="G2295:G2358" si="936">SUM(E2295:F2295)</f>
        <v>109325</v>
      </c>
      <c r="H2295" s="2">
        <f t="shared" ref="H2295:H2358" si="937">SUM(E2295)/G2295</f>
        <v>7.8463297507431973E-2</v>
      </c>
      <c r="I2295" s="2">
        <f t="shared" ref="I2295:I2358" si="938">SUM(F2295/G2295)</f>
        <v>0.92153670249256803</v>
      </c>
      <c r="J2295" s="3">
        <f>1688+3952</f>
        <v>5640</v>
      </c>
      <c r="K2295" s="3">
        <f>25572+456712</f>
        <v>482284</v>
      </c>
      <c r="L2295" s="1">
        <f t="shared" si="932"/>
        <v>487924</v>
      </c>
      <c r="M2295" s="2">
        <f t="shared" si="933"/>
        <v>1.1559177248915815E-2</v>
      </c>
      <c r="N2295" s="2">
        <f t="shared" si="934"/>
        <v>0.98844082275108414</v>
      </c>
      <c r="P2295" s="5">
        <f t="shared" si="935"/>
        <v>4463.0596844271668</v>
      </c>
    </row>
    <row r="2296" spans="1:16" x14ac:dyDescent="0.35">
      <c r="A2296" t="s">
        <v>35</v>
      </c>
      <c r="B2296" t="s">
        <v>20</v>
      </c>
      <c r="C2296">
        <v>2017</v>
      </c>
      <c r="D2296" t="s">
        <v>30</v>
      </c>
      <c r="E2296" s="3">
        <f>7212+2127</f>
        <v>9339</v>
      </c>
      <c r="F2296" s="3">
        <f>56268+55234</f>
        <v>111502</v>
      </c>
      <c r="G2296" s="1">
        <f t="shared" si="936"/>
        <v>120841</v>
      </c>
      <c r="H2296" s="2">
        <f t="shared" si="937"/>
        <v>7.7283372365339581E-2</v>
      </c>
      <c r="I2296" s="2">
        <f t="shared" si="938"/>
        <v>0.92271662763466045</v>
      </c>
      <c r="J2296" s="3">
        <f>1853+4431</f>
        <v>6284</v>
      </c>
      <c r="K2296" s="3">
        <f>29089+514254</f>
        <v>543343</v>
      </c>
      <c r="L2296" s="1">
        <f t="shared" si="932"/>
        <v>549627</v>
      </c>
      <c r="M2296" s="2">
        <f t="shared" si="933"/>
        <v>1.1433208339473861E-2</v>
      </c>
      <c r="N2296" s="2">
        <f t="shared" si="934"/>
        <v>0.98856679166052619</v>
      </c>
      <c r="P2296" s="5">
        <f t="shared" si="935"/>
        <v>4548.3486564990362</v>
      </c>
    </row>
    <row r="2297" spans="1:16" x14ac:dyDescent="0.35">
      <c r="A2297" t="s">
        <v>35</v>
      </c>
      <c r="B2297" t="s">
        <v>21</v>
      </c>
      <c r="C2297">
        <v>2017</v>
      </c>
      <c r="D2297" t="s">
        <v>30</v>
      </c>
      <c r="E2297" s="3">
        <f>7135+2087</f>
        <v>9222</v>
      </c>
      <c r="F2297" s="3">
        <f>56654+55116</f>
        <v>111770</v>
      </c>
      <c r="G2297" s="1">
        <f t="shared" si="936"/>
        <v>120992</v>
      </c>
      <c r="H2297" s="2">
        <f t="shared" si="937"/>
        <v>7.6219915366305208E-2</v>
      </c>
      <c r="I2297" s="2">
        <f t="shared" si="938"/>
        <v>0.92378008463369476</v>
      </c>
      <c r="J2297" s="3">
        <f>1954+4787</f>
        <v>6741</v>
      </c>
      <c r="K2297" s="3">
        <f>30938+555524</f>
        <v>586462</v>
      </c>
      <c r="L2297" s="1">
        <f t="shared" si="932"/>
        <v>593203</v>
      </c>
      <c r="M2297" s="2">
        <f t="shared" si="933"/>
        <v>1.1363732145656714E-2</v>
      </c>
      <c r="N2297" s="2">
        <f t="shared" si="934"/>
        <v>0.98863626785434333</v>
      </c>
      <c r="P2297" s="5">
        <f t="shared" si="935"/>
        <v>4902.8282861676807</v>
      </c>
    </row>
    <row r="2298" spans="1:16" x14ac:dyDescent="0.35">
      <c r="A2298" t="s">
        <v>35</v>
      </c>
      <c r="B2298" t="s">
        <v>22</v>
      </c>
      <c r="C2298">
        <v>2017</v>
      </c>
      <c r="D2298" t="s">
        <v>30</v>
      </c>
      <c r="E2298" s="3">
        <f>7089+2032</f>
        <v>9121</v>
      </c>
      <c r="F2298" s="3">
        <f>56747+55017</f>
        <v>111764</v>
      </c>
      <c r="G2298" s="1">
        <f t="shared" si="936"/>
        <v>120885</v>
      </c>
      <c r="H2298" s="2">
        <f t="shared" si="937"/>
        <v>7.5451875749679445E-2</v>
      </c>
      <c r="I2298" s="2">
        <f t="shared" si="938"/>
        <v>0.92454812425032051</v>
      </c>
      <c r="J2298" s="3">
        <f>2049+5143</f>
        <v>7192</v>
      </c>
      <c r="K2298" s="3">
        <f>32025+581541</f>
        <v>613566</v>
      </c>
      <c r="L2298" s="1">
        <f t="shared" si="932"/>
        <v>620758</v>
      </c>
      <c r="M2298" s="2">
        <f t="shared" si="933"/>
        <v>1.158583538190406E-2</v>
      </c>
      <c r="N2298" s="2">
        <f t="shared" si="934"/>
        <v>0.98841416461809595</v>
      </c>
      <c r="P2298" s="5">
        <f t="shared" si="935"/>
        <v>5135.1118831947715</v>
      </c>
    </row>
    <row r="2299" spans="1:16" x14ac:dyDescent="0.35">
      <c r="A2299" t="s">
        <v>35</v>
      </c>
      <c r="B2299" t="s">
        <v>23</v>
      </c>
      <c r="C2299">
        <v>2017</v>
      </c>
      <c r="D2299" t="s">
        <v>30</v>
      </c>
      <c r="E2299" s="3">
        <f>7057+1991</f>
        <v>9048</v>
      </c>
      <c r="F2299" s="3">
        <f>57380+55046</f>
        <v>112426</v>
      </c>
      <c r="G2299" s="1">
        <f t="shared" si="936"/>
        <v>121474</v>
      </c>
      <c r="H2299" s="2">
        <f t="shared" si="937"/>
        <v>7.4485074995472286E-2</v>
      </c>
      <c r="I2299" s="2">
        <f t="shared" si="938"/>
        <v>0.9255149250045277</v>
      </c>
      <c r="J2299" s="3">
        <f>2453+5937</f>
        <v>8390</v>
      </c>
      <c r="K2299" s="3">
        <f>36979+669209</f>
        <v>706188</v>
      </c>
      <c r="L2299" s="1">
        <f t="shared" si="932"/>
        <v>714578</v>
      </c>
      <c r="M2299" s="2">
        <f t="shared" si="933"/>
        <v>1.1741195502800254E-2</v>
      </c>
      <c r="N2299" s="2">
        <f t="shared" si="934"/>
        <v>0.98825880449719972</v>
      </c>
      <c r="P2299" s="5">
        <f t="shared" si="935"/>
        <v>5882.5592307818961</v>
      </c>
    </row>
    <row r="2300" spans="1:16" x14ac:dyDescent="0.35">
      <c r="A2300" t="s">
        <v>35</v>
      </c>
      <c r="B2300" t="s">
        <v>24</v>
      </c>
      <c r="C2300">
        <v>2017</v>
      </c>
      <c r="D2300" t="s">
        <v>30</v>
      </c>
      <c r="E2300" s="3">
        <f>6940+1943</f>
        <v>8883</v>
      </c>
      <c r="F2300" s="3">
        <f>57190+55222</f>
        <v>112412</v>
      </c>
      <c r="G2300" s="1">
        <f t="shared" si="936"/>
        <v>121295</v>
      </c>
      <c r="H2300" s="2">
        <f t="shared" si="937"/>
        <v>7.3234675790428291E-2</v>
      </c>
      <c r="I2300" s="2">
        <f t="shared" si="938"/>
        <v>0.92676532420957169</v>
      </c>
      <c r="J2300" s="3">
        <f>2661+6473</f>
        <v>9134</v>
      </c>
      <c r="K2300" s="3">
        <f>39694+709801</f>
        <v>749495</v>
      </c>
      <c r="L2300" s="1">
        <f t="shared" si="932"/>
        <v>758629</v>
      </c>
      <c r="M2300" s="2">
        <f t="shared" si="933"/>
        <v>1.2040140833002692E-2</v>
      </c>
      <c r="N2300" s="2">
        <f t="shared" si="934"/>
        <v>0.98795985916699736</v>
      </c>
      <c r="P2300" s="5">
        <f t="shared" si="935"/>
        <v>6254.4127952512472</v>
      </c>
    </row>
    <row r="2301" spans="1:16" x14ac:dyDescent="0.35">
      <c r="A2301" t="s">
        <v>35</v>
      </c>
      <c r="B2301" t="s">
        <v>25</v>
      </c>
      <c r="C2301">
        <v>2017</v>
      </c>
      <c r="D2301" t="s">
        <v>30</v>
      </c>
      <c r="E2301" s="3">
        <f>6818+1890</f>
        <v>8708</v>
      </c>
      <c r="F2301" s="3">
        <f>57647+55147</f>
        <v>112794</v>
      </c>
      <c r="G2301" s="1">
        <f t="shared" si="936"/>
        <v>121502</v>
      </c>
      <c r="H2301" s="2">
        <f t="shared" si="937"/>
        <v>7.1669602146466727E-2</v>
      </c>
      <c r="I2301" s="2">
        <f t="shared" si="938"/>
        <v>0.92833039785353333</v>
      </c>
      <c r="J2301" s="3">
        <f>2636+6382</f>
        <v>9018</v>
      </c>
      <c r="K2301" s="3">
        <f>40049+720164</f>
        <v>760213</v>
      </c>
      <c r="L2301" s="1">
        <f t="shared" si="932"/>
        <v>769231</v>
      </c>
      <c r="M2301" s="2">
        <f t="shared" si="933"/>
        <v>1.1723396482981055E-2</v>
      </c>
      <c r="N2301" s="2">
        <f t="shared" si="934"/>
        <v>0.98827660351701896</v>
      </c>
      <c r="P2301" s="5">
        <f t="shared" si="935"/>
        <v>6331.0151273230067</v>
      </c>
    </row>
    <row r="2302" spans="1:16" x14ac:dyDescent="0.35">
      <c r="A2302" t="s">
        <v>35</v>
      </c>
      <c r="B2302" t="s">
        <v>26</v>
      </c>
      <c r="C2302">
        <v>2017</v>
      </c>
      <c r="D2302" t="s">
        <v>30</v>
      </c>
      <c r="E2302" s="3">
        <f>6728+1845</f>
        <v>8573</v>
      </c>
      <c r="F2302" s="3">
        <f>57775+55029</f>
        <v>112804</v>
      </c>
      <c r="G2302" s="1">
        <f t="shared" si="936"/>
        <v>121377</v>
      </c>
      <c r="H2302" s="2">
        <f t="shared" si="937"/>
        <v>7.0631173945640446E-2</v>
      </c>
      <c r="I2302" s="2">
        <f t="shared" si="938"/>
        <v>0.92936882605435955</v>
      </c>
      <c r="J2302" s="3">
        <f>2413+5728</f>
        <v>8141</v>
      </c>
      <c r="K2302" s="3">
        <f>37974+691629</f>
        <v>729603</v>
      </c>
      <c r="L2302" s="1">
        <f t="shared" si="932"/>
        <v>737744</v>
      </c>
      <c r="M2302" s="2">
        <f t="shared" si="933"/>
        <v>1.1034993168361925E-2</v>
      </c>
      <c r="N2302" s="2">
        <f t="shared" si="934"/>
        <v>0.98896500683163813</v>
      </c>
      <c r="P2302" s="5">
        <f t="shared" si="935"/>
        <v>6078.1202369476923</v>
      </c>
    </row>
    <row r="2303" spans="1:16" x14ac:dyDescent="0.35">
      <c r="A2303" t="s">
        <v>35</v>
      </c>
      <c r="B2303" t="s">
        <v>27</v>
      </c>
      <c r="C2303">
        <v>2017</v>
      </c>
      <c r="D2303" t="s">
        <v>30</v>
      </c>
      <c r="E2303" s="3">
        <f>6622+1805</f>
        <v>8427</v>
      </c>
      <c r="F2303" s="3">
        <f>57535+54909</f>
        <v>112444</v>
      </c>
      <c r="G2303" s="1">
        <f t="shared" si="936"/>
        <v>120871</v>
      </c>
      <c r="H2303" s="2">
        <f t="shared" si="937"/>
        <v>6.9718956573537078E-2</v>
      </c>
      <c r="I2303" s="2">
        <f t="shared" si="938"/>
        <v>0.93028104342646289</v>
      </c>
      <c r="J2303" s="3">
        <f>2156+4997</f>
        <v>7153</v>
      </c>
      <c r="K2303" s="3">
        <f>35652+649680</f>
        <v>685332</v>
      </c>
      <c r="L2303" s="1">
        <f t="shared" si="932"/>
        <v>692485</v>
      </c>
      <c r="M2303" s="2">
        <f t="shared" si="933"/>
        <v>1.0329465620193939E-2</v>
      </c>
      <c r="N2303" s="2">
        <f t="shared" si="934"/>
        <v>0.98967053437980601</v>
      </c>
      <c r="P2303" s="5">
        <f t="shared" si="935"/>
        <v>5729.12443845091</v>
      </c>
    </row>
    <row r="2304" spans="1:16" x14ac:dyDescent="0.35">
      <c r="A2304" t="s">
        <v>35</v>
      </c>
      <c r="B2304" t="s">
        <v>28</v>
      </c>
      <c r="C2304">
        <v>2017</v>
      </c>
      <c r="D2304" t="s">
        <v>30</v>
      </c>
      <c r="E2304" s="3">
        <f>6527+1790</f>
        <v>8317</v>
      </c>
      <c r="F2304" s="3">
        <f>57768+54913</f>
        <v>112681</v>
      </c>
      <c r="G2304" s="1">
        <f t="shared" si="936"/>
        <v>120998</v>
      </c>
      <c r="H2304" s="2">
        <f t="shared" si="937"/>
        <v>6.8736673333443535E-2</v>
      </c>
      <c r="I2304" s="2">
        <f t="shared" si="938"/>
        <v>0.93126332666655642</v>
      </c>
      <c r="J2304" s="3">
        <f>1802+3917</f>
        <v>5719</v>
      </c>
      <c r="K2304" s="3">
        <f>31491+561529</f>
        <v>593020</v>
      </c>
      <c r="L2304" s="1">
        <f t="shared" si="932"/>
        <v>598739</v>
      </c>
      <c r="M2304" s="2">
        <f t="shared" si="933"/>
        <v>9.55174124284538E-3</v>
      </c>
      <c r="N2304" s="2">
        <f t="shared" si="934"/>
        <v>0.99044825875715459</v>
      </c>
      <c r="P2304" s="5">
        <f t="shared" si="935"/>
        <v>4948.3379890576707</v>
      </c>
    </row>
    <row r="2305" spans="1:16" x14ac:dyDescent="0.35">
      <c r="A2305" t="s">
        <v>35</v>
      </c>
      <c r="B2305" t="s">
        <v>29</v>
      </c>
      <c r="C2305">
        <v>2017</v>
      </c>
      <c r="D2305" t="s">
        <v>30</v>
      </c>
      <c r="E2305" s="3">
        <f>6435+1756</f>
        <v>8191</v>
      </c>
      <c r="F2305" s="3">
        <f>57854+54876</f>
        <v>112730</v>
      </c>
      <c r="G2305" s="1">
        <f t="shared" si="936"/>
        <v>120921</v>
      </c>
      <c r="H2305" s="2">
        <f t="shared" si="937"/>
        <v>6.7738440800191854E-2</v>
      </c>
      <c r="I2305" s="2">
        <f t="shared" si="938"/>
        <v>0.93226155919980813</v>
      </c>
      <c r="J2305" s="3">
        <f>1839+3859</f>
        <v>5698</v>
      </c>
      <c r="K2305" s="3">
        <f>32894+556769</f>
        <v>589663</v>
      </c>
      <c r="L2305" s="1">
        <f t="shared" si="932"/>
        <v>595361</v>
      </c>
      <c r="M2305" s="2">
        <f t="shared" si="933"/>
        <v>9.5706638493283907E-3</v>
      </c>
      <c r="N2305" s="2">
        <f t="shared" si="934"/>
        <v>0.99042933615067164</v>
      </c>
      <c r="P2305" s="5">
        <f t="shared" si="935"/>
        <v>4923.5533943649161</v>
      </c>
    </row>
    <row r="2306" spans="1:16" x14ac:dyDescent="0.35">
      <c r="A2306" t="s">
        <v>35</v>
      </c>
      <c r="B2306" t="s">
        <v>17</v>
      </c>
      <c r="C2306">
        <v>2002</v>
      </c>
      <c r="D2306" t="s">
        <v>31</v>
      </c>
      <c r="E2306" s="3">
        <v>326</v>
      </c>
      <c r="F2306" s="3">
        <v>124</v>
      </c>
      <c r="G2306" s="1">
        <f t="shared" si="936"/>
        <v>450</v>
      </c>
      <c r="H2306" s="2">
        <f t="shared" si="937"/>
        <v>0.72444444444444445</v>
      </c>
      <c r="I2306" s="2">
        <f t="shared" si="938"/>
        <v>0.27555555555555555</v>
      </c>
      <c r="J2306" s="4">
        <f>J2307</f>
        <v>126187.179</v>
      </c>
      <c r="K2306" s="4">
        <v>38990.355999999992</v>
      </c>
      <c r="L2306" s="1">
        <f t="shared" si="932"/>
        <v>165177.535</v>
      </c>
      <c r="M2306" s="2">
        <f t="shared" si="933"/>
        <v>0.7639487960635809</v>
      </c>
      <c r="N2306" s="2">
        <f t="shared" si="934"/>
        <v>0.23605120393641904</v>
      </c>
    </row>
    <row r="2307" spans="1:16" x14ac:dyDescent="0.35">
      <c r="A2307" t="s">
        <v>35</v>
      </c>
      <c r="B2307" t="s">
        <v>19</v>
      </c>
      <c r="C2307">
        <v>2002</v>
      </c>
      <c r="D2307" t="s">
        <v>31</v>
      </c>
      <c r="E2307" s="3">
        <v>315</v>
      </c>
      <c r="F2307" s="3">
        <v>190</v>
      </c>
      <c r="G2307" s="1">
        <f t="shared" si="936"/>
        <v>505</v>
      </c>
      <c r="H2307" s="2">
        <f t="shared" si="937"/>
        <v>0.62376237623762376</v>
      </c>
      <c r="I2307" s="2">
        <f t="shared" si="938"/>
        <v>0.37623762376237624</v>
      </c>
      <c r="J2307" s="4">
        <v>126187.179</v>
      </c>
      <c r="K2307" s="4">
        <v>203479.38199999998</v>
      </c>
      <c r="L2307" s="1">
        <f t="shared" ref="L2307:L2370" si="939">SUM(J2307:K2307)</f>
        <v>329666.56099999999</v>
      </c>
      <c r="M2307" s="2">
        <f t="shared" ref="M2307:M2370" si="940">SUM(J2307)/L2307</f>
        <v>0.38277215201089204</v>
      </c>
      <c r="N2307" s="2">
        <f t="shared" ref="N2307:N2370" si="941">SUM(K2307/L2307)</f>
        <v>0.61722784798910801</v>
      </c>
    </row>
    <row r="2308" spans="1:16" x14ac:dyDescent="0.35">
      <c r="A2308" t="s">
        <v>35</v>
      </c>
      <c r="B2308" t="s">
        <v>20</v>
      </c>
      <c r="C2308">
        <v>2002</v>
      </c>
      <c r="D2308" t="s">
        <v>31</v>
      </c>
      <c r="E2308" s="3">
        <v>284</v>
      </c>
      <c r="F2308" s="3">
        <v>207</v>
      </c>
      <c r="G2308" s="1">
        <f t="shared" si="936"/>
        <v>491</v>
      </c>
      <c r="H2308" s="2">
        <f t="shared" si="937"/>
        <v>0.57841140529531565</v>
      </c>
      <c r="I2308" s="2">
        <f t="shared" si="938"/>
        <v>0.42158859470468429</v>
      </c>
      <c r="J2308" s="4">
        <v>260094.41699999999</v>
      </c>
      <c r="K2308" s="4">
        <v>463335.72499999998</v>
      </c>
      <c r="L2308" s="1">
        <f t="shared" si="939"/>
        <v>723430.14199999999</v>
      </c>
      <c r="M2308" s="2">
        <f t="shared" si="940"/>
        <v>0.35952941673254196</v>
      </c>
      <c r="N2308" s="2">
        <f t="shared" si="941"/>
        <v>0.64047058326745798</v>
      </c>
    </row>
    <row r="2309" spans="1:16" x14ac:dyDescent="0.35">
      <c r="A2309" t="s">
        <v>35</v>
      </c>
      <c r="B2309" t="s">
        <v>21</v>
      </c>
      <c r="C2309">
        <v>2002</v>
      </c>
      <c r="D2309" t="s">
        <v>31</v>
      </c>
      <c r="E2309" s="3">
        <v>272</v>
      </c>
      <c r="F2309" s="3">
        <v>218</v>
      </c>
      <c r="G2309" s="1">
        <f t="shared" si="936"/>
        <v>490</v>
      </c>
      <c r="H2309" s="2">
        <f t="shared" si="937"/>
        <v>0.55510204081632653</v>
      </c>
      <c r="I2309" s="2">
        <f t="shared" si="938"/>
        <v>0.44489795918367347</v>
      </c>
      <c r="J2309" s="4">
        <v>218615.94900000002</v>
      </c>
      <c r="K2309" s="4">
        <v>327785.83100000001</v>
      </c>
      <c r="L2309" s="1">
        <f t="shared" si="939"/>
        <v>546401.78</v>
      </c>
      <c r="M2309" s="2">
        <f t="shared" si="940"/>
        <v>0.40010109227682239</v>
      </c>
      <c r="N2309" s="2">
        <f t="shared" si="941"/>
        <v>0.59989890772317755</v>
      </c>
    </row>
    <row r="2310" spans="1:16" x14ac:dyDescent="0.35">
      <c r="A2310" t="s">
        <v>35</v>
      </c>
      <c r="B2310" t="s">
        <v>22</v>
      </c>
      <c r="C2310">
        <v>2002</v>
      </c>
      <c r="D2310" t="s">
        <v>31</v>
      </c>
      <c r="E2310" s="3">
        <v>258</v>
      </c>
      <c r="F2310" s="3">
        <v>249</v>
      </c>
      <c r="G2310" s="1">
        <f t="shared" si="936"/>
        <v>507</v>
      </c>
      <c r="H2310" s="2">
        <f t="shared" si="937"/>
        <v>0.50887573964497046</v>
      </c>
      <c r="I2310" s="2">
        <f t="shared" si="938"/>
        <v>0.4911242603550296</v>
      </c>
      <c r="J2310" s="4">
        <v>217074.02500000002</v>
      </c>
      <c r="K2310" s="4">
        <v>371466.38399999996</v>
      </c>
      <c r="L2310" s="1">
        <f t="shared" si="939"/>
        <v>588540.40899999999</v>
      </c>
      <c r="M2310" s="2">
        <f t="shared" si="940"/>
        <v>0.36883452976293429</v>
      </c>
      <c r="N2310" s="2">
        <f t="shared" si="941"/>
        <v>0.63116547023706571</v>
      </c>
    </row>
    <row r="2311" spans="1:16" x14ac:dyDescent="0.35">
      <c r="A2311" t="s">
        <v>35</v>
      </c>
      <c r="B2311" t="s">
        <v>23</v>
      </c>
      <c r="C2311">
        <v>2002</v>
      </c>
      <c r="D2311" t="s">
        <v>31</v>
      </c>
      <c r="E2311" s="3">
        <v>243</v>
      </c>
      <c r="F2311" s="3">
        <v>255</v>
      </c>
      <c r="G2311" s="1">
        <f t="shared" si="936"/>
        <v>498</v>
      </c>
      <c r="H2311" s="2">
        <f t="shared" si="937"/>
        <v>0.48795180722891568</v>
      </c>
      <c r="I2311" s="2">
        <f t="shared" si="938"/>
        <v>0.51204819277108438</v>
      </c>
      <c r="J2311" s="4">
        <v>69268.65400000001</v>
      </c>
      <c r="K2311" s="4">
        <v>407220.64599999995</v>
      </c>
      <c r="L2311" s="1">
        <f t="shared" si="939"/>
        <v>476489.29999999993</v>
      </c>
      <c r="M2311" s="2">
        <f t="shared" si="940"/>
        <v>0.14537294751424643</v>
      </c>
      <c r="N2311" s="2">
        <f t="shared" si="941"/>
        <v>0.85462705248575366</v>
      </c>
    </row>
    <row r="2312" spans="1:16" x14ac:dyDescent="0.35">
      <c r="A2312" t="s">
        <v>35</v>
      </c>
      <c r="B2312" t="s">
        <v>24</v>
      </c>
      <c r="C2312">
        <v>2002</v>
      </c>
      <c r="D2312" t="s">
        <v>31</v>
      </c>
      <c r="E2312" s="3">
        <v>238</v>
      </c>
      <c r="F2312" s="3">
        <v>262</v>
      </c>
      <c r="G2312" s="1">
        <f t="shared" si="936"/>
        <v>500</v>
      </c>
      <c r="H2312" s="2">
        <f t="shared" si="937"/>
        <v>0.47599999999999998</v>
      </c>
      <c r="I2312" s="2">
        <f t="shared" si="938"/>
        <v>0.52400000000000002</v>
      </c>
      <c r="J2312" s="4">
        <v>134307.44399999999</v>
      </c>
      <c r="K2312" s="4">
        <v>811358.47600000002</v>
      </c>
      <c r="L2312" s="1">
        <f t="shared" si="939"/>
        <v>945665.92</v>
      </c>
      <c r="M2312" s="2">
        <f t="shared" si="940"/>
        <v>0.14202419814388573</v>
      </c>
      <c r="N2312" s="2">
        <f t="shared" si="941"/>
        <v>0.85797580185611422</v>
      </c>
    </row>
    <row r="2313" spans="1:16" x14ac:dyDescent="0.35">
      <c r="A2313" t="s">
        <v>35</v>
      </c>
      <c r="B2313" t="s">
        <v>25</v>
      </c>
      <c r="C2313">
        <v>2002</v>
      </c>
      <c r="D2313" t="s">
        <v>31</v>
      </c>
      <c r="E2313" s="3">
        <v>231</v>
      </c>
      <c r="F2313" s="3">
        <v>275</v>
      </c>
      <c r="G2313" s="1">
        <f t="shared" si="936"/>
        <v>506</v>
      </c>
      <c r="H2313" s="2">
        <f t="shared" si="937"/>
        <v>0.45652173913043476</v>
      </c>
      <c r="I2313" s="2">
        <f t="shared" si="938"/>
        <v>0.54347826086956519</v>
      </c>
      <c r="J2313" s="4">
        <v>134012.41399999999</v>
      </c>
      <c r="K2313" s="4">
        <v>139489.28700000001</v>
      </c>
      <c r="L2313" s="1">
        <f t="shared" si="939"/>
        <v>273501.701</v>
      </c>
      <c r="M2313" s="2">
        <f t="shared" si="940"/>
        <v>0.48998749737209124</v>
      </c>
      <c r="N2313" s="2">
        <f t="shared" si="941"/>
        <v>0.51001250262790876</v>
      </c>
    </row>
    <row r="2314" spans="1:16" x14ac:dyDescent="0.35">
      <c r="A2314" t="s">
        <v>35</v>
      </c>
      <c r="B2314" t="s">
        <v>26</v>
      </c>
      <c r="C2314">
        <v>2002</v>
      </c>
      <c r="D2314" t="s">
        <v>31</v>
      </c>
      <c r="E2314" s="3">
        <v>221</v>
      </c>
      <c r="F2314" s="3">
        <v>273</v>
      </c>
      <c r="G2314" s="1">
        <f t="shared" si="936"/>
        <v>494</v>
      </c>
      <c r="H2314" s="2">
        <f t="shared" si="937"/>
        <v>0.44736842105263158</v>
      </c>
      <c r="I2314" s="2">
        <f t="shared" si="938"/>
        <v>0.55263157894736847</v>
      </c>
      <c r="J2314" s="4">
        <v>121945.86699999998</v>
      </c>
      <c r="K2314" s="4">
        <v>578162.098</v>
      </c>
      <c r="L2314" s="1">
        <f t="shared" si="939"/>
        <v>700107.96499999997</v>
      </c>
      <c r="M2314" s="2">
        <f t="shared" si="940"/>
        <v>0.17418151641797133</v>
      </c>
      <c r="N2314" s="2">
        <f t="shared" si="941"/>
        <v>0.8258184835820287</v>
      </c>
    </row>
    <row r="2315" spans="1:16" x14ac:dyDescent="0.35">
      <c r="A2315" t="s">
        <v>35</v>
      </c>
      <c r="B2315" t="s">
        <v>27</v>
      </c>
      <c r="C2315">
        <v>2002</v>
      </c>
      <c r="D2315" t="s">
        <v>31</v>
      </c>
      <c r="E2315" s="3">
        <v>250</v>
      </c>
      <c r="F2315" s="3">
        <v>332</v>
      </c>
      <c r="G2315" s="1">
        <f t="shared" si="936"/>
        <v>582</v>
      </c>
      <c r="H2315" s="2">
        <f t="shared" si="937"/>
        <v>0.42955326460481097</v>
      </c>
      <c r="I2315" s="2">
        <f t="shared" si="938"/>
        <v>0.57044673539518898</v>
      </c>
      <c r="J2315" s="4">
        <v>120420.659</v>
      </c>
      <c r="K2315" s="4">
        <v>436730.55500000005</v>
      </c>
      <c r="L2315" s="1">
        <f t="shared" si="939"/>
        <v>557151.21400000004</v>
      </c>
      <c r="M2315" s="2">
        <f t="shared" si="940"/>
        <v>0.21613640242377716</v>
      </c>
      <c r="N2315" s="2">
        <f t="shared" si="941"/>
        <v>0.78386359757622281</v>
      </c>
    </row>
    <row r="2316" spans="1:16" x14ac:dyDescent="0.35">
      <c r="A2316" t="s">
        <v>35</v>
      </c>
      <c r="B2316" t="s">
        <v>28</v>
      </c>
      <c r="C2316">
        <v>2002</v>
      </c>
      <c r="D2316" t="s">
        <v>31</v>
      </c>
      <c r="E2316" s="3">
        <v>206</v>
      </c>
      <c r="F2316" s="3">
        <v>338</v>
      </c>
      <c r="G2316" s="1">
        <f t="shared" si="936"/>
        <v>544</v>
      </c>
      <c r="H2316" s="2">
        <f t="shared" si="937"/>
        <v>0.37867647058823528</v>
      </c>
      <c r="I2316" s="2">
        <f t="shared" si="938"/>
        <v>0.62132352941176472</v>
      </c>
      <c r="J2316" s="4">
        <v>108944.38499999999</v>
      </c>
      <c r="K2316" s="4">
        <v>432142.94900000002</v>
      </c>
      <c r="L2316" s="1">
        <f t="shared" si="939"/>
        <v>541087.33400000003</v>
      </c>
      <c r="M2316" s="2">
        <f t="shared" si="940"/>
        <v>0.20134343968953447</v>
      </c>
      <c r="N2316" s="2">
        <f t="shared" si="941"/>
        <v>0.7986565603104655</v>
      </c>
    </row>
    <row r="2317" spans="1:16" x14ac:dyDescent="0.35">
      <c r="A2317" t="s">
        <v>35</v>
      </c>
      <c r="B2317" t="s">
        <v>29</v>
      </c>
      <c r="C2317">
        <v>2002</v>
      </c>
      <c r="D2317" t="s">
        <v>31</v>
      </c>
      <c r="E2317" s="3">
        <v>205</v>
      </c>
      <c r="F2317" s="3">
        <v>319</v>
      </c>
      <c r="G2317" s="1">
        <f t="shared" si="936"/>
        <v>524</v>
      </c>
      <c r="H2317" s="2">
        <f t="shared" si="937"/>
        <v>0.39122137404580154</v>
      </c>
      <c r="I2317" s="2">
        <f t="shared" si="938"/>
        <v>0.60877862595419852</v>
      </c>
      <c r="J2317" s="4">
        <v>113198.43700000001</v>
      </c>
      <c r="K2317" s="4">
        <v>216487.09200000006</v>
      </c>
      <c r="L2317" s="1">
        <f t="shared" si="939"/>
        <v>329685.5290000001</v>
      </c>
      <c r="M2317" s="2">
        <f t="shared" si="940"/>
        <v>0.34335276208013354</v>
      </c>
      <c r="N2317" s="2">
        <f t="shared" si="941"/>
        <v>0.65664723791986634</v>
      </c>
    </row>
    <row r="2318" spans="1:16" x14ac:dyDescent="0.35">
      <c r="A2318" t="s">
        <v>35</v>
      </c>
      <c r="B2318" t="s">
        <v>17</v>
      </c>
      <c r="C2318">
        <v>2003</v>
      </c>
      <c r="D2318" t="s">
        <v>31</v>
      </c>
      <c r="E2318" s="3">
        <f>193+39</f>
        <v>232</v>
      </c>
      <c r="F2318" s="3">
        <f>350+6</f>
        <v>356</v>
      </c>
      <c r="G2318" s="1">
        <f t="shared" si="936"/>
        <v>588</v>
      </c>
      <c r="H2318" s="2">
        <f t="shared" si="937"/>
        <v>0.39455782312925169</v>
      </c>
      <c r="I2318" s="2">
        <f t="shared" si="938"/>
        <v>0.60544217687074831</v>
      </c>
      <c r="J2318" s="4">
        <f>29907+100073</f>
        <v>129980</v>
      </c>
      <c r="K2318" s="4">
        <f>163682+213789</f>
        <v>377471</v>
      </c>
      <c r="L2318" s="1">
        <f t="shared" si="939"/>
        <v>507451</v>
      </c>
      <c r="M2318" s="2">
        <f t="shared" si="940"/>
        <v>0.25614295764517164</v>
      </c>
      <c r="N2318" s="2">
        <f t="shared" si="941"/>
        <v>0.7438570423548283</v>
      </c>
    </row>
    <row r="2319" spans="1:16" x14ac:dyDescent="0.35">
      <c r="A2319" t="s">
        <v>35</v>
      </c>
      <c r="B2319" t="s">
        <v>19</v>
      </c>
      <c r="C2319">
        <v>2003</v>
      </c>
      <c r="D2319" t="s">
        <v>31</v>
      </c>
      <c r="E2319" s="3">
        <f>160+39</f>
        <v>199</v>
      </c>
      <c r="F2319" s="3">
        <f>326+2</f>
        <v>328</v>
      </c>
      <c r="G2319" s="1">
        <f t="shared" si="936"/>
        <v>527</v>
      </c>
      <c r="H2319" s="2">
        <f t="shared" si="937"/>
        <v>0.3776091081593928</v>
      </c>
      <c r="I2319" s="2">
        <f t="shared" si="938"/>
        <v>0.62239089184060725</v>
      </c>
      <c r="J2319" s="4">
        <f>23354+125993</f>
        <v>149347</v>
      </c>
      <c r="K2319" s="4">
        <f>141339+184203</f>
        <v>325542</v>
      </c>
      <c r="L2319" s="1">
        <f t="shared" si="939"/>
        <v>474889</v>
      </c>
      <c r="M2319" s="2">
        <f t="shared" si="940"/>
        <v>0.31448822777533275</v>
      </c>
      <c r="N2319" s="2">
        <f t="shared" si="941"/>
        <v>0.68551177222466719</v>
      </c>
    </row>
    <row r="2320" spans="1:16" x14ac:dyDescent="0.35">
      <c r="A2320" t="s">
        <v>35</v>
      </c>
      <c r="B2320" t="s">
        <v>20</v>
      </c>
      <c r="C2320">
        <v>2003</v>
      </c>
      <c r="D2320" t="s">
        <v>31</v>
      </c>
      <c r="E2320" s="3">
        <f>168+39</f>
        <v>207</v>
      </c>
      <c r="F2320" s="3">
        <f>354+2</f>
        <v>356</v>
      </c>
      <c r="G2320" s="1">
        <f t="shared" si="936"/>
        <v>563</v>
      </c>
      <c r="H2320" s="2">
        <f t="shared" si="937"/>
        <v>0.36767317939609234</v>
      </c>
      <c r="I2320" s="2">
        <f t="shared" si="938"/>
        <v>0.63232682060390766</v>
      </c>
      <c r="J2320" s="4">
        <f>25061+122371</f>
        <v>147432</v>
      </c>
      <c r="K2320" s="4">
        <f>154335+129131</f>
        <v>283466</v>
      </c>
      <c r="L2320" s="1">
        <f t="shared" si="939"/>
        <v>430898</v>
      </c>
      <c r="M2320" s="2">
        <f t="shared" si="940"/>
        <v>0.34215057855919501</v>
      </c>
      <c r="N2320" s="2">
        <f t="shared" si="941"/>
        <v>0.65784942144080505</v>
      </c>
    </row>
    <row r="2321" spans="1:14" x14ac:dyDescent="0.35">
      <c r="A2321" t="s">
        <v>35</v>
      </c>
      <c r="B2321" t="s">
        <v>21</v>
      </c>
      <c r="C2321">
        <v>2003</v>
      </c>
      <c r="D2321" t="s">
        <v>31</v>
      </c>
      <c r="E2321" s="3">
        <f>175+20</f>
        <v>195</v>
      </c>
      <c r="F2321" s="3">
        <f>327+21</f>
        <v>348</v>
      </c>
      <c r="G2321" s="1">
        <f t="shared" si="936"/>
        <v>543</v>
      </c>
      <c r="H2321" s="2">
        <f t="shared" si="937"/>
        <v>0.35911602209944754</v>
      </c>
      <c r="I2321" s="2">
        <f t="shared" si="938"/>
        <v>0.64088397790055252</v>
      </c>
      <c r="J2321" s="4">
        <f>165040+28082</f>
        <v>193122</v>
      </c>
      <c r="K2321" s="4">
        <f>156227+152553</f>
        <v>308780</v>
      </c>
      <c r="L2321" s="1">
        <f t="shared" si="939"/>
        <v>501902</v>
      </c>
      <c r="M2321" s="2">
        <f t="shared" si="940"/>
        <v>0.38478029575494815</v>
      </c>
      <c r="N2321" s="2">
        <f t="shared" si="941"/>
        <v>0.61521970424505179</v>
      </c>
    </row>
    <row r="2322" spans="1:14" x14ac:dyDescent="0.35">
      <c r="A2322" t="s">
        <v>35</v>
      </c>
      <c r="B2322" t="s">
        <v>22</v>
      </c>
      <c r="C2322">
        <v>2003</v>
      </c>
      <c r="D2322" t="s">
        <v>31</v>
      </c>
      <c r="E2322" s="3">
        <f>175+20</f>
        <v>195</v>
      </c>
      <c r="F2322" s="3">
        <f>332+20</f>
        <v>352</v>
      </c>
      <c r="G2322" s="1">
        <f t="shared" si="936"/>
        <v>547</v>
      </c>
      <c r="H2322" s="2">
        <f t="shared" si="937"/>
        <v>0.35648994515539306</v>
      </c>
      <c r="I2322" s="2">
        <f t="shared" si="938"/>
        <v>0.64351005484460699</v>
      </c>
      <c r="J2322" s="4">
        <f>151577+31472</f>
        <v>183049</v>
      </c>
      <c r="K2322" s="4">
        <f>182844+176918</f>
        <v>359762</v>
      </c>
      <c r="L2322" s="1">
        <f t="shared" si="939"/>
        <v>542811</v>
      </c>
      <c r="M2322" s="2">
        <f t="shared" si="940"/>
        <v>0.3372241903719711</v>
      </c>
      <c r="N2322" s="2">
        <f t="shared" si="941"/>
        <v>0.66277580962802896</v>
      </c>
    </row>
    <row r="2323" spans="1:14" x14ac:dyDescent="0.35">
      <c r="A2323" t="s">
        <v>35</v>
      </c>
      <c r="B2323" t="s">
        <v>23</v>
      </c>
      <c r="C2323">
        <v>2003</v>
      </c>
      <c r="D2323" t="s">
        <v>31</v>
      </c>
      <c r="E2323" s="3">
        <f>157+20</f>
        <v>177</v>
      </c>
      <c r="F2323" s="3">
        <f>330+20</f>
        <v>350</v>
      </c>
      <c r="G2323" s="1">
        <f t="shared" si="936"/>
        <v>527</v>
      </c>
      <c r="H2323" s="2">
        <f t="shared" si="937"/>
        <v>0.33586337760910817</v>
      </c>
      <c r="I2323" s="2">
        <f t="shared" si="938"/>
        <v>0.66413662239089188</v>
      </c>
      <c r="J2323" s="4">
        <f>133617+29343</f>
        <v>162960</v>
      </c>
      <c r="K2323" s="4">
        <f>189518+151994</f>
        <v>341512</v>
      </c>
      <c r="L2323" s="1">
        <f t="shared" si="939"/>
        <v>504472</v>
      </c>
      <c r="M2323" s="2">
        <f t="shared" si="940"/>
        <v>0.32303081241377124</v>
      </c>
      <c r="N2323" s="2">
        <f t="shared" si="941"/>
        <v>0.67696918758622882</v>
      </c>
    </row>
    <row r="2324" spans="1:14" x14ac:dyDescent="0.35">
      <c r="A2324" t="s">
        <v>35</v>
      </c>
      <c r="B2324" t="s">
        <v>24</v>
      </c>
      <c r="C2324">
        <v>2003</v>
      </c>
      <c r="D2324" t="s">
        <v>31</v>
      </c>
      <c r="E2324" s="3">
        <v>185</v>
      </c>
      <c r="F2324" s="3">
        <v>378</v>
      </c>
      <c r="G2324" s="1">
        <f t="shared" si="936"/>
        <v>563</v>
      </c>
      <c r="H2324" s="2">
        <f t="shared" si="937"/>
        <v>0.32859680284191828</v>
      </c>
      <c r="I2324" s="2">
        <f t="shared" si="938"/>
        <v>0.67140319715808172</v>
      </c>
      <c r="J2324" s="4">
        <f>28308+160999</f>
        <v>189307</v>
      </c>
      <c r="K2324" s="4">
        <v>359995</v>
      </c>
      <c r="L2324" s="1">
        <f t="shared" si="939"/>
        <v>549302</v>
      </c>
      <c r="M2324" s="2">
        <f t="shared" si="940"/>
        <v>0.34463191468445409</v>
      </c>
      <c r="N2324" s="2">
        <f t="shared" si="941"/>
        <v>0.65536808531554591</v>
      </c>
    </row>
    <row r="2325" spans="1:14" x14ac:dyDescent="0.35">
      <c r="A2325" t="s">
        <v>35</v>
      </c>
      <c r="B2325" t="s">
        <v>25</v>
      </c>
      <c r="C2325">
        <v>2003</v>
      </c>
      <c r="D2325" t="s">
        <v>31</v>
      </c>
      <c r="E2325" s="3">
        <v>170</v>
      </c>
      <c r="F2325" s="3">
        <v>389</v>
      </c>
      <c r="G2325" s="1">
        <f t="shared" si="936"/>
        <v>559</v>
      </c>
      <c r="H2325" s="2">
        <f t="shared" si="937"/>
        <v>0.30411449016100178</v>
      </c>
      <c r="I2325" s="2">
        <f t="shared" si="938"/>
        <v>0.69588550983899822</v>
      </c>
      <c r="J2325" s="4">
        <f>22583+149944</f>
        <v>172527</v>
      </c>
      <c r="K2325" s="4">
        <v>328718</v>
      </c>
      <c r="L2325" s="1">
        <f t="shared" si="939"/>
        <v>501245</v>
      </c>
      <c r="M2325" s="2">
        <f t="shared" si="940"/>
        <v>0.34419694959550717</v>
      </c>
      <c r="N2325" s="2">
        <f t="shared" si="941"/>
        <v>0.65580305040449283</v>
      </c>
    </row>
    <row r="2326" spans="1:14" x14ac:dyDescent="0.35">
      <c r="A2326" t="s">
        <v>35</v>
      </c>
      <c r="B2326" t="s">
        <v>26</v>
      </c>
      <c r="C2326">
        <v>2003</v>
      </c>
      <c r="D2326" t="s">
        <v>31</v>
      </c>
      <c r="E2326" s="3">
        <v>165</v>
      </c>
      <c r="F2326" s="3">
        <v>380</v>
      </c>
      <c r="G2326" s="1">
        <f t="shared" si="936"/>
        <v>545</v>
      </c>
      <c r="H2326" s="2">
        <f t="shared" si="937"/>
        <v>0.30275229357798167</v>
      </c>
      <c r="I2326" s="2">
        <f t="shared" si="938"/>
        <v>0.69724770642201839</v>
      </c>
      <c r="J2326" s="4">
        <f>22164+156397</f>
        <v>178561</v>
      </c>
      <c r="K2326" s="4">
        <v>326906</v>
      </c>
      <c r="L2326" s="1">
        <f t="shared" si="939"/>
        <v>505467</v>
      </c>
      <c r="M2326" s="2">
        <f t="shared" si="940"/>
        <v>0.35325946105284817</v>
      </c>
      <c r="N2326" s="2">
        <f t="shared" si="941"/>
        <v>0.64674053894715189</v>
      </c>
    </row>
    <row r="2327" spans="1:14" x14ac:dyDescent="0.35">
      <c r="A2327" t="s">
        <v>35</v>
      </c>
      <c r="B2327" t="s">
        <v>27</v>
      </c>
      <c r="C2327">
        <v>2003</v>
      </c>
      <c r="D2327" t="s">
        <v>31</v>
      </c>
      <c r="E2327" s="3">
        <f>183</f>
        <v>183</v>
      </c>
      <c r="F2327" s="3">
        <v>432</v>
      </c>
      <c r="G2327" s="1">
        <f t="shared" si="936"/>
        <v>615</v>
      </c>
      <c r="H2327" s="2">
        <f t="shared" si="937"/>
        <v>0.29756097560975608</v>
      </c>
      <c r="I2327" s="2">
        <f t="shared" si="938"/>
        <v>0.70243902439024386</v>
      </c>
      <c r="J2327" s="4">
        <f>21642+145853</f>
        <v>167495</v>
      </c>
      <c r="K2327" s="4">
        <v>392809</v>
      </c>
      <c r="L2327" s="1">
        <f t="shared" si="939"/>
        <v>560304</v>
      </c>
      <c r="M2327" s="2">
        <f t="shared" si="940"/>
        <v>0.29893593477826325</v>
      </c>
      <c r="N2327" s="2">
        <f t="shared" si="941"/>
        <v>0.70106406522173681</v>
      </c>
    </row>
    <row r="2328" spans="1:14" x14ac:dyDescent="0.35">
      <c r="A2328" t="s">
        <v>35</v>
      </c>
      <c r="B2328" t="s">
        <v>28</v>
      </c>
      <c r="C2328">
        <v>2003</v>
      </c>
      <c r="D2328" t="s">
        <v>31</v>
      </c>
      <c r="E2328" s="3">
        <v>120</v>
      </c>
      <c r="F2328" s="3">
        <v>336</v>
      </c>
      <c r="G2328" s="1">
        <f t="shared" si="936"/>
        <v>456</v>
      </c>
      <c r="H2328" s="2">
        <f t="shared" si="937"/>
        <v>0.26315789473684209</v>
      </c>
      <c r="I2328" s="2">
        <f t="shared" si="938"/>
        <v>0.73684210526315785</v>
      </c>
      <c r="J2328" s="4">
        <f>14401+147914</f>
        <v>162315</v>
      </c>
      <c r="K2328" s="4">
        <v>354401</v>
      </c>
      <c r="L2328" s="1">
        <f t="shared" si="939"/>
        <v>516716</v>
      </c>
      <c r="M2328" s="2">
        <f t="shared" si="940"/>
        <v>0.31412807035199219</v>
      </c>
      <c r="N2328" s="2">
        <f t="shared" si="941"/>
        <v>0.68587192964800781</v>
      </c>
    </row>
    <row r="2329" spans="1:14" x14ac:dyDescent="0.35">
      <c r="A2329" t="s">
        <v>35</v>
      </c>
      <c r="B2329" t="s">
        <v>29</v>
      </c>
      <c r="C2329">
        <v>2003</v>
      </c>
      <c r="D2329" t="s">
        <v>31</v>
      </c>
      <c r="E2329" s="3">
        <v>145</v>
      </c>
      <c r="F2329" s="3">
        <v>391</v>
      </c>
      <c r="G2329" s="1">
        <f t="shared" si="936"/>
        <v>536</v>
      </c>
      <c r="H2329" s="2">
        <f t="shared" si="937"/>
        <v>0.27052238805970147</v>
      </c>
      <c r="I2329" s="2">
        <f t="shared" si="938"/>
        <v>0.72947761194029848</v>
      </c>
      <c r="J2329" s="4">
        <f>17891+21325</f>
        <v>39216</v>
      </c>
      <c r="K2329" s="4">
        <v>386926</v>
      </c>
      <c r="L2329" s="1">
        <f t="shared" si="939"/>
        <v>426142</v>
      </c>
      <c r="M2329" s="2">
        <f t="shared" si="940"/>
        <v>9.2025662807233274E-2</v>
      </c>
      <c r="N2329" s="2">
        <f t="shared" si="941"/>
        <v>0.90797433719276677</v>
      </c>
    </row>
    <row r="2330" spans="1:14" x14ac:dyDescent="0.35">
      <c r="A2330" t="s">
        <v>35</v>
      </c>
      <c r="B2330" t="s">
        <v>17</v>
      </c>
      <c r="C2330">
        <v>2004</v>
      </c>
      <c r="D2330" t="s">
        <v>31</v>
      </c>
      <c r="E2330" s="3">
        <f>374+18</f>
        <v>392</v>
      </c>
      <c r="F2330" s="3">
        <f>429+27</f>
        <v>456</v>
      </c>
      <c r="G2330" s="1">
        <f t="shared" si="936"/>
        <v>848</v>
      </c>
      <c r="H2330" s="2">
        <f t="shared" si="937"/>
        <v>0.46226415094339623</v>
      </c>
      <c r="I2330" s="2">
        <f t="shared" si="938"/>
        <v>0.53773584905660377</v>
      </c>
      <c r="J2330" s="4">
        <f>17946+160672</f>
        <v>178618</v>
      </c>
      <c r="K2330" s="4">
        <f>179345+261072</f>
        <v>440417</v>
      </c>
      <c r="L2330" s="1">
        <f t="shared" si="939"/>
        <v>619035</v>
      </c>
      <c r="M2330" s="2">
        <f t="shared" si="940"/>
        <v>0.28854265106173316</v>
      </c>
      <c r="N2330" s="2">
        <f t="shared" si="941"/>
        <v>0.71145734893826684</v>
      </c>
    </row>
    <row r="2331" spans="1:14" x14ac:dyDescent="0.35">
      <c r="A2331" t="s">
        <v>35</v>
      </c>
      <c r="B2331" t="s">
        <v>19</v>
      </c>
      <c r="C2331">
        <v>2004</v>
      </c>
      <c r="D2331" t="s">
        <v>31</v>
      </c>
      <c r="E2331" s="3">
        <f>359+13</f>
        <v>372</v>
      </c>
      <c r="F2331" s="3">
        <f>383+24</f>
        <v>407</v>
      </c>
      <c r="G2331" s="1">
        <f t="shared" si="936"/>
        <v>779</v>
      </c>
      <c r="H2331" s="2">
        <f t="shared" si="937"/>
        <v>0.47753530166880614</v>
      </c>
      <c r="I2331" s="2">
        <f t="shared" si="938"/>
        <v>0.5224646983311938</v>
      </c>
      <c r="J2331" s="4">
        <f>13294+20930</f>
        <v>34224</v>
      </c>
      <c r="K2331" s="4">
        <f>159306+251035</f>
        <v>410341</v>
      </c>
      <c r="L2331" s="1">
        <f t="shared" si="939"/>
        <v>444565</v>
      </c>
      <c r="M2331" s="2">
        <f t="shared" si="940"/>
        <v>7.6983118329153222E-2</v>
      </c>
      <c r="N2331" s="2">
        <f t="shared" si="941"/>
        <v>0.92301688167084683</v>
      </c>
    </row>
    <row r="2332" spans="1:14" x14ac:dyDescent="0.35">
      <c r="A2332" t="s">
        <v>35</v>
      </c>
      <c r="B2332" t="s">
        <v>20</v>
      </c>
      <c r="C2332">
        <v>2004</v>
      </c>
      <c r="D2332" t="s">
        <v>31</v>
      </c>
      <c r="E2332" s="3">
        <f>401+16</f>
        <v>417</v>
      </c>
      <c r="F2332" s="3">
        <f>508+27</f>
        <v>535</v>
      </c>
      <c r="G2332" s="1">
        <f t="shared" si="936"/>
        <v>952</v>
      </c>
      <c r="H2332" s="2">
        <f t="shared" si="937"/>
        <v>0.43802521008403361</v>
      </c>
      <c r="I2332" s="2">
        <f t="shared" si="938"/>
        <v>0.56197478991596639</v>
      </c>
      <c r="J2332" s="4">
        <f>14028+24932</f>
        <v>38960</v>
      </c>
      <c r="K2332" s="4">
        <f>198325+300793</f>
        <v>499118</v>
      </c>
      <c r="L2332" s="1">
        <f t="shared" si="939"/>
        <v>538078</v>
      </c>
      <c r="M2332" s="2">
        <f t="shared" si="940"/>
        <v>7.240585937354807E-2</v>
      </c>
      <c r="N2332" s="2">
        <f t="shared" si="941"/>
        <v>0.92759414062645196</v>
      </c>
    </row>
    <row r="2333" spans="1:14" x14ac:dyDescent="0.35">
      <c r="A2333" t="s">
        <v>35</v>
      </c>
      <c r="B2333" t="s">
        <v>21</v>
      </c>
      <c r="C2333">
        <v>2004</v>
      </c>
      <c r="D2333" t="s">
        <v>31</v>
      </c>
      <c r="E2333" s="3">
        <f>365+15</f>
        <v>380</v>
      </c>
      <c r="F2333" s="3">
        <f>433+24</f>
        <v>457</v>
      </c>
      <c r="G2333" s="1">
        <f t="shared" si="936"/>
        <v>837</v>
      </c>
      <c r="H2333" s="2">
        <f t="shared" si="937"/>
        <v>0.45400238948626043</v>
      </c>
      <c r="I2333" s="2">
        <f t="shared" si="938"/>
        <v>0.54599761051373952</v>
      </c>
      <c r="J2333" s="4">
        <f>13315+46145</f>
        <v>59460</v>
      </c>
      <c r="K2333" s="4">
        <f>190963+260474</f>
        <v>451437</v>
      </c>
      <c r="L2333" s="1">
        <f t="shared" si="939"/>
        <v>510897</v>
      </c>
      <c r="M2333" s="2">
        <f t="shared" si="940"/>
        <v>0.11638353719047088</v>
      </c>
      <c r="N2333" s="2">
        <f t="shared" si="941"/>
        <v>0.8836164628095291</v>
      </c>
    </row>
    <row r="2334" spans="1:14" x14ac:dyDescent="0.35">
      <c r="A2334" t="s">
        <v>35</v>
      </c>
      <c r="B2334" t="s">
        <v>22</v>
      </c>
      <c r="C2334">
        <v>2004</v>
      </c>
      <c r="D2334" t="s">
        <v>31</v>
      </c>
      <c r="E2334" s="3">
        <f>343+13</f>
        <v>356</v>
      </c>
      <c r="F2334" s="3">
        <f>444+25</f>
        <v>469</v>
      </c>
      <c r="G2334" s="1">
        <f t="shared" si="936"/>
        <v>825</v>
      </c>
      <c r="H2334" s="2">
        <f t="shared" si="937"/>
        <v>0.43151515151515152</v>
      </c>
      <c r="I2334" s="2">
        <f t="shared" si="938"/>
        <v>0.56848484848484848</v>
      </c>
      <c r="J2334" s="4">
        <f>15505+3824</f>
        <v>19329</v>
      </c>
      <c r="K2334" s="4">
        <f>202191+194977</f>
        <v>397168</v>
      </c>
      <c r="L2334" s="1">
        <f t="shared" si="939"/>
        <v>416497</v>
      </c>
      <c r="M2334" s="2">
        <f t="shared" si="940"/>
        <v>4.6408497540198372E-2</v>
      </c>
      <c r="N2334" s="2">
        <f t="shared" si="941"/>
        <v>0.95359150245980162</v>
      </c>
    </row>
    <row r="2335" spans="1:14" x14ac:dyDescent="0.35">
      <c r="A2335" t="s">
        <v>35</v>
      </c>
      <c r="B2335" t="s">
        <v>23</v>
      </c>
      <c r="C2335">
        <v>2004</v>
      </c>
      <c r="D2335" t="s">
        <v>31</v>
      </c>
      <c r="E2335" s="3">
        <f>386+14</f>
        <v>400</v>
      </c>
      <c r="F2335" s="3">
        <f>462+30</f>
        <v>492</v>
      </c>
      <c r="G2335" s="1">
        <f t="shared" si="936"/>
        <v>892</v>
      </c>
      <c r="H2335" s="2">
        <f t="shared" si="937"/>
        <v>0.44843049327354262</v>
      </c>
      <c r="I2335" s="2">
        <f t="shared" si="938"/>
        <v>0.55156950672645744</v>
      </c>
      <c r="J2335" s="4">
        <f>16233+20343</f>
        <v>36576</v>
      </c>
      <c r="K2335" s="4">
        <f>212919+401318</f>
        <v>614237</v>
      </c>
      <c r="L2335" s="1">
        <f t="shared" si="939"/>
        <v>650813</v>
      </c>
      <c r="M2335" s="2">
        <f t="shared" si="940"/>
        <v>5.6200475405377578E-2</v>
      </c>
      <c r="N2335" s="2">
        <f t="shared" si="941"/>
        <v>0.94379952459462246</v>
      </c>
    </row>
    <row r="2336" spans="1:14" x14ac:dyDescent="0.35">
      <c r="A2336" t="s">
        <v>35</v>
      </c>
      <c r="B2336" t="s">
        <v>24</v>
      </c>
      <c r="C2336">
        <v>2004</v>
      </c>
      <c r="D2336" t="s">
        <v>31</v>
      </c>
      <c r="E2336" s="3">
        <f>360+18</f>
        <v>378</v>
      </c>
      <c r="F2336" s="3">
        <f>476+27</f>
        <v>503</v>
      </c>
      <c r="G2336" s="1">
        <f t="shared" si="936"/>
        <v>881</v>
      </c>
      <c r="H2336" s="2">
        <f t="shared" si="937"/>
        <v>0.42905788876276957</v>
      </c>
      <c r="I2336" s="2">
        <f t="shared" si="938"/>
        <v>0.57094211123723038</v>
      </c>
      <c r="J2336" s="4">
        <f>11937+46296</f>
        <v>58233</v>
      </c>
      <c r="K2336" s="4">
        <f>254086+267056</f>
        <v>521142</v>
      </c>
      <c r="L2336" s="1">
        <f t="shared" si="939"/>
        <v>579375</v>
      </c>
      <c r="M2336" s="2">
        <f t="shared" si="940"/>
        <v>0.10051003236245955</v>
      </c>
      <c r="N2336" s="2">
        <f t="shared" si="941"/>
        <v>0.89948996763754041</v>
      </c>
    </row>
    <row r="2337" spans="1:14" x14ac:dyDescent="0.35">
      <c r="A2337" t="s">
        <v>35</v>
      </c>
      <c r="B2337" t="s">
        <v>25</v>
      </c>
      <c r="C2337">
        <v>2004</v>
      </c>
      <c r="D2337" t="s">
        <v>31</v>
      </c>
      <c r="E2337" s="3">
        <f>374+4</f>
        <v>378</v>
      </c>
      <c r="F2337" s="3">
        <f>480+44</f>
        <v>524</v>
      </c>
      <c r="G2337" s="1">
        <f t="shared" si="936"/>
        <v>902</v>
      </c>
      <c r="H2337" s="2">
        <f t="shared" si="937"/>
        <v>0.41906873614190687</v>
      </c>
      <c r="I2337" s="2">
        <f t="shared" si="938"/>
        <v>0.58093126385809313</v>
      </c>
      <c r="J2337" s="4">
        <f>11838+19420</f>
        <v>31258</v>
      </c>
      <c r="K2337" s="4">
        <f>233477+282021</f>
        <v>515498</v>
      </c>
      <c r="L2337" s="1">
        <f t="shared" si="939"/>
        <v>546756</v>
      </c>
      <c r="M2337" s="2">
        <f t="shared" si="940"/>
        <v>5.7169925890159415E-2</v>
      </c>
      <c r="N2337" s="2">
        <f t="shared" si="941"/>
        <v>0.94283007410984054</v>
      </c>
    </row>
    <row r="2338" spans="1:14" x14ac:dyDescent="0.35">
      <c r="A2338" t="s">
        <v>35</v>
      </c>
      <c r="B2338" t="s">
        <v>26</v>
      </c>
      <c r="C2338">
        <v>2004</v>
      </c>
      <c r="D2338" t="s">
        <v>31</v>
      </c>
      <c r="E2338" s="3">
        <f>357+4</f>
        <v>361</v>
      </c>
      <c r="F2338" s="3">
        <f>431+35</f>
        <v>466</v>
      </c>
      <c r="G2338" s="1">
        <f t="shared" si="936"/>
        <v>827</v>
      </c>
      <c r="H2338" s="2">
        <f t="shared" si="937"/>
        <v>0.43651753325272069</v>
      </c>
      <c r="I2338" s="2">
        <f t="shared" si="938"/>
        <v>0.56348246674727931</v>
      </c>
      <c r="J2338" s="4">
        <f>13039+21227</f>
        <v>34266</v>
      </c>
      <c r="K2338" s="4">
        <f>213670+259289</f>
        <v>472959</v>
      </c>
      <c r="L2338" s="1">
        <f t="shared" si="939"/>
        <v>507225</v>
      </c>
      <c r="M2338" s="2">
        <f t="shared" si="940"/>
        <v>6.7555818423776434E-2</v>
      </c>
      <c r="N2338" s="2">
        <f t="shared" si="941"/>
        <v>0.93244418157622355</v>
      </c>
    </row>
    <row r="2339" spans="1:14" x14ac:dyDescent="0.35">
      <c r="A2339" t="s">
        <v>35</v>
      </c>
      <c r="B2339" t="s">
        <v>27</v>
      </c>
      <c r="C2339">
        <v>2004</v>
      </c>
      <c r="D2339" t="s">
        <v>31</v>
      </c>
      <c r="E2339" s="3">
        <f>344</f>
        <v>344</v>
      </c>
      <c r="F2339" s="3">
        <v>528</v>
      </c>
      <c r="G2339" s="1">
        <f t="shared" si="936"/>
        <v>872</v>
      </c>
      <c r="H2339" s="2">
        <f t="shared" si="937"/>
        <v>0.39449541284403672</v>
      </c>
      <c r="I2339" s="2">
        <f t="shared" si="938"/>
        <v>0.60550458715596334</v>
      </c>
      <c r="J2339" s="4">
        <f>10697+21055</f>
        <v>31752</v>
      </c>
      <c r="K2339" s="4">
        <f>232029+407282</f>
        <v>639311</v>
      </c>
      <c r="L2339" s="1">
        <f t="shared" si="939"/>
        <v>671063</v>
      </c>
      <c r="M2339" s="2">
        <f t="shared" si="940"/>
        <v>4.7315974804154004E-2</v>
      </c>
      <c r="N2339" s="2">
        <f t="shared" si="941"/>
        <v>0.95268402519584594</v>
      </c>
    </row>
    <row r="2340" spans="1:14" x14ac:dyDescent="0.35">
      <c r="A2340" t="s">
        <v>35</v>
      </c>
      <c r="B2340" t="s">
        <v>28</v>
      </c>
      <c r="C2340">
        <v>2004</v>
      </c>
      <c r="D2340" t="s">
        <v>31</v>
      </c>
      <c r="E2340" s="3">
        <v>339</v>
      </c>
      <c r="F2340" s="3">
        <v>478</v>
      </c>
      <c r="G2340" s="1">
        <f t="shared" si="936"/>
        <v>817</v>
      </c>
      <c r="H2340" s="2">
        <f t="shared" si="937"/>
        <v>0.4149326805385557</v>
      </c>
      <c r="I2340" s="2">
        <f t="shared" si="938"/>
        <v>0.5850673194614443</v>
      </c>
      <c r="J2340" s="4">
        <f>11577+19682</f>
        <v>31259</v>
      </c>
      <c r="K2340" s="4">
        <f>191579+186300</f>
        <v>377879</v>
      </c>
      <c r="L2340" s="1">
        <f t="shared" si="939"/>
        <v>409138</v>
      </c>
      <c r="M2340" s="2">
        <f t="shared" si="940"/>
        <v>7.6402094158939032E-2</v>
      </c>
      <c r="N2340" s="2">
        <f t="shared" si="941"/>
        <v>0.92359790584106094</v>
      </c>
    </row>
    <row r="2341" spans="1:14" x14ac:dyDescent="0.35">
      <c r="A2341" t="s">
        <v>35</v>
      </c>
      <c r="B2341" t="s">
        <v>29</v>
      </c>
      <c r="C2341">
        <v>2004</v>
      </c>
      <c r="D2341" t="s">
        <v>31</v>
      </c>
      <c r="E2341" s="3">
        <v>319</v>
      </c>
      <c r="F2341" s="3">
        <v>492</v>
      </c>
      <c r="G2341" s="1">
        <f t="shared" si="936"/>
        <v>811</v>
      </c>
      <c r="H2341" s="2">
        <f t="shared" si="937"/>
        <v>0.39334155363748458</v>
      </c>
      <c r="I2341" s="2">
        <f t="shared" si="938"/>
        <v>0.60665844636251542</v>
      </c>
      <c r="J2341" s="4">
        <f>8510+1363</f>
        <v>9873</v>
      </c>
      <c r="K2341" s="4">
        <f>191612+397354</f>
        <v>588966</v>
      </c>
      <c r="L2341" s="1">
        <f t="shared" si="939"/>
        <v>598839</v>
      </c>
      <c r="M2341" s="2">
        <f t="shared" si="940"/>
        <v>1.6486902155671224E-2</v>
      </c>
      <c r="N2341" s="2">
        <f t="shared" si="941"/>
        <v>0.98351309784432872</v>
      </c>
    </row>
    <row r="2342" spans="1:14" x14ac:dyDescent="0.35">
      <c r="A2342" t="s">
        <v>35</v>
      </c>
      <c r="B2342" t="s">
        <v>17</v>
      </c>
      <c r="C2342">
        <v>2005</v>
      </c>
      <c r="D2342" t="s">
        <v>31</v>
      </c>
      <c r="E2342" s="3">
        <v>350</v>
      </c>
      <c r="F2342" s="3">
        <v>546</v>
      </c>
      <c r="G2342" s="1">
        <f t="shared" si="936"/>
        <v>896</v>
      </c>
      <c r="H2342" s="2">
        <f t="shared" si="937"/>
        <v>0.390625</v>
      </c>
      <c r="I2342" s="2">
        <f t="shared" si="938"/>
        <v>0.609375</v>
      </c>
      <c r="J2342" s="4">
        <f>10711+40434</f>
        <v>51145</v>
      </c>
      <c r="K2342" s="4">
        <f>207232+208346</f>
        <v>415578</v>
      </c>
      <c r="L2342" s="1">
        <f t="shared" si="939"/>
        <v>466723</v>
      </c>
      <c r="M2342" s="2">
        <f t="shared" si="940"/>
        <v>0.10958320031367642</v>
      </c>
      <c r="N2342" s="2">
        <f t="shared" si="941"/>
        <v>0.89041679968632359</v>
      </c>
    </row>
    <row r="2343" spans="1:14" x14ac:dyDescent="0.35">
      <c r="A2343" t="s">
        <v>35</v>
      </c>
      <c r="B2343" t="s">
        <v>19</v>
      </c>
      <c r="C2343">
        <v>2005</v>
      </c>
      <c r="D2343" t="s">
        <v>31</v>
      </c>
      <c r="E2343" s="3">
        <v>316</v>
      </c>
      <c r="F2343" s="3">
        <v>447</v>
      </c>
      <c r="G2343" s="1">
        <f t="shared" si="936"/>
        <v>763</v>
      </c>
      <c r="H2343" s="2">
        <f t="shared" si="937"/>
        <v>0.41415465268676277</v>
      </c>
      <c r="I2343" s="2">
        <f t="shared" si="938"/>
        <v>0.58584534731323723</v>
      </c>
      <c r="J2343" s="4">
        <f>7167</f>
        <v>7167</v>
      </c>
      <c r="K2343" s="4">
        <f>167914+251376</f>
        <v>419290</v>
      </c>
      <c r="L2343" s="1">
        <f t="shared" si="939"/>
        <v>426457</v>
      </c>
      <c r="M2343" s="2">
        <f t="shared" si="940"/>
        <v>1.6805914781560627E-2</v>
      </c>
      <c r="N2343" s="2">
        <f t="shared" si="941"/>
        <v>0.98319408521843943</v>
      </c>
    </row>
    <row r="2344" spans="1:14" x14ac:dyDescent="0.35">
      <c r="A2344" t="s">
        <v>35</v>
      </c>
      <c r="B2344" t="s">
        <v>20</v>
      </c>
      <c r="C2344">
        <v>2005</v>
      </c>
      <c r="D2344" t="s">
        <v>31</v>
      </c>
      <c r="E2344" s="3">
        <v>296</v>
      </c>
      <c r="F2344" s="3">
        <v>595</v>
      </c>
      <c r="G2344" s="1">
        <f t="shared" si="936"/>
        <v>891</v>
      </c>
      <c r="H2344" s="2">
        <f t="shared" si="937"/>
        <v>0.33221099887766553</v>
      </c>
      <c r="I2344" s="2">
        <f t="shared" si="938"/>
        <v>0.66778900112233441</v>
      </c>
      <c r="J2344" s="4">
        <f>7677+6970</f>
        <v>14647</v>
      </c>
      <c r="K2344" s="4">
        <f>200335+440004</f>
        <v>640339</v>
      </c>
      <c r="L2344" s="1">
        <f t="shared" si="939"/>
        <v>654986</v>
      </c>
      <c r="M2344" s="2">
        <f t="shared" si="940"/>
        <v>2.2362310034107599E-2</v>
      </c>
      <c r="N2344" s="2">
        <f t="shared" si="941"/>
        <v>0.9776376899658924</v>
      </c>
    </row>
    <row r="2345" spans="1:14" x14ac:dyDescent="0.35">
      <c r="A2345" t="s">
        <v>35</v>
      </c>
      <c r="B2345" t="s">
        <v>21</v>
      </c>
      <c r="C2345">
        <v>2005</v>
      </c>
      <c r="D2345" t="s">
        <v>31</v>
      </c>
      <c r="E2345" s="3">
        <f>265</f>
        <v>265</v>
      </c>
      <c r="F2345" s="3">
        <f>519+36</f>
        <v>555</v>
      </c>
      <c r="G2345" s="1">
        <f t="shared" si="936"/>
        <v>820</v>
      </c>
      <c r="H2345" s="2">
        <f t="shared" si="937"/>
        <v>0.32317073170731708</v>
      </c>
      <c r="I2345" s="2">
        <f t="shared" si="938"/>
        <v>0.67682926829268297</v>
      </c>
      <c r="J2345" s="4">
        <f>7718+13641</f>
        <v>21359</v>
      </c>
      <c r="K2345" s="4">
        <f>194336+296115</f>
        <v>490451</v>
      </c>
      <c r="L2345" s="1">
        <f t="shared" si="939"/>
        <v>511810</v>
      </c>
      <c r="M2345" s="2">
        <f t="shared" si="940"/>
        <v>4.1732283464566929E-2</v>
      </c>
      <c r="N2345" s="2">
        <f t="shared" si="941"/>
        <v>0.95826771653543308</v>
      </c>
    </row>
    <row r="2346" spans="1:14" x14ac:dyDescent="0.35">
      <c r="A2346" t="s">
        <v>35</v>
      </c>
      <c r="B2346" t="s">
        <v>22</v>
      </c>
      <c r="C2346">
        <v>2005</v>
      </c>
      <c r="D2346" t="s">
        <v>31</v>
      </c>
      <c r="E2346" s="3">
        <v>270</v>
      </c>
      <c r="F2346" s="3">
        <f>531+30</f>
        <v>561</v>
      </c>
      <c r="G2346" s="1">
        <f t="shared" si="936"/>
        <v>831</v>
      </c>
      <c r="H2346" s="2">
        <f t="shared" si="937"/>
        <v>0.32490974729241878</v>
      </c>
      <c r="I2346" s="2">
        <f t="shared" si="938"/>
        <v>0.67509025270758127</v>
      </c>
      <c r="J2346" s="4">
        <f>7400+108</f>
        <v>7508</v>
      </c>
      <c r="K2346" s="4">
        <f>183383+233922</f>
        <v>417305</v>
      </c>
      <c r="L2346" s="1">
        <f t="shared" si="939"/>
        <v>424813</v>
      </c>
      <c r="M2346" s="2">
        <f t="shared" si="940"/>
        <v>1.7673658762796807E-2</v>
      </c>
      <c r="N2346" s="2">
        <f t="shared" si="941"/>
        <v>0.98232634123720319</v>
      </c>
    </row>
    <row r="2347" spans="1:14" x14ac:dyDescent="0.35">
      <c r="A2347" t="s">
        <v>35</v>
      </c>
      <c r="B2347" t="s">
        <v>23</v>
      </c>
      <c r="C2347">
        <v>2005</v>
      </c>
      <c r="D2347" t="s">
        <v>31</v>
      </c>
      <c r="E2347" s="3">
        <v>298</v>
      </c>
      <c r="F2347" s="3">
        <f>562+41</f>
        <v>603</v>
      </c>
      <c r="G2347" s="1">
        <f t="shared" si="936"/>
        <v>901</v>
      </c>
      <c r="H2347" s="2">
        <f t="shared" si="937"/>
        <v>0.33074361820199777</v>
      </c>
      <c r="I2347" s="2">
        <f t="shared" si="938"/>
        <v>0.66925638179800218</v>
      </c>
      <c r="J2347" s="4">
        <f>9267+76</f>
        <v>9343</v>
      </c>
      <c r="K2347" s="4">
        <f>236278+303604</f>
        <v>539882</v>
      </c>
      <c r="L2347" s="1">
        <f t="shared" si="939"/>
        <v>549225</v>
      </c>
      <c r="M2347" s="2">
        <f t="shared" si="940"/>
        <v>1.7011243115298832E-2</v>
      </c>
      <c r="N2347" s="2">
        <f t="shared" si="941"/>
        <v>0.98298875688470122</v>
      </c>
    </row>
    <row r="2348" spans="1:14" x14ac:dyDescent="0.35">
      <c r="A2348" t="s">
        <v>35</v>
      </c>
      <c r="B2348" t="s">
        <v>24</v>
      </c>
      <c r="C2348">
        <v>2005</v>
      </c>
      <c r="D2348" t="s">
        <v>31</v>
      </c>
      <c r="E2348" s="3">
        <v>247</v>
      </c>
      <c r="F2348" s="3">
        <v>578</v>
      </c>
      <c r="G2348" s="1">
        <f t="shared" si="936"/>
        <v>825</v>
      </c>
      <c r="H2348" s="2">
        <f t="shared" si="937"/>
        <v>0.29939393939393938</v>
      </c>
      <c r="I2348" s="2">
        <f t="shared" si="938"/>
        <v>0.70060606060606057</v>
      </c>
      <c r="J2348" s="4">
        <f>6409+33</f>
        <v>6442</v>
      </c>
      <c r="K2348" s="4">
        <f>244587+256868</f>
        <v>501455</v>
      </c>
      <c r="L2348" s="1">
        <f t="shared" si="939"/>
        <v>507897</v>
      </c>
      <c r="M2348" s="2">
        <f t="shared" si="940"/>
        <v>1.2683674052022359E-2</v>
      </c>
      <c r="N2348" s="2">
        <f t="shared" si="941"/>
        <v>0.98731632594797769</v>
      </c>
    </row>
    <row r="2349" spans="1:14" x14ac:dyDescent="0.35">
      <c r="A2349" t="s">
        <v>35</v>
      </c>
      <c r="B2349" t="s">
        <v>25</v>
      </c>
      <c r="C2349">
        <v>2005</v>
      </c>
      <c r="D2349" t="s">
        <v>31</v>
      </c>
      <c r="E2349" s="3">
        <v>278</v>
      </c>
      <c r="F2349" s="3">
        <v>695</v>
      </c>
      <c r="G2349" s="1">
        <f t="shared" si="936"/>
        <v>973</v>
      </c>
      <c r="H2349" s="2">
        <f t="shared" si="937"/>
        <v>0.2857142857142857</v>
      </c>
      <c r="I2349" s="2">
        <f t="shared" si="938"/>
        <v>0.7142857142857143</v>
      </c>
      <c r="J2349" s="4">
        <f>9166+44</f>
        <v>9210</v>
      </c>
      <c r="K2349" s="4">
        <f>240797+366311</f>
        <v>607108</v>
      </c>
      <c r="L2349" s="1">
        <f t="shared" si="939"/>
        <v>616318</v>
      </c>
      <c r="M2349" s="2">
        <f t="shared" si="940"/>
        <v>1.4943584318484937E-2</v>
      </c>
      <c r="N2349" s="2">
        <f t="shared" si="941"/>
        <v>0.98505641568151503</v>
      </c>
    </row>
    <row r="2350" spans="1:14" x14ac:dyDescent="0.35">
      <c r="A2350" t="s">
        <v>35</v>
      </c>
      <c r="B2350" t="s">
        <v>26</v>
      </c>
      <c r="C2350">
        <v>2005</v>
      </c>
      <c r="D2350" t="s">
        <v>31</v>
      </c>
      <c r="E2350" s="3">
        <v>223</v>
      </c>
      <c r="F2350" s="3">
        <v>654</v>
      </c>
      <c r="G2350" s="1">
        <f t="shared" si="936"/>
        <v>877</v>
      </c>
      <c r="H2350" s="2">
        <f t="shared" si="937"/>
        <v>0.25427594070695553</v>
      </c>
      <c r="I2350" s="2">
        <f t="shared" si="938"/>
        <v>0.74572405929304442</v>
      </c>
      <c r="J2350" s="4">
        <f>6476+358</f>
        <v>6834</v>
      </c>
      <c r="K2350" s="4">
        <f>261276+286838</f>
        <v>548114</v>
      </c>
      <c r="L2350" s="1">
        <f t="shared" si="939"/>
        <v>554948</v>
      </c>
      <c r="M2350" s="2">
        <f t="shared" si="940"/>
        <v>1.231466732018135E-2</v>
      </c>
      <c r="N2350" s="2">
        <f t="shared" si="941"/>
        <v>0.98768533267981862</v>
      </c>
    </row>
    <row r="2351" spans="1:14" x14ac:dyDescent="0.35">
      <c r="A2351" t="s">
        <v>35</v>
      </c>
      <c r="B2351" t="s">
        <v>27</v>
      </c>
      <c r="C2351">
        <v>2005</v>
      </c>
      <c r="D2351" t="s">
        <v>31</v>
      </c>
      <c r="E2351" s="3">
        <v>229</v>
      </c>
      <c r="F2351" s="3">
        <f>640</f>
        <v>640</v>
      </c>
      <c r="G2351" s="1">
        <f t="shared" si="936"/>
        <v>869</v>
      </c>
      <c r="H2351" s="2">
        <f t="shared" si="937"/>
        <v>0.26352128883774456</v>
      </c>
      <c r="I2351" s="2">
        <f t="shared" si="938"/>
        <v>0.73647871116225549</v>
      </c>
      <c r="J2351" s="4">
        <f>7045+589</f>
        <v>7634</v>
      </c>
      <c r="K2351" s="4">
        <f>216065+364046</f>
        <v>580111</v>
      </c>
      <c r="L2351" s="1">
        <f t="shared" si="939"/>
        <v>587745</v>
      </c>
      <c r="M2351" s="2">
        <f t="shared" si="940"/>
        <v>1.2988626019787492E-2</v>
      </c>
      <c r="N2351" s="2">
        <f t="shared" si="941"/>
        <v>0.98701137398021255</v>
      </c>
    </row>
    <row r="2352" spans="1:14" x14ac:dyDescent="0.35">
      <c r="A2352" t="s">
        <v>35</v>
      </c>
      <c r="B2352" t="s">
        <v>28</v>
      </c>
      <c r="C2352">
        <v>2005</v>
      </c>
      <c r="D2352" t="s">
        <v>31</v>
      </c>
      <c r="E2352" s="3">
        <v>215</v>
      </c>
      <c r="F2352" s="3">
        <f>585+35</f>
        <v>620</v>
      </c>
      <c r="G2352" s="1">
        <f t="shared" si="936"/>
        <v>835</v>
      </c>
      <c r="H2352" s="2">
        <f t="shared" si="937"/>
        <v>0.25748502994011974</v>
      </c>
      <c r="I2352" s="2">
        <f t="shared" si="938"/>
        <v>0.74251497005988021</v>
      </c>
      <c r="J2352" s="4">
        <f>5538+461</f>
        <v>5999</v>
      </c>
      <c r="K2352" s="4">
        <f>220768+345131</f>
        <v>565899</v>
      </c>
      <c r="L2352" s="1">
        <f t="shared" si="939"/>
        <v>571898</v>
      </c>
      <c r="M2352" s="2">
        <f t="shared" si="940"/>
        <v>1.0489632766682171E-2</v>
      </c>
      <c r="N2352" s="2">
        <f t="shared" si="941"/>
        <v>0.98951036723331787</v>
      </c>
    </row>
    <row r="2353" spans="1:14" x14ac:dyDescent="0.35">
      <c r="A2353" t="s">
        <v>35</v>
      </c>
      <c r="B2353" t="s">
        <v>29</v>
      </c>
      <c r="C2353">
        <v>2005</v>
      </c>
      <c r="D2353" t="s">
        <v>31</v>
      </c>
      <c r="E2353" s="3">
        <v>208</v>
      </c>
      <c r="F2353" s="3">
        <f>582+35</f>
        <v>617</v>
      </c>
      <c r="G2353" s="1">
        <f t="shared" si="936"/>
        <v>825</v>
      </c>
      <c r="H2353" s="2">
        <f t="shared" si="937"/>
        <v>0.25212121212121213</v>
      </c>
      <c r="I2353" s="2">
        <f t="shared" si="938"/>
        <v>0.74787878787878792</v>
      </c>
      <c r="J2353" s="4">
        <f>5738+216</f>
        <v>5954</v>
      </c>
      <c r="K2353" s="4">
        <f>199138+345616</f>
        <v>544754</v>
      </c>
      <c r="L2353" s="1">
        <f t="shared" si="939"/>
        <v>550708</v>
      </c>
      <c r="M2353" s="2">
        <f t="shared" si="940"/>
        <v>1.081153714854333E-2</v>
      </c>
      <c r="N2353" s="2">
        <f t="shared" si="941"/>
        <v>0.98918846285145667</v>
      </c>
    </row>
    <row r="2354" spans="1:14" x14ac:dyDescent="0.35">
      <c r="A2354" t="s">
        <v>35</v>
      </c>
      <c r="B2354" t="s">
        <v>17</v>
      </c>
      <c r="C2354">
        <v>2006</v>
      </c>
      <c r="D2354" t="s">
        <v>31</v>
      </c>
      <c r="E2354" s="3">
        <v>235</v>
      </c>
      <c r="F2354" s="3">
        <f>597+38</f>
        <v>635</v>
      </c>
      <c r="G2354" s="1">
        <f t="shared" si="936"/>
        <v>870</v>
      </c>
      <c r="H2354" s="2">
        <f t="shared" si="937"/>
        <v>0.27011494252873564</v>
      </c>
      <c r="I2354" s="2">
        <f t="shared" si="938"/>
        <v>0.72988505747126442</v>
      </c>
      <c r="J2354" s="4">
        <f>5676+488</f>
        <v>6164</v>
      </c>
      <c r="K2354" s="4">
        <f>191473+298911</f>
        <v>490384</v>
      </c>
      <c r="L2354" s="1">
        <f t="shared" si="939"/>
        <v>496548</v>
      </c>
      <c r="M2354" s="2">
        <f t="shared" si="940"/>
        <v>1.2413704213892715E-2</v>
      </c>
      <c r="N2354" s="2">
        <f t="shared" si="941"/>
        <v>0.98758629578610724</v>
      </c>
    </row>
    <row r="2355" spans="1:14" x14ac:dyDescent="0.35">
      <c r="A2355" t="s">
        <v>35</v>
      </c>
      <c r="B2355" t="s">
        <v>19</v>
      </c>
      <c r="C2355">
        <v>2006</v>
      </c>
      <c r="D2355" t="s">
        <v>31</v>
      </c>
      <c r="E2355" s="3">
        <v>214</v>
      </c>
      <c r="F2355" s="3">
        <f>568+28</f>
        <v>596</v>
      </c>
      <c r="G2355" s="1">
        <f t="shared" si="936"/>
        <v>810</v>
      </c>
      <c r="H2355" s="2">
        <f t="shared" si="937"/>
        <v>0.26419753086419751</v>
      </c>
      <c r="I2355" s="2">
        <f t="shared" si="938"/>
        <v>0.73580246913580249</v>
      </c>
      <c r="J2355" s="4">
        <f>4258+0</f>
        <v>4258</v>
      </c>
      <c r="K2355" s="4">
        <f>176105+244912</f>
        <v>421017</v>
      </c>
      <c r="L2355" s="1">
        <f t="shared" si="939"/>
        <v>425275</v>
      </c>
      <c r="M2355" s="2">
        <f t="shared" si="940"/>
        <v>1.0012344953265534E-2</v>
      </c>
      <c r="N2355" s="2">
        <f t="shared" si="941"/>
        <v>0.98998765504673447</v>
      </c>
    </row>
    <row r="2356" spans="1:14" x14ac:dyDescent="0.35">
      <c r="A2356" t="s">
        <v>35</v>
      </c>
      <c r="B2356" t="s">
        <v>20</v>
      </c>
      <c r="C2356">
        <v>2006</v>
      </c>
      <c r="D2356" t="s">
        <v>31</v>
      </c>
      <c r="E2356" s="3">
        <v>268</v>
      </c>
      <c r="F2356" s="3">
        <f>712+58</f>
        <v>770</v>
      </c>
      <c r="G2356" s="1">
        <f t="shared" si="936"/>
        <v>1038</v>
      </c>
      <c r="H2356" s="2">
        <f t="shared" si="937"/>
        <v>0.25818882466281312</v>
      </c>
      <c r="I2356" s="2">
        <f t="shared" si="938"/>
        <v>0.74181117533718688</v>
      </c>
      <c r="J2356" s="4">
        <f>5307+219</f>
        <v>5526</v>
      </c>
      <c r="K2356" s="4">
        <f>232713+439794</f>
        <v>672507</v>
      </c>
      <c r="L2356" s="1">
        <f t="shared" si="939"/>
        <v>678033</v>
      </c>
      <c r="M2356" s="2">
        <f t="shared" si="940"/>
        <v>8.1500457942312535E-3</v>
      </c>
      <c r="N2356" s="2">
        <f t="shared" si="941"/>
        <v>0.99184995420576871</v>
      </c>
    </row>
    <row r="2357" spans="1:14" x14ac:dyDescent="0.35">
      <c r="A2357" t="s">
        <v>35</v>
      </c>
      <c r="B2357" t="s">
        <v>21</v>
      </c>
      <c r="C2357">
        <v>2006</v>
      </c>
      <c r="D2357" t="s">
        <v>31</v>
      </c>
      <c r="E2357" s="3">
        <v>204</v>
      </c>
      <c r="F2357" s="3">
        <f>558+31</f>
        <v>589</v>
      </c>
      <c r="G2357" s="1">
        <f t="shared" si="936"/>
        <v>793</v>
      </c>
      <c r="H2357" s="2">
        <f t="shared" si="937"/>
        <v>0.25725094577553592</v>
      </c>
      <c r="I2357" s="2">
        <f t="shared" si="938"/>
        <v>0.74274905422446402</v>
      </c>
      <c r="J2357" s="4">
        <f>4262+505</f>
        <v>4767</v>
      </c>
      <c r="K2357" s="4">
        <f>187238+252583</f>
        <v>439821</v>
      </c>
      <c r="L2357" s="1">
        <f t="shared" si="939"/>
        <v>444588</v>
      </c>
      <c r="M2357" s="2">
        <f t="shared" si="940"/>
        <v>1.072228670139545E-2</v>
      </c>
      <c r="N2357" s="2">
        <f t="shared" si="941"/>
        <v>0.98927771329860459</v>
      </c>
    </row>
    <row r="2358" spans="1:14" x14ac:dyDescent="0.35">
      <c r="A2358" t="s">
        <v>35</v>
      </c>
      <c r="B2358" t="s">
        <v>22</v>
      </c>
      <c r="C2358">
        <v>2006</v>
      </c>
      <c r="D2358" t="s">
        <v>31</v>
      </c>
      <c r="E2358" s="3">
        <v>257</v>
      </c>
      <c r="F2358" s="3">
        <f>680+40</f>
        <v>720</v>
      </c>
      <c r="G2358" s="1">
        <f t="shared" si="936"/>
        <v>977</v>
      </c>
      <c r="H2358" s="2">
        <f t="shared" si="937"/>
        <v>0.26305015353121802</v>
      </c>
      <c r="I2358" s="2">
        <f t="shared" si="938"/>
        <v>0.73694984646878203</v>
      </c>
      <c r="J2358" s="4">
        <f>5155+1175</f>
        <v>6330</v>
      </c>
      <c r="K2358" s="4">
        <f>247312+276607</f>
        <v>523919</v>
      </c>
      <c r="L2358" s="1">
        <f t="shared" si="939"/>
        <v>530249</v>
      </c>
      <c r="M2358" s="2">
        <f t="shared" si="940"/>
        <v>1.1937787718600129E-2</v>
      </c>
      <c r="N2358" s="2">
        <f t="shared" si="941"/>
        <v>0.9880622122813999</v>
      </c>
    </row>
    <row r="2359" spans="1:14" x14ac:dyDescent="0.35">
      <c r="A2359" t="s">
        <v>35</v>
      </c>
      <c r="B2359" t="s">
        <v>23</v>
      </c>
      <c r="C2359">
        <v>2006</v>
      </c>
      <c r="D2359" t="s">
        <v>31</v>
      </c>
      <c r="E2359" s="3">
        <v>242</v>
      </c>
      <c r="F2359" s="3">
        <f>662+45</f>
        <v>707</v>
      </c>
      <c r="G2359" s="1">
        <f t="shared" ref="G2359:G2422" si="942">SUM(E2359:F2359)</f>
        <v>949</v>
      </c>
      <c r="H2359" s="2">
        <f t="shared" ref="H2359:H2422" si="943">SUM(E2359)/G2359</f>
        <v>0.25500526870389884</v>
      </c>
      <c r="I2359" s="2">
        <f t="shared" ref="I2359:I2422" si="944">SUM(F2359/G2359)</f>
        <v>0.74499473129610116</v>
      </c>
      <c r="J2359" s="4">
        <f>5645+1</f>
        <v>5646</v>
      </c>
      <c r="K2359" s="4">
        <f>257087+415518</f>
        <v>672605</v>
      </c>
      <c r="L2359" s="1">
        <f t="shared" si="939"/>
        <v>678251</v>
      </c>
      <c r="M2359" s="2">
        <f t="shared" si="940"/>
        <v>8.3243518992231497E-3</v>
      </c>
      <c r="N2359" s="2">
        <f t="shared" si="941"/>
        <v>0.9916756481007768</v>
      </c>
    </row>
    <row r="2360" spans="1:14" x14ac:dyDescent="0.35">
      <c r="A2360" t="s">
        <v>35</v>
      </c>
      <c r="B2360" t="s">
        <v>24</v>
      </c>
      <c r="C2360">
        <v>2006</v>
      </c>
      <c r="D2360" t="s">
        <v>31</v>
      </c>
      <c r="E2360" s="3">
        <f>210+4</f>
        <v>214</v>
      </c>
      <c r="F2360" s="3">
        <f>592+35</f>
        <v>627</v>
      </c>
      <c r="G2360" s="1">
        <f t="shared" si="942"/>
        <v>841</v>
      </c>
      <c r="H2360" s="2">
        <f t="shared" si="943"/>
        <v>0.25445897740784779</v>
      </c>
      <c r="I2360" s="2">
        <f t="shared" si="944"/>
        <v>0.74554102259215216</v>
      </c>
      <c r="J2360" s="4">
        <f>4424+226</f>
        <v>4650</v>
      </c>
      <c r="K2360" s="4">
        <f>235905+308019</f>
        <v>543924</v>
      </c>
      <c r="L2360" s="1">
        <f t="shared" si="939"/>
        <v>548574</v>
      </c>
      <c r="M2360" s="2">
        <f t="shared" si="940"/>
        <v>8.4765227662995327E-3</v>
      </c>
      <c r="N2360" s="2">
        <f t="shared" si="941"/>
        <v>0.99152347723370049</v>
      </c>
    </row>
    <row r="2361" spans="1:14" x14ac:dyDescent="0.35">
      <c r="A2361" t="s">
        <v>35</v>
      </c>
      <c r="B2361" t="s">
        <v>25</v>
      </c>
      <c r="C2361">
        <v>2006</v>
      </c>
      <c r="D2361" t="s">
        <v>31</v>
      </c>
      <c r="E2361" s="3">
        <f>253+3</f>
        <v>256</v>
      </c>
      <c r="F2361" s="3">
        <f>681+42</f>
        <v>723</v>
      </c>
      <c r="G2361" s="1">
        <f t="shared" si="942"/>
        <v>979</v>
      </c>
      <c r="H2361" s="2">
        <f t="shared" si="943"/>
        <v>0.26149131767109296</v>
      </c>
      <c r="I2361" s="2">
        <f t="shared" si="944"/>
        <v>0.7385086823289071</v>
      </c>
      <c r="J2361" s="4">
        <f>5457+142</f>
        <v>5599</v>
      </c>
      <c r="K2361" s="4">
        <f>255183+279843</f>
        <v>535026</v>
      </c>
      <c r="L2361" s="1">
        <f t="shared" si="939"/>
        <v>540625</v>
      </c>
      <c r="M2361" s="2">
        <f t="shared" si="940"/>
        <v>1.0356531791907514E-2</v>
      </c>
      <c r="N2361" s="2">
        <f t="shared" si="941"/>
        <v>0.98964346820809246</v>
      </c>
    </row>
    <row r="2362" spans="1:14" x14ac:dyDescent="0.35">
      <c r="A2362" t="s">
        <v>35</v>
      </c>
      <c r="B2362" t="s">
        <v>26</v>
      </c>
      <c r="C2362">
        <v>2006</v>
      </c>
      <c r="D2362" t="s">
        <v>31</v>
      </c>
      <c r="E2362" s="3">
        <f>214+3</f>
        <v>217</v>
      </c>
      <c r="F2362" s="3">
        <f>587+36</f>
        <v>623</v>
      </c>
      <c r="G2362" s="1">
        <f t="shared" si="942"/>
        <v>840</v>
      </c>
      <c r="H2362" s="2">
        <f t="shared" si="943"/>
        <v>0.25833333333333336</v>
      </c>
      <c r="I2362" s="2">
        <f t="shared" si="944"/>
        <v>0.7416666666666667</v>
      </c>
      <c r="J2362" s="4">
        <f>4110+414</f>
        <v>4524</v>
      </c>
      <c r="K2362" s="4">
        <f>238535+304052</f>
        <v>542587</v>
      </c>
      <c r="L2362" s="1">
        <f t="shared" si="939"/>
        <v>547111</v>
      </c>
      <c r="M2362" s="2">
        <f t="shared" si="940"/>
        <v>8.2688887629749717E-3</v>
      </c>
      <c r="N2362" s="2">
        <f t="shared" si="941"/>
        <v>0.99173111123702506</v>
      </c>
    </row>
    <row r="2363" spans="1:14" x14ac:dyDescent="0.35">
      <c r="A2363" t="s">
        <v>35</v>
      </c>
      <c r="B2363" t="s">
        <v>27</v>
      </c>
      <c r="C2363">
        <v>2006</v>
      </c>
      <c r="D2363" t="s">
        <v>31</v>
      </c>
      <c r="E2363" s="3">
        <v>243</v>
      </c>
      <c r="F2363" s="3">
        <v>700</v>
      </c>
      <c r="G2363" s="1">
        <f t="shared" si="942"/>
        <v>943</v>
      </c>
      <c r="H2363" s="2">
        <f t="shared" si="943"/>
        <v>0.25768822905620359</v>
      </c>
      <c r="I2363" s="2">
        <f t="shared" si="944"/>
        <v>0.74231177094379641</v>
      </c>
      <c r="J2363" s="4">
        <f>4343+666</f>
        <v>5009</v>
      </c>
      <c r="K2363" s="4">
        <f>243501+324982</f>
        <v>568483</v>
      </c>
      <c r="L2363" s="1">
        <f t="shared" si="939"/>
        <v>573492</v>
      </c>
      <c r="M2363" s="2">
        <f t="shared" si="940"/>
        <v>8.734210764927846E-3</v>
      </c>
      <c r="N2363" s="2">
        <f t="shared" si="941"/>
        <v>0.99126578923507214</v>
      </c>
    </row>
    <row r="2364" spans="1:14" x14ac:dyDescent="0.35">
      <c r="A2364" t="s">
        <v>35</v>
      </c>
      <c r="B2364" t="s">
        <v>28</v>
      </c>
      <c r="C2364">
        <v>2006</v>
      </c>
      <c r="D2364" t="s">
        <v>31</v>
      </c>
      <c r="E2364" s="3">
        <v>218</v>
      </c>
      <c r="F2364" s="3">
        <v>639</v>
      </c>
      <c r="G2364" s="1">
        <f t="shared" si="942"/>
        <v>857</v>
      </c>
      <c r="H2364" s="2">
        <f t="shared" si="943"/>
        <v>0.25437572928821472</v>
      </c>
      <c r="I2364" s="2">
        <f t="shared" si="944"/>
        <v>0.74562427071178528</v>
      </c>
      <c r="J2364" s="4">
        <f>3813+243</f>
        <v>4056</v>
      </c>
      <c r="K2364" s="4">
        <f>194338+309692</f>
        <v>504030</v>
      </c>
      <c r="L2364" s="1">
        <f t="shared" si="939"/>
        <v>508086</v>
      </c>
      <c r="M2364" s="2">
        <f t="shared" si="940"/>
        <v>7.9829005325870034E-3</v>
      </c>
      <c r="N2364" s="2">
        <f t="shared" si="941"/>
        <v>0.99201709946741301</v>
      </c>
    </row>
    <row r="2365" spans="1:14" x14ac:dyDescent="0.35">
      <c r="A2365" t="s">
        <v>35</v>
      </c>
      <c r="B2365" t="s">
        <v>29</v>
      </c>
      <c r="C2365">
        <v>2006</v>
      </c>
      <c r="D2365" t="s">
        <v>31</v>
      </c>
      <c r="E2365" s="3">
        <v>181</v>
      </c>
      <c r="F2365" s="3">
        <v>582</v>
      </c>
      <c r="G2365" s="1">
        <f t="shared" si="942"/>
        <v>763</v>
      </c>
      <c r="H2365" s="2">
        <f t="shared" si="943"/>
        <v>0.23722149410222804</v>
      </c>
      <c r="I2365" s="2">
        <f t="shared" si="944"/>
        <v>0.76277850589777196</v>
      </c>
      <c r="J2365" s="4">
        <v>2399</v>
      </c>
      <c r="K2365" s="4">
        <f>177449+287638</f>
        <v>465087</v>
      </c>
      <c r="L2365" s="1">
        <f t="shared" si="939"/>
        <v>467486</v>
      </c>
      <c r="M2365" s="2">
        <f t="shared" si="940"/>
        <v>5.1317044788507038E-3</v>
      </c>
      <c r="N2365" s="2">
        <f t="shared" si="941"/>
        <v>0.9948682955211493</v>
      </c>
    </row>
    <row r="2366" spans="1:14" x14ac:dyDescent="0.35">
      <c r="A2366" t="s">
        <v>35</v>
      </c>
      <c r="B2366" t="s">
        <v>17</v>
      </c>
      <c r="C2366">
        <v>2007</v>
      </c>
      <c r="D2366" t="s">
        <v>31</v>
      </c>
      <c r="E2366" s="3">
        <f>241+5</f>
        <v>246</v>
      </c>
      <c r="F2366" s="3">
        <f>644+59</f>
        <v>703</v>
      </c>
      <c r="G2366" s="1">
        <f t="shared" si="942"/>
        <v>949</v>
      </c>
      <c r="H2366" s="2">
        <f t="shared" si="943"/>
        <v>0.25922023182297155</v>
      </c>
      <c r="I2366" s="2">
        <f t="shared" si="944"/>
        <v>0.7407797681770284</v>
      </c>
      <c r="J2366" s="4">
        <f>4259+1076</f>
        <v>5335</v>
      </c>
      <c r="K2366" s="4">
        <f>221628+359509</f>
        <v>581137</v>
      </c>
      <c r="L2366" s="1">
        <f t="shared" si="939"/>
        <v>586472</v>
      </c>
      <c r="M2366" s="2">
        <f t="shared" si="940"/>
        <v>9.0967684731751899E-3</v>
      </c>
      <c r="N2366" s="2">
        <f t="shared" si="941"/>
        <v>0.9909032315268248</v>
      </c>
    </row>
    <row r="2367" spans="1:14" x14ac:dyDescent="0.35">
      <c r="A2367" t="s">
        <v>35</v>
      </c>
      <c r="B2367" t="s">
        <v>19</v>
      </c>
      <c r="C2367">
        <v>2007</v>
      </c>
      <c r="D2367" t="s">
        <v>31</v>
      </c>
      <c r="E2367" s="3">
        <f>188+3</f>
        <v>191</v>
      </c>
      <c r="F2367" s="3">
        <f>613+33</f>
        <v>646</v>
      </c>
      <c r="G2367" s="1">
        <f t="shared" si="942"/>
        <v>837</v>
      </c>
      <c r="H2367" s="2">
        <f t="shared" si="943"/>
        <v>0.22819593787335724</v>
      </c>
      <c r="I2367" s="2">
        <f t="shared" si="944"/>
        <v>0.77180406212664276</v>
      </c>
      <c r="J2367" s="4">
        <f>2434+762</f>
        <v>3196</v>
      </c>
      <c r="K2367" s="4">
        <f>226101+176632</f>
        <v>402733</v>
      </c>
      <c r="L2367" s="1">
        <f t="shared" si="939"/>
        <v>405929</v>
      </c>
      <c r="M2367" s="2">
        <f t="shared" si="940"/>
        <v>7.87329803980499E-3</v>
      </c>
      <c r="N2367" s="2">
        <f t="shared" si="941"/>
        <v>0.99212670196019503</v>
      </c>
    </row>
    <row r="2368" spans="1:14" x14ac:dyDescent="0.35">
      <c r="A2368" t="s">
        <v>35</v>
      </c>
      <c r="B2368" t="s">
        <v>20</v>
      </c>
      <c r="C2368">
        <v>2007</v>
      </c>
      <c r="D2368" t="s">
        <v>31</v>
      </c>
      <c r="E2368" s="3">
        <f>220+3</f>
        <v>223</v>
      </c>
      <c r="F2368" s="3">
        <f>701+46</f>
        <v>747</v>
      </c>
      <c r="G2368" s="1">
        <f t="shared" si="942"/>
        <v>970</v>
      </c>
      <c r="H2368" s="2">
        <f t="shared" si="943"/>
        <v>0.22989690721649483</v>
      </c>
      <c r="I2368" s="2">
        <f t="shared" si="944"/>
        <v>0.77010309278350519</v>
      </c>
      <c r="J2368" s="4">
        <f>4279+88</f>
        <v>4367</v>
      </c>
      <c r="K2368" s="4">
        <f>206846+290874</f>
        <v>497720</v>
      </c>
      <c r="L2368" s="1">
        <f t="shared" si="939"/>
        <v>502087</v>
      </c>
      <c r="M2368" s="2">
        <f t="shared" si="940"/>
        <v>8.6976958176571001E-3</v>
      </c>
      <c r="N2368" s="2">
        <f t="shared" si="941"/>
        <v>0.99130230418234289</v>
      </c>
    </row>
    <row r="2369" spans="1:14" x14ac:dyDescent="0.35">
      <c r="A2369" t="s">
        <v>35</v>
      </c>
      <c r="B2369" t="s">
        <v>21</v>
      </c>
      <c r="C2369">
        <v>2007</v>
      </c>
      <c r="D2369" t="s">
        <v>31</v>
      </c>
      <c r="E2369" s="3">
        <f>185+1</f>
        <v>186</v>
      </c>
      <c r="F2369" s="3">
        <f>611+30</f>
        <v>641</v>
      </c>
      <c r="G2369" s="1">
        <f t="shared" si="942"/>
        <v>827</v>
      </c>
      <c r="H2369" s="2">
        <f t="shared" si="943"/>
        <v>0.2249093107617896</v>
      </c>
      <c r="I2369" s="2">
        <f t="shared" si="944"/>
        <v>0.77509068923821045</v>
      </c>
      <c r="J2369" s="4">
        <f>3563</f>
        <v>3563</v>
      </c>
      <c r="K2369" s="4">
        <f>183926+256627</f>
        <v>440553</v>
      </c>
      <c r="L2369" s="1">
        <f t="shared" si="939"/>
        <v>444116</v>
      </c>
      <c r="M2369" s="2">
        <f t="shared" si="940"/>
        <v>8.0226787596033473E-3</v>
      </c>
      <c r="N2369" s="2">
        <f t="shared" si="941"/>
        <v>0.99197732124039661</v>
      </c>
    </row>
    <row r="2370" spans="1:14" x14ac:dyDescent="0.35">
      <c r="A2370" t="s">
        <v>35</v>
      </c>
      <c r="B2370" t="s">
        <v>22</v>
      </c>
      <c r="C2370">
        <v>2007</v>
      </c>
      <c r="D2370" t="s">
        <v>31</v>
      </c>
      <c r="E2370" s="3">
        <f>213+5</f>
        <v>218</v>
      </c>
      <c r="F2370" s="3">
        <f>691+46</f>
        <v>737</v>
      </c>
      <c r="G2370" s="1">
        <f t="shared" si="942"/>
        <v>955</v>
      </c>
      <c r="H2370" s="2">
        <f t="shared" si="943"/>
        <v>0.22827225130890053</v>
      </c>
      <c r="I2370" s="2">
        <f t="shared" si="944"/>
        <v>0.7717277486910995</v>
      </c>
      <c r="J2370" s="4">
        <f>7324+14390</f>
        <v>21714</v>
      </c>
      <c r="K2370" s="4">
        <f>235200+362937</f>
        <v>598137</v>
      </c>
      <c r="L2370" s="1">
        <f t="shared" si="939"/>
        <v>619851</v>
      </c>
      <c r="M2370" s="2">
        <f t="shared" si="940"/>
        <v>3.5030999385336152E-2</v>
      </c>
      <c r="N2370" s="2">
        <f t="shared" si="941"/>
        <v>0.96496900061466384</v>
      </c>
    </row>
    <row r="2371" spans="1:14" x14ac:dyDescent="0.35">
      <c r="A2371" t="s">
        <v>35</v>
      </c>
      <c r="B2371" t="s">
        <v>23</v>
      </c>
      <c r="C2371">
        <v>2007</v>
      </c>
      <c r="D2371" t="s">
        <v>31</v>
      </c>
      <c r="E2371" s="3">
        <f>201+3</f>
        <v>204</v>
      </c>
      <c r="F2371" s="3">
        <f>666+45</f>
        <v>711</v>
      </c>
      <c r="G2371" s="1">
        <f t="shared" si="942"/>
        <v>915</v>
      </c>
      <c r="H2371" s="2">
        <f t="shared" si="943"/>
        <v>0.22295081967213115</v>
      </c>
      <c r="I2371" s="2">
        <f t="shared" si="944"/>
        <v>0.77704918032786885</v>
      </c>
      <c r="J2371" s="4">
        <f>6350+83</f>
        <v>6433</v>
      </c>
      <c r="K2371" s="4">
        <f>234977+490876</f>
        <v>725853</v>
      </c>
      <c r="L2371" s="1">
        <f t="shared" ref="L2371:L2434" si="945">SUM(J2371:K2371)</f>
        <v>732286</v>
      </c>
      <c r="M2371" s="2">
        <f t="shared" ref="M2371:M2434" si="946">SUM(J2371)/L2371</f>
        <v>8.7848190461103995E-3</v>
      </c>
      <c r="N2371" s="2">
        <f t="shared" ref="N2371:N2434" si="947">SUM(K2371/L2371)</f>
        <v>0.99121518095388961</v>
      </c>
    </row>
    <row r="2372" spans="1:14" x14ac:dyDescent="0.35">
      <c r="A2372" t="s">
        <v>35</v>
      </c>
      <c r="B2372" t="s">
        <v>24</v>
      </c>
      <c r="C2372">
        <v>2007</v>
      </c>
      <c r="D2372" t="s">
        <v>31</v>
      </c>
      <c r="E2372" s="3">
        <v>206</v>
      </c>
      <c r="F2372" s="3">
        <v>688</v>
      </c>
      <c r="G2372" s="1">
        <f t="shared" si="942"/>
        <v>894</v>
      </c>
      <c r="H2372" s="2">
        <f t="shared" si="943"/>
        <v>0.23042505592841164</v>
      </c>
      <c r="I2372" s="2">
        <f t="shared" si="944"/>
        <v>0.76957494407158833</v>
      </c>
      <c r="J2372" s="4">
        <f>9711+783</f>
        <v>10494</v>
      </c>
      <c r="K2372" s="4">
        <f>231621+385912</f>
        <v>617533</v>
      </c>
      <c r="L2372" s="1">
        <f t="shared" si="945"/>
        <v>628027</v>
      </c>
      <c r="M2372" s="2">
        <f t="shared" si="946"/>
        <v>1.6709472681906989E-2</v>
      </c>
      <c r="N2372" s="2">
        <f t="shared" si="947"/>
        <v>0.98329052731809297</v>
      </c>
    </row>
    <row r="2373" spans="1:14" x14ac:dyDescent="0.35">
      <c r="A2373" t="s">
        <v>35</v>
      </c>
      <c r="B2373" t="s">
        <v>25</v>
      </c>
      <c r="C2373">
        <v>2007</v>
      </c>
      <c r="D2373" t="s">
        <v>31</v>
      </c>
      <c r="E2373" s="3">
        <v>226</v>
      </c>
      <c r="F2373" s="3">
        <v>771</v>
      </c>
      <c r="G2373" s="1">
        <f t="shared" si="942"/>
        <v>997</v>
      </c>
      <c r="H2373" s="2">
        <f t="shared" si="943"/>
        <v>0.22668004012036108</v>
      </c>
      <c r="I2373" s="2">
        <f t="shared" si="944"/>
        <v>0.77331995987963886</v>
      </c>
      <c r="J2373" s="4">
        <f>9300+130</f>
        <v>9430</v>
      </c>
      <c r="K2373" s="4">
        <f>248093+328223</f>
        <v>576316</v>
      </c>
      <c r="L2373" s="1">
        <f t="shared" si="945"/>
        <v>585746</v>
      </c>
      <c r="M2373" s="2">
        <f t="shared" si="946"/>
        <v>1.6099128291102285E-2</v>
      </c>
      <c r="N2373" s="2">
        <f t="shared" si="947"/>
        <v>0.98390087170889773</v>
      </c>
    </row>
    <row r="2374" spans="1:14" x14ac:dyDescent="0.35">
      <c r="A2374" t="s">
        <v>35</v>
      </c>
      <c r="B2374" t="s">
        <v>26</v>
      </c>
      <c r="C2374">
        <v>2007</v>
      </c>
      <c r="D2374" t="s">
        <v>31</v>
      </c>
      <c r="E2374" s="3">
        <v>169</v>
      </c>
      <c r="F2374" s="3">
        <v>625</v>
      </c>
      <c r="G2374" s="1">
        <f t="shared" si="942"/>
        <v>794</v>
      </c>
      <c r="H2374" s="2">
        <f t="shared" si="943"/>
        <v>0.2128463476070529</v>
      </c>
      <c r="I2374" s="2">
        <f t="shared" si="944"/>
        <v>0.7871536523929471</v>
      </c>
      <c r="J2374" s="4">
        <f>6995+76</f>
        <v>7071</v>
      </c>
      <c r="K2374" s="4">
        <f>220952+300948</f>
        <v>521900</v>
      </c>
      <c r="L2374" s="1">
        <f t="shared" si="945"/>
        <v>528971</v>
      </c>
      <c r="M2374" s="2">
        <f t="shared" si="946"/>
        <v>1.3367462488491808E-2</v>
      </c>
      <c r="N2374" s="2">
        <f t="shared" si="947"/>
        <v>0.98663253751150815</v>
      </c>
    </row>
    <row r="2375" spans="1:14" x14ac:dyDescent="0.35">
      <c r="A2375" t="s">
        <v>35</v>
      </c>
      <c r="B2375" t="s">
        <v>27</v>
      </c>
      <c r="C2375">
        <v>2007</v>
      </c>
      <c r="D2375" t="s">
        <v>31</v>
      </c>
      <c r="E2375" s="3">
        <f>193+3</f>
        <v>196</v>
      </c>
      <c r="F2375" s="3">
        <f>668+39</f>
        <v>707</v>
      </c>
      <c r="G2375" s="1">
        <f t="shared" si="942"/>
        <v>903</v>
      </c>
      <c r="H2375" s="2">
        <f t="shared" si="943"/>
        <v>0.21705426356589147</v>
      </c>
      <c r="I2375" s="2">
        <f t="shared" si="944"/>
        <v>0.78294573643410847</v>
      </c>
      <c r="J2375" s="4">
        <f>8476+158</f>
        <v>8634</v>
      </c>
      <c r="K2375" s="4">
        <f>229960+273867</f>
        <v>503827</v>
      </c>
      <c r="L2375" s="1">
        <f t="shared" si="945"/>
        <v>512461</v>
      </c>
      <c r="M2375" s="2">
        <f t="shared" si="946"/>
        <v>1.6848111368474868E-2</v>
      </c>
      <c r="N2375" s="2">
        <f t="shared" si="947"/>
        <v>0.98315188863152514</v>
      </c>
    </row>
    <row r="2376" spans="1:14" x14ac:dyDescent="0.35">
      <c r="A2376" t="s">
        <v>35</v>
      </c>
      <c r="B2376" t="s">
        <v>28</v>
      </c>
      <c r="C2376">
        <v>2007</v>
      </c>
      <c r="D2376" t="s">
        <v>31</v>
      </c>
      <c r="E2376" s="3">
        <f>191</f>
        <v>191</v>
      </c>
      <c r="F2376" s="3">
        <f>667+39</f>
        <v>706</v>
      </c>
      <c r="G2376" s="1">
        <f t="shared" si="942"/>
        <v>897</v>
      </c>
      <c r="H2376" s="2">
        <f t="shared" si="943"/>
        <v>0.2129319955406912</v>
      </c>
      <c r="I2376" s="2">
        <f t="shared" si="944"/>
        <v>0.7870680044593088</v>
      </c>
      <c r="J2376" s="4">
        <f>7298+93</f>
        <v>7391</v>
      </c>
      <c r="K2376" s="4">
        <f>209512+370044</f>
        <v>579556</v>
      </c>
      <c r="L2376" s="1">
        <f t="shared" si="945"/>
        <v>586947</v>
      </c>
      <c r="M2376" s="2">
        <f t="shared" si="946"/>
        <v>1.2592278348811733E-2</v>
      </c>
      <c r="N2376" s="2">
        <f t="shared" si="947"/>
        <v>0.98740772165118829</v>
      </c>
    </row>
    <row r="2377" spans="1:14" x14ac:dyDescent="0.35">
      <c r="A2377" t="s">
        <v>35</v>
      </c>
      <c r="B2377" t="s">
        <v>29</v>
      </c>
      <c r="C2377">
        <v>2007</v>
      </c>
      <c r="D2377" t="s">
        <v>31</v>
      </c>
      <c r="E2377" s="3">
        <v>193</v>
      </c>
      <c r="F2377" s="3">
        <f>666+39</f>
        <v>705</v>
      </c>
      <c r="G2377" s="1">
        <f t="shared" si="942"/>
        <v>898</v>
      </c>
      <c r="H2377" s="2">
        <f t="shared" si="943"/>
        <v>0.21492204899777284</v>
      </c>
      <c r="I2377" s="2">
        <f t="shared" si="944"/>
        <v>0.78507795100222721</v>
      </c>
      <c r="J2377" s="4">
        <f>6560+79</f>
        <v>6639</v>
      </c>
      <c r="K2377" s="4">
        <f>317529+214357</f>
        <v>531886</v>
      </c>
      <c r="L2377" s="1">
        <f t="shared" si="945"/>
        <v>538525</v>
      </c>
      <c r="M2377" s="2">
        <f t="shared" si="946"/>
        <v>1.2328118471751543E-2</v>
      </c>
      <c r="N2377" s="2">
        <f t="shared" si="947"/>
        <v>0.98767188152824847</v>
      </c>
    </row>
    <row r="2378" spans="1:14" x14ac:dyDescent="0.35">
      <c r="A2378" t="s">
        <v>35</v>
      </c>
      <c r="B2378" t="s">
        <v>17</v>
      </c>
      <c r="C2378">
        <v>2008</v>
      </c>
      <c r="D2378" t="s">
        <v>31</v>
      </c>
      <c r="E2378" s="3">
        <f>188</f>
        <v>188</v>
      </c>
      <c r="F2378" s="3">
        <f>669+38</f>
        <v>707</v>
      </c>
      <c r="G2378" s="1">
        <f t="shared" si="942"/>
        <v>895</v>
      </c>
      <c r="H2378" s="2">
        <f t="shared" si="943"/>
        <v>0.21005586592178771</v>
      </c>
      <c r="I2378" s="2">
        <f t="shared" si="944"/>
        <v>0.78994413407821229</v>
      </c>
      <c r="J2378" s="4">
        <f>6780+132</f>
        <v>6912</v>
      </c>
      <c r="K2378" s="4">
        <f>201586+317136</f>
        <v>518722</v>
      </c>
      <c r="L2378" s="1">
        <f t="shared" si="945"/>
        <v>525634</v>
      </c>
      <c r="M2378" s="2">
        <f t="shared" si="946"/>
        <v>1.3149834295346191E-2</v>
      </c>
      <c r="N2378" s="2">
        <f t="shared" si="947"/>
        <v>0.98685016570465378</v>
      </c>
    </row>
    <row r="2379" spans="1:14" x14ac:dyDescent="0.35">
      <c r="A2379" t="s">
        <v>35</v>
      </c>
      <c r="B2379" t="s">
        <v>19</v>
      </c>
      <c r="C2379">
        <v>2008</v>
      </c>
      <c r="D2379" t="s">
        <v>31</v>
      </c>
      <c r="E2379" s="3">
        <v>188</v>
      </c>
      <c r="F2379" s="3">
        <f>375+39</f>
        <v>414</v>
      </c>
      <c r="G2379" s="1">
        <f t="shared" si="942"/>
        <v>602</v>
      </c>
      <c r="H2379" s="2">
        <f t="shared" si="943"/>
        <v>0.3122923588039867</v>
      </c>
      <c r="I2379" s="2">
        <f t="shared" si="944"/>
        <v>0.68770764119601324</v>
      </c>
      <c r="J2379" s="4">
        <f>6128+25</f>
        <v>6153</v>
      </c>
      <c r="K2379" s="4">
        <f>188570+298758</f>
        <v>487328</v>
      </c>
      <c r="L2379" s="1">
        <f t="shared" si="945"/>
        <v>493481</v>
      </c>
      <c r="M2379" s="2">
        <f t="shared" si="946"/>
        <v>1.2468565152457744E-2</v>
      </c>
      <c r="N2379" s="2">
        <f t="shared" si="947"/>
        <v>0.98753143484754224</v>
      </c>
    </row>
    <row r="2380" spans="1:14" x14ac:dyDescent="0.35">
      <c r="A2380" t="s">
        <v>35</v>
      </c>
      <c r="B2380" t="s">
        <v>20</v>
      </c>
      <c r="C2380">
        <v>2008</v>
      </c>
      <c r="D2380" t="s">
        <v>31</v>
      </c>
      <c r="E2380" s="3">
        <v>187</v>
      </c>
      <c r="F2380" s="3">
        <f>713+39</f>
        <v>752</v>
      </c>
      <c r="G2380" s="1">
        <f t="shared" si="942"/>
        <v>939</v>
      </c>
      <c r="H2380" s="2">
        <f t="shared" si="943"/>
        <v>0.19914802981895632</v>
      </c>
      <c r="I2380" s="2">
        <f t="shared" si="944"/>
        <v>0.8008519701810437</v>
      </c>
      <c r="J2380" s="4">
        <f>6548+87</f>
        <v>6635</v>
      </c>
      <c r="K2380" s="4">
        <f>192904+311054</f>
        <v>503958</v>
      </c>
      <c r="L2380" s="1">
        <f t="shared" si="945"/>
        <v>510593</v>
      </c>
      <c r="M2380" s="2">
        <f t="shared" si="946"/>
        <v>1.2994694404349453E-2</v>
      </c>
      <c r="N2380" s="2">
        <f t="shared" si="947"/>
        <v>0.98700530559565058</v>
      </c>
    </row>
    <row r="2381" spans="1:14" x14ac:dyDescent="0.35">
      <c r="A2381" t="s">
        <v>35</v>
      </c>
      <c r="B2381" t="s">
        <v>21</v>
      </c>
      <c r="C2381">
        <v>2008</v>
      </c>
      <c r="D2381" t="s">
        <v>31</v>
      </c>
      <c r="E2381" s="3">
        <v>184</v>
      </c>
      <c r="F2381" s="3">
        <v>718</v>
      </c>
      <c r="G2381" s="1">
        <f t="shared" si="942"/>
        <v>902</v>
      </c>
      <c r="H2381" s="2">
        <f t="shared" si="943"/>
        <v>0.2039911308203991</v>
      </c>
      <c r="I2381" s="2">
        <f t="shared" si="944"/>
        <v>0.7960088691796009</v>
      </c>
      <c r="J2381" s="4">
        <v>6407</v>
      </c>
      <c r="K2381" s="4">
        <f>209838+328637</f>
        <v>538475</v>
      </c>
      <c r="L2381" s="1">
        <f t="shared" si="945"/>
        <v>544882</v>
      </c>
      <c r="M2381" s="2">
        <f t="shared" si="946"/>
        <v>1.1758509181804501E-2</v>
      </c>
      <c r="N2381" s="2">
        <f t="shared" si="947"/>
        <v>0.98824149081819546</v>
      </c>
    </row>
    <row r="2382" spans="1:14" x14ac:dyDescent="0.35">
      <c r="A2382" t="s">
        <v>35</v>
      </c>
      <c r="B2382" t="s">
        <v>22</v>
      </c>
      <c r="C2382">
        <v>2008</v>
      </c>
      <c r="D2382" t="s">
        <v>31</v>
      </c>
      <c r="E2382" s="3">
        <v>182</v>
      </c>
      <c r="F2382" s="3">
        <v>713</v>
      </c>
      <c r="G2382" s="1">
        <f t="shared" si="942"/>
        <v>895</v>
      </c>
      <c r="H2382" s="2">
        <f t="shared" si="943"/>
        <v>0.20335195530726258</v>
      </c>
      <c r="I2382" s="2">
        <f t="shared" si="944"/>
        <v>0.79664804469273742</v>
      </c>
      <c r="J2382" s="4">
        <v>6582</v>
      </c>
      <c r="K2382" s="4">
        <f>352880+210179</f>
        <v>563059</v>
      </c>
      <c r="L2382" s="1">
        <f t="shared" si="945"/>
        <v>569641</v>
      </c>
      <c r="M2382" s="2">
        <f t="shared" si="946"/>
        <v>1.1554645820788884E-2</v>
      </c>
      <c r="N2382" s="2">
        <f t="shared" si="947"/>
        <v>0.98844535417921109</v>
      </c>
    </row>
    <row r="2383" spans="1:14" x14ac:dyDescent="0.35">
      <c r="A2383" t="s">
        <v>35</v>
      </c>
      <c r="B2383" t="s">
        <v>23</v>
      </c>
      <c r="C2383">
        <v>2008</v>
      </c>
      <c r="D2383" t="s">
        <v>31</v>
      </c>
      <c r="E2383" s="3">
        <v>181</v>
      </c>
      <c r="F2383" s="3">
        <v>711</v>
      </c>
      <c r="G2383" s="1">
        <f t="shared" si="942"/>
        <v>892</v>
      </c>
      <c r="H2383" s="2">
        <f t="shared" si="943"/>
        <v>0.20291479820627803</v>
      </c>
      <c r="I2383" s="2">
        <f t="shared" si="944"/>
        <v>0.797085201793722</v>
      </c>
      <c r="J2383" s="4">
        <v>4560</v>
      </c>
      <c r="K2383" s="4">
        <f>237549+359584</f>
        <v>597133</v>
      </c>
      <c r="L2383" s="1">
        <f t="shared" si="945"/>
        <v>601693</v>
      </c>
      <c r="M2383" s="2">
        <f t="shared" si="946"/>
        <v>7.578615672776649E-3</v>
      </c>
      <c r="N2383" s="2">
        <f t="shared" si="947"/>
        <v>0.99242138432722338</v>
      </c>
    </row>
    <row r="2384" spans="1:14" x14ac:dyDescent="0.35">
      <c r="A2384" t="s">
        <v>35</v>
      </c>
      <c r="B2384" t="s">
        <v>24</v>
      </c>
      <c r="C2384">
        <v>2008</v>
      </c>
      <c r="D2384" t="s">
        <v>31</v>
      </c>
      <c r="E2384" s="3">
        <f>181</f>
        <v>181</v>
      </c>
      <c r="F2384" s="3">
        <v>712</v>
      </c>
      <c r="G2384" s="1">
        <f t="shared" si="942"/>
        <v>893</v>
      </c>
      <c r="H2384" s="2">
        <f t="shared" si="943"/>
        <v>0.2026875699888018</v>
      </c>
      <c r="I2384" s="2">
        <f t="shared" si="944"/>
        <v>0.79731243001119823</v>
      </c>
      <c r="J2384" s="4">
        <f>2217</f>
        <v>2217</v>
      </c>
      <c r="K2384" s="4">
        <f>237619+364882</f>
        <v>602501</v>
      </c>
      <c r="L2384" s="1">
        <f t="shared" si="945"/>
        <v>604718</v>
      </c>
      <c r="M2384" s="2">
        <f t="shared" si="946"/>
        <v>3.6661716701007741E-3</v>
      </c>
      <c r="N2384" s="2">
        <f t="shared" si="947"/>
        <v>0.99633382832989925</v>
      </c>
    </row>
    <row r="2385" spans="1:14" x14ac:dyDescent="0.35">
      <c r="A2385" t="s">
        <v>35</v>
      </c>
      <c r="B2385" t="s">
        <v>25</v>
      </c>
      <c r="C2385">
        <v>2008</v>
      </c>
      <c r="D2385" t="s">
        <v>31</v>
      </c>
      <c r="E2385" s="3">
        <v>177</v>
      </c>
      <c r="F2385" s="3">
        <v>715</v>
      </c>
      <c r="G2385" s="1">
        <f t="shared" si="942"/>
        <v>892</v>
      </c>
      <c r="H2385" s="2">
        <f t="shared" si="943"/>
        <v>0.19843049327354259</v>
      </c>
      <c r="I2385" s="2">
        <f t="shared" si="944"/>
        <v>0.80156950672645744</v>
      </c>
      <c r="J2385" s="4">
        <v>1893</v>
      </c>
      <c r="K2385" s="4">
        <f>223711+876010</f>
        <v>1099721</v>
      </c>
      <c r="L2385" s="1">
        <f t="shared" si="945"/>
        <v>1101614</v>
      </c>
      <c r="M2385" s="2">
        <f t="shared" si="946"/>
        <v>1.7183877474324038E-3</v>
      </c>
      <c r="N2385" s="2">
        <f t="shared" si="947"/>
        <v>0.99828161225256762</v>
      </c>
    </row>
    <row r="2386" spans="1:14" x14ac:dyDescent="0.35">
      <c r="A2386" t="s">
        <v>35</v>
      </c>
      <c r="B2386" t="s">
        <v>26</v>
      </c>
      <c r="C2386">
        <v>2008</v>
      </c>
      <c r="D2386" t="s">
        <v>31</v>
      </c>
      <c r="E2386" s="3">
        <v>177</v>
      </c>
      <c r="F2386" s="3">
        <v>714</v>
      </c>
      <c r="G2386" s="1">
        <f t="shared" si="942"/>
        <v>891</v>
      </c>
      <c r="H2386" s="2">
        <f t="shared" si="943"/>
        <v>0.19865319865319866</v>
      </c>
      <c r="I2386" s="2">
        <f t="shared" si="944"/>
        <v>0.80134680134680136</v>
      </c>
      <c r="J2386" s="4">
        <v>1900</v>
      </c>
      <c r="K2386" s="4">
        <f>234212+385563</f>
        <v>619775</v>
      </c>
      <c r="L2386" s="1">
        <f t="shared" si="945"/>
        <v>621675</v>
      </c>
      <c r="M2386" s="2">
        <f t="shared" si="946"/>
        <v>3.0562592994731975E-3</v>
      </c>
      <c r="N2386" s="2">
        <f t="shared" si="947"/>
        <v>0.99694374070052683</v>
      </c>
    </row>
    <row r="2387" spans="1:14" x14ac:dyDescent="0.35">
      <c r="A2387" t="s">
        <v>35</v>
      </c>
      <c r="B2387" t="s">
        <v>27</v>
      </c>
      <c r="C2387">
        <v>2008</v>
      </c>
      <c r="D2387" t="s">
        <v>31</v>
      </c>
      <c r="E2387" s="3">
        <v>177</v>
      </c>
      <c r="F2387" s="3">
        <v>712</v>
      </c>
      <c r="G2387" s="1">
        <f t="shared" si="942"/>
        <v>889</v>
      </c>
      <c r="H2387" s="2">
        <f t="shared" si="943"/>
        <v>0.19910011248593926</v>
      </c>
      <c r="I2387" s="2">
        <f t="shared" si="944"/>
        <v>0.80089988751406072</v>
      </c>
      <c r="J2387" s="4">
        <f>1808</f>
        <v>1808</v>
      </c>
      <c r="K2387" s="4">
        <f>212925.43+381135.5</f>
        <v>594060.92999999993</v>
      </c>
      <c r="L2387" s="1">
        <f t="shared" si="945"/>
        <v>595868.92999999993</v>
      </c>
      <c r="M2387" s="2">
        <f t="shared" si="946"/>
        <v>3.0342243217816377E-3</v>
      </c>
      <c r="N2387" s="2">
        <f t="shared" si="947"/>
        <v>0.99696577567821831</v>
      </c>
    </row>
    <row r="2388" spans="1:14" x14ac:dyDescent="0.35">
      <c r="A2388" t="s">
        <v>35</v>
      </c>
      <c r="B2388" t="s">
        <v>28</v>
      </c>
      <c r="C2388">
        <v>2008</v>
      </c>
      <c r="D2388" t="s">
        <v>31</v>
      </c>
      <c r="E2388" s="3">
        <v>175</v>
      </c>
      <c r="F2388" s="3">
        <v>715</v>
      </c>
      <c r="G2388" s="1">
        <f t="shared" si="942"/>
        <v>890</v>
      </c>
      <c r="H2388" s="2">
        <f t="shared" si="943"/>
        <v>0.19662921348314608</v>
      </c>
      <c r="I2388" s="2">
        <f t="shared" si="944"/>
        <v>0.8033707865168539</v>
      </c>
      <c r="J2388" s="4">
        <v>1714</v>
      </c>
      <c r="K2388" s="4">
        <f>199398.53+419875.4</f>
        <v>619273.93000000005</v>
      </c>
      <c r="L2388" s="1">
        <f t="shared" si="945"/>
        <v>620987.93000000005</v>
      </c>
      <c r="M2388" s="2">
        <f t="shared" si="946"/>
        <v>2.76011805897741E-3</v>
      </c>
      <c r="N2388" s="2">
        <f t="shared" si="947"/>
        <v>0.99723988194102264</v>
      </c>
    </row>
    <row r="2389" spans="1:14" x14ac:dyDescent="0.35">
      <c r="A2389" t="s">
        <v>35</v>
      </c>
      <c r="B2389" t="s">
        <v>29</v>
      </c>
      <c r="C2389">
        <v>2008</v>
      </c>
      <c r="D2389" t="s">
        <v>31</v>
      </c>
      <c r="E2389" s="3">
        <v>172</v>
      </c>
      <c r="F2389" s="3">
        <v>724</v>
      </c>
      <c r="G2389" s="1">
        <f t="shared" si="942"/>
        <v>896</v>
      </c>
      <c r="H2389" s="2">
        <f t="shared" si="943"/>
        <v>0.19196428571428573</v>
      </c>
      <c r="I2389" s="2">
        <f t="shared" si="944"/>
        <v>0.8080357142857143</v>
      </c>
      <c r="J2389" s="4">
        <v>1648</v>
      </c>
      <c r="K2389" s="4">
        <f>198236.27+267882.2</f>
        <v>466118.47</v>
      </c>
      <c r="L2389" s="1">
        <f t="shared" si="945"/>
        <v>467766.47</v>
      </c>
      <c r="M2389" s="2">
        <f t="shared" si="946"/>
        <v>3.523125545958863E-3</v>
      </c>
      <c r="N2389" s="2">
        <f t="shared" si="947"/>
        <v>0.99647687445404109</v>
      </c>
    </row>
    <row r="2390" spans="1:14" x14ac:dyDescent="0.35">
      <c r="A2390" t="s">
        <v>35</v>
      </c>
      <c r="B2390" t="s">
        <v>17</v>
      </c>
      <c r="C2390">
        <v>2009</v>
      </c>
      <c r="D2390" t="s">
        <v>31</v>
      </c>
      <c r="E2390" s="3">
        <v>170</v>
      </c>
      <c r="F2390" s="3">
        <f>683+48</f>
        <v>731</v>
      </c>
      <c r="G2390" s="1">
        <f t="shared" si="942"/>
        <v>901</v>
      </c>
      <c r="H2390" s="2">
        <f t="shared" si="943"/>
        <v>0.18867924528301888</v>
      </c>
      <c r="I2390" s="2">
        <f t="shared" si="944"/>
        <v>0.81132075471698117</v>
      </c>
      <c r="J2390" s="4">
        <f>2254</f>
        <v>2254</v>
      </c>
      <c r="K2390" s="4">
        <f>191050+474338</f>
        <v>665388</v>
      </c>
      <c r="L2390" s="1">
        <f t="shared" si="945"/>
        <v>667642</v>
      </c>
      <c r="M2390" s="2">
        <f t="shared" si="946"/>
        <v>3.3760608230159277E-3</v>
      </c>
      <c r="N2390" s="2">
        <f t="shared" si="947"/>
        <v>0.99662393917698411</v>
      </c>
    </row>
    <row r="2391" spans="1:14" x14ac:dyDescent="0.35">
      <c r="A2391" t="s">
        <v>35</v>
      </c>
      <c r="B2391" t="s">
        <v>19</v>
      </c>
      <c r="C2391">
        <v>2009</v>
      </c>
      <c r="D2391" t="s">
        <v>31</v>
      </c>
      <c r="E2391" s="3">
        <v>159</v>
      </c>
      <c r="F2391" s="3">
        <f>698+43</f>
        <v>741</v>
      </c>
      <c r="G2391" s="1">
        <f t="shared" si="942"/>
        <v>900</v>
      </c>
      <c r="H2391" s="2">
        <f t="shared" si="943"/>
        <v>0.17666666666666667</v>
      </c>
      <c r="I2391" s="2">
        <f t="shared" si="944"/>
        <v>0.82333333333333336</v>
      </c>
      <c r="J2391" s="4">
        <v>2600</v>
      </c>
      <c r="K2391" s="4">
        <f>184487+349418</f>
        <v>533905</v>
      </c>
      <c r="L2391" s="1">
        <f t="shared" si="945"/>
        <v>536505</v>
      </c>
      <c r="M2391" s="2">
        <f t="shared" si="946"/>
        <v>4.8461803711055814E-3</v>
      </c>
      <c r="N2391" s="2">
        <f t="shared" si="947"/>
        <v>0.99515381962889438</v>
      </c>
    </row>
    <row r="2392" spans="1:14" x14ac:dyDescent="0.35">
      <c r="A2392" t="s">
        <v>35</v>
      </c>
      <c r="B2392" t="s">
        <v>20</v>
      </c>
      <c r="C2392">
        <v>2009</v>
      </c>
      <c r="D2392" t="s">
        <v>31</v>
      </c>
      <c r="E2392" s="3">
        <v>163</v>
      </c>
      <c r="F2392" s="3">
        <f>695+42</f>
        <v>737</v>
      </c>
      <c r="G2392" s="1">
        <f t="shared" si="942"/>
        <v>900</v>
      </c>
      <c r="H2392" s="2">
        <f t="shared" si="943"/>
        <v>0.18111111111111111</v>
      </c>
      <c r="I2392" s="2">
        <f t="shared" si="944"/>
        <v>0.81888888888888889</v>
      </c>
      <c r="J2392" s="4">
        <v>2780</v>
      </c>
      <c r="K2392" s="4">
        <f>187912+288117</f>
        <v>476029</v>
      </c>
      <c r="L2392" s="1">
        <f t="shared" si="945"/>
        <v>478809</v>
      </c>
      <c r="M2392" s="2">
        <f t="shared" si="946"/>
        <v>5.8060729852613463E-3</v>
      </c>
      <c r="N2392" s="2">
        <f t="shared" si="947"/>
        <v>0.99419392701473863</v>
      </c>
    </row>
    <row r="2393" spans="1:14" x14ac:dyDescent="0.35">
      <c r="A2393" t="s">
        <v>35</v>
      </c>
      <c r="B2393" t="s">
        <v>21</v>
      </c>
      <c r="C2393">
        <v>2009</v>
      </c>
      <c r="D2393" t="s">
        <v>31</v>
      </c>
      <c r="E2393" s="3">
        <v>156</v>
      </c>
      <c r="F2393" s="3">
        <f>693+41</f>
        <v>734</v>
      </c>
      <c r="G2393" s="1">
        <f t="shared" si="942"/>
        <v>890</v>
      </c>
      <c r="H2393" s="2">
        <f t="shared" si="943"/>
        <v>0.1752808988764045</v>
      </c>
      <c r="I2393" s="2">
        <f t="shared" si="944"/>
        <v>0.82471910112359548</v>
      </c>
      <c r="J2393" s="4">
        <v>1914</v>
      </c>
      <c r="K2393" s="4">
        <f>192104+313532</f>
        <v>505636</v>
      </c>
      <c r="L2393" s="1">
        <f t="shared" si="945"/>
        <v>507550</v>
      </c>
      <c r="M2393" s="2">
        <f t="shared" si="946"/>
        <v>3.7710570387153976E-3</v>
      </c>
      <c r="N2393" s="2">
        <f t="shared" si="947"/>
        <v>0.99622894296128461</v>
      </c>
    </row>
    <row r="2394" spans="1:14" x14ac:dyDescent="0.35">
      <c r="A2394" t="s">
        <v>35</v>
      </c>
      <c r="B2394" t="s">
        <v>22</v>
      </c>
      <c r="C2394">
        <v>2009</v>
      </c>
      <c r="D2394" t="s">
        <v>31</v>
      </c>
      <c r="E2394" s="3">
        <v>155</v>
      </c>
      <c r="F2394" s="3">
        <f>693+41</f>
        <v>734</v>
      </c>
      <c r="G2394" s="1">
        <f t="shared" si="942"/>
        <v>889</v>
      </c>
      <c r="H2394" s="2">
        <f t="shared" si="943"/>
        <v>0.17435320584926883</v>
      </c>
      <c r="I2394" s="2">
        <f t="shared" si="944"/>
        <v>0.82564679415073117</v>
      </c>
      <c r="J2394" s="4">
        <v>1977</v>
      </c>
      <c r="K2394" s="4">
        <f>207463+260243</f>
        <v>467706</v>
      </c>
      <c r="L2394" s="1">
        <f t="shared" si="945"/>
        <v>469683</v>
      </c>
      <c r="M2394" s="2">
        <f t="shared" si="946"/>
        <v>4.2092219646016572E-3</v>
      </c>
      <c r="N2394" s="2">
        <f t="shared" si="947"/>
        <v>0.99579077803539839</v>
      </c>
    </row>
    <row r="2395" spans="1:14" x14ac:dyDescent="0.35">
      <c r="A2395" t="s">
        <v>35</v>
      </c>
      <c r="B2395" t="s">
        <v>23</v>
      </c>
      <c r="C2395">
        <v>2009</v>
      </c>
      <c r="D2395" t="s">
        <v>31</v>
      </c>
      <c r="E2395" s="3">
        <v>153</v>
      </c>
      <c r="F2395" s="3">
        <f>702+44</f>
        <v>746</v>
      </c>
      <c r="G2395" s="1">
        <f t="shared" si="942"/>
        <v>899</v>
      </c>
      <c r="H2395" s="2">
        <f t="shared" si="943"/>
        <v>0.17018909899888765</v>
      </c>
      <c r="I2395" s="2">
        <f t="shared" si="944"/>
        <v>0.82981090100111232</v>
      </c>
      <c r="J2395" s="4">
        <v>1988</v>
      </c>
      <c r="K2395" s="4">
        <f>229274+341437</f>
        <v>570711</v>
      </c>
      <c r="L2395" s="1">
        <f t="shared" si="945"/>
        <v>572699</v>
      </c>
      <c r="M2395" s="2">
        <f t="shared" si="946"/>
        <v>3.4712824712458028E-3</v>
      </c>
      <c r="N2395" s="2">
        <f t="shared" si="947"/>
        <v>0.99652871752875416</v>
      </c>
    </row>
    <row r="2396" spans="1:14" x14ac:dyDescent="0.35">
      <c r="A2396" t="s">
        <v>35</v>
      </c>
      <c r="B2396" t="s">
        <v>24</v>
      </c>
      <c r="C2396">
        <v>2009</v>
      </c>
      <c r="D2396" t="s">
        <v>31</v>
      </c>
      <c r="E2396" s="3">
        <v>154</v>
      </c>
      <c r="F2396" s="3">
        <f>697+42</f>
        <v>739</v>
      </c>
      <c r="G2396" s="1">
        <f t="shared" si="942"/>
        <v>893</v>
      </c>
      <c r="H2396" s="2">
        <f t="shared" si="943"/>
        <v>0.17245240761478164</v>
      </c>
      <c r="I2396" s="2">
        <f t="shared" si="944"/>
        <v>0.82754759238521836</v>
      </c>
      <c r="J2396" s="4">
        <v>1859</v>
      </c>
      <c r="K2396" s="4">
        <f>236836+464712</f>
        <v>701548</v>
      </c>
      <c r="L2396" s="1">
        <f t="shared" si="945"/>
        <v>703407</v>
      </c>
      <c r="M2396" s="2">
        <f t="shared" si="946"/>
        <v>2.6428511516092389E-3</v>
      </c>
      <c r="N2396" s="2">
        <f t="shared" si="947"/>
        <v>0.99735714884839077</v>
      </c>
    </row>
    <row r="2397" spans="1:14" x14ac:dyDescent="0.35">
      <c r="A2397" t="s">
        <v>35</v>
      </c>
      <c r="B2397" t="s">
        <v>25</v>
      </c>
      <c r="C2397">
        <v>2009</v>
      </c>
      <c r="D2397" t="s">
        <v>31</v>
      </c>
      <c r="E2397" s="3">
        <v>97</v>
      </c>
      <c r="F2397" s="3">
        <f>753+54</f>
        <v>807</v>
      </c>
      <c r="G2397" s="1">
        <f t="shared" si="942"/>
        <v>904</v>
      </c>
      <c r="H2397" s="2">
        <f t="shared" si="943"/>
        <v>0.10730088495575221</v>
      </c>
      <c r="I2397" s="2">
        <f t="shared" si="944"/>
        <v>0.89269911504424782</v>
      </c>
      <c r="J2397" s="4">
        <v>1022</v>
      </c>
      <c r="K2397" s="4">
        <f>233009+443593</f>
        <v>676602</v>
      </c>
      <c r="L2397" s="1">
        <f t="shared" si="945"/>
        <v>677624</v>
      </c>
      <c r="M2397" s="2">
        <f t="shared" si="946"/>
        <v>1.5082110432924453E-3</v>
      </c>
      <c r="N2397" s="2">
        <f t="shared" si="947"/>
        <v>0.99849178895670754</v>
      </c>
    </row>
    <row r="2398" spans="1:14" x14ac:dyDescent="0.35">
      <c r="A2398" t="s">
        <v>35</v>
      </c>
      <c r="B2398" t="s">
        <v>26</v>
      </c>
      <c r="C2398">
        <v>2009</v>
      </c>
      <c r="D2398" t="s">
        <v>31</v>
      </c>
      <c r="E2398" s="3">
        <v>84</v>
      </c>
      <c r="F2398" s="3">
        <f>765+46</f>
        <v>811</v>
      </c>
      <c r="G2398" s="1">
        <f t="shared" si="942"/>
        <v>895</v>
      </c>
      <c r="H2398" s="2">
        <f t="shared" si="943"/>
        <v>9.3854748603351953E-2</v>
      </c>
      <c r="I2398" s="2">
        <f t="shared" si="944"/>
        <v>0.90614525139664803</v>
      </c>
      <c r="J2398" s="4">
        <v>913</v>
      </c>
      <c r="K2398" s="4">
        <f>233306+358337</f>
        <v>591643</v>
      </c>
      <c r="L2398" s="1">
        <f t="shared" si="945"/>
        <v>592556</v>
      </c>
      <c r="M2398" s="2">
        <f t="shared" si="946"/>
        <v>1.5407826433282254E-3</v>
      </c>
      <c r="N2398" s="2">
        <f t="shared" si="947"/>
        <v>0.99845921735667176</v>
      </c>
    </row>
    <row r="2399" spans="1:14" x14ac:dyDescent="0.35">
      <c r="A2399" t="s">
        <v>35</v>
      </c>
      <c r="B2399" t="s">
        <v>27</v>
      </c>
      <c r="C2399">
        <v>2009</v>
      </c>
      <c r="D2399" t="s">
        <v>31</v>
      </c>
      <c r="E2399" s="3">
        <v>84</v>
      </c>
      <c r="F2399" s="3">
        <f>764+42</f>
        <v>806</v>
      </c>
      <c r="G2399" s="1">
        <f t="shared" si="942"/>
        <v>890</v>
      </c>
      <c r="H2399" s="2">
        <f t="shared" si="943"/>
        <v>9.4382022471910118E-2</v>
      </c>
      <c r="I2399" s="2">
        <f t="shared" si="944"/>
        <v>0.90561797752808992</v>
      </c>
      <c r="J2399" s="4">
        <v>897</v>
      </c>
      <c r="K2399" s="4">
        <f>216394+292418</f>
        <v>508812</v>
      </c>
      <c r="L2399" s="1">
        <f t="shared" si="945"/>
        <v>509709</v>
      </c>
      <c r="M2399" s="2">
        <f t="shared" si="946"/>
        <v>1.7598276663743429E-3</v>
      </c>
      <c r="N2399" s="2">
        <f t="shared" si="947"/>
        <v>0.99824017233362561</v>
      </c>
    </row>
    <row r="2400" spans="1:14" x14ac:dyDescent="0.35">
      <c r="A2400" t="s">
        <v>35</v>
      </c>
      <c r="B2400" t="s">
        <v>28</v>
      </c>
      <c r="C2400">
        <v>2009</v>
      </c>
      <c r="D2400" t="s">
        <v>31</v>
      </c>
      <c r="E2400" s="3">
        <v>84</v>
      </c>
      <c r="F2400" s="3">
        <f>767+50</f>
        <v>817</v>
      </c>
      <c r="G2400" s="1">
        <f t="shared" si="942"/>
        <v>901</v>
      </c>
      <c r="H2400" s="2">
        <f t="shared" si="943"/>
        <v>9.3229744728079905E-2</v>
      </c>
      <c r="I2400" s="2">
        <f t="shared" si="944"/>
        <v>0.90677025527192012</v>
      </c>
      <c r="J2400" s="4">
        <v>818</v>
      </c>
      <c r="K2400" s="4">
        <f>196897+463132</f>
        <v>660029</v>
      </c>
      <c r="L2400" s="1">
        <f t="shared" si="945"/>
        <v>660847</v>
      </c>
      <c r="M2400" s="2">
        <f t="shared" si="946"/>
        <v>1.2378054224351477E-3</v>
      </c>
      <c r="N2400" s="2">
        <f t="shared" si="947"/>
        <v>0.99876219457756488</v>
      </c>
    </row>
    <row r="2401" spans="1:14" x14ac:dyDescent="0.35">
      <c r="A2401" t="s">
        <v>35</v>
      </c>
      <c r="B2401" t="s">
        <v>29</v>
      </c>
      <c r="C2401">
        <v>2009</v>
      </c>
      <c r="D2401" t="s">
        <v>31</v>
      </c>
      <c r="E2401" s="3">
        <v>83</v>
      </c>
      <c r="F2401" s="3">
        <f>789+49</f>
        <v>838</v>
      </c>
      <c r="G2401" s="1">
        <f t="shared" si="942"/>
        <v>921</v>
      </c>
      <c r="H2401" s="2">
        <f t="shared" si="943"/>
        <v>9.0119435396308359E-2</v>
      </c>
      <c r="I2401" s="2">
        <f t="shared" si="944"/>
        <v>0.9098805646036916</v>
      </c>
      <c r="J2401" s="4">
        <v>764</v>
      </c>
      <c r="K2401" s="4">
        <f>189296+485973</f>
        <v>675269</v>
      </c>
      <c r="L2401" s="1">
        <f t="shared" si="945"/>
        <v>676033</v>
      </c>
      <c r="M2401" s="2">
        <f t="shared" si="946"/>
        <v>1.1301223460984892E-3</v>
      </c>
      <c r="N2401" s="2">
        <f t="shared" si="947"/>
        <v>0.99886987765390156</v>
      </c>
    </row>
    <row r="2402" spans="1:14" x14ac:dyDescent="0.35">
      <c r="A2402" t="s">
        <v>35</v>
      </c>
      <c r="B2402" t="s">
        <v>17</v>
      </c>
      <c r="C2402">
        <v>2010</v>
      </c>
      <c r="D2402" t="s">
        <v>31</v>
      </c>
      <c r="E2402" s="3">
        <v>77</v>
      </c>
      <c r="F2402" s="3">
        <f>699+39</f>
        <v>738</v>
      </c>
      <c r="G2402" s="1">
        <f t="shared" si="942"/>
        <v>815</v>
      </c>
      <c r="H2402" s="2">
        <f t="shared" si="943"/>
        <v>9.4478527607361959E-2</v>
      </c>
      <c r="I2402" s="2">
        <f t="shared" si="944"/>
        <v>0.90552147239263803</v>
      </c>
      <c r="J2402" s="4">
        <v>793</v>
      </c>
      <c r="K2402" s="4">
        <f>173243+282698</f>
        <v>455941</v>
      </c>
      <c r="L2402" s="1">
        <f t="shared" si="945"/>
        <v>456734</v>
      </c>
      <c r="M2402" s="2">
        <f t="shared" si="946"/>
        <v>1.7362403499629983E-3</v>
      </c>
      <c r="N2402" s="2">
        <f t="shared" si="947"/>
        <v>0.998263759650037</v>
      </c>
    </row>
    <row r="2403" spans="1:14" x14ac:dyDescent="0.35">
      <c r="A2403" t="s">
        <v>35</v>
      </c>
      <c r="B2403" t="s">
        <v>19</v>
      </c>
      <c r="C2403">
        <v>2010</v>
      </c>
      <c r="D2403" t="s">
        <v>31</v>
      </c>
      <c r="E2403" s="3">
        <v>80</v>
      </c>
      <c r="F2403" s="3">
        <f>787+50</f>
        <v>837</v>
      </c>
      <c r="G2403" s="1">
        <f t="shared" si="942"/>
        <v>917</v>
      </c>
      <c r="H2403" s="2">
        <f t="shared" si="943"/>
        <v>8.7241003271537623E-2</v>
      </c>
      <c r="I2403" s="2">
        <f t="shared" si="944"/>
        <v>0.91275899672846239</v>
      </c>
      <c r="J2403" s="4">
        <v>731</v>
      </c>
      <c r="K2403" s="4">
        <f>171623+379361</f>
        <v>550984</v>
      </c>
      <c r="L2403" s="1">
        <f t="shared" si="945"/>
        <v>551715</v>
      </c>
      <c r="M2403" s="2">
        <f t="shared" si="946"/>
        <v>1.3249594446408019E-3</v>
      </c>
      <c r="N2403" s="2">
        <f t="shared" si="947"/>
        <v>0.99867504055535916</v>
      </c>
    </row>
    <row r="2404" spans="1:14" x14ac:dyDescent="0.35">
      <c r="A2404" t="s">
        <v>35</v>
      </c>
      <c r="B2404" t="s">
        <v>20</v>
      </c>
      <c r="C2404">
        <v>2010</v>
      </c>
      <c r="D2404" t="s">
        <v>31</v>
      </c>
      <c r="E2404" s="3">
        <v>80</v>
      </c>
      <c r="F2404" s="3">
        <f>789+43</f>
        <v>832</v>
      </c>
      <c r="G2404" s="1">
        <f t="shared" si="942"/>
        <v>912</v>
      </c>
      <c r="H2404" s="2">
        <f t="shared" si="943"/>
        <v>8.771929824561403E-2</v>
      </c>
      <c r="I2404" s="2">
        <f t="shared" si="944"/>
        <v>0.91228070175438591</v>
      </c>
      <c r="J2404" s="4">
        <v>724</v>
      </c>
      <c r="K2404" s="4">
        <f>167665+312244</f>
        <v>479909</v>
      </c>
      <c r="L2404" s="1">
        <f t="shared" si="945"/>
        <v>480633</v>
      </c>
      <c r="M2404" s="2">
        <f t="shared" si="946"/>
        <v>1.5063468384401404E-3</v>
      </c>
      <c r="N2404" s="2">
        <f t="shared" si="947"/>
        <v>0.99849365316155991</v>
      </c>
    </row>
    <row r="2405" spans="1:14" x14ac:dyDescent="0.35">
      <c r="A2405" t="s">
        <v>35</v>
      </c>
      <c r="B2405" t="s">
        <v>21</v>
      </c>
      <c r="C2405">
        <v>2010</v>
      </c>
      <c r="D2405" t="s">
        <v>31</v>
      </c>
      <c r="E2405" s="3">
        <v>79</v>
      </c>
      <c r="F2405" s="3">
        <f>788+46</f>
        <v>834</v>
      </c>
      <c r="G2405" s="1">
        <f t="shared" si="942"/>
        <v>913</v>
      </c>
      <c r="H2405" s="2">
        <f t="shared" si="943"/>
        <v>8.6527929901423883E-2</v>
      </c>
      <c r="I2405" s="2">
        <f t="shared" si="944"/>
        <v>0.91347207009857612</v>
      </c>
      <c r="J2405" s="4">
        <v>786</v>
      </c>
      <c r="K2405" s="4">
        <f>181350+390500</f>
        <v>571850</v>
      </c>
      <c r="L2405" s="1">
        <f t="shared" si="945"/>
        <v>572636</v>
      </c>
      <c r="M2405" s="2">
        <f t="shared" si="946"/>
        <v>1.3725996968405759E-3</v>
      </c>
      <c r="N2405" s="2">
        <f t="shared" si="947"/>
        <v>0.99862740030315944</v>
      </c>
    </row>
    <row r="2406" spans="1:14" x14ac:dyDescent="0.35">
      <c r="A2406" t="s">
        <v>35</v>
      </c>
      <c r="B2406" t="s">
        <v>22</v>
      </c>
      <c r="C2406">
        <v>2010</v>
      </c>
      <c r="D2406" t="s">
        <v>31</v>
      </c>
      <c r="E2406" s="3">
        <v>78</v>
      </c>
      <c r="F2406" s="3">
        <f>781+43</f>
        <v>824</v>
      </c>
      <c r="G2406" s="1">
        <f t="shared" si="942"/>
        <v>902</v>
      </c>
      <c r="H2406" s="2">
        <f t="shared" si="943"/>
        <v>8.6474501108647447E-2</v>
      </c>
      <c r="I2406" s="2">
        <f t="shared" si="944"/>
        <v>0.91352549889135259</v>
      </c>
      <c r="J2406" s="4">
        <v>847</v>
      </c>
      <c r="K2406" s="4">
        <f>196557+389525</f>
        <v>586082</v>
      </c>
      <c r="L2406" s="1">
        <f t="shared" si="945"/>
        <v>586929</v>
      </c>
      <c r="M2406" s="2">
        <f t="shared" si="946"/>
        <v>1.4431047026130929E-3</v>
      </c>
      <c r="N2406" s="2">
        <f t="shared" si="947"/>
        <v>0.99855689529738689</v>
      </c>
    </row>
    <row r="2407" spans="1:14" x14ac:dyDescent="0.35">
      <c r="A2407" t="s">
        <v>35</v>
      </c>
      <c r="B2407" t="s">
        <v>23</v>
      </c>
      <c r="C2407">
        <v>2010</v>
      </c>
      <c r="D2407" t="s">
        <v>31</v>
      </c>
      <c r="E2407" s="3">
        <v>79</v>
      </c>
      <c r="F2407" s="3">
        <f>778+47</f>
        <v>825</v>
      </c>
      <c r="G2407" s="1">
        <f t="shared" si="942"/>
        <v>904</v>
      </c>
      <c r="H2407" s="2">
        <f t="shared" si="943"/>
        <v>8.7389380530973448E-2</v>
      </c>
      <c r="I2407" s="2">
        <f t="shared" si="944"/>
        <v>0.91261061946902655</v>
      </c>
      <c r="J2407" s="4">
        <v>947</v>
      </c>
      <c r="K2407" s="4">
        <f>215471+390718</f>
        <v>606189</v>
      </c>
      <c r="L2407" s="1">
        <f t="shared" si="945"/>
        <v>607136</v>
      </c>
      <c r="M2407" s="2">
        <f t="shared" si="946"/>
        <v>1.5597823222474041E-3</v>
      </c>
      <c r="N2407" s="2">
        <f t="shared" si="947"/>
        <v>0.9984402176777526</v>
      </c>
    </row>
    <row r="2408" spans="1:14" x14ac:dyDescent="0.35">
      <c r="A2408" t="s">
        <v>35</v>
      </c>
      <c r="B2408" t="s">
        <v>24</v>
      </c>
      <c r="C2408">
        <v>2010</v>
      </c>
      <c r="D2408" t="s">
        <v>31</v>
      </c>
      <c r="E2408" s="3">
        <v>82</v>
      </c>
      <c r="F2408" s="3">
        <f>795+44</f>
        <v>839</v>
      </c>
      <c r="G2408" s="1">
        <f t="shared" si="942"/>
        <v>921</v>
      </c>
      <c r="H2408" s="2">
        <f t="shared" si="943"/>
        <v>8.9033659066232354E-2</v>
      </c>
      <c r="I2408" s="2">
        <f t="shared" si="944"/>
        <v>0.9109663409337676</v>
      </c>
      <c r="J2408" s="4">
        <v>1001</v>
      </c>
      <c r="K2408" s="4">
        <f>231477+340559</f>
        <v>572036</v>
      </c>
      <c r="L2408" s="1">
        <f t="shared" si="945"/>
        <v>573037</v>
      </c>
      <c r="M2408" s="2">
        <f t="shared" si="946"/>
        <v>1.7468331015274756E-3</v>
      </c>
      <c r="N2408" s="2">
        <f t="shared" si="947"/>
        <v>0.99825316689847254</v>
      </c>
    </row>
    <row r="2409" spans="1:14" x14ac:dyDescent="0.35">
      <c r="A2409" t="s">
        <v>35</v>
      </c>
      <c r="B2409" t="s">
        <v>25</v>
      </c>
      <c r="C2409">
        <v>2010</v>
      </c>
      <c r="D2409" t="s">
        <v>31</v>
      </c>
      <c r="E2409" s="3">
        <v>76</v>
      </c>
      <c r="F2409" s="3">
        <f>750+45</f>
        <v>795</v>
      </c>
      <c r="G2409" s="1">
        <f t="shared" si="942"/>
        <v>871</v>
      </c>
      <c r="H2409" s="2">
        <f t="shared" si="943"/>
        <v>8.7256027554535015E-2</v>
      </c>
      <c r="I2409" s="2">
        <f t="shared" si="944"/>
        <v>0.91274397244546501</v>
      </c>
      <c r="J2409" s="4">
        <v>855</v>
      </c>
      <c r="K2409" s="4">
        <f>215186+385064</f>
        <v>600250</v>
      </c>
      <c r="L2409" s="1">
        <f t="shared" si="945"/>
        <v>601105</v>
      </c>
      <c r="M2409" s="2">
        <f t="shared" si="946"/>
        <v>1.4223804493391338E-3</v>
      </c>
      <c r="N2409" s="2">
        <f t="shared" si="947"/>
        <v>0.99857761955066082</v>
      </c>
    </row>
    <row r="2410" spans="1:14" x14ac:dyDescent="0.35">
      <c r="A2410" t="s">
        <v>35</v>
      </c>
      <c r="B2410" t="s">
        <v>26</v>
      </c>
      <c r="C2410">
        <v>2010</v>
      </c>
      <c r="D2410" t="s">
        <v>31</v>
      </c>
      <c r="E2410" s="3">
        <v>79</v>
      </c>
      <c r="F2410" s="3">
        <f>779+46</f>
        <v>825</v>
      </c>
      <c r="G2410" s="1">
        <f t="shared" si="942"/>
        <v>904</v>
      </c>
      <c r="H2410" s="2">
        <f t="shared" si="943"/>
        <v>8.7389380530973448E-2</v>
      </c>
      <c r="I2410" s="2">
        <f t="shared" si="944"/>
        <v>0.91261061946902655</v>
      </c>
      <c r="J2410" s="4">
        <v>909</v>
      </c>
      <c r="K2410" s="4">
        <f>231865+382562</f>
        <v>614427</v>
      </c>
      <c r="L2410" s="1">
        <f t="shared" si="945"/>
        <v>615336</v>
      </c>
      <c r="M2410" s="2">
        <f t="shared" si="946"/>
        <v>1.4772417020944655E-3</v>
      </c>
      <c r="N2410" s="2">
        <f t="shared" si="947"/>
        <v>0.99852275829790549</v>
      </c>
    </row>
    <row r="2411" spans="1:14" x14ac:dyDescent="0.35">
      <c r="A2411" t="s">
        <v>35</v>
      </c>
      <c r="B2411" t="s">
        <v>27</v>
      </c>
      <c r="C2411">
        <v>2010</v>
      </c>
      <c r="D2411" t="s">
        <v>31</v>
      </c>
      <c r="E2411" s="3">
        <v>74</v>
      </c>
      <c r="F2411" s="3">
        <f>741+45</f>
        <v>786</v>
      </c>
      <c r="G2411" s="1">
        <f t="shared" si="942"/>
        <v>860</v>
      </c>
      <c r="H2411" s="2">
        <f t="shared" si="943"/>
        <v>8.6046511627906982E-2</v>
      </c>
      <c r="I2411" s="2">
        <f t="shared" si="944"/>
        <v>0.913953488372093</v>
      </c>
      <c r="J2411" s="4">
        <v>828</v>
      </c>
      <c r="K2411" s="4">
        <f>195292+353646</f>
        <v>548938</v>
      </c>
      <c r="L2411" s="1">
        <f t="shared" si="945"/>
        <v>549766</v>
      </c>
      <c r="M2411" s="2">
        <f t="shared" si="946"/>
        <v>1.5060953205545632E-3</v>
      </c>
      <c r="N2411" s="2">
        <f t="shared" si="947"/>
        <v>0.99849390467944543</v>
      </c>
    </row>
    <row r="2412" spans="1:14" x14ac:dyDescent="0.35">
      <c r="A2412" t="s">
        <v>35</v>
      </c>
      <c r="B2412" t="s">
        <v>28</v>
      </c>
      <c r="C2412">
        <v>2010</v>
      </c>
      <c r="D2412" t="s">
        <v>31</v>
      </c>
      <c r="E2412" s="3">
        <v>75</v>
      </c>
      <c r="F2412" s="3">
        <f>751+44</f>
        <v>795</v>
      </c>
      <c r="G2412" s="1">
        <f t="shared" si="942"/>
        <v>870</v>
      </c>
      <c r="H2412" s="2">
        <f t="shared" si="943"/>
        <v>8.6206896551724144E-2</v>
      </c>
      <c r="I2412" s="2">
        <f t="shared" si="944"/>
        <v>0.91379310344827591</v>
      </c>
      <c r="J2412" s="4">
        <v>704</v>
      </c>
      <c r="K2412" s="4">
        <f>187465+350589</f>
        <v>538054</v>
      </c>
      <c r="L2412" s="1">
        <f t="shared" si="945"/>
        <v>538758</v>
      </c>
      <c r="M2412" s="2">
        <f t="shared" si="946"/>
        <v>1.3067091347135449E-3</v>
      </c>
      <c r="N2412" s="2">
        <f t="shared" si="947"/>
        <v>0.99869329086528646</v>
      </c>
    </row>
    <row r="2413" spans="1:14" x14ac:dyDescent="0.35">
      <c r="A2413" t="s">
        <v>35</v>
      </c>
      <c r="B2413" t="s">
        <v>29</v>
      </c>
      <c r="C2413">
        <v>2010</v>
      </c>
      <c r="D2413" t="s">
        <v>31</v>
      </c>
      <c r="E2413" s="3">
        <v>75</v>
      </c>
      <c r="F2413" s="3">
        <f>787+41</f>
        <v>828</v>
      </c>
      <c r="G2413" s="1">
        <f t="shared" si="942"/>
        <v>903</v>
      </c>
      <c r="H2413" s="2">
        <f t="shared" si="943"/>
        <v>8.3056478405315617E-2</v>
      </c>
      <c r="I2413" s="2">
        <f t="shared" si="944"/>
        <v>0.9169435215946844</v>
      </c>
      <c r="J2413" s="4">
        <v>795</v>
      </c>
      <c r="K2413" s="4">
        <f>188879+304440</f>
        <v>493319</v>
      </c>
      <c r="L2413" s="1">
        <f t="shared" si="945"/>
        <v>494114</v>
      </c>
      <c r="M2413" s="2">
        <f t="shared" si="946"/>
        <v>1.6089404469413942E-3</v>
      </c>
      <c r="N2413" s="2">
        <f t="shared" si="947"/>
        <v>0.99839105955305862</v>
      </c>
    </row>
    <row r="2414" spans="1:14" x14ac:dyDescent="0.35">
      <c r="A2414" t="s">
        <v>35</v>
      </c>
      <c r="B2414" t="s">
        <v>17</v>
      </c>
      <c r="C2414">
        <v>2011</v>
      </c>
      <c r="D2414" t="s">
        <v>31</v>
      </c>
      <c r="E2414" s="3">
        <v>63</v>
      </c>
      <c r="F2414" s="3">
        <f>656+31</f>
        <v>687</v>
      </c>
      <c r="G2414" s="1">
        <f t="shared" si="942"/>
        <v>750</v>
      </c>
      <c r="H2414" s="2">
        <f t="shared" si="943"/>
        <v>8.4000000000000005E-2</v>
      </c>
      <c r="I2414" s="2">
        <f t="shared" si="944"/>
        <v>0.91600000000000004</v>
      </c>
      <c r="J2414" s="4">
        <v>663</v>
      </c>
      <c r="K2414" s="4">
        <f>161135+144390</f>
        <v>305525</v>
      </c>
      <c r="L2414" s="1">
        <f t="shared" si="945"/>
        <v>306188</v>
      </c>
      <c r="M2414" s="2">
        <f t="shared" si="946"/>
        <v>2.1653363293140161E-3</v>
      </c>
      <c r="N2414" s="2">
        <f t="shared" si="947"/>
        <v>0.99783466367068596</v>
      </c>
    </row>
    <row r="2415" spans="1:14" x14ac:dyDescent="0.35">
      <c r="A2415" t="s">
        <v>35</v>
      </c>
      <c r="B2415" t="s">
        <v>19</v>
      </c>
      <c r="C2415">
        <v>2011</v>
      </c>
      <c r="D2415" t="s">
        <v>31</v>
      </c>
      <c r="E2415" s="3">
        <v>57</v>
      </c>
      <c r="F2415" s="3">
        <f>763+38</f>
        <v>801</v>
      </c>
      <c r="G2415" s="1">
        <f t="shared" si="942"/>
        <v>858</v>
      </c>
      <c r="H2415" s="2">
        <f t="shared" si="943"/>
        <v>6.6433566433566432E-2</v>
      </c>
      <c r="I2415" s="2">
        <f t="shared" si="944"/>
        <v>0.93356643356643354</v>
      </c>
      <c r="J2415" s="4">
        <v>512</v>
      </c>
      <c r="K2415" s="4">
        <f>162855+385491</f>
        <v>548346</v>
      </c>
      <c r="L2415" s="1">
        <f t="shared" si="945"/>
        <v>548858</v>
      </c>
      <c r="M2415" s="2">
        <f t="shared" si="946"/>
        <v>9.3284601846014821E-4</v>
      </c>
      <c r="N2415" s="2">
        <f t="shared" si="947"/>
        <v>0.99906715398153989</v>
      </c>
    </row>
    <row r="2416" spans="1:14" x14ac:dyDescent="0.35">
      <c r="A2416" t="s">
        <v>35</v>
      </c>
      <c r="B2416" t="s">
        <v>20</v>
      </c>
      <c r="C2416">
        <v>2011</v>
      </c>
      <c r="D2416" t="s">
        <v>31</v>
      </c>
      <c r="E2416" s="3">
        <v>55</v>
      </c>
      <c r="F2416" s="3">
        <f>767+35</f>
        <v>802</v>
      </c>
      <c r="G2416" s="1">
        <f t="shared" si="942"/>
        <v>857</v>
      </c>
      <c r="H2416" s="2">
        <f t="shared" si="943"/>
        <v>6.4177362893815634E-2</v>
      </c>
      <c r="I2416" s="2">
        <f t="shared" si="944"/>
        <v>0.93582263710618441</v>
      </c>
      <c r="J2416" s="4">
        <v>517</v>
      </c>
      <c r="K2416" s="4">
        <f>167802+178750</f>
        <v>346552</v>
      </c>
      <c r="L2416" s="1">
        <f t="shared" si="945"/>
        <v>347069</v>
      </c>
      <c r="M2416" s="2">
        <f t="shared" si="946"/>
        <v>1.4896173383390622E-3</v>
      </c>
      <c r="N2416" s="2">
        <f t="shared" si="947"/>
        <v>0.99851038266166092</v>
      </c>
    </row>
    <row r="2417" spans="1:14" x14ac:dyDescent="0.35">
      <c r="A2417" t="s">
        <v>35</v>
      </c>
      <c r="B2417" t="s">
        <v>21</v>
      </c>
      <c r="C2417">
        <v>2011</v>
      </c>
      <c r="D2417" t="s">
        <v>31</v>
      </c>
      <c r="E2417" s="3">
        <v>53</v>
      </c>
      <c r="F2417" s="3">
        <f>701+32</f>
        <v>733</v>
      </c>
      <c r="G2417" s="1">
        <f t="shared" si="942"/>
        <v>786</v>
      </c>
      <c r="H2417" s="2">
        <f t="shared" si="943"/>
        <v>6.7430025445292627E-2</v>
      </c>
      <c r="I2417" s="2">
        <f t="shared" si="944"/>
        <v>0.93256997455470736</v>
      </c>
      <c r="J2417" s="4">
        <v>539</v>
      </c>
      <c r="K2417" s="4">
        <f>174143+167508</f>
        <v>341651</v>
      </c>
      <c r="L2417" s="1">
        <f t="shared" si="945"/>
        <v>342190</v>
      </c>
      <c r="M2417" s="2">
        <f t="shared" si="946"/>
        <v>1.5751483094187441E-3</v>
      </c>
      <c r="N2417" s="2">
        <f t="shared" si="947"/>
        <v>0.99842485169058126</v>
      </c>
    </row>
    <row r="2418" spans="1:14" x14ac:dyDescent="0.35">
      <c r="A2418" t="s">
        <v>35</v>
      </c>
      <c r="B2418" t="s">
        <v>22</v>
      </c>
      <c r="C2418">
        <v>2011</v>
      </c>
      <c r="D2418" t="s">
        <v>31</v>
      </c>
      <c r="E2418" s="3">
        <v>52</v>
      </c>
      <c r="F2418" s="3">
        <f>682+32</f>
        <v>714</v>
      </c>
      <c r="G2418" s="1">
        <f t="shared" si="942"/>
        <v>766</v>
      </c>
      <c r="H2418" s="2">
        <f t="shared" si="943"/>
        <v>6.7885117493472591E-2</v>
      </c>
      <c r="I2418" s="2">
        <f t="shared" si="944"/>
        <v>0.93211488250652741</v>
      </c>
      <c r="J2418" s="4">
        <v>225</v>
      </c>
      <c r="K2418" s="4">
        <f>192242+194996</f>
        <v>387238</v>
      </c>
      <c r="L2418" s="1">
        <f t="shared" si="945"/>
        <v>387463</v>
      </c>
      <c r="M2418" s="2">
        <f t="shared" si="946"/>
        <v>5.8070060883232718E-4</v>
      </c>
      <c r="N2418" s="2">
        <f t="shared" si="947"/>
        <v>0.99941929939116769</v>
      </c>
    </row>
    <row r="2419" spans="1:14" x14ac:dyDescent="0.35">
      <c r="A2419" t="s">
        <v>35</v>
      </c>
      <c r="B2419" t="s">
        <v>23</v>
      </c>
      <c r="C2419">
        <v>2011</v>
      </c>
      <c r="D2419" t="s">
        <v>31</v>
      </c>
      <c r="E2419" s="3">
        <v>54</v>
      </c>
      <c r="F2419" s="3">
        <f>763+29</f>
        <v>792</v>
      </c>
      <c r="G2419" s="1">
        <f t="shared" si="942"/>
        <v>846</v>
      </c>
      <c r="H2419" s="2">
        <f t="shared" si="943"/>
        <v>6.3829787234042548E-2</v>
      </c>
      <c r="I2419" s="2">
        <f t="shared" si="944"/>
        <v>0.93617021276595747</v>
      </c>
      <c r="J2419" s="4">
        <v>627</v>
      </c>
      <c r="K2419" s="4">
        <f>217848+219714</f>
        <v>437562</v>
      </c>
      <c r="L2419" s="1">
        <f t="shared" si="945"/>
        <v>438189</v>
      </c>
      <c r="M2419" s="2">
        <f t="shared" si="946"/>
        <v>1.4308894107337245E-3</v>
      </c>
      <c r="N2419" s="2">
        <f t="shared" si="947"/>
        <v>0.99856911058926623</v>
      </c>
    </row>
    <row r="2420" spans="1:14" x14ac:dyDescent="0.35">
      <c r="A2420" t="s">
        <v>35</v>
      </c>
      <c r="B2420" t="s">
        <v>24</v>
      </c>
      <c r="C2420">
        <v>2011</v>
      </c>
      <c r="D2420" t="s">
        <v>31</v>
      </c>
      <c r="E2420" s="3">
        <v>51</v>
      </c>
      <c r="F2420" s="3">
        <f>707+29</f>
        <v>736</v>
      </c>
      <c r="G2420" s="1">
        <f t="shared" si="942"/>
        <v>787</v>
      </c>
      <c r="H2420" s="2">
        <f t="shared" si="943"/>
        <v>6.480304955527319E-2</v>
      </c>
      <c r="I2420" s="2">
        <f t="shared" si="944"/>
        <v>0.93519695044472684</v>
      </c>
      <c r="J2420" s="4">
        <v>603</v>
      </c>
      <c r="K2420" s="4">
        <f>206547+151878</f>
        <v>358425</v>
      </c>
      <c r="L2420" s="1">
        <f t="shared" si="945"/>
        <v>359028</v>
      </c>
      <c r="M2420" s="2">
        <f t="shared" si="946"/>
        <v>1.6795347438082824E-3</v>
      </c>
      <c r="N2420" s="2">
        <f t="shared" si="947"/>
        <v>0.99832046525619167</v>
      </c>
    </row>
    <row r="2421" spans="1:14" x14ac:dyDescent="0.35">
      <c r="A2421" t="s">
        <v>35</v>
      </c>
      <c r="B2421" t="s">
        <v>25</v>
      </c>
      <c r="C2421">
        <v>2011</v>
      </c>
      <c r="D2421" t="s">
        <v>31</v>
      </c>
      <c r="E2421" s="3">
        <v>45</v>
      </c>
      <c r="F2421" s="3">
        <f>770+29</f>
        <v>799</v>
      </c>
      <c r="G2421" s="1">
        <f t="shared" si="942"/>
        <v>844</v>
      </c>
      <c r="H2421" s="2">
        <f t="shared" si="943"/>
        <v>5.3317535545023699E-2</v>
      </c>
      <c r="I2421" s="2">
        <f t="shared" si="944"/>
        <v>0.94668246445497628</v>
      </c>
      <c r="J2421" s="4">
        <v>605</v>
      </c>
      <c r="K2421" s="4">
        <f>219420+148145</f>
        <v>367565</v>
      </c>
      <c r="L2421" s="1">
        <f t="shared" si="945"/>
        <v>368170</v>
      </c>
      <c r="M2421" s="2">
        <f t="shared" si="946"/>
        <v>1.6432626232446967E-3</v>
      </c>
      <c r="N2421" s="2">
        <f t="shared" si="947"/>
        <v>0.99835673737675534</v>
      </c>
    </row>
    <row r="2422" spans="1:14" x14ac:dyDescent="0.35">
      <c r="A2422" t="s">
        <v>35</v>
      </c>
      <c r="B2422" t="s">
        <v>26</v>
      </c>
      <c r="C2422">
        <v>2011</v>
      </c>
      <c r="D2422" t="s">
        <v>31</v>
      </c>
      <c r="E2422" s="3">
        <v>29</v>
      </c>
      <c r="F2422" s="3">
        <f>739+27</f>
        <v>766</v>
      </c>
      <c r="G2422" s="1">
        <f t="shared" si="942"/>
        <v>795</v>
      </c>
      <c r="H2422" s="2">
        <f t="shared" si="943"/>
        <v>3.6477987421383647E-2</v>
      </c>
      <c r="I2422" s="2">
        <f t="shared" si="944"/>
        <v>0.96352201257861636</v>
      </c>
      <c r="J2422" s="4">
        <v>626</v>
      </c>
      <c r="K2422" s="4">
        <f>211163+164178</f>
        <v>375341</v>
      </c>
      <c r="L2422" s="1">
        <f t="shared" si="945"/>
        <v>375967</v>
      </c>
      <c r="M2422" s="2">
        <f t="shared" si="946"/>
        <v>1.6650397508291951E-3</v>
      </c>
      <c r="N2422" s="2">
        <f t="shared" si="947"/>
        <v>0.99833496024917079</v>
      </c>
    </row>
    <row r="2423" spans="1:14" x14ac:dyDescent="0.35">
      <c r="A2423" t="s">
        <v>35</v>
      </c>
      <c r="B2423" t="s">
        <v>27</v>
      </c>
      <c r="C2423">
        <v>2011</v>
      </c>
      <c r="D2423" t="s">
        <v>31</v>
      </c>
      <c r="E2423" s="3">
        <v>29</v>
      </c>
      <c r="F2423" s="3">
        <f>724+27</f>
        <v>751</v>
      </c>
      <c r="G2423" s="1">
        <f t="shared" ref="G2423:G2486" si="948">SUM(E2423:F2423)</f>
        <v>780</v>
      </c>
      <c r="H2423" s="2">
        <f t="shared" ref="H2423:H2486" si="949">SUM(E2423)/G2423</f>
        <v>3.7179487179487179E-2</v>
      </c>
      <c r="I2423" s="2">
        <f t="shared" ref="I2423:I2486" si="950">SUM(F2423/G2423)</f>
        <v>0.96282051282051284</v>
      </c>
      <c r="J2423" s="4">
        <v>580</v>
      </c>
      <c r="K2423" s="4">
        <f>175504+195137</f>
        <v>370641</v>
      </c>
      <c r="L2423" s="1">
        <f t="shared" si="945"/>
        <v>371221</v>
      </c>
      <c r="M2423" s="2">
        <f t="shared" si="946"/>
        <v>1.5624116092570195E-3</v>
      </c>
      <c r="N2423" s="2">
        <f t="shared" si="947"/>
        <v>0.99843758839074304</v>
      </c>
    </row>
    <row r="2424" spans="1:14" x14ac:dyDescent="0.35">
      <c r="A2424" t="s">
        <v>35</v>
      </c>
      <c r="B2424" t="s">
        <v>28</v>
      </c>
      <c r="C2424">
        <v>2011</v>
      </c>
      <c r="D2424" t="s">
        <v>31</v>
      </c>
      <c r="E2424" s="3">
        <v>32</v>
      </c>
      <c r="F2424" s="3">
        <f>753+25</f>
        <v>778</v>
      </c>
      <c r="G2424" s="1">
        <f t="shared" si="948"/>
        <v>810</v>
      </c>
      <c r="H2424" s="2">
        <f t="shared" si="949"/>
        <v>3.9506172839506172E-2</v>
      </c>
      <c r="I2424" s="2">
        <f t="shared" si="950"/>
        <v>0.96049382716049381</v>
      </c>
      <c r="J2424" s="4">
        <v>503</v>
      </c>
      <c r="K2424" s="4">
        <f>160208+192674</f>
        <v>352882</v>
      </c>
      <c r="L2424" s="1">
        <f t="shared" si="945"/>
        <v>353385</v>
      </c>
      <c r="M2424" s="2">
        <f t="shared" si="946"/>
        <v>1.4233767703779165E-3</v>
      </c>
      <c r="N2424" s="2">
        <f t="shared" si="947"/>
        <v>0.99857662322962204</v>
      </c>
    </row>
    <row r="2425" spans="1:14" x14ac:dyDescent="0.35">
      <c r="A2425" t="s">
        <v>35</v>
      </c>
      <c r="B2425" t="s">
        <v>29</v>
      </c>
      <c r="C2425">
        <v>2011</v>
      </c>
      <c r="D2425" t="s">
        <v>31</v>
      </c>
      <c r="E2425" s="3">
        <v>28</v>
      </c>
      <c r="F2425" s="3">
        <f>625+24</f>
        <v>649</v>
      </c>
      <c r="G2425" s="1">
        <f t="shared" si="948"/>
        <v>677</v>
      </c>
      <c r="H2425" s="2">
        <f t="shared" si="949"/>
        <v>4.1358936484490398E-2</v>
      </c>
      <c r="I2425" s="2">
        <f t="shared" si="950"/>
        <v>0.95864106351550959</v>
      </c>
      <c r="J2425" s="4">
        <v>583</v>
      </c>
      <c r="K2425" s="4">
        <f>146445+90864</f>
        <v>237309</v>
      </c>
      <c r="L2425" s="1">
        <f t="shared" si="945"/>
        <v>237892</v>
      </c>
      <c r="M2425" s="2">
        <f t="shared" si="946"/>
        <v>2.4506919106149008E-3</v>
      </c>
      <c r="N2425" s="2">
        <f t="shared" si="947"/>
        <v>0.99754930808938513</v>
      </c>
    </row>
    <row r="2426" spans="1:14" x14ac:dyDescent="0.35">
      <c r="A2426" t="s">
        <v>35</v>
      </c>
      <c r="B2426" t="s">
        <v>17</v>
      </c>
      <c r="C2426">
        <v>2012</v>
      </c>
      <c r="D2426" t="s">
        <v>31</v>
      </c>
      <c r="E2426" s="3">
        <v>33</v>
      </c>
      <c r="F2426" s="3">
        <f>742+28</f>
        <v>770</v>
      </c>
      <c r="G2426" s="1">
        <f t="shared" si="948"/>
        <v>803</v>
      </c>
      <c r="H2426" s="2">
        <f t="shared" si="949"/>
        <v>4.1095890410958902E-2</v>
      </c>
      <c r="I2426" s="2">
        <f t="shared" si="950"/>
        <v>0.95890410958904104</v>
      </c>
      <c r="J2426" s="4">
        <v>529</v>
      </c>
      <c r="K2426" s="4">
        <f>148154+175380</f>
        <v>323534</v>
      </c>
      <c r="L2426" s="1">
        <f t="shared" si="945"/>
        <v>324063</v>
      </c>
      <c r="M2426" s="2">
        <f t="shared" si="946"/>
        <v>1.632398638536334E-3</v>
      </c>
      <c r="N2426" s="2">
        <f t="shared" si="947"/>
        <v>0.99836760136146363</v>
      </c>
    </row>
    <row r="2427" spans="1:14" x14ac:dyDescent="0.35">
      <c r="A2427" t="s">
        <v>35</v>
      </c>
      <c r="B2427" t="s">
        <v>19</v>
      </c>
      <c r="C2427">
        <v>2012</v>
      </c>
      <c r="D2427" t="s">
        <v>31</v>
      </c>
      <c r="E2427" s="3">
        <v>26</v>
      </c>
      <c r="F2427" s="3">
        <f>770+37</f>
        <v>807</v>
      </c>
      <c r="G2427" s="1">
        <f t="shared" si="948"/>
        <v>833</v>
      </c>
      <c r="H2427" s="2">
        <f t="shared" si="949"/>
        <v>3.1212484993997598E-2</v>
      </c>
      <c r="I2427" s="2">
        <f t="shared" si="950"/>
        <v>0.96878751500600235</v>
      </c>
      <c r="J2427" s="4">
        <v>543</v>
      </c>
      <c r="K2427" s="4">
        <f>167865+393483</f>
        <v>561348</v>
      </c>
      <c r="L2427" s="1">
        <f t="shared" si="945"/>
        <v>561891</v>
      </c>
      <c r="M2427" s="2">
        <f t="shared" si="946"/>
        <v>9.663796003139399E-4</v>
      </c>
      <c r="N2427" s="2">
        <f t="shared" si="947"/>
        <v>0.99903362039968602</v>
      </c>
    </row>
    <row r="2428" spans="1:14" x14ac:dyDescent="0.35">
      <c r="A2428" t="s">
        <v>35</v>
      </c>
      <c r="B2428" t="s">
        <v>20</v>
      </c>
      <c r="C2428">
        <v>2012</v>
      </c>
      <c r="D2428" t="s">
        <v>31</v>
      </c>
      <c r="E2428" s="3">
        <v>34</v>
      </c>
      <c r="F2428" s="3">
        <f>820+38</f>
        <v>858</v>
      </c>
      <c r="G2428" s="1">
        <f t="shared" si="948"/>
        <v>892</v>
      </c>
      <c r="H2428" s="2">
        <f t="shared" si="949"/>
        <v>3.811659192825112E-2</v>
      </c>
      <c r="I2428" s="2">
        <f t="shared" si="950"/>
        <v>0.96188340807174888</v>
      </c>
      <c r="J2428" s="4">
        <v>599</v>
      </c>
      <c r="K2428" s="4">
        <f>175358+379355</f>
        <v>554713</v>
      </c>
      <c r="L2428" s="1">
        <f t="shared" si="945"/>
        <v>555312</v>
      </c>
      <c r="M2428" s="2">
        <f t="shared" si="946"/>
        <v>1.0786728901950615E-3</v>
      </c>
      <c r="N2428" s="2">
        <f t="shared" si="947"/>
        <v>0.99892132710980497</v>
      </c>
    </row>
    <row r="2429" spans="1:14" x14ac:dyDescent="0.35">
      <c r="A2429" t="s">
        <v>35</v>
      </c>
      <c r="B2429" t="s">
        <v>21</v>
      </c>
      <c r="C2429">
        <v>2012</v>
      </c>
      <c r="D2429" t="s">
        <v>31</v>
      </c>
      <c r="E2429" s="3">
        <v>34</v>
      </c>
      <c r="F2429" s="3">
        <f>819+40</f>
        <v>859</v>
      </c>
      <c r="G2429" s="1">
        <f t="shared" si="948"/>
        <v>893</v>
      </c>
      <c r="H2429" s="2">
        <f t="shared" si="949"/>
        <v>3.8073908174692049E-2</v>
      </c>
      <c r="I2429" s="2">
        <f t="shared" si="950"/>
        <v>0.96192609182530797</v>
      </c>
      <c r="J2429" s="4">
        <v>662</v>
      </c>
      <c r="K2429" s="4">
        <f>192309+497301</f>
        <v>689610</v>
      </c>
      <c r="L2429" s="1">
        <f t="shared" si="945"/>
        <v>690272</v>
      </c>
      <c r="M2429" s="2">
        <f t="shared" si="946"/>
        <v>9.5904223262713827E-4</v>
      </c>
      <c r="N2429" s="2">
        <f t="shared" si="947"/>
        <v>0.99904095776737289</v>
      </c>
    </row>
    <row r="2430" spans="1:14" x14ac:dyDescent="0.35">
      <c r="A2430" t="s">
        <v>35</v>
      </c>
      <c r="B2430" t="s">
        <v>22</v>
      </c>
      <c r="C2430">
        <v>2012</v>
      </c>
      <c r="D2430" t="s">
        <v>31</v>
      </c>
      <c r="E2430" s="3">
        <v>33</v>
      </c>
      <c r="F2430" s="3">
        <f>816+39</f>
        <v>855</v>
      </c>
      <c r="G2430" s="1">
        <f t="shared" si="948"/>
        <v>888</v>
      </c>
      <c r="H2430" s="2">
        <f t="shared" si="949"/>
        <v>3.7162162162162164E-2</v>
      </c>
      <c r="I2430" s="2">
        <f t="shared" si="950"/>
        <v>0.96283783783783783</v>
      </c>
      <c r="J2430" s="4">
        <v>704</v>
      </c>
      <c r="K2430" s="4">
        <f>203990+369428</f>
        <v>573418</v>
      </c>
      <c r="L2430" s="1">
        <f t="shared" si="945"/>
        <v>574122</v>
      </c>
      <c r="M2430" s="2">
        <f t="shared" si="946"/>
        <v>1.2262202110352853E-3</v>
      </c>
      <c r="N2430" s="2">
        <f t="shared" si="947"/>
        <v>0.99877377978896476</v>
      </c>
    </row>
    <row r="2431" spans="1:14" x14ac:dyDescent="0.35">
      <c r="A2431" t="s">
        <v>35</v>
      </c>
      <c r="B2431" t="s">
        <v>23</v>
      </c>
      <c r="C2431">
        <v>2012</v>
      </c>
      <c r="D2431" t="s">
        <v>31</v>
      </c>
      <c r="E2431" s="3">
        <v>32</v>
      </c>
      <c r="F2431" s="3">
        <f>826+39</f>
        <v>865</v>
      </c>
      <c r="G2431" s="1">
        <f t="shared" si="948"/>
        <v>897</v>
      </c>
      <c r="H2431" s="2">
        <f t="shared" si="949"/>
        <v>3.5674470457079152E-2</v>
      </c>
      <c r="I2431" s="2">
        <f t="shared" si="950"/>
        <v>0.96432552954292083</v>
      </c>
      <c r="J2431" s="4">
        <v>347</v>
      </c>
      <c r="K2431" s="4">
        <f>218250+392625</f>
        <v>610875</v>
      </c>
      <c r="L2431" s="1">
        <f t="shared" si="945"/>
        <v>611222</v>
      </c>
      <c r="M2431" s="2">
        <f t="shared" si="946"/>
        <v>5.6771516732054804E-4</v>
      </c>
      <c r="N2431" s="2">
        <f t="shared" si="947"/>
        <v>0.99943228483267943</v>
      </c>
    </row>
    <row r="2432" spans="1:14" x14ac:dyDescent="0.35">
      <c r="A2432" t="s">
        <v>35</v>
      </c>
      <c r="B2432" t="s">
        <v>24</v>
      </c>
      <c r="C2432">
        <v>2012</v>
      </c>
      <c r="D2432" t="s">
        <v>31</v>
      </c>
      <c r="E2432" s="3">
        <v>32</v>
      </c>
      <c r="F2432" s="3">
        <f>884+39</f>
        <v>923</v>
      </c>
      <c r="G2432" s="1">
        <f t="shared" si="948"/>
        <v>955</v>
      </c>
      <c r="H2432" s="2">
        <f t="shared" si="949"/>
        <v>3.3507853403141365E-2</v>
      </c>
      <c r="I2432" s="2">
        <f t="shared" si="950"/>
        <v>0.96649214659685867</v>
      </c>
      <c r="J2432" s="4">
        <v>328</v>
      </c>
      <c r="K2432" s="4">
        <f>218370+394933</f>
        <v>613303</v>
      </c>
      <c r="L2432" s="1">
        <f t="shared" si="945"/>
        <v>613631</v>
      </c>
      <c r="M2432" s="2">
        <f t="shared" si="946"/>
        <v>5.3452319064714788E-4</v>
      </c>
      <c r="N2432" s="2">
        <f t="shared" si="947"/>
        <v>0.99946547680935283</v>
      </c>
    </row>
    <row r="2433" spans="1:14" x14ac:dyDescent="0.35">
      <c r="A2433" t="s">
        <v>35</v>
      </c>
      <c r="B2433" t="s">
        <v>25</v>
      </c>
      <c r="C2433">
        <v>2012</v>
      </c>
      <c r="D2433" t="s">
        <v>31</v>
      </c>
      <c r="E2433" s="3">
        <v>32</v>
      </c>
      <c r="F2433" s="3">
        <f>842+39</f>
        <v>881</v>
      </c>
      <c r="G2433" s="1">
        <f t="shared" si="948"/>
        <v>913</v>
      </c>
      <c r="H2433" s="2">
        <f t="shared" si="949"/>
        <v>3.5049288061336253E-2</v>
      </c>
      <c r="I2433" s="2">
        <f t="shared" si="950"/>
        <v>0.96495071193866377</v>
      </c>
      <c r="J2433" s="4">
        <v>338</v>
      </c>
      <c r="K2433" s="4">
        <f>220057+365272</f>
        <v>585329</v>
      </c>
      <c r="L2433" s="1">
        <f t="shared" si="945"/>
        <v>585667</v>
      </c>
      <c r="M2433" s="2">
        <f t="shared" si="946"/>
        <v>5.7711976259546807E-4</v>
      </c>
      <c r="N2433" s="2">
        <f t="shared" si="947"/>
        <v>0.99942288023740455</v>
      </c>
    </row>
    <row r="2434" spans="1:14" x14ac:dyDescent="0.35">
      <c r="A2434" t="s">
        <v>35</v>
      </c>
      <c r="B2434" t="s">
        <v>26</v>
      </c>
      <c r="C2434">
        <v>2012</v>
      </c>
      <c r="D2434" t="s">
        <v>31</v>
      </c>
      <c r="E2434" s="3">
        <v>34</v>
      </c>
      <c r="F2434" s="3">
        <f>822+38</f>
        <v>860</v>
      </c>
      <c r="G2434" s="1">
        <f t="shared" si="948"/>
        <v>894</v>
      </c>
      <c r="H2434" s="2">
        <f t="shared" si="949"/>
        <v>3.803131991051454E-2</v>
      </c>
      <c r="I2434" s="2">
        <f t="shared" si="950"/>
        <v>0.96196868008948544</v>
      </c>
      <c r="J2434" s="4">
        <v>362</v>
      </c>
      <c r="K2434" s="4">
        <f>230761+349066</f>
        <v>579827</v>
      </c>
      <c r="L2434" s="1">
        <f t="shared" si="945"/>
        <v>580189</v>
      </c>
      <c r="M2434" s="2">
        <f t="shared" si="946"/>
        <v>6.2393461441013185E-4</v>
      </c>
      <c r="N2434" s="2">
        <f t="shared" si="947"/>
        <v>0.99937606538558987</v>
      </c>
    </row>
    <row r="2435" spans="1:14" x14ac:dyDescent="0.35">
      <c r="A2435" t="s">
        <v>35</v>
      </c>
      <c r="B2435" t="s">
        <v>27</v>
      </c>
      <c r="C2435">
        <v>2012</v>
      </c>
      <c r="D2435" t="s">
        <v>31</v>
      </c>
      <c r="E2435" s="3">
        <v>29</v>
      </c>
      <c r="F2435" s="3">
        <f>827+42</f>
        <v>869</v>
      </c>
      <c r="G2435" s="1">
        <f t="shared" si="948"/>
        <v>898</v>
      </c>
      <c r="H2435" s="2">
        <f t="shared" si="949"/>
        <v>3.2293986636971049E-2</v>
      </c>
      <c r="I2435" s="2">
        <f t="shared" si="950"/>
        <v>0.96770601336302897</v>
      </c>
      <c r="J2435" s="4">
        <v>337</v>
      </c>
      <c r="K2435" s="4">
        <f>209728+375481</f>
        <v>585209</v>
      </c>
      <c r="L2435" s="1">
        <f t="shared" ref="L2435:L2498" si="951">SUM(J2435:K2435)</f>
        <v>585546</v>
      </c>
      <c r="M2435" s="2">
        <f t="shared" ref="M2435:M2498" si="952">SUM(J2435)/L2435</f>
        <v>5.7553121360234718E-4</v>
      </c>
      <c r="N2435" s="2">
        <f t="shared" ref="N2435:N2498" si="953">SUM(K2435/L2435)</f>
        <v>0.99942446878639768</v>
      </c>
    </row>
    <row r="2436" spans="1:14" x14ac:dyDescent="0.35">
      <c r="A2436" t="s">
        <v>35</v>
      </c>
      <c r="B2436" t="s">
        <v>28</v>
      </c>
      <c r="C2436">
        <v>2012</v>
      </c>
      <c r="D2436" t="s">
        <v>31</v>
      </c>
      <c r="E2436" s="3">
        <v>24</v>
      </c>
      <c r="F2436" s="3">
        <f>829+39</f>
        <v>868</v>
      </c>
      <c r="G2436" s="1">
        <f t="shared" si="948"/>
        <v>892</v>
      </c>
      <c r="H2436" s="2">
        <f t="shared" si="949"/>
        <v>2.6905829596412557E-2</v>
      </c>
      <c r="I2436" s="2">
        <f t="shared" si="950"/>
        <v>0.97309417040358748</v>
      </c>
      <c r="J2436" s="4">
        <v>174</v>
      </c>
      <c r="K2436" s="6">
        <f>196176+371664</f>
        <v>567840</v>
      </c>
      <c r="L2436" s="1">
        <f t="shared" si="951"/>
        <v>568014</v>
      </c>
      <c r="M2436" s="2">
        <f t="shared" si="952"/>
        <v>3.0633047776991413E-4</v>
      </c>
      <c r="N2436" s="2">
        <f t="shared" si="953"/>
        <v>0.99969366952223004</v>
      </c>
    </row>
    <row r="2437" spans="1:14" x14ac:dyDescent="0.35">
      <c r="A2437" t="s">
        <v>35</v>
      </c>
      <c r="B2437" t="s">
        <v>29</v>
      </c>
      <c r="C2437">
        <v>2012</v>
      </c>
      <c r="D2437" t="s">
        <v>31</v>
      </c>
      <c r="E2437" s="3">
        <v>23</v>
      </c>
      <c r="F2437" s="3">
        <f>836+40</f>
        <v>876</v>
      </c>
      <c r="G2437" s="1">
        <f t="shared" si="948"/>
        <v>899</v>
      </c>
      <c r="H2437" s="2">
        <f t="shared" si="949"/>
        <v>2.5583982202447165E-2</v>
      </c>
      <c r="I2437" s="2">
        <f t="shared" si="950"/>
        <v>0.97441601779755282</v>
      </c>
      <c r="J2437" s="4">
        <v>289</v>
      </c>
      <c r="K2437" s="6">
        <f>199952+400425</f>
        <v>600377</v>
      </c>
      <c r="L2437" s="1">
        <f t="shared" si="951"/>
        <v>600666</v>
      </c>
      <c r="M2437" s="2">
        <f t="shared" si="952"/>
        <v>4.8113260947015479E-4</v>
      </c>
      <c r="N2437" s="2">
        <f t="shared" si="953"/>
        <v>0.99951886739052986</v>
      </c>
    </row>
    <row r="2438" spans="1:14" x14ac:dyDescent="0.35">
      <c r="A2438" t="s">
        <v>35</v>
      </c>
      <c r="B2438" t="s">
        <v>17</v>
      </c>
      <c r="C2438">
        <v>2013</v>
      </c>
      <c r="D2438" t="s">
        <v>31</v>
      </c>
      <c r="E2438" s="3">
        <v>21</v>
      </c>
      <c r="F2438" s="3">
        <f>831+40</f>
        <v>871</v>
      </c>
      <c r="G2438" s="1">
        <f t="shared" si="948"/>
        <v>892</v>
      </c>
      <c r="H2438" s="2">
        <f t="shared" si="949"/>
        <v>2.3542600896860985E-2</v>
      </c>
      <c r="I2438" s="2">
        <f t="shared" si="950"/>
        <v>0.976457399103139</v>
      </c>
      <c r="J2438" s="4">
        <v>148</v>
      </c>
      <c r="K2438" s="6">
        <f>189068+374557</f>
        <v>563625</v>
      </c>
      <c r="L2438" s="1">
        <f t="shared" si="951"/>
        <v>563773</v>
      </c>
      <c r="M2438" s="2">
        <f t="shared" si="952"/>
        <v>2.625170059580718E-4</v>
      </c>
      <c r="N2438" s="2">
        <f t="shared" si="953"/>
        <v>0.99973748299404197</v>
      </c>
    </row>
    <row r="2439" spans="1:14" x14ac:dyDescent="0.35">
      <c r="A2439" t="s">
        <v>35</v>
      </c>
      <c r="B2439" t="s">
        <v>19</v>
      </c>
      <c r="C2439">
        <v>2013</v>
      </c>
      <c r="D2439" t="s">
        <v>31</v>
      </c>
      <c r="E2439" s="3">
        <v>22</v>
      </c>
      <c r="F2439" s="3">
        <f>843+41</f>
        <v>884</v>
      </c>
      <c r="G2439" s="1">
        <f t="shared" si="948"/>
        <v>906</v>
      </c>
      <c r="H2439" s="2">
        <f t="shared" si="949"/>
        <v>2.4282560706401765E-2</v>
      </c>
      <c r="I2439" s="2">
        <f t="shared" si="950"/>
        <v>0.97571743929359822</v>
      </c>
      <c r="J2439" s="4">
        <v>195</v>
      </c>
      <c r="K2439" s="6">
        <f>177376+365342</f>
        <v>542718</v>
      </c>
      <c r="L2439" s="1">
        <f t="shared" si="951"/>
        <v>542913</v>
      </c>
      <c r="M2439" s="2">
        <f t="shared" si="952"/>
        <v>3.591735692459013E-4</v>
      </c>
      <c r="N2439" s="2">
        <f t="shared" si="953"/>
        <v>0.99964082643075414</v>
      </c>
    </row>
    <row r="2440" spans="1:14" x14ac:dyDescent="0.35">
      <c r="A2440" t="s">
        <v>35</v>
      </c>
      <c r="B2440" t="s">
        <v>20</v>
      </c>
      <c r="C2440">
        <v>2013</v>
      </c>
      <c r="D2440" t="s">
        <v>31</v>
      </c>
      <c r="E2440" s="3">
        <v>23</v>
      </c>
      <c r="F2440" s="3">
        <f>831+42</f>
        <v>873</v>
      </c>
      <c r="G2440" s="1">
        <f t="shared" si="948"/>
        <v>896</v>
      </c>
      <c r="H2440" s="2">
        <f t="shared" si="949"/>
        <v>2.5669642857142856E-2</v>
      </c>
      <c r="I2440" s="2">
        <f t="shared" si="950"/>
        <v>0.9743303571428571</v>
      </c>
      <c r="J2440" s="4">
        <v>132</v>
      </c>
      <c r="K2440" s="6">
        <f>175358+337705</f>
        <v>513063</v>
      </c>
      <c r="L2440" s="1">
        <f t="shared" si="951"/>
        <v>513195</v>
      </c>
      <c r="M2440" s="2">
        <f t="shared" si="952"/>
        <v>2.5721217081226433E-4</v>
      </c>
      <c r="N2440" s="2">
        <f t="shared" si="953"/>
        <v>0.99974278782918768</v>
      </c>
    </row>
    <row r="2441" spans="1:14" x14ac:dyDescent="0.35">
      <c r="A2441" t="s">
        <v>35</v>
      </c>
      <c r="B2441" t="s">
        <v>21</v>
      </c>
      <c r="C2441">
        <v>2013</v>
      </c>
      <c r="D2441" t="s">
        <v>31</v>
      </c>
      <c r="E2441" s="3">
        <v>19</v>
      </c>
      <c r="F2441" s="3">
        <f>822+40</f>
        <v>862</v>
      </c>
      <c r="G2441" s="1">
        <f t="shared" si="948"/>
        <v>881</v>
      </c>
      <c r="H2441" s="2">
        <f t="shared" si="949"/>
        <v>2.1566401816118047E-2</v>
      </c>
      <c r="I2441" s="2">
        <f t="shared" si="950"/>
        <v>0.97843359818388198</v>
      </c>
      <c r="J2441" s="4">
        <v>152</v>
      </c>
      <c r="K2441" s="6">
        <f>176577+423047</f>
        <v>599624</v>
      </c>
      <c r="L2441" s="1">
        <f t="shared" si="951"/>
        <v>599776</v>
      </c>
      <c r="M2441" s="2">
        <f t="shared" si="952"/>
        <v>2.534279464333351E-4</v>
      </c>
      <c r="N2441" s="2">
        <f t="shared" si="953"/>
        <v>0.99974657205356665</v>
      </c>
    </row>
    <row r="2442" spans="1:14" x14ac:dyDescent="0.35">
      <c r="A2442" t="s">
        <v>35</v>
      </c>
      <c r="B2442" t="s">
        <v>22</v>
      </c>
      <c r="C2442">
        <v>2013</v>
      </c>
      <c r="D2442" t="s">
        <v>31</v>
      </c>
      <c r="E2442" s="3">
        <v>19</v>
      </c>
      <c r="F2442" s="3">
        <f>836+42</f>
        <v>878</v>
      </c>
      <c r="G2442" s="1">
        <f t="shared" si="948"/>
        <v>897</v>
      </c>
      <c r="H2442" s="2">
        <f t="shared" si="949"/>
        <v>2.1181716833890748E-2</v>
      </c>
      <c r="I2442" s="2">
        <f t="shared" si="950"/>
        <v>0.9788182831661093</v>
      </c>
      <c r="J2442" s="4">
        <v>150</v>
      </c>
      <c r="K2442" s="6">
        <f>189214+457247</f>
        <v>646461</v>
      </c>
      <c r="L2442" s="1">
        <f t="shared" si="951"/>
        <v>646611</v>
      </c>
      <c r="M2442" s="2">
        <f t="shared" si="952"/>
        <v>2.3197873218983283E-4</v>
      </c>
      <c r="N2442" s="2">
        <f t="shared" si="953"/>
        <v>0.99976802126781017</v>
      </c>
    </row>
    <row r="2443" spans="1:14" x14ac:dyDescent="0.35">
      <c r="A2443" t="s">
        <v>35</v>
      </c>
      <c r="B2443" t="s">
        <v>23</v>
      </c>
      <c r="C2443">
        <v>2013</v>
      </c>
      <c r="D2443" t="s">
        <v>31</v>
      </c>
      <c r="E2443" s="3">
        <v>19</v>
      </c>
      <c r="F2443" s="3">
        <f>836+42</f>
        <v>878</v>
      </c>
      <c r="G2443" s="1">
        <f t="shared" si="948"/>
        <v>897</v>
      </c>
      <c r="H2443" s="2">
        <f t="shared" si="949"/>
        <v>2.1181716833890748E-2</v>
      </c>
      <c r="I2443" s="2">
        <f t="shared" si="950"/>
        <v>0.9788182831661093</v>
      </c>
      <c r="J2443" s="4">
        <v>180</v>
      </c>
      <c r="K2443" s="6">
        <f>215866+395295</f>
        <v>611161</v>
      </c>
      <c r="L2443" s="1">
        <f t="shared" si="951"/>
        <v>611341</v>
      </c>
      <c r="M2443" s="2">
        <f t="shared" si="952"/>
        <v>2.9443469356709269E-4</v>
      </c>
      <c r="N2443" s="2">
        <f t="shared" si="953"/>
        <v>0.99970556530643295</v>
      </c>
    </row>
    <row r="2444" spans="1:14" x14ac:dyDescent="0.35">
      <c r="A2444" t="s">
        <v>35</v>
      </c>
      <c r="B2444" t="s">
        <v>24</v>
      </c>
      <c r="C2444">
        <v>2013</v>
      </c>
      <c r="D2444" t="s">
        <v>31</v>
      </c>
      <c r="E2444" s="3">
        <v>19</v>
      </c>
      <c r="F2444" s="3">
        <f>838+42</f>
        <v>880</v>
      </c>
      <c r="G2444" s="1">
        <f t="shared" si="948"/>
        <v>899</v>
      </c>
      <c r="H2444" s="2">
        <f t="shared" si="949"/>
        <v>2.1134593993325918E-2</v>
      </c>
      <c r="I2444" s="2">
        <f t="shared" si="950"/>
        <v>0.97886540600667404</v>
      </c>
      <c r="J2444" s="4">
        <v>198</v>
      </c>
      <c r="K2444" s="6">
        <f>225404+360034</f>
        <v>585438</v>
      </c>
      <c r="L2444" s="1">
        <f t="shared" si="951"/>
        <v>585636</v>
      </c>
      <c r="M2444" s="2">
        <f t="shared" si="952"/>
        <v>3.3809396963301437E-4</v>
      </c>
      <c r="N2444" s="2">
        <f t="shared" si="953"/>
        <v>0.99966190603036698</v>
      </c>
    </row>
    <row r="2445" spans="1:14" x14ac:dyDescent="0.35">
      <c r="A2445" t="s">
        <v>35</v>
      </c>
      <c r="B2445" t="s">
        <v>25</v>
      </c>
      <c r="C2445">
        <v>2013</v>
      </c>
      <c r="D2445" t="s">
        <v>31</v>
      </c>
      <c r="E2445" s="3">
        <v>19</v>
      </c>
      <c r="F2445" s="3">
        <f>841+42</f>
        <v>883</v>
      </c>
      <c r="G2445" s="1">
        <f t="shared" si="948"/>
        <v>902</v>
      </c>
      <c r="H2445" s="2">
        <f t="shared" si="949"/>
        <v>2.1064301552106431E-2</v>
      </c>
      <c r="I2445" s="2">
        <f t="shared" si="950"/>
        <v>0.97893569844789352</v>
      </c>
      <c r="J2445" s="4">
        <v>193</v>
      </c>
      <c r="K2445" s="6">
        <f>215433+384104</f>
        <v>599537</v>
      </c>
      <c r="L2445" s="1">
        <f t="shared" si="951"/>
        <v>599730</v>
      </c>
      <c r="M2445" s="2">
        <f t="shared" si="952"/>
        <v>3.2181148183349175E-4</v>
      </c>
      <c r="N2445" s="2">
        <f t="shared" si="953"/>
        <v>0.99967818851816648</v>
      </c>
    </row>
    <row r="2446" spans="1:14" x14ac:dyDescent="0.35">
      <c r="A2446" t="s">
        <v>35</v>
      </c>
      <c r="B2446" t="s">
        <v>26</v>
      </c>
      <c r="C2446">
        <v>2013</v>
      </c>
      <c r="D2446" t="s">
        <v>31</v>
      </c>
      <c r="E2446" s="3">
        <v>20</v>
      </c>
      <c r="F2446" s="3">
        <f>852+42</f>
        <v>894</v>
      </c>
      <c r="G2446" s="1">
        <f t="shared" si="948"/>
        <v>914</v>
      </c>
      <c r="H2446" s="2">
        <f t="shared" si="949"/>
        <v>2.1881838074398249E-2</v>
      </c>
      <c r="I2446" s="2">
        <f t="shared" si="950"/>
        <v>0.97811816192560175</v>
      </c>
      <c r="J2446" s="4">
        <v>313</v>
      </c>
      <c r="K2446" s="6">
        <f>222435+386553</f>
        <v>608988</v>
      </c>
      <c r="L2446" s="1">
        <f t="shared" si="951"/>
        <v>609301</v>
      </c>
      <c r="M2446" s="2">
        <f t="shared" si="952"/>
        <v>5.1370340767535258E-4</v>
      </c>
      <c r="N2446" s="2">
        <f t="shared" si="953"/>
        <v>0.99948629659232469</v>
      </c>
    </row>
    <row r="2447" spans="1:14" x14ac:dyDescent="0.35">
      <c r="A2447" t="s">
        <v>35</v>
      </c>
      <c r="B2447" t="s">
        <v>27</v>
      </c>
      <c r="C2447">
        <v>2013</v>
      </c>
      <c r="D2447" t="s">
        <v>31</v>
      </c>
      <c r="E2447" s="3">
        <v>20</v>
      </c>
      <c r="F2447" s="3">
        <f>846+43</f>
        <v>889</v>
      </c>
      <c r="G2447" s="1">
        <f t="shared" si="948"/>
        <v>909</v>
      </c>
      <c r="H2447" s="2">
        <f t="shared" si="949"/>
        <v>2.2002200220022004E-2</v>
      </c>
      <c r="I2447" s="2">
        <f t="shared" si="950"/>
        <v>0.97799779977997803</v>
      </c>
      <c r="J2447" s="4">
        <v>288</v>
      </c>
      <c r="K2447" s="6">
        <f>210169+365354</f>
        <v>575523</v>
      </c>
      <c r="L2447" s="1">
        <f t="shared" si="951"/>
        <v>575811</v>
      </c>
      <c r="M2447" s="2">
        <f t="shared" si="952"/>
        <v>5.0016411635067756E-4</v>
      </c>
      <c r="N2447" s="2">
        <f t="shared" si="953"/>
        <v>0.99949983588364932</v>
      </c>
    </row>
    <row r="2448" spans="1:14" x14ac:dyDescent="0.35">
      <c r="A2448" t="s">
        <v>35</v>
      </c>
      <c r="B2448" t="s">
        <v>28</v>
      </c>
      <c r="C2448">
        <v>2013</v>
      </c>
      <c r="D2448" t="s">
        <v>31</v>
      </c>
      <c r="E2448" s="3">
        <v>21</v>
      </c>
      <c r="F2448" s="3">
        <f>846+45</f>
        <v>891</v>
      </c>
      <c r="G2448" s="1">
        <f t="shared" si="948"/>
        <v>912</v>
      </c>
      <c r="H2448" s="2">
        <f t="shared" si="949"/>
        <v>2.3026315789473683E-2</v>
      </c>
      <c r="I2448" s="2">
        <f t="shared" si="950"/>
        <v>0.97697368421052633</v>
      </c>
      <c r="J2448" s="4">
        <v>251</v>
      </c>
      <c r="K2448" s="6">
        <f>196314+437003</f>
        <v>633317</v>
      </c>
      <c r="L2448" s="1">
        <f t="shared" si="951"/>
        <v>633568</v>
      </c>
      <c r="M2448" s="2">
        <f t="shared" si="952"/>
        <v>3.9616899843426438E-4</v>
      </c>
      <c r="N2448" s="2">
        <f t="shared" si="953"/>
        <v>0.99960383100156569</v>
      </c>
    </row>
    <row r="2449" spans="1:14" x14ac:dyDescent="0.35">
      <c r="A2449" t="s">
        <v>35</v>
      </c>
      <c r="B2449" t="s">
        <v>29</v>
      </c>
      <c r="C2449">
        <v>2013</v>
      </c>
      <c r="D2449" t="s">
        <v>31</v>
      </c>
      <c r="E2449" s="3">
        <v>21</v>
      </c>
      <c r="F2449" s="3">
        <f>831+40</f>
        <v>871</v>
      </c>
      <c r="G2449" s="1">
        <f t="shared" si="948"/>
        <v>892</v>
      </c>
      <c r="H2449" s="2">
        <f t="shared" si="949"/>
        <v>2.3542600896860985E-2</v>
      </c>
      <c r="I2449" s="2">
        <f t="shared" si="950"/>
        <v>0.976457399103139</v>
      </c>
      <c r="J2449" s="4">
        <v>225</v>
      </c>
      <c r="K2449" s="6">
        <f>188193+398301</f>
        <v>586494</v>
      </c>
      <c r="L2449" s="1">
        <f t="shared" si="951"/>
        <v>586719</v>
      </c>
      <c r="M2449" s="2">
        <f t="shared" si="952"/>
        <v>3.8348851835376049E-4</v>
      </c>
      <c r="N2449" s="2">
        <f t="shared" si="953"/>
        <v>0.99961651148164621</v>
      </c>
    </row>
    <row r="2450" spans="1:14" x14ac:dyDescent="0.35">
      <c r="A2450" t="s">
        <v>35</v>
      </c>
      <c r="B2450" t="s">
        <v>17</v>
      </c>
      <c r="C2450">
        <v>2014</v>
      </c>
      <c r="D2450" t="s">
        <v>31</v>
      </c>
      <c r="E2450" s="3">
        <f>19</f>
        <v>19</v>
      </c>
      <c r="F2450" s="3">
        <f>816+42</f>
        <v>858</v>
      </c>
      <c r="G2450" s="1">
        <f t="shared" si="948"/>
        <v>877</v>
      </c>
      <c r="H2450" s="2">
        <f t="shared" si="949"/>
        <v>2.1664766248574687E-2</v>
      </c>
      <c r="I2450" s="2">
        <f t="shared" si="950"/>
        <v>0.97833523375142528</v>
      </c>
      <c r="J2450" s="4">
        <v>213</v>
      </c>
      <c r="K2450" s="6">
        <f>181591+387029</f>
        <v>568620</v>
      </c>
      <c r="L2450" s="1">
        <f t="shared" si="951"/>
        <v>568833</v>
      </c>
      <c r="M2450" s="2">
        <f t="shared" si="952"/>
        <v>3.744508493705534E-4</v>
      </c>
      <c r="N2450" s="2">
        <f t="shared" si="953"/>
        <v>0.9996255491506294</v>
      </c>
    </row>
    <row r="2451" spans="1:14" x14ac:dyDescent="0.35">
      <c r="A2451" t="s">
        <v>35</v>
      </c>
      <c r="B2451" t="s">
        <v>19</v>
      </c>
      <c r="C2451">
        <v>2014</v>
      </c>
      <c r="D2451" t="s">
        <v>31</v>
      </c>
      <c r="E2451" s="3">
        <f>18</f>
        <v>18</v>
      </c>
      <c r="F2451" s="3">
        <f>835+41</f>
        <v>876</v>
      </c>
      <c r="G2451" s="1">
        <f t="shared" si="948"/>
        <v>894</v>
      </c>
      <c r="H2451" s="2">
        <f t="shared" si="949"/>
        <v>2.0134228187919462E-2</v>
      </c>
      <c r="I2451" s="2">
        <f t="shared" si="950"/>
        <v>0.97986577181208057</v>
      </c>
      <c r="J2451" s="4">
        <v>145</v>
      </c>
      <c r="K2451" s="6">
        <f>160438+326999</f>
        <v>487437</v>
      </c>
      <c r="L2451" s="1">
        <f t="shared" si="951"/>
        <v>487582</v>
      </c>
      <c r="M2451" s="2">
        <f t="shared" si="952"/>
        <v>2.9738587560656463E-4</v>
      </c>
      <c r="N2451" s="2">
        <f t="shared" si="953"/>
        <v>0.99970261412439343</v>
      </c>
    </row>
    <row r="2452" spans="1:14" x14ac:dyDescent="0.35">
      <c r="A2452" t="s">
        <v>35</v>
      </c>
      <c r="B2452" t="s">
        <v>20</v>
      </c>
      <c r="C2452">
        <v>2014</v>
      </c>
      <c r="D2452" t="s">
        <v>31</v>
      </c>
      <c r="E2452" s="3">
        <v>18</v>
      </c>
      <c r="F2452" s="3">
        <f>802+41</f>
        <v>843</v>
      </c>
      <c r="G2452" s="1">
        <f t="shared" si="948"/>
        <v>861</v>
      </c>
      <c r="H2452" s="2">
        <f t="shared" si="949"/>
        <v>2.0905923344947737E-2</v>
      </c>
      <c r="I2452" s="2">
        <f t="shared" si="950"/>
        <v>0.97909407665505221</v>
      </c>
      <c r="J2452" s="4">
        <v>119</v>
      </c>
      <c r="K2452" s="6">
        <f>173948+334059</f>
        <v>508007</v>
      </c>
      <c r="L2452" s="1">
        <f t="shared" si="951"/>
        <v>508126</v>
      </c>
      <c r="M2452" s="2">
        <f t="shared" si="952"/>
        <v>2.3419388104525257E-4</v>
      </c>
      <c r="N2452" s="2">
        <f t="shared" si="953"/>
        <v>0.99976580611895471</v>
      </c>
    </row>
    <row r="2453" spans="1:14" x14ac:dyDescent="0.35">
      <c r="A2453" t="s">
        <v>35</v>
      </c>
      <c r="B2453" t="s">
        <v>21</v>
      </c>
      <c r="C2453">
        <v>2014</v>
      </c>
      <c r="D2453" t="s">
        <v>31</v>
      </c>
      <c r="E2453" s="3">
        <v>18</v>
      </c>
      <c r="F2453" s="3">
        <f>856+43</f>
        <v>899</v>
      </c>
      <c r="G2453" s="1">
        <f t="shared" si="948"/>
        <v>917</v>
      </c>
      <c r="H2453" s="2">
        <f t="shared" si="949"/>
        <v>1.9629225736095966E-2</v>
      </c>
      <c r="I2453" s="2">
        <f t="shared" si="950"/>
        <v>0.98037077426390407</v>
      </c>
      <c r="J2453" s="4">
        <v>132</v>
      </c>
      <c r="K2453" s="6">
        <f>183440+430282</f>
        <v>613722</v>
      </c>
      <c r="L2453" s="1">
        <f t="shared" si="951"/>
        <v>613854</v>
      </c>
      <c r="M2453" s="2">
        <f t="shared" si="952"/>
        <v>2.1503484541926908E-4</v>
      </c>
      <c r="N2453" s="2">
        <f t="shared" si="953"/>
        <v>0.99978496515458071</v>
      </c>
    </row>
    <row r="2454" spans="1:14" x14ac:dyDescent="0.35">
      <c r="A2454" t="s">
        <v>35</v>
      </c>
      <c r="B2454" t="s">
        <v>22</v>
      </c>
      <c r="C2454">
        <v>2014</v>
      </c>
      <c r="D2454" t="s">
        <v>31</v>
      </c>
      <c r="E2454" s="3">
        <v>18</v>
      </c>
      <c r="F2454" s="3">
        <f>853+43</f>
        <v>896</v>
      </c>
      <c r="G2454" s="1">
        <f t="shared" si="948"/>
        <v>914</v>
      </c>
      <c r="H2454" s="2">
        <f t="shared" si="949"/>
        <v>1.9693654266958426E-2</v>
      </c>
      <c r="I2454" s="2">
        <f t="shared" si="950"/>
        <v>0.98030634573304154</v>
      </c>
      <c r="J2454" s="4">
        <v>159</v>
      </c>
      <c r="K2454" s="6">
        <f>201658+464861</f>
        <v>666519</v>
      </c>
      <c r="L2454" s="1">
        <f t="shared" si="951"/>
        <v>666678</v>
      </c>
      <c r="M2454" s="2">
        <f t="shared" si="952"/>
        <v>2.3849594556892532E-4</v>
      </c>
      <c r="N2454" s="2">
        <f t="shared" si="953"/>
        <v>0.99976150405443109</v>
      </c>
    </row>
    <row r="2455" spans="1:14" x14ac:dyDescent="0.35">
      <c r="A2455" t="s">
        <v>35</v>
      </c>
      <c r="B2455" t="s">
        <v>23</v>
      </c>
      <c r="C2455">
        <v>2014</v>
      </c>
      <c r="D2455" t="s">
        <v>31</v>
      </c>
      <c r="E2455" s="3">
        <v>18</v>
      </c>
      <c r="F2455" s="3">
        <f>856+43</f>
        <v>899</v>
      </c>
      <c r="G2455" s="1">
        <f t="shared" si="948"/>
        <v>917</v>
      </c>
      <c r="H2455" s="2">
        <f t="shared" si="949"/>
        <v>1.9629225736095966E-2</v>
      </c>
      <c r="I2455" s="2">
        <f t="shared" si="950"/>
        <v>0.98037077426390407</v>
      </c>
      <c r="J2455" s="4">
        <v>186</v>
      </c>
      <c r="K2455" s="6">
        <f>215555+441266</f>
        <v>656821</v>
      </c>
      <c r="L2455" s="1">
        <f t="shared" si="951"/>
        <v>657007</v>
      </c>
      <c r="M2455" s="2">
        <f t="shared" si="952"/>
        <v>2.8310200652352258E-4</v>
      </c>
      <c r="N2455" s="2">
        <f t="shared" si="953"/>
        <v>0.99971689799347652</v>
      </c>
    </row>
    <row r="2456" spans="1:14" x14ac:dyDescent="0.35">
      <c r="A2456" t="s">
        <v>35</v>
      </c>
      <c r="B2456" t="s">
        <v>24</v>
      </c>
      <c r="C2456">
        <v>2014</v>
      </c>
      <c r="D2456" t="s">
        <v>31</v>
      </c>
      <c r="E2456" s="3">
        <v>18</v>
      </c>
      <c r="F2456" s="3">
        <f>852+45</f>
        <v>897</v>
      </c>
      <c r="G2456" s="1">
        <f t="shared" si="948"/>
        <v>915</v>
      </c>
      <c r="H2456" s="2">
        <f t="shared" si="949"/>
        <v>1.9672131147540985E-2</v>
      </c>
      <c r="I2456" s="2">
        <f t="shared" si="950"/>
        <v>0.98032786885245904</v>
      </c>
      <c r="J2456" s="4">
        <v>225</v>
      </c>
      <c r="K2456" s="6">
        <f>227770+412182</f>
        <v>639952</v>
      </c>
      <c r="L2456" s="1">
        <f t="shared" si="951"/>
        <v>640177</v>
      </c>
      <c r="M2456" s="2">
        <f t="shared" si="952"/>
        <v>3.5146529787855545E-4</v>
      </c>
      <c r="N2456" s="2">
        <f t="shared" si="953"/>
        <v>0.99964853470212145</v>
      </c>
    </row>
    <row r="2457" spans="1:14" x14ac:dyDescent="0.35">
      <c r="A2457" t="s">
        <v>35</v>
      </c>
      <c r="B2457" t="s">
        <v>25</v>
      </c>
      <c r="C2457">
        <v>2014</v>
      </c>
      <c r="D2457" t="s">
        <v>31</v>
      </c>
      <c r="E2457" s="3">
        <v>17</v>
      </c>
      <c r="F2457" s="3">
        <f>850+44</f>
        <v>894</v>
      </c>
      <c r="G2457" s="1">
        <f t="shared" si="948"/>
        <v>911</v>
      </c>
      <c r="H2457" s="2">
        <f t="shared" si="949"/>
        <v>1.8660812294182216E-2</v>
      </c>
      <c r="I2457" s="2">
        <f t="shared" si="950"/>
        <v>0.98133918770581774</v>
      </c>
      <c r="J2457" s="4">
        <v>100</v>
      </c>
      <c r="K2457" s="6">
        <f>223971+413797</f>
        <v>637768</v>
      </c>
      <c r="L2457" s="1">
        <f t="shared" si="951"/>
        <v>637868</v>
      </c>
      <c r="M2457" s="2">
        <f t="shared" si="952"/>
        <v>1.5677224754964976E-4</v>
      </c>
      <c r="N2457" s="2">
        <f t="shared" si="953"/>
        <v>0.99984322775245038</v>
      </c>
    </row>
    <row r="2458" spans="1:14" x14ac:dyDescent="0.35">
      <c r="A2458" t="s">
        <v>35</v>
      </c>
      <c r="B2458" t="s">
        <v>26</v>
      </c>
      <c r="C2458">
        <v>2014</v>
      </c>
      <c r="D2458" t="s">
        <v>31</v>
      </c>
      <c r="E2458" s="3">
        <v>17</v>
      </c>
      <c r="F2458" s="3">
        <f>850+43</f>
        <v>893</v>
      </c>
      <c r="G2458" s="1">
        <f t="shared" si="948"/>
        <v>910</v>
      </c>
      <c r="H2458" s="2">
        <f t="shared" si="949"/>
        <v>1.8681318681318681E-2</v>
      </c>
      <c r="I2458" s="2">
        <f t="shared" si="950"/>
        <v>0.98131868131868127</v>
      </c>
      <c r="J2458" s="4">
        <v>112</v>
      </c>
      <c r="K2458" s="6">
        <f>236086+439894</f>
        <v>675980</v>
      </c>
      <c r="L2458" s="1">
        <f t="shared" si="951"/>
        <v>676092</v>
      </c>
      <c r="M2458" s="2">
        <f t="shared" si="952"/>
        <v>1.6565792821095354E-4</v>
      </c>
      <c r="N2458" s="2">
        <f t="shared" si="953"/>
        <v>0.99983434207178901</v>
      </c>
    </row>
    <row r="2459" spans="1:14" x14ac:dyDescent="0.35">
      <c r="A2459" t="s">
        <v>35</v>
      </c>
      <c r="B2459" t="s">
        <v>27</v>
      </c>
      <c r="C2459">
        <v>2014</v>
      </c>
      <c r="D2459" t="s">
        <v>31</v>
      </c>
      <c r="E2459" s="3">
        <v>17</v>
      </c>
      <c r="F2459" s="3">
        <f>851+46</f>
        <v>897</v>
      </c>
      <c r="G2459" s="1">
        <f t="shared" si="948"/>
        <v>914</v>
      </c>
      <c r="H2459" s="2">
        <f t="shared" si="949"/>
        <v>1.8599562363238512E-2</v>
      </c>
      <c r="I2459" s="2">
        <f t="shared" si="950"/>
        <v>0.98140043763676144</v>
      </c>
      <c r="J2459" s="4">
        <v>112</v>
      </c>
      <c r="K2459" s="4">
        <f>216383+463259</f>
        <v>679642</v>
      </c>
      <c r="L2459" s="1">
        <f t="shared" si="951"/>
        <v>679754</v>
      </c>
      <c r="M2459" s="2">
        <f t="shared" si="952"/>
        <v>1.6476548869149722E-4</v>
      </c>
      <c r="N2459" s="2">
        <f t="shared" si="953"/>
        <v>0.99983523451130851</v>
      </c>
    </row>
    <row r="2460" spans="1:14" x14ac:dyDescent="0.35">
      <c r="A2460" t="s">
        <v>35</v>
      </c>
      <c r="B2460" t="s">
        <v>28</v>
      </c>
      <c r="C2460">
        <v>2014</v>
      </c>
      <c r="D2460" t="s">
        <v>31</v>
      </c>
      <c r="E2460" s="3">
        <v>17</v>
      </c>
      <c r="F2460" s="3">
        <f>855+44</f>
        <v>899</v>
      </c>
      <c r="G2460" s="1">
        <f t="shared" si="948"/>
        <v>916</v>
      </c>
      <c r="H2460" s="2">
        <f t="shared" si="949"/>
        <v>1.8558951965065504E-2</v>
      </c>
      <c r="I2460" s="2">
        <f t="shared" si="950"/>
        <v>0.98144104803493448</v>
      </c>
      <c r="J2460" s="4">
        <v>76</v>
      </c>
      <c r="K2460" s="4">
        <f>199905+363096</f>
        <v>563001</v>
      </c>
      <c r="L2460" s="1">
        <f t="shared" si="951"/>
        <v>563077</v>
      </c>
      <c r="M2460" s="2">
        <f t="shared" si="952"/>
        <v>1.3497265915674055E-4</v>
      </c>
      <c r="N2460" s="2">
        <f t="shared" si="953"/>
        <v>0.99986502734084326</v>
      </c>
    </row>
    <row r="2461" spans="1:14" x14ac:dyDescent="0.35">
      <c r="A2461" t="s">
        <v>35</v>
      </c>
      <c r="B2461" t="s">
        <v>29</v>
      </c>
      <c r="C2461">
        <v>2014</v>
      </c>
      <c r="D2461" t="s">
        <v>31</v>
      </c>
      <c r="E2461" s="3">
        <v>17</v>
      </c>
      <c r="F2461" s="3">
        <f>863+45</f>
        <v>908</v>
      </c>
      <c r="G2461" s="1">
        <f t="shared" si="948"/>
        <v>925</v>
      </c>
      <c r="H2461" s="2">
        <f t="shared" si="949"/>
        <v>1.8378378378378378E-2</v>
      </c>
      <c r="I2461" s="2">
        <f t="shared" si="950"/>
        <v>0.98162162162162159</v>
      </c>
      <c r="J2461" s="4">
        <v>73</v>
      </c>
      <c r="K2461" s="4">
        <f>384739+387174</f>
        <v>771913</v>
      </c>
      <c r="L2461" s="1">
        <f t="shared" si="951"/>
        <v>771986</v>
      </c>
      <c r="M2461" s="2">
        <f t="shared" si="952"/>
        <v>9.456130033446203E-5</v>
      </c>
      <c r="N2461" s="2">
        <f t="shared" si="953"/>
        <v>0.99990543869966553</v>
      </c>
    </row>
    <row r="2462" spans="1:14" x14ac:dyDescent="0.35">
      <c r="A2462" t="s">
        <v>35</v>
      </c>
      <c r="B2462" t="s">
        <v>17</v>
      </c>
      <c r="C2462">
        <v>2015</v>
      </c>
      <c r="D2462" t="s">
        <v>31</v>
      </c>
      <c r="E2462" s="3">
        <v>17</v>
      </c>
      <c r="F2462" s="3">
        <f>848+47</f>
        <v>895</v>
      </c>
      <c r="G2462" s="1">
        <f t="shared" si="948"/>
        <v>912</v>
      </c>
      <c r="H2462" s="2">
        <f t="shared" si="949"/>
        <v>1.8640350877192981E-2</v>
      </c>
      <c r="I2462" s="2">
        <f t="shared" si="950"/>
        <v>0.98135964912280704</v>
      </c>
      <c r="J2462" s="4">
        <v>82</v>
      </c>
      <c r="K2462" s="4">
        <f>185197+403378</f>
        <v>588575</v>
      </c>
      <c r="L2462" s="1">
        <f t="shared" si="951"/>
        <v>588657</v>
      </c>
      <c r="M2462" s="2">
        <f t="shared" si="952"/>
        <v>1.3930013573269323E-4</v>
      </c>
      <c r="N2462" s="2">
        <f t="shared" si="953"/>
        <v>0.99986069986426729</v>
      </c>
    </row>
    <row r="2463" spans="1:14" x14ac:dyDescent="0.35">
      <c r="A2463" t="s">
        <v>35</v>
      </c>
      <c r="B2463" t="s">
        <v>19</v>
      </c>
      <c r="C2463">
        <v>2015</v>
      </c>
      <c r="D2463" t="s">
        <v>31</v>
      </c>
      <c r="E2463" s="3">
        <v>17</v>
      </c>
      <c r="F2463" s="3">
        <f>857+45</f>
        <v>902</v>
      </c>
      <c r="G2463" s="1">
        <f t="shared" si="948"/>
        <v>919</v>
      </c>
      <c r="H2463" s="2">
        <f t="shared" si="949"/>
        <v>1.8498367791077257E-2</v>
      </c>
      <c r="I2463" s="2">
        <f t="shared" si="950"/>
        <v>0.98150163220892273</v>
      </c>
      <c r="J2463" s="4">
        <v>72</v>
      </c>
      <c r="K2463" s="4">
        <f>190527+395950</f>
        <v>586477</v>
      </c>
      <c r="L2463" s="1">
        <f t="shared" si="951"/>
        <v>586549</v>
      </c>
      <c r="M2463" s="2">
        <f t="shared" si="952"/>
        <v>1.2275189285123665E-4</v>
      </c>
      <c r="N2463" s="2">
        <f t="shared" si="953"/>
        <v>0.99987724810714873</v>
      </c>
    </row>
    <row r="2464" spans="1:14" x14ac:dyDescent="0.35">
      <c r="A2464" t="s">
        <v>35</v>
      </c>
      <c r="B2464" t="s">
        <v>20</v>
      </c>
      <c r="C2464">
        <v>2015</v>
      </c>
      <c r="D2464" t="s">
        <v>31</v>
      </c>
      <c r="E2464" s="3">
        <v>17</v>
      </c>
      <c r="F2464" s="3">
        <f>860+45</f>
        <v>905</v>
      </c>
      <c r="G2464" s="1">
        <f t="shared" si="948"/>
        <v>922</v>
      </c>
      <c r="H2464" s="2">
        <f t="shared" si="949"/>
        <v>1.843817787418655E-2</v>
      </c>
      <c r="I2464" s="2">
        <f t="shared" si="950"/>
        <v>0.98156182212581344</v>
      </c>
      <c r="J2464" s="4">
        <v>76</v>
      </c>
      <c r="K2464" s="4">
        <f>179337+390351</f>
        <v>569688</v>
      </c>
      <c r="L2464" s="1">
        <f t="shared" si="951"/>
        <v>569764</v>
      </c>
      <c r="M2464" s="2">
        <f t="shared" si="952"/>
        <v>1.3338856087783714E-4</v>
      </c>
      <c r="N2464" s="2">
        <f t="shared" si="953"/>
        <v>0.99986661143912214</v>
      </c>
    </row>
    <row r="2465" spans="1:14" x14ac:dyDescent="0.35">
      <c r="A2465" t="s">
        <v>35</v>
      </c>
      <c r="B2465" t="s">
        <v>21</v>
      </c>
      <c r="C2465">
        <v>2015</v>
      </c>
      <c r="D2465" t="s">
        <v>31</v>
      </c>
      <c r="E2465" s="3">
        <v>17</v>
      </c>
      <c r="F2465" s="3">
        <f>852+45</f>
        <v>897</v>
      </c>
      <c r="G2465" s="1">
        <f t="shared" si="948"/>
        <v>914</v>
      </c>
      <c r="H2465" s="2">
        <f t="shared" si="949"/>
        <v>1.8599562363238512E-2</v>
      </c>
      <c r="I2465" s="2">
        <f t="shared" si="950"/>
        <v>0.98140043763676144</v>
      </c>
      <c r="J2465" s="4">
        <v>70</v>
      </c>
      <c r="K2465" s="4">
        <f>196830+433998</f>
        <v>630828</v>
      </c>
      <c r="L2465" s="1">
        <f t="shared" si="951"/>
        <v>630898</v>
      </c>
      <c r="M2465" s="2">
        <f t="shared" si="952"/>
        <v>1.109529591154196E-4</v>
      </c>
      <c r="N2465" s="2">
        <f t="shared" si="953"/>
        <v>0.99988904704088455</v>
      </c>
    </row>
    <row r="2466" spans="1:14" x14ac:dyDescent="0.35">
      <c r="A2466" t="s">
        <v>35</v>
      </c>
      <c r="B2466" t="s">
        <v>22</v>
      </c>
      <c r="C2466">
        <v>2015</v>
      </c>
      <c r="D2466" t="s">
        <v>31</v>
      </c>
      <c r="E2466" s="3">
        <v>17</v>
      </c>
      <c r="F2466" s="3">
        <f>852+45</f>
        <v>897</v>
      </c>
      <c r="G2466" s="1">
        <f t="shared" si="948"/>
        <v>914</v>
      </c>
      <c r="H2466" s="2">
        <f t="shared" si="949"/>
        <v>1.8599562363238512E-2</v>
      </c>
      <c r="I2466" s="2">
        <f t="shared" si="950"/>
        <v>0.98140043763676144</v>
      </c>
      <c r="J2466" s="4">
        <v>82</v>
      </c>
      <c r="K2466" s="4">
        <f>201313+383148</f>
        <v>584461</v>
      </c>
      <c r="L2466" s="1">
        <f t="shared" si="951"/>
        <v>584543</v>
      </c>
      <c r="M2466" s="2">
        <f t="shared" si="952"/>
        <v>1.4028052683891519E-4</v>
      </c>
      <c r="N2466" s="2">
        <f t="shared" si="953"/>
        <v>0.9998597194731611</v>
      </c>
    </row>
    <row r="2467" spans="1:14" x14ac:dyDescent="0.35">
      <c r="A2467" t="s">
        <v>35</v>
      </c>
      <c r="B2467" t="s">
        <v>23</v>
      </c>
      <c r="C2467">
        <v>2015</v>
      </c>
      <c r="D2467" t="s">
        <v>31</v>
      </c>
      <c r="E2467" s="3">
        <v>17</v>
      </c>
      <c r="F2467" s="3">
        <f>859+45</f>
        <v>904</v>
      </c>
      <c r="G2467" s="1">
        <f t="shared" si="948"/>
        <v>921</v>
      </c>
      <c r="H2467" s="2">
        <f t="shared" si="949"/>
        <v>1.8458197611292075E-2</v>
      </c>
      <c r="I2467" s="2">
        <f t="shared" si="950"/>
        <v>0.98154180238870792</v>
      </c>
      <c r="J2467" s="4">
        <v>90</v>
      </c>
      <c r="K2467" s="4">
        <f>219376+428150</f>
        <v>647526</v>
      </c>
      <c r="L2467" s="1">
        <f t="shared" si="951"/>
        <v>647616</v>
      </c>
      <c r="M2467" s="2">
        <f t="shared" si="952"/>
        <v>1.3897124221761044E-4</v>
      </c>
      <c r="N2467" s="2">
        <f t="shared" si="953"/>
        <v>0.99986102875778238</v>
      </c>
    </row>
    <row r="2468" spans="1:14" x14ac:dyDescent="0.35">
      <c r="A2468" t="s">
        <v>35</v>
      </c>
      <c r="B2468" t="s">
        <v>24</v>
      </c>
      <c r="C2468">
        <v>2015</v>
      </c>
      <c r="D2468" t="s">
        <v>31</v>
      </c>
      <c r="E2468" s="3">
        <v>16</v>
      </c>
      <c r="F2468" s="3">
        <f>864+45</f>
        <v>909</v>
      </c>
      <c r="G2468" s="1">
        <f t="shared" si="948"/>
        <v>925</v>
      </c>
      <c r="H2468" s="2">
        <f t="shared" si="949"/>
        <v>1.7297297297297298E-2</v>
      </c>
      <c r="I2468" s="2">
        <f t="shared" si="950"/>
        <v>0.98270270270270266</v>
      </c>
      <c r="J2468" s="4">
        <v>92</v>
      </c>
      <c r="K2468" s="4">
        <f>227238+408074</f>
        <v>635312</v>
      </c>
      <c r="L2468" s="1">
        <f t="shared" si="951"/>
        <v>635404</v>
      </c>
      <c r="M2468" s="2">
        <f t="shared" si="952"/>
        <v>1.4478977154692134E-4</v>
      </c>
      <c r="N2468" s="2">
        <f t="shared" si="953"/>
        <v>0.99985521022845303</v>
      </c>
    </row>
    <row r="2469" spans="1:14" x14ac:dyDescent="0.35">
      <c r="A2469" t="s">
        <v>35</v>
      </c>
      <c r="B2469" t="s">
        <v>25</v>
      </c>
      <c r="C2469">
        <v>2015</v>
      </c>
      <c r="D2469" t="s">
        <v>31</v>
      </c>
      <c r="E2469" s="3">
        <v>16</v>
      </c>
      <c r="F2469" s="3">
        <f>866+45</f>
        <v>911</v>
      </c>
      <c r="G2469" s="1">
        <f t="shared" si="948"/>
        <v>927</v>
      </c>
      <c r="H2469" s="2">
        <f t="shared" si="949"/>
        <v>1.7259978425026967E-2</v>
      </c>
      <c r="I2469" s="2">
        <f t="shared" si="950"/>
        <v>0.98274002157497298</v>
      </c>
      <c r="J2469" s="4">
        <v>86</v>
      </c>
      <c r="K2469" s="4">
        <f>232211+417066</f>
        <v>649277</v>
      </c>
      <c r="L2469" s="1">
        <f t="shared" si="951"/>
        <v>649363</v>
      </c>
      <c r="M2469" s="2">
        <f t="shared" si="952"/>
        <v>1.3243748103911062E-4</v>
      </c>
      <c r="N2469" s="2">
        <f t="shared" si="953"/>
        <v>0.99986756251896092</v>
      </c>
    </row>
    <row r="2470" spans="1:14" x14ac:dyDescent="0.35">
      <c r="A2470" t="s">
        <v>35</v>
      </c>
      <c r="B2470" t="s">
        <v>26</v>
      </c>
      <c r="C2470">
        <v>2015</v>
      </c>
      <c r="D2470" t="s">
        <v>31</v>
      </c>
      <c r="E2470" s="3">
        <v>15</v>
      </c>
      <c r="F2470" s="3">
        <f>859+45</f>
        <v>904</v>
      </c>
      <c r="G2470" s="1">
        <f t="shared" si="948"/>
        <v>919</v>
      </c>
      <c r="H2470" s="2">
        <f t="shared" si="949"/>
        <v>1.6322089227421111E-2</v>
      </c>
      <c r="I2470" s="2">
        <f t="shared" si="950"/>
        <v>0.98367791077257893</v>
      </c>
      <c r="J2470" s="4">
        <v>90</v>
      </c>
      <c r="K2470" s="4">
        <f>237097+406197</f>
        <v>643294</v>
      </c>
      <c r="L2470" s="1">
        <f t="shared" si="951"/>
        <v>643384</v>
      </c>
      <c r="M2470" s="2">
        <f t="shared" si="952"/>
        <v>1.3988535617920247E-4</v>
      </c>
      <c r="N2470" s="2">
        <f t="shared" si="953"/>
        <v>0.99986011464382085</v>
      </c>
    </row>
    <row r="2471" spans="1:14" x14ac:dyDescent="0.35">
      <c r="A2471" t="s">
        <v>35</v>
      </c>
      <c r="B2471" t="s">
        <v>27</v>
      </c>
      <c r="C2471">
        <v>2015</v>
      </c>
      <c r="D2471" t="s">
        <v>31</v>
      </c>
      <c r="E2471" s="3">
        <v>18</v>
      </c>
      <c r="F2471" s="3">
        <f>861+45</f>
        <v>906</v>
      </c>
      <c r="G2471" s="1">
        <f t="shared" si="948"/>
        <v>924</v>
      </c>
      <c r="H2471" s="2">
        <f t="shared" si="949"/>
        <v>1.948051948051948E-2</v>
      </c>
      <c r="I2471" s="2">
        <f t="shared" si="950"/>
        <v>0.98051948051948057</v>
      </c>
      <c r="J2471" s="4">
        <v>94</v>
      </c>
      <c r="K2471" s="4">
        <f>207045+429609</f>
        <v>636654</v>
      </c>
      <c r="L2471" s="1">
        <f t="shared" si="951"/>
        <v>636748</v>
      </c>
      <c r="M2471" s="2">
        <f t="shared" si="952"/>
        <v>1.4762512014172011E-4</v>
      </c>
      <c r="N2471" s="2">
        <f t="shared" si="953"/>
        <v>0.99985237487985823</v>
      </c>
    </row>
    <row r="2472" spans="1:14" x14ac:dyDescent="0.35">
      <c r="A2472" t="s">
        <v>35</v>
      </c>
      <c r="B2472" t="s">
        <v>28</v>
      </c>
      <c r="C2472">
        <v>2015</v>
      </c>
      <c r="D2472" t="s">
        <v>31</v>
      </c>
      <c r="E2472" s="3">
        <v>12</v>
      </c>
      <c r="F2472" s="3">
        <f>862+58</f>
        <v>920</v>
      </c>
      <c r="G2472" s="1">
        <f t="shared" si="948"/>
        <v>932</v>
      </c>
      <c r="H2472" s="2">
        <f t="shared" si="949"/>
        <v>1.2875536480686695E-2</v>
      </c>
      <c r="I2472" s="2">
        <f t="shared" si="950"/>
        <v>0.98712446351931327</v>
      </c>
      <c r="J2472" s="4">
        <v>72</v>
      </c>
      <c r="K2472" s="4">
        <f>207045+429609</f>
        <v>636654</v>
      </c>
      <c r="L2472" s="1">
        <f t="shared" si="951"/>
        <v>636726</v>
      </c>
      <c r="M2472" s="2">
        <f t="shared" si="952"/>
        <v>1.1307846703291526E-4</v>
      </c>
      <c r="N2472" s="2">
        <f t="shared" si="953"/>
        <v>0.9998869215329671</v>
      </c>
    </row>
    <row r="2473" spans="1:14" x14ac:dyDescent="0.35">
      <c r="A2473" t="s">
        <v>35</v>
      </c>
      <c r="B2473" t="s">
        <v>29</v>
      </c>
      <c r="C2473">
        <v>2015</v>
      </c>
      <c r="D2473" t="s">
        <v>31</v>
      </c>
      <c r="E2473" s="3">
        <v>11</v>
      </c>
      <c r="F2473" s="3">
        <f>868+47</f>
        <v>915</v>
      </c>
      <c r="G2473" s="1">
        <f t="shared" si="948"/>
        <v>926</v>
      </c>
      <c r="H2473" s="2">
        <f t="shared" si="949"/>
        <v>1.1879049676025918E-2</v>
      </c>
      <c r="I2473" s="2">
        <f t="shared" si="950"/>
        <v>0.98812095032397407</v>
      </c>
      <c r="J2473" s="4">
        <v>68</v>
      </c>
      <c r="K2473" s="4">
        <f>207433+402242</f>
        <v>609675</v>
      </c>
      <c r="L2473" s="1">
        <f t="shared" si="951"/>
        <v>609743</v>
      </c>
      <c r="M2473" s="2">
        <f t="shared" si="952"/>
        <v>1.1152239550105536E-4</v>
      </c>
      <c r="N2473" s="2">
        <f t="shared" si="953"/>
        <v>0.99988847760449895</v>
      </c>
    </row>
    <row r="2474" spans="1:14" x14ac:dyDescent="0.35">
      <c r="A2474" t="s">
        <v>35</v>
      </c>
      <c r="B2474" t="s">
        <v>17</v>
      </c>
      <c r="C2474">
        <v>2016</v>
      </c>
      <c r="D2474" t="s">
        <v>31</v>
      </c>
      <c r="E2474" s="3">
        <v>11</v>
      </c>
      <c r="F2474" s="3">
        <f>869+50</f>
        <v>919</v>
      </c>
      <c r="G2474" s="1">
        <f t="shared" si="948"/>
        <v>930</v>
      </c>
      <c r="H2474" s="2">
        <f t="shared" si="949"/>
        <v>1.1827956989247311E-2</v>
      </c>
      <c r="I2474" s="2">
        <f t="shared" si="950"/>
        <v>0.98817204301075268</v>
      </c>
      <c r="J2474" s="4">
        <v>69</v>
      </c>
      <c r="K2474" s="4">
        <f>190747+534359</f>
        <v>725106</v>
      </c>
      <c r="L2474" s="1">
        <f t="shared" si="951"/>
        <v>725175</v>
      </c>
      <c r="M2474" s="2">
        <f t="shared" si="952"/>
        <v>9.5149446685282858E-5</v>
      </c>
      <c r="N2474" s="2">
        <f t="shared" si="953"/>
        <v>0.99990485055331468</v>
      </c>
    </row>
    <row r="2475" spans="1:14" x14ac:dyDescent="0.35">
      <c r="A2475" t="s">
        <v>35</v>
      </c>
      <c r="B2475" t="s">
        <v>19</v>
      </c>
      <c r="C2475">
        <v>2016</v>
      </c>
      <c r="D2475" t="s">
        <v>31</v>
      </c>
      <c r="E2475" s="3">
        <v>11</v>
      </c>
      <c r="F2475" s="3">
        <f>934+53</f>
        <v>987</v>
      </c>
      <c r="G2475" s="1">
        <f t="shared" si="948"/>
        <v>998</v>
      </c>
      <c r="H2475" s="2">
        <f t="shared" si="949"/>
        <v>1.1022044088176353E-2</v>
      </c>
      <c r="I2475" s="2">
        <f t="shared" si="950"/>
        <v>0.98897795591182369</v>
      </c>
      <c r="J2475" s="4">
        <v>62</v>
      </c>
      <c r="K2475" s="4">
        <f>198924+425636</f>
        <v>624560</v>
      </c>
      <c r="L2475" s="1">
        <f t="shared" si="951"/>
        <v>624622</v>
      </c>
      <c r="M2475" s="2">
        <f t="shared" si="952"/>
        <v>9.926003246763643E-5</v>
      </c>
      <c r="N2475" s="2">
        <f t="shared" si="953"/>
        <v>0.99990073996753237</v>
      </c>
    </row>
    <row r="2476" spans="1:14" x14ac:dyDescent="0.35">
      <c r="A2476" t="s">
        <v>35</v>
      </c>
      <c r="B2476" t="s">
        <v>20</v>
      </c>
      <c r="C2476">
        <v>2016</v>
      </c>
      <c r="D2476" t="s">
        <v>31</v>
      </c>
      <c r="E2476" s="3">
        <v>11</v>
      </c>
      <c r="F2476" s="3">
        <f>875+51</f>
        <v>926</v>
      </c>
      <c r="G2476" s="1">
        <f t="shared" si="948"/>
        <v>937</v>
      </c>
      <c r="H2476" s="2">
        <f t="shared" si="949"/>
        <v>1.1739594450373533E-2</v>
      </c>
      <c r="I2476" s="2">
        <f t="shared" si="950"/>
        <v>0.98826040554962646</v>
      </c>
      <c r="J2476" s="4">
        <v>64</v>
      </c>
      <c r="K2476" s="4">
        <f>192756+401267</f>
        <v>594023</v>
      </c>
      <c r="L2476" s="1">
        <f t="shared" si="951"/>
        <v>594087</v>
      </c>
      <c r="M2476" s="2">
        <f t="shared" si="952"/>
        <v>1.0772832935243491E-4</v>
      </c>
      <c r="N2476" s="2">
        <f t="shared" si="953"/>
        <v>0.99989227167064754</v>
      </c>
    </row>
    <row r="2477" spans="1:14" x14ac:dyDescent="0.35">
      <c r="A2477" t="s">
        <v>35</v>
      </c>
      <c r="B2477" t="s">
        <v>21</v>
      </c>
      <c r="C2477">
        <v>2016</v>
      </c>
      <c r="D2477" t="s">
        <v>31</v>
      </c>
      <c r="E2477" s="3">
        <v>11</v>
      </c>
      <c r="F2477" s="3">
        <f>872+51</f>
        <v>923</v>
      </c>
      <c r="G2477" s="1">
        <f t="shared" si="948"/>
        <v>934</v>
      </c>
      <c r="H2477" s="2">
        <f t="shared" si="949"/>
        <v>1.1777301927194861E-2</v>
      </c>
      <c r="I2477" s="2">
        <f t="shared" si="950"/>
        <v>0.98822269807280516</v>
      </c>
      <c r="J2477" s="4">
        <v>74</v>
      </c>
      <c r="K2477" s="4">
        <f>199505+416258</f>
        <v>615763</v>
      </c>
      <c r="L2477" s="1">
        <f t="shared" si="951"/>
        <v>615837</v>
      </c>
      <c r="M2477" s="2">
        <f t="shared" si="952"/>
        <v>1.2016166615516768E-4</v>
      </c>
      <c r="N2477" s="2">
        <f t="shared" si="953"/>
        <v>0.99987983833384486</v>
      </c>
    </row>
    <row r="2478" spans="1:14" x14ac:dyDescent="0.35">
      <c r="A2478" t="s">
        <v>35</v>
      </c>
      <c r="B2478" t="s">
        <v>22</v>
      </c>
      <c r="C2478">
        <v>2016</v>
      </c>
      <c r="D2478" t="s">
        <v>31</v>
      </c>
      <c r="E2478" s="3">
        <v>12</v>
      </c>
      <c r="F2478" s="3">
        <f>874+51</f>
        <v>925</v>
      </c>
      <c r="G2478" s="1">
        <f t="shared" si="948"/>
        <v>937</v>
      </c>
      <c r="H2478" s="2">
        <f t="shared" si="949"/>
        <v>1.2806830309498399E-2</v>
      </c>
      <c r="I2478" s="2">
        <f t="shared" si="950"/>
        <v>0.98719316969050164</v>
      </c>
      <c r="J2478" s="4">
        <v>88</v>
      </c>
      <c r="K2478" s="4">
        <f>210850+383216</f>
        <v>594066</v>
      </c>
      <c r="L2478" s="1">
        <f t="shared" si="951"/>
        <v>594154</v>
      </c>
      <c r="M2478" s="2">
        <f t="shared" si="952"/>
        <v>1.4810974932424927E-4</v>
      </c>
      <c r="N2478" s="2">
        <f t="shared" si="953"/>
        <v>0.99985189025067578</v>
      </c>
    </row>
    <row r="2479" spans="1:14" x14ac:dyDescent="0.35">
      <c r="A2479" t="s">
        <v>35</v>
      </c>
      <c r="B2479" t="s">
        <v>23</v>
      </c>
      <c r="C2479">
        <v>2016</v>
      </c>
      <c r="D2479" t="s">
        <v>31</v>
      </c>
      <c r="E2479" s="3">
        <v>14</v>
      </c>
      <c r="F2479" s="3">
        <f>907+51</f>
        <v>958</v>
      </c>
      <c r="G2479" s="1">
        <f t="shared" si="948"/>
        <v>972</v>
      </c>
      <c r="H2479" s="2">
        <f t="shared" si="949"/>
        <v>1.4403292181069959E-2</v>
      </c>
      <c r="I2479" s="2">
        <f t="shared" si="950"/>
        <v>0.98559670781893005</v>
      </c>
      <c r="J2479" s="4">
        <v>126</v>
      </c>
      <c r="K2479" s="4">
        <f>237444+368921</f>
        <v>606365</v>
      </c>
      <c r="L2479" s="1">
        <f t="shared" si="951"/>
        <v>606491</v>
      </c>
      <c r="M2479" s="2">
        <f t="shared" si="952"/>
        <v>2.0775246458727334E-4</v>
      </c>
      <c r="N2479" s="2">
        <f t="shared" si="953"/>
        <v>0.99979224753541274</v>
      </c>
    </row>
    <row r="2480" spans="1:14" x14ac:dyDescent="0.35">
      <c r="A2480" t="s">
        <v>35</v>
      </c>
      <c r="B2480" t="s">
        <v>24</v>
      </c>
      <c r="C2480">
        <v>2016</v>
      </c>
      <c r="D2480" t="s">
        <v>31</v>
      </c>
      <c r="E2480" s="3">
        <v>13</v>
      </c>
      <c r="F2480" s="3">
        <f>925+54</f>
        <v>979</v>
      </c>
      <c r="G2480" s="1">
        <f t="shared" si="948"/>
        <v>992</v>
      </c>
      <c r="H2480" s="2">
        <f t="shared" si="949"/>
        <v>1.310483870967742E-2</v>
      </c>
      <c r="I2480" s="2">
        <f t="shared" si="950"/>
        <v>0.98689516129032262</v>
      </c>
      <c r="J2480" s="4">
        <v>123</v>
      </c>
      <c r="K2480" s="4">
        <f>250781+385195</f>
        <v>635976</v>
      </c>
      <c r="L2480" s="1">
        <f t="shared" si="951"/>
        <v>636099</v>
      </c>
      <c r="M2480" s="2">
        <f t="shared" si="952"/>
        <v>1.933661269708017E-4</v>
      </c>
      <c r="N2480" s="2">
        <f t="shared" si="953"/>
        <v>0.99980663387302915</v>
      </c>
    </row>
    <row r="2481" spans="1:14" x14ac:dyDescent="0.35">
      <c r="A2481" t="s">
        <v>35</v>
      </c>
      <c r="B2481" t="s">
        <v>25</v>
      </c>
      <c r="C2481">
        <v>2016</v>
      </c>
      <c r="D2481" t="s">
        <v>31</v>
      </c>
      <c r="E2481" s="3">
        <v>13</v>
      </c>
      <c r="F2481" s="3">
        <f>918+57</f>
        <v>975</v>
      </c>
      <c r="G2481" s="1">
        <f t="shared" si="948"/>
        <v>988</v>
      </c>
      <c r="H2481" s="2">
        <f t="shared" si="949"/>
        <v>1.3157894736842105E-2</v>
      </c>
      <c r="I2481" s="2">
        <f t="shared" si="950"/>
        <v>0.98684210526315785</v>
      </c>
      <c r="J2481" s="4">
        <v>101</v>
      </c>
      <c r="K2481" s="4">
        <f>245247+402800</f>
        <v>648047</v>
      </c>
      <c r="L2481" s="1">
        <f t="shared" si="951"/>
        <v>648148</v>
      </c>
      <c r="M2481" s="2">
        <f t="shared" si="952"/>
        <v>1.5582860704653874E-4</v>
      </c>
      <c r="N2481" s="2">
        <f t="shared" si="953"/>
        <v>0.99984417139295345</v>
      </c>
    </row>
    <row r="2482" spans="1:14" x14ac:dyDescent="0.35">
      <c r="A2482" t="s">
        <v>35</v>
      </c>
      <c r="B2482" t="s">
        <v>26</v>
      </c>
      <c r="C2482">
        <v>2016</v>
      </c>
      <c r="D2482" t="s">
        <v>31</v>
      </c>
      <c r="E2482" s="3">
        <v>13</v>
      </c>
      <c r="F2482" s="3">
        <f>920+56</f>
        <v>976</v>
      </c>
      <c r="G2482" s="1">
        <f t="shared" si="948"/>
        <v>989</v>
      </c>
      <c r="H2482" s="2">
        <f t="shared" si="949"/>
        <v>1.314459049544995E-2</v>
      </c>
      <c r="I2482" s="2">
        <f t="shared" si="950"/>
        <v>0.98685540950455009</v>
      </c>
      <c r="J2482" s="4">
        <v>122</v>
      </c>
      <c r="K2482" s="4">
        <f>255076+431514</f>
        <v>686590</v>
      </c>
      <c r="L2482" s="1">
        <f t="shared" si="951"/>
        <v>686712</v>
      </c>
      <c r="M2482" s="2">
        <f t="shared" si="952"/>
        <v>1.7765817402346252E-4</v>
      </c>
      <c r="N2482" s="2">
        <f t="shared" si="953"/>
        <v>0.99982234182597651</v>
      </c>
    </row>
    <row r="2483" spans="1:14" x14ac:dyDescent="0.35">
      <c r="A2483" t="s">
        <v>35</v>
      </c>
      <c r="B2483" t="s">
        <v>27</v>
      </c>
      <c r="C2483">
        <v>2016</v>
      </c>
      <c r="D2483" t="s">
        <v>31</v>
      </c>
      <c r="E2483" s="3">
        <v>15</v>
      </c>
      <c r="F2483" s="3">
        <f>917+58</f>
        <v>975</v>
      </c>
      <c r="G2483" s="1">
        <f t="shared" si="948"/>
        <v>990</v>
      </c>
      <c r="H2483" s="2">
        <f t="shared" si="949"/>
        <v>1.5151515151515152E-2</v>
      </c>
      <c r="I2483" s="2">
        <f t="shared" si="950"/>
        <v>0.98484848484848486</v>
      </c>
      <c r="J2483" s="4">
        <v>256</v>
      </c>
      <c r="K2483" s="4">
        <f>235748+437893</f>
        <v>673641</v>
      </c>
      <c r="L2483" s="1">
        <f t="shared" si="951"/>
        <v>673897</v>
      </c>
      <c r="M2483" s="2">
        <f t="shared" si="952"/>
        <v>3.7988001133704407E-4</v>
      </c>
      <c r="N2483" s="2">
        <f t="shared" si="953"/>
        <v>0.99962011998866296</v>
      </c>
    </row>
    <row r="2484" spans="1:14" x14ac:dyDescent="0.35">
      <c r="A2484" t="s">
        <v>35</v>
      </c>
      <c r="B2484" t="s">
        <v>28</v>
      </c>
      <c r="C2484">
        <v>2016</v>
      </c>
      <c r="D2484" t="s">
        <v>31</v>
      </c>
      <c r="E2484" s="3">
        <v>14</v>
      </c>
      <c r="F2484" s="3">
        <f>893+53</f>
        <v>946</v>
      </c>
      <c r="G2484" s="1">
        <f t="shared" si="948"/>
        <v>960</v>
      </c>
      <c r="H2484" s="2">
        <f t="shared" si="949"/>
        <v>1.4583333333333334E-2</v>
      </c>
      <c r="I2484" s="2">
        <f t="shared" si="950"/>
        <v>0.98541666666666672</v>
      </c>
      <c r="J2484" s="4">
        <v>247</v>
      </c>
      <c r="K2484" s="4">
        <f>211358+436310</f>
        <v>647668</v>
      </c>
      <c r="L2484" s="1">
        <f t="shared" si="951"/>
        <v>647915</v>
      </c>
      <c r="M2484" s="2">
        <f t="shared" si="952"/>
        <v>3.8122284558931343E-4</v>
      </c>
      <c r="N2484" s="2">
        <f t="shared" si="953"/>
        <v>0.99961877715441072</v>
      </c>
    </row>
    <row r="2485" spans="1:14" x14ac:dyDescent="0.35">
      <c r="A2485" t="s">
        <v>35</v>
      </c>
      <c r="B2485" t="s">
        <v>29</v>
      </c>
      <c r="C2485">
        <v>2016</v>
      </c>
      <c r="D2485" t="s">
        <v>31</v>
      </c>
      <c r="E2485" s="3">
        <v>15</v>
      </c>
      <c r="F2485" s="3">
        <f>915+52</f>
        <v>967</v>
      </c>
      <c r="G2485" s="1">
        <f t="shared" si="948"/>
        <v>982</v>
      </c>
      <c r="H2485" s="2">
        <f t="shared" si="949"/>
        <v>1.5274949083503055E-2</v>
      </c>
      <c r="I2485" s="2">
        <f t="shared" si="950"/>
        <v>0.98472505091649698</v>
      </c>
      <c r="J2485" s="4">
        <v>248</v>
      </c>
      <c r="K2485" s="4">
        <f>213450+442060</f>
        <v>655510</v>
      </c>
      <c r="L2485" s="1">
        <f t="shared" si="951"/>
        <v>655758</v>
      </c>
      <c r="M2485" s="2">
        <f t="shared" si="952"/>
        <v>3.7818829507226751E-4</v>
      </c>
      <c r="N2485" s="2">
        <f t="shared" si="953"/>
        <v>0.9996218117049277</v>
      </c>
    </row>
    <row r="2486" spans="1:14" x14ac:dyDescent="0.35">
      <c r="A2486" t="s">
        <v>35</v>
      </c>
      <c r="B2486" t="s">
        <v>17</v>
      </c>
      <c r="C2486">
        <v>2017</v>
      </c>
      <c r="D2486" t="s">
        <v>31</v>
      </c>
      <c r="E2486" s="3">
        <v>15</v>
      </c>
      <c r="F2486" s="3">
        <f>907+56</f>
        <v>963</v>
      </c>
      <c r="G2486" s="1">
        <f t="shared" si="948"/>
        <v>978</v>
      </c>
      <c r="H2486" s="2">
        <f t="shared" si="949"/>
        <v>1.5337423312883436E-2</v>
      </c>
      <c r="I2486" s="2">
        <f t="shared" si="950"/>
        <v>0.98466257668711654</v>
      </c>
      <c r="J2486" s="4">
        <v>263</v>
      </c>
      <c r="K2486" s="4">
        <f>204973+469323</f>
        <v>674296</v>
      </c>
      <c r="L2486" s="1">
        <f t="shared" si="951"/>
        <v>674559</v>
      </c>
      <c r="M2486" s="2">
        <f t="shared" si="952"/>
        <v>3.8988435407429149E-4</v>
      </c>
      <c r="N2486" s="2">
        <f t="shared" si="953"/>
        <v>0.99961011564592572</v>
      </c>
    </row>
    <row r="2487" spans="1:14" x14ac:dyDescent="0.35">
      <c r="A2487" t="s">
        <v>35</v>
      </c>
      <c r="B2487" t="s">
        <v>19</v>
      </c>
      <c r="C2487">
        <v>2017</v>
      </c>
      <c r="D2487" t="s">
        <v>31</v>
      </c>
      <c r="E2487" s="3">
        <v>11</v>
      </c>
      <c r="F2487" s="3">
        <f>836+51</f>
        <v>887</v>
      </c>
      <c r="G2487" s="1">
        <f t="shared" ref="G2487:G2550" si="954">SUM(E2487:F2487)</f>
        <v>898</v>
      </c>
      <c r="H2487" s="2">
        <f t="shared" ref="H2487:H2550" si="955">SUM(E2487)/G2487</f>
        <v>1.2249443207126948E-2</v>
      </c>
      <c r="I2487" s="2">
        <f t="shared" ref="I2487:I2550" si="956">SUM(F2487/G2487)</f>
        <v>0.98775055679287305</v>
      </c>
      <c r="J2487" s="4">
        <v>201</v>
      </c>
      <c r="K2487" s="4">
        <f>167338+356759</f>
        <v>524097</v>
      </c>
      <c r="L2487" s="1">
        <f t="shared" si="951"/>
        <v>524298</v>
      </c>
      <c r="M2487" s="2">
        <f t="shared" si="952"/>
        <v>3.8336976299737936E-4</v>
      </c>
      <c r="N2487" s="2">
        <f t="shared" si="953"/>
        <v>0.99961663023700265</v>
      </c>
    </row>
    <row r="2488" spans="1:14" x14ac:dyDescent="0.35">
      <c r="A2488" t="s">
        <v>35</v>
      </c>
      <c r="B2488" t="s">
        <v>20</v>
      </c>
      <c r="C2488">
        <v>2017</v>
      </c>
      <c r="D2488" t="s">
        <v>31</v>
      </c>
      <c r="E2488" s="3">
        <v>15</v>
      </c>
      <c r="F2488" s="3">
        <f>905+55</f>
        <v>960</v>
      </c>
      <c r="G2488" s="1">
        <f t="shared" si="954"/>
        <v>975</v>
      </c>
      <c r="H2488" s="2">
        <f t="shared" si="955"/>
        <v>1.5384615384615385E-2</v>
      </c>
      <c r="I2488" s="2">
        <f t="shared" si="956"/>
        <v>0.98461538461538467</v>
      </c>
      <c r="J2488" s="4">
        <v>214</v>
      </c>
      <c r="K2488" s="4">
        <f>196139+432366</f>
        <v>628505</v>
      </c>
      <c r="L2488" s="1">
        <f t="shared" si="951"/>
        <v>628719</v>
      </c>
      <c r="M2488" s="2">
        <f t="shared" si="952"/>
        <v>3.4037463477324526E-4</v>
      </c>
      <c r="N2488" s="2">
        <f t="shared" si="953"/>
        <v>0.99965962536522679</v>
      </c>
    </row>
    <row r="2489" spans="1:14" x14ac:dyDescent="0.35">
      <c r="A2489" t="s">
        <v>35</v>
      </c>
      <c r="B2489" t="s">
        <v>21</v>
      </c>
      <c r="C2489">
        <v>2017</v>
      </c>
      <c r="D2489" t="s">
        <v>31</v>
      </c>
      <c r="E2489" s="3">
        <v>14</v>
      </c>
      <c r="F2489" s="3">
        <f>904+57</f>
        <v>961</v>
      </c>
      <c r="G2489" s="1">
        <f t="shared" si="954"/>
        <v>975</v>
      </c>
      <c r="H2489" s="2">
        <f t="shared" si="955"/>
        <v>1.4358974358974359E-2</v>
      </c>
      <c r="I2489" s="2">
        <f t="shared" si="956"/>
        <v>0.98564102564102563</v>
      </c>
      <c r="J2489" s="4">
        <v>233</v>
      </c>
      <c r="K2489" s="4">
        <f>204809+427691</f>
        <v>632500</v>
      </c>
      <c r="L2489" s="1">
        <f t="shared" si="951"/>
        <v>632733</v>
      </c>
      <c r="M2489" s="2">
        <f t="shared" si="952"/>
        <v>3.6824379319555007E-4</v>
      </c>
      <c r="N2489" s="2">
        <f t="shared" si="953"/>
        <v>0.99963175620680444</v>
      </c>
    </row>
    <row r="2490" spans="1:14" x14ac:dyDescent="0.35">
      <c r="A2490" t="s">
        <v>35</v>
      </c>
      <c r="B2490" t="s">
        <v>22</v>
      </c>
      <c r="C2490">
        <v>2017</v>
      </c>
      <c r="D2490" t="s">
        <v>31</v>
      </c>
      <c r="E2490" s="3">
        <v>13</v>
      </c>
      <c r="F2490" s="3">
        <f>947+54</f>
        <v>1001</v>
      </c>
      <c r="G2490" s="1">
        <f t="shared" si="954"/>
        <v>1014</v>
      </c>
      <c r="H2490" s="2">
        <f t="shared" si="955"/>
        <v>1.282051282051282E-2</v>
      </c>
      <c r="I2490" s="2">
        <f t="shared" si="956"/>
        <v>0.98717948717948723</v>
      </c>
      <c r="J2490" s="4">
        <v>240</v>
      </c>
      <c r="K2490" s="4">
        <f>207382+515028</f>
        <v>722410</v>
      </c>
      <c r="L2490" s="1">
        <f t="shared" si="951"/>
        <v>722650</v>
      </c>
      <c r="M2490" s="2">
        <f t="shared" si="952"/>
        <v>3.3211098041929012E-4</v>
      </c>
      <c r="N2490" s="2">
        <f t="shared" si="953"/>
        <v>0.9996678890195807</v>
      </c>
    </row>
    <row r="2491" spans="1:14" x14ac:dyDescent="0.35">
      <c r="A2491" t="s">
        <v>35</v>
      </c>
      <c r="B2491" t="s">
        <v>23</v>
      </c>
      <c r="C2491">
        <v>2017</v>
      </c>
      <c r="D2491" t="s">
        <v>31</v>
      </c>
      <c r="E2491" s="3">
        <v>13</v>
      </c>
      <c r="F2491" s="3">
        <f>923+55</f>
        <v>978</v>
      </c>
      <c r="G2491" s="1">
        <f t="shared" si="954"/>
        <v>991</v>
      </c>
      <c r="H2491" s="2">
        <f t="shared" si="955"/>
        <v>1.3118062563067608E-2</v>
      </c>
      <c r="I2491" s="2">
        <f t="shared" si="956"/>
        <v>0.98688193743693242</v>
      </c>
      <c r="J2491" s="4">
        <v>301</v>
      </c>
      <c r="K2491" s="4">
        <f>229797+520349</f>
        <v>750146</v>
      </c>
      <c r="L2491" s="1">
        <f t="shared" si="951"/>
        <v>750447</v>
      </c>
      <c r="M2491" s="2">
        <f t="shared" si="952"/>
        <v>4.0109428114177285E-4</v>
      </c>
      <c r="N2491" s="2">
        <f t="shared" si="953"/>
        <v>0.99959890571885823</v>
      </c>
    </row>
    <row r="2492" spans="1:14" x14ac:dyDescent="0.35">
      <c r="A2492" t="s">
        <v>35</v>
      </c>
      <c r="B2492" t="s">
        <v>24</v>
      </c>
      <c r="C2492">
        <v>2017</v>
      </c>
      <c r="D2492" t="s">
        <v>31</v>
      </c>
      <c r="E2492" s="3">
        <v>13</v>
      </c>
      <c r="F2492" s="3">
        <f>910+60</f>
        <v>970</v>
      </c>
      <c r="G2492" s="1">
        <f t="shared" si="954"/>
        <v>983</v>
      </c>
      <c r="H2492" s="2">
        <f t="shared" si="955"/>
        <v>1.3224821973550356E-2</v>
      </c>
      <c r="I2492" s="2">
        <f t="shared" si="956"/>
        <v>0.98677517802644965</v>
      </c>
      <c r="J2492" s="4">
        <v>320</v>
      </c>
      <c r="K2492" s="4">
        <f>232812+429617</f>
        <v>662429</v>
      </c>
      <c r="L2492" s="1">
        <f t="shared" si="951"/>
        <v>662749</v>
      </c>
      <c r="M2492" s="2">
        <f t="shared" si="952"/>
        <v>4.8283739394552086E-4</v>
      </c>
      <c r="N2492" s="2">
        <f t="shared" si="953"/>
        <v>0.9995171626060545</v>
      </c>
    </row>
    <row r="2493" spans="1:14" x14ac:dyDescent="0.35">
      <c r="A2493" t="s">
        <v>35</v>
      </c>
      <c r="B2493" t="s">
        <v>25</v>
      </c>
      <c r="C2493">
        <v>2017</v>
      </c>
      <c r="D2493" t="s">
        <v>31</v>
      </c>
      <c r="E2493" s="3">
        <v>13</v>
      </c>
      <c r="F2493" s="3">
        <f>917+58</f>
        <v>975</v>
      </c>
      <c r="G2493" s="1">
        <f t="shared" si="954"/>
        <v>988</v>
      </c>
      <c r="H2493" s="2">
        <f t="shared" si="955"/>
        <v>1.3157894736842105E-2</v>
      </c>
      <c r="I2493" s="2">
        <f t="shared" si="956"/>
        <v>0.98684210526315785</v>
      </c>
      <c r="J2493" s="4">
        <v>304</v>
      </c>
      <c r="K2493" s="4">
        <f>241502+426789</f>
        <v>668291</v>
      </c>
      <c r="L2493" s="1">
        <f t="shared" si="951"/>
        <v>668595</v>
      </c>
      <c r="M2493" s="2">
        <f t="shared" si="952"/>
        <v>4.5468482414615726E-4</v>
      </c>
      <c r="N2493" s="2">
        <f t="shared" si="953"/>
        <v>0.99954531517585388</v>
      </c>
    </row>
    <row r="2494" spans="1:14" x14ac:dyDescent="0.35">
      <c r="A2494" t="s">
        <v>35</v>
      </c>
      <c r="B2494" t="s">
        <v>26</v>
      </c>
      <c r="C2494">
        <v>2017</v>
      </c>
      <c r="D2494" t="s">
        <v>31</v>
      </c>
      <c r="E2494" s="3">
        <v>13</v>
      </c>
      <c r="F2494" s="3">
        <f>912+54</f>
        <v>966</v>
      </c>
      <c r="G2494" s="1">
        <f t="shared" si="954"/>
        <v>979</v>
      </c>
      <c r="H2494" s="2">
        <f t="shared" si="955"/>
        <v>1.3278855975485188E-2</v>
      </c>
      <c r="I2494" s="2">
        <f t="shared" si="956"/>
        <v>0.98672114402451483</v>
      </c>
      <c r="J2494" s="4">
        <v>313</v>
      </c>
      <c r="K2494" s="4">
        <f>228653+368050</f>
        <v>596703</v>
      </c>
      <c r="L2494" s="1">
        <f t="shared" si="951"/>
        <v>597016</v>
      </c>
      <c r="M2494" s="2">
        <f t="shared" si="952"/>
        <v>5.242740563066987E-4</v>
      </c>
      <c r="N2494" s="2">
        <f t="shared" si="953"/>
        <v>0.99947572594369327</v>
      </c>
    </row>
    <row r="2495" spans="1:14" x14ac:dyDescent="0.35">
      <c r="A2495" t="s">
        <v>35</v>
      </c>
      <c r="B2495" t="s">
        <v>27</v>
      </c>
      <c r="C2495">
        <v>2017</v>
      </c>
      <c r="D2495" t="s">
        <v>31</v>
      </c>
      <c r="E2495" s="3">
        <v>13</v>
      </c>
      <c r="F2495" s="3">
        <f>915+57</f>
        <v>972</v>
      </c>
      <c r="G2495" s="1">
        <f t="shared" si="954"/>
        <v>985</v>
      </c>
      <c r="H2495" s="2">
        <f t="shared" si="955"/>
        <v>1.3197969543147208E-2</v>
      </c>
      <c r="I2495" s="2">
        <f t="shared" si="956"/>
        <v>0.98680203045685277</v>
      </c>
      <c r="J2495" s="4">
        <v>285</v>
      </c>
      <c r="K2495" s="4">
        <f>222219+546476</f>
        <v>768695</v>
      </c>
      <c r="L2495" s="1">
        <f t="shared" si="951"/>
        <v>768980</v>
      </c>
      <c r="M2495" s="2">
        <f t="shared" si="952"/>
        <v>3.7062082238809854E-4</v>
      </c>
      <c r="N2495" s="2">
        <f t="shared" si="953"/>
        <v>0.99962937917761185</v>
      </c>
    </row>
    <row r="2496" spans="1:14" x14ac:dyDescent="0.35">
      <c r="A2496" t="s">
        <v>35</v>
      </c>
      <c r="B2496" t="s">
        <v>28</v>
      </c>
      <c r="C2496">
        <v>2017</v>
      </c>
      <c r="D2496" t="s">
        <v>31</v>
      </c>
      <c r="E2496" s="3">
        <v>13</v>
      </c>
      <c r="F2496" s="3">
        <f>917+58</f>
        <v>975</v>
      </c>
      <c r="G2496" s="1">
        <f t="shared" si="954"/>
        <v>988</v>
      </c>
      <c r="H2496" s="2">
        <f t="shared" si="955"/>
        <v>1.3157894736842105E-2</v>
      </c>
      <c r="I2496" s="2">
        <f t="shared" si="956"/>
        <v>0.98684210526315785</v>
      </c>
      <c r="J2496" s="4">
        <v>235</v>
      </c>
      <c r="K2496" s="4">
        <f>210237+556410</f>
        <v>766647</v>
      </c>
      <c r="L2496" s="1">
        <f t="shared" si="951"/>
        <v>766882</v>
      </c>
      <c r="M2496" s="2">
        <f t="shared" si="952"/>
        <v>3.0643567067684466E-4</v>
      </c>
      <c r="N2496" s="2">
        <f t="shared" si="953"/>
        <v>0.9996935643293231</v>
      </c>
    </row>
    <row r="2497" spans="1:14" x14ac:dyDescent="0.35">
      <c r="A2497" t="s">
        <v>35</v>
      </c>
      <c r="B2497" t="s">
        <v>29</v>
      </c>
      <c r="C2497">
        <v>2017</v>
      </c>
      <c r="D2497" t="s">
        <v>31</v>
      </c>
      <c r="E2497" s="3">
        <v>13</v>
      </c>
      <c r="F2497" s="3">
        <f>918+59</f>
        <v>977</v>
      </c>
      <c r="G2497" s="1">
        <f t="shared" si="954"/>
        <v>990</v>
      </c>
      <c r="H2497" s="2">
        <f t="shared" si="955"/>
        <v>1.3131313131313131E-2</v>
      </c>
      <c r="I2497" s="2">
        <f t="shared" si="956"/>
        <v>0.9868686868686869</v>
      </c>
      <c r="J2497" s="4">
        <v>258</v>
      </c>
      <c r="K2497" s="4">
        <f>211101+486129</f>
        <v>697230</v>
      </c>
      <c r="L2497" s="1">
        <f t="shared" si="951"/>
        <v>697488</v>
      </c>
      <c r="M2497" s="2">
        <f t="shared" si="952"/>
        <v>3.6989883696923818E-4</v>
      </c>
      <c r="N2497" s="2">
        <f t="shared" si="953"/>
        <v>0.99963010116303075</v>
      </c>
    </row>
    <row r="2498" spans="1:14" x14ac:dyDescent="0.35">
      <c r="A2498" t="s">
        <v>35</v>
      </c>
      <c r="B2498" t="s">
        <v>17</v>
      </c>
      <c r="C2498">
        <v>2002</v>
      </c>
      <c r="D2498" t="s">
        <v>32</v>
      </c>
      <c r="E2498" s="3">
        <v>79002</v>
      </c>
      <c r="F2498" s="3">
        <v>1713</v>
      </c>
      <c r="G2498" s="1">
        <f t="shared" si="954"/>
        <v>80715</v>
      </c>
      <c r="H2498" s="2">
        <f t="shared" si="955"/>
        <v>0.97877717896301808</v>
      </c>
      <c r="I2498" s="2">
        <f t="shared" si="956"/>
        <v>2.1222821036981972E-2</v>
      </c>
      <c r="J2498" s="4">
        <v>4732</v>
      </c>
      <c r="K2498" s="4">
        <v>878.87699999999984</v>
      </c>
      <c r="L2498" s="1">
        <f t="shared" si="951"/>
        <v>5610.8769999999995</v>
      </c>
      <c r="M2498" s="2">
        <f t="shared" si="952"/>
        <v>0.84336192007060584</v>
      </c>
      <c r="N2498" s="2">
        <f t="shared" si="953"/>
        <v>0.15663807992939427</v>
      </c>
    </row>
    <row r="2499" spans="1:14" x14ac:dyDescent="0.35">
      <c r="A2499" t="s">
        <v>35</v>
      </c>
      <c r="B2499" t="s">
        <v>19</v>
      </c>
      <c r="C2499">
        <v>2002</v>
      </c>
      <c r="D2499" t="s">
        <v>32</v>
      </c>
      <c r="E2499" s="3">
        <v>79029</v>
      </c>
      <c r="F2499" s="3">
        <v>1745</v>
      </c>
      <c r="G2499" s="1">
        <f t="shared" si="954"/>
        <v>80774</v>
      </c>
      <c r="H2499" s="2">
        <f t="shared" si="955"/>
        <v>0.97839651372966552</v>
      </c>
      <c r="I2499" s="2">
        <f t="shared" si="956"/>
        <v>2.1603486270334513E-2</v>
      </c>
      <c r="J2499" s="4">
        <v>33798.153999999995</v>
      </c>
      <c r="K2499" s="4">
        <v>8323.2900000000009</v>
      </c>
      <c r="L2499" s="1">
        <f t="shared" ref="L2499:L2562" si="957">SUM(J2499:K2499)</f>
        <v>42121.443999999996</v>
      </c>
      <c r="M2499" s="2">
        <f t="shared" ref="M2499:M2562" si="958">SUM(J2499)/L2499</f>
        <v>0.80239780003743455</v>
      </c>
      <c r="N2499" s="2">
        <f t="shared" ref="N2499:N2562" si="959">SUM(K2499/L2499)</f>
        <v>0.19760219996256542</v>
      </c>
    </row>
    <row r="2500" spans="1:14" x14ac:dyDescent="0.35">
      <c r="A2500" t="s">
        <v>35</v>
      </c>
      <c r="B2500" t="s">
        <v>20</v>
      </c>
      <c r="C2500">
        <v>2002</v>
      </c>
      <c r="D2500" t="s">
        <v>32</v>
      </c>
      <c r="E2500" s="3">
        <v>78879</v>
      </c>
      <c r="F2500" s="3">
        <v>2130</v>
      </c>
      <c r="G2500" s="1">
        <f t="shared" si="954"/>
        <v>81009</v>
      </c>
      <c r="H2500" s="2">
        <f t="shared" si="955"/>
        <v>0.97370662518979367</v>
      </c>
      <c r="I2500" s="2">
        <f t="shared" si="956"/>
        <v>2.6293374810206275E-2</v>
      </c>
      <c r="J2500" s="4">
        <v>3733.855</v>
      </c>
      <c r="K2500" s="4">
        <v>197.52099999999999</v>
      </c>
      <c r="L2500" s="1">
        <f t="shared" si="957"/>
        <v>3931.3760000000002</v>
      </c>
      <c r="M2500" s="2">
        <f t="shared" si="958"/>
        <v>0.94975779472632482</v>
      </c>
      <c r="N2500" s="2">
        <f t="shared" si="959"/>
        <v>5.0242205273675164E-2</v>
      </c>
    </row>
    <row r="2501" spans="1:14" x14ac:dyDescent="0.35">
      <c r="A2501" t="s">
        <v>35</v>
      </c>
      <c r="B2501" t="s">
        <v>21</v>
      </c>
      <c r="C2501">
        <v>2002</v>
      </c>
      <c r="D2501" t="s">
        <v>32</v>
      </c>
      <c r="E2501" s="3">
        <v>78526</v>
      </c>
      <c r="F2501" s="3">
        <v>2577</v>
      </c>
      <c r="G2501" s="1">
        <f t="shared" si="954"/>
        <v>81103</v>
      </c>
      <c r="H2501" s="2">
        <f t="shared" si="955"/>
        <v>0.96822558968225592</v>
      </c>
      <c r="I2501" s="2">
        <f t="shared" si="956"/>
        <v>3.1774410317744105E-2</v>
      </c>
      <c r="J2501" s="4">
        <v>22658.66</v>
      </c>
      <c r="K2501" s="4">
        <v>4454.9169999999995</v>
      </c>
      <c r="L2501" s="1">
        <f t="shared" si="957"/>
        <v>27113.576999999997</v>
      </c>
      <c r="M2501" s="2">
        <f t="shared" si="958"/>
        <v>0.835694235400958</v>
      </c>
      <c r="N2501" s="2">
        <f t="shared" si="959"/>
        <v>0.16430576459904203</v>
      </c>
    </row>
    <row r="2502" spans="1:14" x14ac:dyDescent="0.35">
      <c r="A2502" t="s">
        <v>35</v>
      </c>
      <c r="B2502" t="s">
        <v>22</v>
      </c>
      <c r="C2502">
        <v>2002</v>
      </c>
      <c r="D2502" t="s">
        <v>32</v>
      </c>
      <c r="E2502" s="3">
        <v>78275</v>
      </c>
      <c r="F2502" s="3">
        <v>2849</v>
      </c>
      <c r="G2502" s="1">
        <f t="shared" si="954"/>
        <v>81124</v>
      </c>
      <c r="H2502" s="2">
        <f t="shared" si="955"/>
        <v>0.96488092303140871</v>
      </c>
      <c r="I2502" s="2">
        <f t="shared" si="956"/>
        <v>3.511907696859129E-2</v>
      </c>
      <c r="J2502" s="4">
        <v>18961.432000000001</v>
      </c>
      <c r="K2502" s="4">
        <v>3823.2420000000002</v>
      </c>
      <c r="L2502" s="1">
        <f t="shared" si="957"/>
        <v>22784.673999999999</v>
      </c>
      <c r="M2502" s="2">
        <f t="shared" si="958"/>
        <v>0.83220115416178442</v>
      </c>
      <c r="N2502" s="2">
        <f t="shared" si="959"/>
        <v>0.16779884583821564</v>
      </c>
    </row>
    <row r="2503" spans="1:14" x14ac:dyDescent="0.35">
      <c r="A2503" t="s">
        <v>35</v>
      </c>
      <c r="B2503" t="s">
        <v>23</v>
      </c>
      <c r="C2503">
        <v>2002</v>
      </c>
      <c r="D2503" t="s">
        <v>32</v>
      </c>
      <c r="E2503" s="3">
        <v>77838</v>
      </c>
      <c r="F2503" s="3">
        <v>3136</v>
      </c>
      <c r="G2503" s="1">
        <f t="shared" si="954"/>
        <v>80974</v>
      </c>
      <c r="H2503" s="2">
        <f t="shared" si="955"/>
        <v>0.96127151925309362</v>
      </c>
      <c r="I2503" s="2">
        <f t="shared" si="956"/>
        <v>3.8728480746906414E-2</v>
      </c>
      <c r="J2503" s="4">
        <v>19367.348000000002</v>
      </c>
      <c r="K2503" s="4">
        <v>5650.7369999999992</v>
      </c>
      <c r="L2503" s="1">
        <f t="shared" si="957"/>
        <v>25018.084999999999</v>
      </c>
      <c r="M2503" s="2">
        <f t="shared" si="958"/>
        <v>0.7741339115284005</v>
      </c>
      <c r="N2503" s="2">
        <f t="shared" si="959"/>
        <v>0.22586608847159961</v>
      </c>
    </row>
    <row r="2504" spans="1:14" x14ac:dyDescent="0.35">
      <c r="A2504" t="s">
        <v>35</v>
      </c>
      <c r="B2504" t="s">
        <v>24</v>
      </c>
      <c r="C2504">
        <v>2002</v>
      </c>
      <c r="D2504" t="s">
        <v>32</v>
      </c>
      <c r="E2504" s="3">
        <v>77600</v>
      </c>
      <c r="F2504" s="3">
        <v>3529</v>
      </c>
      <c r="G2504" s="1">
        <f t="shared" si="954"/>
        <v>81129</v>
      </c>
      <c r="H2504" s="2">
        <f t="shared" si="955"/>
        <v>0.95650137435442317</v>
      </c>
      <c r="I2504" s="2">
        <f t="shared" si="956"/>
        <v>4.3498625645576799E-2</v>
      </c>
      <c r="J2504" s="4">
        <v>19491.349999999999</v>
      </c>
      <c r="K2504" s="4">
        <v>2970.5409999999997</v>
      </c>
      <c r="L2504" s="1">
        <f t="shared" si="957"/>
        <v>22461.891</v>
      </c>
      <c r="M2504" s="2">
        <f t="shared" si="958"/>
        <v>0.86775196264642185</v>
      </c>
      <c r="N2504" s="2">
        <f t="shared" si="959"/>
        <v>0.1322480373535781</v>
      </c>
    </row>
    <row r="2505" spans="1:14" x14ac:dyDescent="0.35">
      <c r="A2505" t="s">
        <v>35</v>
      </c>
      <c r="B2505" t="s">
        <v>25</v>
      </c>
      <c r="C2505">
        <v>2002</v>
      </c>
      <c r="D2505" t="s">
        <v>32</v>
      </c>
      <c r="E2505" s="3">
        <v>77222</v>
      </c>
      <c r="F2505" s="3">
        <v>4358</v>
      </c>
      <c r="G2505" s="1">
        <f t="shared" si="954"/>
        <v>81580</v>
      </c>
      <c r="H2505" s="2">
        <f t="shared" si="955"/>
        <v>0.94658004412846286</v>
      </c>
      <c r="I2505" s="2">
        <f t="shared" si="956"/>
        <v>5.3419955871537139E-2</v>
      </c>
      <c r="J2505" s="4">
        <v>19009.624</v>
      </c>
      <c r="K2505" s="4">
        <v>7355.6669999999995</v>
      </c>
      <c r="L2505" s="1">
        <f t="shared" si="957"/>
        <v>26365.290999999997</v>
      </c>
      <c r="M2505" s="2">
        <f t="shared" si="958"/>
        <v>0.72100945140336214</v>
      </c>
      <c r="N2505" s="2">
        <f t="shared" si="959"/>
        <v>0.27899054859663791</v>
      </c>
    </row>
    <row r="2506" spans="1:14" x14ac:dyDescent="0.35">
      <c r="A2506" t="s">
        <v>35</v>
      </c>
      <c r="B2506" t="s">
        <v>26</v>
      </c>
      <c r="C2506">
        <v>2002</v>
      </c>
      <c r="D2506" t="s">
        <v>32</v>
      </c>
      <c r="E2506" s="3">
        <v>76366</v>
      </c>
      <c r="F2506" s="3">
        <v>4948</v>
      </c>
      <c r="G2506" s="1">
        <f t="shared" si="954"/>
        <v>81314</v>
      </c>
      <c r="H2506" s="2">
        <f t="shared" si="955"/>
        <v>0.93914946995597315</v>
      </c>
      <c r="I2506" s="2">
        <f t="shared" si="956"/>
        <v>6.0850530044026858E-2</v>
      </c>
      <c r="J2506" s="4">
        <v>18724.338</v>
      </c>
      <c r="K2506" s="4">
        <v>7224.4620000000004</v>
      </c>
      <c r="L2506" s="1">
        <f t="shared" si="957"/>
        <v>25948.799999999999</v>
      </c>
      <c r="M2506" s="2">
        <f t="shared" si="958"/>
        <v>0.72158781908990011</v>
      </c>
      <c r="N2506" s="2">
        <f t="shared" si="959"/>
        <v>0.27841218091009989</v>
      </c>
    </row>
    <row r="2507" spans="1:14" x14ac:dyDescent="0.35">
      <c r="A2507" t="s">
        <v>35</v>
      </c>
      <c r="B2507" t="s">
        <v>27</v>
      </c>
      <c r="C2507">
        <v>2002</v>
      </c>
      <c r="D2507" t="s">
        <v>32</v>
      </c>
      <c r="E2507" s="3">
        <v>1720</v>
      </c>
      <c r="F2507" s="3">
        <v>474</v>
      </c>
      <c r="G2507" s="1">
        <f t="shared" si="954"/>
        <v>2194</v>
      </c>
      <c r="H2507" s="2">
        <f t="shared" si="955"/>
        <v>0.78395624430264355</v>
      </c>
      <c r="I2507" s="2">
        <f t="shared" si="956"/>
        <v>0.21604375569735643</v>
      </c>
      <c r="J2507" s="4">
        <v>18568.286</v>
      </c>
      <c r="K2507" s="4">
        <v>6403.2720000000008</v>
      </c>
      <c r="L2507" s="1">
        <f t="shared" si="957"/>
        <v>24971.558000000001</v>
      </c>
      <c r="M2507" s="2">
        <f t="shared" si="958"/>
        <v>0.74357739312861448</v>
      </c>
      <c r="N2507" s="2">
        <f t="shared" si="959"/>
        <v>0.25642260687138546</v>
      </c>
    </row>
    <row r="2508" spans="1:14" x14ac:dyDescent="0.35">
      <c r="A2508" t="s">
        <v>35</v>
      </c>
      <c r="B2508" t="s">
        <v>28</v>
      </c>
      <c r="C2508">
        <v>2002</v>
      </c>
      <c r="D2508" t="s">
        <v>32</v>
      </c>
      <c r="E2508" s="3">
        <v>1717</v>
      </c>
      <c r="F2508" s="3">
        <v>491</v>
      </c>
      <c r="G2508" s="1">
        <f t="shared" si="954"/>
        <v>2208</v>
      </c>
      <c r="H2508" s="2">
        <f t="shared" si="955"/>
        <v>0.77762681159420288</v>
      </c>
      <c r="I2508" s="2">
        <f t="shared" si="956"/>
        <v>0.22237318840579709</v>
      </c>
      <c r="J2508" s="4">
        <v>18131.687000000002</v>
      </c>
      <c r="K2508" s="4">
        <v>6435.95</v>
      </c>
      <c r="L2508" s="1">
        <f t="shared" si="957"/>
        <v>24567.637000000002</v>
      </c>
      <c r="M2508" s="2">
        <f t="shared" si="958"/>
        <v>0.73803137843497113</v>
      </c>
      <c r="N2508" s="2">
        <f t="shared" si="959"/>
        <v>0.26196862156502881</v>
      </c>
    </row>
    <row r="2509" spans="1:14" x14ac:dyDescent="0.35">
      <c r="A2509" t="s">
        <v>35</v>
      </c>
      <c r="B2509" t="s">
        <v>29</v>
      </c>
      <c r="C2509">
        <v>2002</v>
      </c>
      <c r="D2509" t="s">
        <v>32</v>
      </c>
      <c r="E2509" s="3">
        <v>1695</v>
      </c>
      <c r="F2509" s="3">
        <v>487</v>
      </c>
      <c r="G2509" s="1">
        <f t="shared" si="954"/>
        <v>2182</v>
      </c>
      <c r="H2509" s="2">
        <f t="shared" si="955"/>
        <v>0.7768102658111824</v>
      </c>
      <c r="I2509" s="2">
        <f t="shared" si="956"/>
        <v>0.2231897341888176</v>
      </c>
      <c r="J2509" s="4">
        <v>15035.97</v>
      </c>
      <c r="K2509" s="4">
        <v>9296.9249999999975</v>
      </c>
      <c r="L2509" s="1">
        <f t="shared" si="957"/>
        <v>24332.894999999997</v>
      </c>
      <c r="M2509" s="2">
        <f t="shared" si="958"/>
        <v>0.61792770650594597</v>
      </c>
      <c r="N2509" s="2">
        <f t="shared" si="959"/>
        <v>0.38207229349405397</v>
      </c>
    </row>
    <row r="2510" spans="1:14" x14ac:dyDescent="0.35">
      <c r="A2510" t="s">
        <v>35</v>
      </c>
      <c r="B2510" t="s">
        <v>17</v>
      </c>
      <c r="C2510">
        <v>2003</v>
      </c>
      <c r="D2510" t="s">
        <v>32</v>
      </c>
      <c r="E2510" s="3">
        <f>76607</f>
        <v>76607</v>
      </c>
      <c r="F2510" s="3">
        <v>6338</v>
      </c>
      <c r="G2510" s="1">
        <f t="shared" si="954"/>
        <v>82945</v>
      </c>
      <c r="H2510" s="2">
        <f t="shared" si="955"/>
        <v>0.92358791970582921</v>
      </c>
      <c r="I2510" s="2">
        <f t="shared" si="956"/>
        <v>7.6412080294170834E-2</v>
      </c>
      <c r="J2510" s="4">
        <v>15918</v>
      </c>
      <c r="K2510" s="4">
        <v>7332</v>
      </c>
      <c r="L2510" s="1">
        <f t="shared" si="957"/>
        <v>23250</v>
      </c>
      <c r="M2510" s="2">
        <f t="shared" si="958"/>
        <v>0.6846451612903226</v>
      </c>
      <c r="N2510" s="2">
        <f t="shared" si="959"/>
        <v>0.3153548387096774</v>
      </c>
    </row>
    <row r="2511" spans="1:14" x14ac:dyDescent="0.35">
      <c r="A2511" t="s">
        <v>35</v>
      </c>
      <c r="B2511" t="s">
        <v>19</v>
      </c>
      <c r="C2511">
        <v>2003</v>
      </c>
      <c r="D2511" t="s">
        <v>32</v>
      </c>
      <c r="E2511" s="3">
        <v>68305</v>
      </c>
      <c r="F2511" s="3">
        <v>6090</v>
      </c>
      <c r="G2511" s="1">
        <f t="shared" si="954"/>
        <v>74395</v>
      </c>
      <c r="H2511" s="2">
        <f t="shared" si="955"/>
        <v>0.91813965992338198</v>
      </c>
      <c r="I2511" s="2">
        <f t="shared" si="956"/>
        <v>8.1860340076618049E-2</v>
      </c>
      <c r="J2511" s="4">
        <v>13197</v>
      </c>
      <c r="K2511" s="4">
        <v>6301</v>
      </c>
      <c r="L2511" s="1">
        <f t="shared" si="957"/>
        <v>19498</v>
      </c>
      <c r="M2511" s="2">
        <f t="shared" si="958"/>
        <v>0.67683865011796085</v>
      </c>
      <c r="N2511" s="2">
        <f t="shared" si="959"/>
        <v>0.32316134988203921</v>
      </c>
    </row>
    <row r="2512" spans="1:14" x14ac:dyDescent="0.35">
      <c r="A2512" t="s">
        <v>35</v>
      </c>
      <c r="B2512" t="s">
        <v>20</v>
      </c>
      <c r="C2512">
        <v>2003</v>
      </c>
      <c r="D2512" t="s">
        <v>32</v>
      </c>
      <c r="E2512" s="3">
        <v>71400</v>
      </c>
      <c r="F2512" s="3">
        <v>7127</v>
      </c>
      <c r="G2512" s="1">
        <f t="shared" si="954"/>
        <v>78527</v>
      </c>
      <c r="H2512" s="2">
        <f t="shared" si="955"/>
        <v>0.90924140741401049</v>
      </c>
      <c r="I2512" s="2">
        <f t="shared" si="956"/>
        <v>9.0758592585989534E-2</v>
      </c>
      <c r="J2512" s="4">
        <v>14227</v>
      </c>
      <c r="K2512" s="4">
        <v>7305</v>
      </c>
      <c r="L2512" s="1">
        <f t="shared" si="957"/>
        <v>21532</v>
      </c>
      <c r="M2512" s="2">
        <f t="shared" si="958"/>
        <v>0.66073750696637568</v>
      </c>
      <c r="N2512" s="2">
        <f t="shared" si="959"/>
        <v>0.33926249303362438</v>
      </c>
    </row>
    <row r="2513" spans="1:14" x14ac:dyDescent="0.35">
      <c r="A2513" t="s">
        <v>35</v>
      </c>
      <c r="B2513" t="s">
        <v>21</v>
      </c>
      <c r="C2513">
        <v>2003</v>
      </c>
      <c r="D2513" t="s">
        <v>32</v>
      </c>
      <c r="E2513" s="3">
        <f>71959</f>
        <v>71959</v>
      </c>
      <c r="F2513" s="3">
        <f>78241-E2513</f>
        <v>6282</v>
      </c>
      <c r="G2513" s="1">
        <f t="shared" si="954"/>
        <v>78241</v>
      </c>
      <c r="H2513" s="2">
        <f t="shared" si="955"/>
        <v>0.91970961516340533</v>
      </c>
      <c r="I2513" s="2">
        <f t="shared" si="956"/>
        <v>8.0290384836594619E-2</v>
      </c>
      <c r="J2513" s="4">
        <v>17590</v>
      </c>
      <c r="K2513" s="4">
        <f>26253-J2513</f>
        <v>8663</v>
      </c>
      <c r="L2513" s="1">
        <f t="shared" si="957"/>
        <v>26253</v>
      </c>
      <c r="M2513" s="2">
        <f t="shared" si="958"/>
        <v>0.67001866453357717</v>
      </c>
      <c r="N2513" s="2">
        <f t="shared" si="959"/>
        <v>0.32998133546642289</v>
      </c>
    </row>
    <row r="2514" spans="1:14" x14ac:dyDescent="0.35">
      <c r="A2514" t="s">
        <v>35</v>
      </c>
      <c r="B2514" t="s">
        <v>22</v>
      </c>
      <c r="C2514">
        <v>2003</v>
      </c>
      <c r="D2514" t="s">
        <v>32</v>
      </c>
      <c r="E2514" s="3">
        <f>71203</f>
        <v>71203</v>
      </c>
      <c r="F2514" s="3">
        <f>78824-E2514</f>
        <v>7621</v>
      </c>
      <c r="G2514" s="1">
        <f t="shared" si="954"/>
        <v>78824</v>
      </c>
      <c r="H2514" s="2">
        <f t="shared" si="955"/>
        <v>0.90331624885821582</v>
      </c>
      <c r="I2514" s="2">
        <f t="shared" si="956"/>
        <v>9.6683751141784222E-2</v>
      </c>
      <c r="J2514" s="4">
        <v>17390</v>
      </c>
      <c r="K2514" s="4">
        <f>26275-J2514</f>
        <v>8885</v>
      </c>
      <c r="L2514" s="1">
        <f t="shared" si="957"/>
        <v>26275</v>
      </c>
      <c r="M2514" s="2">
        <f t="shared" si="958"/>
        <v>0.66184586108468124</v>
      </c>
      <c r="N2514" s="2">
        <f t="shared" si="959"/>
        <v>0.33815413891531876</v>
      </c>
    </row>
    <row r="2515" spans="1:14" x14ac:dyDescent="0.35">
      <c r="A2515" t="s">
        <v>35</v>
      </c>
      <c r="B2515" t="s">
        <v>23</v>
      </c>
      <c r="C2515">
        <v>2003</v>
      </c>
      <c r="D2515" t="s">
        <v>32</v>
      </c>
      <c r="E2515" s="3">
        <f>70125</f>
        <v>70125</v>
      </c>
      <c r="F2515" s="3">
        <f>78115-E2515</f>
        <v>7990</v>
      </c>
      <c r="G2515" s="1">
        <f t="shared" si="954"/>
        <v>78115</v>
      </c>
      <c r="H2515" s="2">
        <f t="shared" si="955"/>
        <v>0.89771490750816108</v>
      </c>
      <c r="I2515" s="2">
        <f t="shared" si="956"/>
        <v>0.10228509249183895</v>
      </c>
      <c r="J2515" s="4">
        <v>17125</v>
      </c>
      <c r="K2515" s="4">
        <f>26069-J2515</f>
        <v>8944</v>
      </c>
      <c r="L2515" s="1">
        <f t="shared" si="957"/>
        <v>26069</v>
      </c>
      <c r="M2515" s="2">
        <f t="shared" si="958"/>
        <v>0.65691050673213391</v>
      </c>
      <c r="N2515" s="2">
        <f t="shared" si="959"/>
        <v>0.34308949326786603</v>
      </c>
    </row>
    <row r="2516" spans="1:14" x14ac:dyDescent="0.35">
      <c r="A2516" t="s">
        <v>35</v>
      </c>
      <c r="B2516" t="s">
        <v>24</v>
      </c>
      <c r="C2516">
        <v>2003</v>
      </c>
      <c r="D2516" t="s">
        <v>32</v>
      </c>
      <c r="E2516" s="3">
        <v>72782</v>
      </c>
      <c r="F2516" s="3">
        <v>9199</v>
      </c>
      <c r="G2516" s="1">
        <f t="shared" si="954"/>
        <v>81981</v>
      </c>
      <c r="H2516" s="2">
        <f t="shared" si="955"/>
        <v>0.88779107354143039</v>
      </c>
      <c r="I2516" s="2">
        <f t="shared" si="956"/>
        <v>0.11220892645856967</v>
      </c>
      <c r="J2516" s="4">
        <v>18532</v>
      </c>
      <c r="K2516" s="4">
        <v>10003</v>
      </c>
      <c r="L2516" s="1">
        <f t="shared" si="957"/>
        <v>28535</v>
      </c>
      <c r="M2516" s="2">
        <f t="shared" si="958"/>
        <v>0.64944804625898023</v>
      </c>
      <c r="N2516" s="2">
        <f t="shared" si="959"/>
        <v>0.35055195374101977</v>
      </c>
    </row>
    <row r="2517" spans="1:14" x14ac:dyDescent="0.35">
      <c r="A2517" t="s">
        <v>35</v>
      </c>
      <c r="B2517" t="s">
        <v>25</v>
      </c>
      <c r="C2517">
        <v>2003</v>
      </c>
      <c r="D2517" t="s">
        <v>32</v>
      </c>
      <c r="E2517" s="3">
        <v>68242</v>
      </c>
      <c r="F2517" s="3">
        <v>9340</v>
      </c>
      <c r="G2517" s="1">
        <f t="shared" si="954"/>
        <v>77582</v>
      </c>
      <c r="H2517" s="2">
        <f t="shared" si="955"/>
        <v>0.87961125003222396</v>
      </c>
      <c r="I2517" s="2">
        <f t="shared" si="956"/>
        <v>0.12038874996777603</v>
      </c>
      <c r="J2517" s="4">
        <v>16737</v>
      </c>
      <c r="K2517" s="4">
        <v>9273</v>
      </c>
      <c r="L2517" s="1">
        <f t="shared" si="957"/>
        <v>26010</v>
      </c>
      <c r="M2517" s="2">
        <f t="shared" si="958"/>
        <v>0.64348327566320651</v>
      </c>
      <c r="N2517" s="2">
        <f t="shared" si="959"/>
        <v>0.35651672433679354</v>
      </c>
    </row>
    <row r="2518" spans="1:14" x14ac:dyDescent="0.35">
      <c r="A2518" t="s">
        <v>35</v>
      </c>
      <c r="B2518" t="s">
        <v>26</v>
      </c>
      <c r="C2518">
        <v>2003</v>
      </c>
      <c r="D2518" t="s">
        <v>32</v>
      </c>
      <c r="E2518" s="3">
        <v>67135</v>
      </c>
      <c r="F2518" s="3">
        <v>9904</v>
      </c>
      <c r="G2518" s="1">
        <f t="shared" si="954"/>
        <v>77039</v>
      </c>
      <c r="H2518" s="2">
        <f t="shared" si="955"/>
        <v>0.87144173730188601</v>
      </c>
      <c r="I2518" s="2">
        <f t="shared" si="956"/>
        <v>0.12855826269811393</v>
      </c>
      <c r="J2518" s="4">
        <v>16337</v>
      </c>
      <c r="K2518" s="4">
        <v>9538</v>
      </c>
      <c r="L2518" s="1">
        <f t="shared" si="957"/>
        <v>25875</v>
      </c>
      <c r="M2518" s="2">
        <f t="shared" si="958"/>
        <v>0.63138164251207729</v>
      </c>
      <c r="N2518" s="2">
        <f t="shared" si="959"/>
        <v>0.36861835748792271</v>
      </c>
    </row>
    <row r="2519" spans="1:14" x14ac:dyDescent="0.35">
      <c r="A2519" t="s">
        <v>35</v>
      </c>
      <c r="B2519" t="s">
        <v>27</v>
      </c>
      <c r="C2519">
        <v>2003</v>
      </c>
      <c r="D2519" t="s">
        <v>32</v>
      </c>
      <c r="E2519" s="3">
        <f>72557</f>
        <v>72557</v>
      </c>
      <c r="F2519" s="3">
        <v>11055</v>
      </c>
      <c r="G2519" s="1">
        <f t="shared" si="954"/>
        <v>83612</v>
      </c>
      <c r="H2519" s="2">
        <f t="shared" si="955"/>
        <v>0.86778213653542557</v>
      </c>
      <c r="I2519" s="2">
        <f t="shared" si="956"/>
        <v>0.13221786346457445</v>
      </c>
      <c r="J2519" s="4">
        <v>18516</v>
      </c>
      <c r="K2519" s="4">
        <v>10725</v>
      </c>
      <c r="L2519" s="1">
        <f t="shared" si="957"/>
        <v>29241</v>
      </c>
      <c r="M2519" s="2">
        <f t="shared" si="958"/>
        <v>0.63322047809582438</v>
      </c>
      <c r="N2519" s="2">
        <f t="shared" si="959"/>
        <v>0.36677952190417562</v>
      </c>
    </row>
    <row r="2520" spans="1:14" x14ac:dyDescent="0.35">
      <c r="A2520" t="s">
        <v>35</v>
      </c>
      <c r="B2520" t="s">
        <v>28</v>
      </c>
      <c r="C2520">
        <v>2003</v>
      </c>
      <c r="D2520" t="s">
        <v>32</v>
      </c>
      <c r="E2520" s="3">
        <v>56295</v>
      </c>
      <c r="F2520" s="3">
        <v>9083</v>
      </c>
      <c r="G2520" s="1">
        <f t="shared" si="954"/>
        <v>65378</v>
      </c>
      <c r="H2520" s="2">
        <f t="shared" si="955"/>
        <v>0.86106947291137692</v>
      </c>
      <c r="I2520" s="2">
        <f t="shared" si="956"/>
        <v>0.13893052708862308</v>
      </c>
      <c r="J2520" s="4">
        <v>12646</v>
      </c>
      <c r="K2520" s="4">
        <v>8654</v>
      </c>
      <c r="L2520" s="1">
        <f t="shared" si="957"/>
        <v>21300</v>
      </c>
      <c r="M2520" s="2">
        <f t="shared" si="958"/>
        <v>0.59370892018779342</v>
      </c>
      <c r="N2520" s="2">
        <f t="shared" si="959"/>
        <v>0.40629107981220658</v>
      </c>
    </row>
    <row r="2521" spans="1:14" x14ac:dyDescent="0.35">
      <c r="A2521" t="s">
        <v>35</v>
      </c>
      <c r="B2521" t="s">
        <v>29</v>
      </c>
      <c r="C2521">
        <v>2003</v>
      </c>
      <c r="D2521" t="s">
        <v>32</v>
      </c>
      <c r="E2521" s="3">
        <v>64927</v>
      </c>
      <c r="F2521" s="3">
        <v>10859</v>
      </c>
      <c r="G2521" s="1">
        <f t="shared" si="954"/>
        <v>75786</v>
      </c>
      <c r="H2521" s="2">
        <f t="shared" si="955"/>
        <v>0.85671496054680285</v>
      </c>
      <c r="I2521" s="2">
        <f t="shared" si="956"/>
        <v>0.14328503945319715</v>
      </c>
      <c r="J2521" s="4">
        <v>16187</v>
      </c>
      <c r="K2521" s="4">
        <v>10269</v>
      </c>
      <c r="L2521" s="1">
        <f t="shared" si="957"/>
        <v>26456</v>
      </c>
      <c r="M2521" s="2">
        <f t="shared" si="958"/>
        <v>0.61184608406410645</v>
      </c>
      <c r="N2521" s="2">
        <f t="shared" si="959"/>
        <v>0.38815391593589355</v>
      </c>
    </row>
    <row r="2522" spans="1:14" x14ac:dyDescent="0.35">
      <c r="A2522" t="s">
        <v>35</v>
      </c>
      <c r="B2522" t="s">
        <v>17</v>
      </c>
      <c r="C2522">
        <v>2004</v>
      </c>
      <c r="D2522" t="s">
        <v>32</v>
      </c>
      <c r="E2522" s="3">
        <v>62858</v>
      </c>
      <c r="F2522" s="3">
        <v>10830</v>
      </c>
      <c r="G2522" s="1">
        <f t="shared" si="954"/>
        <v>73688</v>
      </c>
      <c r="H2522" s="2">
        <f t="shared" si="955"/>
        <v>0.85302898708066444</v>
      </c>
      <c r="I2522" s="2">
        <f t="shared" si="956"/>
        <v>0.14697101291933556</v>
      </c>
      <c r="J2522" s="4">
        <v>11621</v>
      </c>
      <c r="K2522" s="4">
        <v>8821</v>
      </c>
      <c r="L2522" s="1">
        <f t="shared" si="957"/>
        <v>20442</v>
      </c>
      <c r="M2522" s="2">
        <f t="shared" si="958"/>
        <v>0.56848644946678406</v>
      </c>
      <c r="N2522" s="2">
        <f t="shared" si="959"/>
        <v>0.43151355053321594</v>
      </c>
    </row>
    <row r="2523" spans="1:14" x14ac:dyDescent="0.35">
      <c r="A2523" t="s">
        <v>35</v>
      </c>
      <c r="B2523" t="s">
        <v>19</v>
      </c>
      <c r="C2523">
        <v>2004</v>
      </c>
      <c r="D2523" t="s">
        <v>32</v>
      </c>
      <c r="E2523" s="3">
        <v>59255</v>
      </c>
      <c r="F2523" s="3">
        <v>10528</v>
      </c>
      <c r="G2523" s="1">
        <f t="shared" si="954"/>
        <v>69783</v>
      </c>
      <c r="H2523" s="2">
        <f t="shared" si="955"/>
        <v>0.8491323101615007</v>
      </c>
      <c r="I2523" s="2">
        <f t="shared" si="956"/>
        <v>0.15086768983849935</v>
      </c>
      <c r="J2523" s="4">
        <v>10359</v>
      </c>
      <c r="K2523" s="4">
        <v>7898</v>
      </c>
      <c r="L2523" s="1">
        <f t="shared" si="957"/>
        <v>18257</v>
      </c>
      <c r="M2523" s="2">
        <f t="shared" si="958"/>
        <v>0.56739880593744862</v>
      </c>
      <c r="N2523" s="2">
        <f t="shared" si="959"/>
        <v>0.43260119406255138</v>
      </c>
    </row>
    <row r="2524" spans="1:14" x14ac:dyDescent="0.35">
      <c r="A2524" t="s">
        <v>35</v>
      </c>
      <c r="B2524" t="s">
        <v>20</v>
      </c>
      <c r="C2524">
        <v>2004</v>
      </c>
      <c r="D2524" t="s">
        <v>32</v>
      </c>
      <c r="E2524" s="3">
        <v>66866</v>
      </c>
      <c r="F2524" s="3">
        <v>12537</v>
      </c>
      <c r="G2524" s="1">
        <f t="shared" si="954"/>
        <v>79403</v>
      </c>
      <c r="H2524" s="2">
        <f t="shared" si="955"/>
        <v>0.84210924020503009</v>
      </c>
      <c r="I2524" s="2">
        <f t="shared" si="956"/>
        <v>0.15789075979496997</v>
      </c>
      <c r="J2524" s="4">
        <v>12213</v>
      </c>
      <c r="K2524" s="4">
        <v>12139</v>
      </c>
      <c r="L2524" s="1">
        <f t="shared" si="957"/>
        <v>24352</v>
      </c>
      <c r="M2524" s="2">
        <f t="shared" si="958"/>
        <v>0.50151938239159</v>
      </c>
      <c r="N2524" s="2">
        <f t="shared" si="959"/>
        <v>0.49848061760841</v>
      </c>
    </row>
    <row r="2525" spans="1:14" x14ac:dyDescent="0.35">
      <c r="A2525" t="s">
        <v>35</v>
      </c>
      <c r="B2525" t="s">
        <v>21</v>
      </c>
      <c r="C2525">
        <v>2004</v>
      </c>
      <c r="D2525" t="s">
        <v>32</v>
      </c>
      <c r="E2525" s="3">
        <v>59280</v>
      </c>
      <c r="F2525" s="3">
        <v>11259</v>
      </c>
      <c r="G2525" s="1">
        <f t="shared" si="954"/>
        <v>70539</v>
      </c>
      <c r="H2525" s="2">
        <f t="shared" si="955"/>
        <v>0.84038616935312382</v>
      </c>
      <c r="I2525" s="2">
        <f t="shared" si="956"/>
        <v>0.1596138306468762</v>
      </c>
      <c r="J2525" s="4">
        <v>10313</v>
      </c>
      <c r="K2525" s="4">
        <v>9829</v>
      </c>
      <c r="L2525" s="1">
        <f t="shared" si="957"/>
        <v>20142</v>
      </c>
      <c r="M2525" s="2">
        <f t="shared" si="958"/>
        <v>0.51201469566080826</v>
      </c>
      <c r="N2525" s="2">
        <f t="shared" si="959"/>
        <v>0.48798530433919174</v>
      </c>
    </row>
    <row r="2526" spans="1:14" x14ac:dyDescent="0.35">
      <c r="A2526" t="s">
        <v>35</v>
      </c>
      <c r="B2526" t="s">
        <v>22</v>
      </c>
      <c r="C2526">
        <v>2004</v>
      </c>
      <c r="D2526" t="s">
        <v>32</v>
      </c>
      <c r="E2526" s="3">
        <v>54962</v>
      </c>
      <c r="F2526" s="3">
        <v>10848</v>
      </c>
      <c r="G2526" s="1">
        <f t="shared" si="954"/>
        <v>65810</v>
      </c>
      <c r="H2526" s="2">
        <f t="shared" si="955"/>
        <v>0.83516182950919315</v>
      </c>
      <c r="I2526" s="2">
        <f t="shared" si="956"/>
        <v>0.16483817049080687</v>
      </c>
      <c r="J2526" s="4">
        <v>9160</v>
      </c>
      <c r="K2526" s="4">
        <v>9113</v>
      </c>
      <c r="L2526" s="1">
        <f t="shared" si="957"/>
        <v>18273</v>
      </c>
      <c r="M2526" s="2">
        <f t="shared" si="958"/>
        <v>0.5012860504569584</v>
      </c>
      <c r="N2526" s="2">
        <f t="shared" si="959"/>
        <v>0.49871394954304166</v>
      </c>
    </row>
    <row r="2527" spans="1:14" x14ac:dyDescent="0.35">
      <c r="A2527" t="s">
        <v>35</v>
      </c>
      <c r="B2527" t="s">
        <v>23</v>
      </c>
      <c r="C2527">
        <v>2004</v>
      </c>
      <c r="D2527" t="s">
        <v>32</v>
      </c>
      <c r="E2527" s="3">
        <v>60308</v>
      </c>
      <c r="F2527" s="3">
        <v>12564</v>
      </c>
      <c r="G2527" s="1">
        <f t="shared" si="954"/>
        <v>72872</v>
      </c>
      <c r="H2527" s="2">
        <f t="shared" si="955"/>
        <v>0.8275880996816336</v>
      </c>
      <c r="I2527" s="2">
        <f t="shared" si="956"/>
        <v>0.17241190031836645</v>
      </c>
      <c r="J2527" s="4">
        <v>10763</v>
      </c>
      <c r="K2527" s="4">
        <v>11098</v>
      </c>
      <c r="L2527" s="1">
        <f t="shared" si="957"/>
        <v>21861</v>
      </c>
      <c r="M2527" s="2">
        <f t="shared" si="958"/>
        <v>0.49233795343305431</v>
      </c>
      <c r="N2527" s="2">
        <f t="shared" si="959"/>
        <v>0.50766204656694569</v>
      </c>
    </row>
    <row r="2528" spans="1:14" x14ac:dyDescent="0.35">
      <c r="A2528" t="s">
        <v>35</v>
      </c>
      <c r="B2528" t="s">
        <v>24</v>
      </c>
      <c r="C2528">
        <v>2004</v>
      </c>
      <c r="D2528" t="s">
        <v>32</v>
      </c>
      <c r="E2528" s="3">
        <f>56288</f>
        <v>56288</v>
      </c>
      <c r="F2528" s="3">
        <v>12247</v>
      </c>
      <c r="G2528" s="1">
        <f t="shared" si="954"/>
        <v>68535</v>
      </c>
      <c r="H2528" s="2">
        <f t="shared" si="955"/>
        <v>0.82130298387685119</v>
      </c>
      <c r="I2528" s="2">
        <f t="shared" si="956"/>
        <v>0.17869701612314876</v>
      </c>
      <c r="J2528" s="4">
        <f>9472</f>
        <v>9472</v>
      </c>
      <c r="K2528" s="4">
        <v>10500</v>
      </c>
      <c r="L2528" s="1">
        <f t="shared" si="957"/>
        <v>19972</v>
      </c>
      <c r="M2528" s="2">
        <f t="shared" si="958"/>
        <v>0.47426396955738032</v>
      </c>
      <c r="N2528" s="2">
        <f t="shared" si="959"/>
        <v>0.52573603044261963</v>
      </c>
    </row>
    <row r="2529" spans="1:14" x14ac:dyDescent="0.35">
      <c r="A2529" t="s">
        <v>35</v>
      </c>
      <c r="B2529" t="s">
        <v>25</v>
      </c>
      <c r="C2529">
        <v>2004</v>
      </c>
      <c r="D2529" t="s">
        <v>32</v>
      </c>
      <c r="E2529" s="3">
        <v>57798</v>
      </c>
      <c r="F2529" s="3">
        <v>13178</v>
      </c>
      <c r="G2529" s="1">
        <f t="shared" si="954"/>
        <v>70976</v>
      </c>
      <c r="H2529" s="2">
        <f t="shared" si="955"/>
        <v>0.81433160504959423</v>
      </c>
      <c r="I2529" s="2">
        <f t="shared" si="956"/>
        <v>0.18566839495040577</v>
      </c>
      <c r="J2529" s="4">
        <v>9759</v>
      </c>
      <c r="K2529" s="4">
        <v>11171</v>
      </c>
      <c r="L2529" s="1">
        <f t="shared" si="957"/>
        <v>20930</v>
      </c>
      <c r="M2529" s="2">
        <f t="shared" si="958"/>
        <v>0.46626851409460107</v>
      </c>
      <c r="N2529" s="2">
        <f t="shared" si="959"/>
        <v>0.53373148590539898</v>
      </c>
    </row>
    <row r="2530" spans="1:14" x14ac:dyDescent="0.35">
      <c r="A2530" t="s">
        <v>35</v>
      </c>
      <c r="B2530" t="s">
        <v>26</v>
      </c>
      <c r="C2530">
        <v>2004</v>
      </c>
      <c r="D2530" t="s">
        <v>32</v>
      </c>
      <c r="E2530" s="3">
        <v>53809</v>
      </c>
      <c r="F2530" s="3">
        <v>12991</v>
      </c>
      <c r="G2530" s="1">
        <f t="shared" si="954"/>
        <v>66800</v>
      </c>
      <c r="H2530" s="2">
        <f t="shared" si="955"/>
        <v>0.8055239520958084</v>
      </c>
      <c r="I2530" s="2">
        <f t="shared" si="956"/>
        <v>0.19447604790419162</v>
      </c>
      <c r="J2530" s="4">
        <v>8914</v>
      </c>
      <c r="K2530" s="4">
        <v>11762</v>
      </c>
      <c r="L2530" s="1">
        <f t="shared" si="957"/>
        <v>20676</v>
      </c>
      <c r="M2530" s="2">
        <f t="shared" si="958"/>
        <v>0.43112787773263689</v>
      </c>
      <c r="N2530" s="2">
        <f t="shared" si="959"/>
        <v>0.56887212226736317</v>
      </c>
    </row>
    <row r="2531" spans="1:14" x14ac:dyDescent="0.35">
      <c r="A2531" t="s">
        <v>35</v>
      </c>
      <c r="B2531" t="s">
        <v>27</v>
      </c>
      <c r="C2531">
        <v>2004</v>
      </c>
      <c r="D2531" t="s">
        <v>32</v>
      </c>
      <c r="E2531" s="3">
        <v>52900</v>
      </c>
      <c r="F2531" s="3">
        <v>13391</v>
      </c>
      <c r="G2531" s="1">
        <f t="shared" si="954"/>
        <v>66291</v>
      </c>
      <c r="H2531" s="2">
        <f t="shared" si="955"/>
        <v>0.79799671146912854</v>
      </c>
      <c r="I2531" s="2">
        <f t="shared" si="956"/>
        <v>0.20200328853087146</v>
      </c>
      <c r="J2531" s="4">
        <v>8510</v>
      </c>
      <c r="K2531" s="4">
        <v>11167</v>
      </c>
      <c r="L2531" s="1">
        <f t="shared" si="957"/>
        <v>19677</v>
      </c>
      <c r="M2531" s="2">
        <f t="shared" si="958"/>
        <v>0.43248462672155308</v>
      </c>
      <c r="N2531" s="2">
        <f t="shared" si="959"/>
        <v>0.56751537327844692</v>
      </c>
    </row>
    <row r="2532" spans="1:14" x14ac:dyDescent="0.35">
      <c r="A2532" t="s">
        <v>35</v>
      </c>
      <c r="B2532" t="s">
        <v>28</v>
      </c>
      <c r="C2532">
        <v>2004</v>
      </c>
      <c r="D2532" t="s">
        <v>32</v>
      </c>
      <c r="E2532" s="3">
        <v>49479</v>
      </c>
      <c r="F2532" s="3">
        <v>13060</v>
      </c>
      <c r="G2532" s="1">
        <f t="shared" si="954"/>
        <v>62539</v>
      </c>
      <c r="H2532" s="2">
        <f t="shared" si="955"/>
        <v>0.79117030972673053</v>
      </c>
      <c r="I2532" s="2">
        <f t="shared" si="956"/>
        <v>0.20882969027326947</v>
      </c>
      <c r="J2532" s="4">
        <v>7906</v>
      </c>
      <c r="K2532" s="4">
        <v>10702</v>
      </c>
      <c r="L2532" s="1">
        <f t="shared" si="957"/>
        <v>18608</v>
      </c>
      <c r="M2532" s="2">
        <f t="shared" si="958"/>
        <v>0.42487102321582115</v>
      </c>
      <c r="N2532" s="2">
        <f t="shared" si="959"/>
        <v>0.57512897678417885</v>
      </c>
    </row>
    <row r="2533" spans="1:14" x14ac:dyDescent="0.35">
      <c r="A2533" t="s">
        <v>35</v>
      </c>
      <c r="B2533" t="s">
        <v>29</v>
      </c>
      <c r="C2533">
        <v>2004</v>
      </c>
      <c r="D2533" t="s">
        <v>32</v>
      </c>
      <c r="E2533" s="3">
        <v>48378</v>
      </c>
      <c r="F2533" s="3">
        <v>13147</v>
      </c>
      <c r="G2533" s="1">
        <f t="shared" si="954"/>
        <v>61525</v>
      </c>
      <c r="H2533" s="2">
        <f t="shared" si="955"/>
        <v>0.78631450629825272</v>
      </c>
      <c r="I2533" s="2">
        <f t="shared" si="956"/>
        <v>0.21368549370174725</v>
      </c>
      <c r="J2533" s="4">
        <v>7525</v>
      </c>
      <c r="K2533" s="4">
        <v>10265</v>
      </c>
      <c r="L2533" s="1">
        <f t="shared" si="957"/>
        <v>17790</v>
      </c>
      <c r="M2533" s="2">
        <f t="shared" si="958"/>
        <v>0.4229904440697021</v>
      </c>
      <c r="N2533" s="2">
        <f t="shared" si="959"/>
        <v>0.5770095559302979</v>
      </c>
    </row>
    <row r="2534" spans="1:14" x14ac:dyDescent="0.35">
      <c r="A2534" t="s">
        <v>35</v>
      </c>
      <c r="B2534" t="s">
        <v>17</v>
      </c>
      <c r="C2534">
        <v>2005</v>
      </c>
      <c r="D2534" t="s">
        <v>32</v>
      </c>
      <c r="E2534" s="3">
        <v>50550</v>
      </c>
      <c r="F2534" s="3">
        <v>14320</v>
      </c>
      <c r="G2534" s="1">
        <f t="shared" si="954"/>
        <v>64870</v>
      </c>
      <c r="H2534" s="2">
        <f t="shared" si="955"/>
        <v>0.7792508093109296</v>
      </c>
      <c r="I2534" s="2">
        <f t="shared" si="956"/>
        <v>0.22074919068907045</v>
      </c>
      <c r="J2534" s="4">
        <v>7910</v>
      </c>
      <c r="K2534" s="4">
        <v>11651</v>
      </c>
      <c r="L2534" s="1">
        <f t="shared" si="957"/>
        <v>19561</v>
      </c>
      <c r="M2534" s="2">
        <f t="shared" si="958"/>
        <v>0.40437605439394714</v>
      </c>
      <c r="N2534" s="2">
        <f t="shared" si="959"/>
        <v>0.59562394560605281</v>
      </c>
    </row>
    <row r="2535" spans="1:14" x14ac:dyDescent="0.35">
      <c r="A2535" t="s">
        <v>35</v>
      </c>
      <c r="B2535" t="s">
        <v>19</v>
      </c>
      <c r="C2535">
        <v>2005</v>
      </c>
      <c r="D2535" t="s">
        <v>32</v>
      </c>
      <c r="E2535" s="3">
        <v>44849</v>
      </c>
      <c r="F2535" s="3">
        <v>13146</v>
      </c>
      <c r="G2535" s="1">
        <f t="shared" si="954"/>
        <v>57995</v>
      </c>
      <c r="H2535" s="2">
        <f t="shared" si="955"/>
        <v>0.77332528666264333</v>
      </c>
      <c r="I2535" s="2">
        <f t="shared" si="956"/>
        <v>0.22667471333735667</v>
      </c>
      <c r="J2535" s="4">
        <v>7080</v>
      </c>
      <c r="K2535" s="4">
        <v>9746</v>
      </c>
      <c r="L2535" s="1">
        <f t="shared" si="957"/>
        <v>16826</v>
      </c>
      <c r="M2535" s="2">
        <f t="shared" si="958"/>
        <v>0.42077736835849283</v>
      </c>
      <c r="N2535" s="2">
        <f t="shared" si="959"/>
        <v>0.57922263164150722</v>
      </c>
    </row>
    <row r="2536" spans="1:14" x14ac:dyDescent="0.35">
      <c r="A2536" t="s">
        <v>35</v>
      </c>
      <c r="B2536" t="s">
        <v>20</v>
      </c>
      <c r="C2536">
        <v>2005</v>
      </c>
      <c r="D2536" t="s">
        <v>32</v>
      </c>
      <c r="E2536" s="3">
        <v>49496</v>
      </c>
      <c r="F2536" s="3">
        <v>14858</v>
      </c>
      <c r="G2536" s="1">
        <f t="shared" si="954"/>
        <v>64354</v>
      </c>
      <c r="H2536" s="2">
        <f t="shared" si="955"/>
        <v>0.76912080057183707</v>
      </c>
      <c r="I2536" s="2">
        <f t="shared" si="956"/>
        <v>0.23087919942816298</v>
      </c>
      <c r="J2536" s="4">
        <v>7748</v>
      </c>
      <c r="K2536" s="4">
        <v>13332</v>
      </c>
      <c r="L2536" s="1">
        <f t="shared" si="957"/>
        <v>21080</v>
      </c>
      <c r="M2536" s="2">
        <f t="shared" si="958"/>
        <v>0.36755218216318786</v>
      </c>
      <c r="N2536" s="2">
        <f t="shared" si="959"/>
        <v>0.63244781783681214</v>
      </c>
    </row>
    <row r="2537" spans="1:14" x14ac:dyDescent="0.35">
      <c r="A2537" t="s">
        <v>35</v>
      </c>
      <c r="B2537" t="s">
        <v>21</v>
      </c>
      <c r="C2537">
        <v>2005</v>
      </c>
      <c r="D2537" t="s">
        <v>32</v>
      </c>
      <c r="E2537" s="3">
        <v>46360</v>
      </c>
      <c r="F2537" s="3">
        <v>13983</v>
      </c>
      <c r="G2537" s="1">
        <f t="shared" si="954"/>
        <v>60343</v>
      </c>
      <c r="H2537" s="2">
        <f t="shared" si="955"/>
        <v>0.76827469631937428</v>
      </c>
      <c r="I2537" s="2">
        <f t="shared" si="956"/>
        <v>0.23172530368062574</v>
      </c>
      <c r="J2537" s="4">
        <v>7102</v>
      </c>
      <c r="K2537" s="4">
        <v>10655</v>
      </c>
      <c r="L2537" s="1">
        <f t="shared" si="957"/>
        <v>17757</v>
      </c>
      <c r="M2537" s="2">
        <f t="shared" si="958"/>
        <v>0.39995494734470916</v>
      </c>
      <c r="N2537" s="2">
        <f t="shared" si="959"/>
        <v>0.60004505265529084</v>
      </c>
    </row>
    <row r="2538" spans="1:14" x14ac:dyDescent="0.35">
      <c r="A2538" t="s">
        <v>35</v>
      </c>
      <c r="B2538" t="s">
        <v>22</v>
      </c>
      <c r="C2538">
        <v>2005</v>
      </c>
      <c r="D2538" t="s">
        <v>32</v>
      </c>
      <c r="E2538" s="3">
        <v>46238</v>
      </c>
      <c r="F2538" s="3">
        <v>14365</v>
      </c>
      <c r="G2538" s="1">
        <f t="shared" si="954"/>
        <v>60603</v>
      </c>
      <c r="H2538" s="2">
        <f t="shared" si="955"/>
        <v>0.7629655297592528</v>
      </c>
      <c r="I2538" s="2">
        <f t="shared" si="956"/>
        <v>0.23703447024074717</v>
      </c>
      <c r="J2538" s="4">
        <v>7214</v>
      </c>
      <c r="K2538" s="4">
        <v>11394</v>
      </c>
      <c r="L2538" s="1">
        <f t="shared" si="957"/>
        <v>18608</v>
      </c>
      <c r="M2538" s="2">
        <f t="shared" si="958"/>
        <v>0.38768271711092006</v>
      </c>
      <c r="N2538" s="2">
        <f t="shared" si="959"/>
        <v>0.61231728288907994</v>
      </c>
    </row>
    <row r="2539" spans="1:14" x14ac:dyDescent="0.35">
      <c r="A2539" t="s">
        <v>35</v>
      </c>
      <c r="B2539" t="s">
        <v>23</v>
      </c>
      <c r="C2539">
        <v>2005</v>
      </c>
      <c r="D2539" t="s">
        <v>32</v>
      </c>
      <c r="E2539" s="3">
        <v>48497</v>
      </c>
      <c r="F2539" s="3">
        <v>15531</v>
      </c>
      <c r="G2539" s="1">
        <f t="shared" si="954"/>
        <v>64028</v>
      </c>
      <c r="H2539" s="2">
        <f t="shared" si="955"/>
        <v>0.7574342475167114</v>
      </c>
      <c r="I2539" s="2">
        <f t="shared" si="956"/>
        <v>0.24256575248328857</v>
      </c>
      <c r="J2539" s="4">
        <v>7588</v>
      </c>
      <c r="K2539" s="4">
        <v>13137</v>
      </c>
      <c r="L2539" s="1">
        <f t="shared" si="957"/>
        <v>20725</v>
      </c>
      <c r="M2539" s="2">
        <f t="shared" si="958"/>
        <v>0.36612786489746685</v>
      </c>
      <c r="N2539" s="2">
        <f t="shared" si="959"/>
        <v>0.63387213510253315</v>
      </c>
    </row>
    <row r="2540" spans="1:14" x14ac:dyDescent="0.35">
      <c r="A2540" t="s">
        <v>35</v>
      </c>
      <c r="B2540" t="s">
        <v>24</v>
      </c>
      <c r="C2540">
        <v>2005</v>
      </c>
      <c r="D2540" t="s">
        <v>32</v>
      </c>
      <c r="E2540" s="3">
        <v>45004</v>
      </c>
      <c r="F2540" s="3">
        <v>14412</v>
      </c>
      <c r="G2540" s="1">
        <f t="shared" si="954"/>
        <v>59416</v>
      </c>
      <c r="H2540" s="2">
        <f t="shared" si="955"/>
        <v>0.75743907365019525</v>
      </c>
      <c r="I2540" s="2">
        <f t="shared" si="956"/>
        <v>0.24256092634980478</v>
      </c>
      <c r="J2540" s="4">
        <v>6781</v>
      </c>
      <c r="K2540" s="4">
        <v>10890</v>
      </c>
      <c r="L2540" s="1">
        <f t="shared" si="957"/>
        <v>17671</v>
      </c>
      <c r="M2540" s="2">
        <f t="shared" si="958"/>
        <v>0.38373606473883765</v>
      </c>
      <c r="N2540" s="2">
        <f t="shared" si="959"/>
        <v>0.61626393526116241</v>
      </c>
    </row>
    <row r="2541" spans="1:14" x14ac:dyDescent="0.35">
      <c r="A2541" t="s">
        <v>35</v>
      </c>
      <c r="B2541" t="s">
        <v>25</v>
      </c>
      <c r="C2541">
        <v>2005</v>
      </c>
      <c r="D2541" t="s">
        <v>32</v>
      </c>
      <c r="E2541" s="3">
        <v>52093</v>
      </c>
      <c r="F2541" s="3">
        <v>17186</v>
      </c>
      <c r="G2541" s="1">
        <f t="shared" si="954"/>
        <v>69279</v>
      </c>
      <c r="H2541" s="2">
        <f t="shared" si="955"/>
        <v>0.75193059946015384</v>
      </c>
      <c r="I2541" s="2">
        <f t="shared" si="956"/>
        <v>0.24806940053984614</v>
      </c>
      <c r="J2541" s="4">
        <v>8087</v>
      </c>
      <c r="K2541" s="4">
        <v>14099</v>
      </c>
      <c r="L2541" s="1">
        <f t="shared" si="957"/>
        <v>22186</v>
      </c>
      <c r="M2541" s="2">
        <f t="shared" si="958"/>
        <v>0.3645091499143604</v>
      </c>
      <c r="N2541" s="2">
        <f t="shared" si="959"/>
        <v>0.63549085008563955</v>
      </c>
    </row>
    <row r="2542" spans="1:14" x14ac:dyDescent="0.35">
      <c r="A2542" t="s">
        <v>35</v>
      </c>
      <c r="B2542" t="s">
        <v>26</v>
      </c>
      <c r="C2542">
        <v>2005</v>
      </c>
      <c r="D2542" t="s">
        <v>32</v>
      </c>
      <c r="E2542" s="3">
        <v>46162</v>
      </c>
      <c r="F2542" s="3">
        <v>15705</v>
      </c>
      <c r="G2542" s="1">
        <f t="shared" si="954"/>
        <v>61867</v>
      </c>
      <c r="H2542" s="2">
        <f t="shared" si="955"/>
        <v>0.74614899704204185</v>
      </c>
      <c r="I2542" s="2">
        <f t="shared" si="956"/>
        <v>0.25385100295795821</v>
      </c>
      <c r="J2542" s="4">
        <v>7129</v>
      </c>
      <c r="K2542" s="4">
        <v>12387</v>
      </c>
      <c r="L2542" s="1">
        <f t="shared" si="957"/>
        <v>19516</v>
      </c>
      <c r="M2542" s="2">
        <f t="shared" si="958"/>
        <v>0.36529001844640296</v>
      </c>
      <c r="N2542" s="2">
        <f t="shared" si="959"/>
        <v>0.63470998155359704</v>
      </c>
    </row>
    <row r="2543" spans="1:14" x14ac:dyDescent="0.35">
      <c r="A2543" t="s">
        <v>35</v>
      </c>
      <c r="B2543" t="s">
        <v>27</v>
      </c>
      <c r="C2543">
        <v>2005</v>
      </c>
      <c r="D2543" t="s">
        <v>32</v>
      </c>
      <c r="E2543" s="3">
        <v>45605</v>
      </c>
      <c r="F2543" s="3">
        <v>15902</v>
      </c>
      <c r="G2543" s="1">
        <f t="shared" si="954"/>
        <v>61507</v>
      </c>
      <c r="H2543" s="2">
        <f t="shared" si="955"/>
        <v>0.74146032158941255</v>
      </c>
      <c r="I2543" s="2">
        <f t="shared" si="956"/>
        <v>0.25853967841058739</v>
      </c>
      <c r="J2543" s="4">
        <v>6980</v>
      </c>
      <c r="K2543" s="4">
        <v>12459</v>
      </c>
      <c r="L2543" s="1">
        <f t="shared" si="957"/>
        <v>19439</v>
      </c>
      <c r="M2543" s="2">
        <f t="shared" si="958"/>
        <v>0.35907196872267094</v>
      </c>
      <c r="N2543" s="2">
        <f t="shared" si="959"/>
        <v>0.64092803127732911</v>
      </c>
    </row>
    <row r="2544" spans="1:14" x14ac:dyDescent="0.35">
      <c r="A2544" t="s">
        <v>35</v>
      </c>
      <c r="B2544" t="s">
        <v>28</v>
      </c>
      <c r="C2544">
        <v>2005</v>
      </c>
      <c r="D2544" t="s">
        <v>32</v>
      </c>
      <c r="E2544" s="3">
        <v>42854</v>
      </c>
      <c r="F2544" s="3">
        <v>15543</v>
      </c>
      <c r="G2544" s="1">
        <f t="shared" si="954"/>
        <v>58397</v>
      </c>
      <c r="H2544" s="2">
        <f t="shared" si="955"/>
        <v>0.7338390670753635</v>
      </c>
      <c r="I2544" s="2">
        <f t="shared" si="956"/>
        <v>0.26616093292463655</v>
      </c>
      <c r="J2544" s="4">
        <v>6485</v>
      </c>
      <c r="K2544" s="4">
        <v>11840</v>
      </c>
      <c r="L2544" s="1">
        <f t="shared" si="957"/>
        <v>18325</v>
      </c>
      <c r="M2544" s="2">
        <f t="shared" si="958"/>
        <v>0.35388813096862209</v>
      </c>
      <c r="N2544" s="2">
        <f t="shared" si="959"/>
        <v>0.64611186903137785</v>
      </c>
    </row>
    <row r="2545" spans="1:14" x14ac:dyDescent="0.35">
      <c r="A2545" t="s">
        <v>35</v>
      </c>
      <c r="B2545" t="s">
        <v>29</v>
      </c>
      <c r="C2545">
        <v>2005</v>
      </c>
      <c r="D2545" t="s">
        <v>32</v>
      </c>
      <c r="E2545" s="3">
        <v>42811</v>
      </c>
      <c r="F2545" s="3">
        <v>15623</v>
      </c>
      <c r="G2545" s="1">
        <f t="shared" si="954"/>
        <v>58434</v>
      </c>
      <c r="H2545" s="2">
        <f t="shared" si="955"/>
        <v>0.7326385323612965</v>
      </c>
      <c r="I2545" s="2">
        <f t="shared" si="956"/>
        <v>0.2673614676387035</v>
      </c>
      <c r="J2545" s="4">
        <v>6363</v>
      </c>
      <c r="K2545" s="4">
        <v>11261</v>
      </c>
      <c r="L2545" s="1">
        <f t="shared" si="957"/>
        <v>17624</v>
      </c>
      <c r="M2545" s="2">
        <f t="shared" si="958"/>
        <v>0.36104176123467996</v>
      </c>
      <c r="N2545" s="2">
        <f t="shared" si="959"/>
        <v>0.63895823876531999</v>
      </c>
    </row>
    <row r="2546" spans="1:14" x14ac:dyDescent="0.35">
      <c r="A2546" t="s">
        <v>35</v>
      </c>
      <c r="B2546" t="s">
        <v>17</v>
      </c>
      <c r="C2546">
        <v>2006</v>
      </c>
      <c r="D2546" t="s">
        <v>32</v>
      </c>
      <c r="E2546" s="3">
        <v>44155</v>
      </c>
      <c r="F2546" s="3">
        <v>16141</v>
      </c>
      <c r="G2546" s="1">
        <f t="shared" si="954"/>
        <v>60296</v>
      </c>
      <c r="H2546" s="2">
        <f t="shared" si="955"/>
        <v>0.73230396709566137</v>
      </c>
      <c r="I2546" s="2">
        <f t="shared" si="956"/>
        <v>0.26769603290433858</v>
      </c>
      <c r="J2546" s="4">
        <v>6715</v>
      </c>
      <c r="K2546" s="4">
        <v>12472</v>
      </c>
      <c r="L2546" s="1">
        <f t="shared" si="957"/>
        <v>19187</v>
      </c>
      <c r="M2546" s="2">
        <f t="shared" si="958"/>
        <v>0.34997654662010735</v>
      </c>
      <c r="N2546" s="2">
        <f t="shared" si="959"/>
        <v>0.65002345337989265</v>
      </c>
    </row>
    <row r="2547" spans="1:14" x14ac:dyDescent="0.35">
      <c r="A2547" t="s">
        <v>35</v>
      </c>
      <c r="B2547" t="s">
        <v>19</v>
      </c>
      <c r="C2547">
        <v>2006</v>
      </c>
      <c r="D2547" t="s">
        <v>32</v>
      </c>
      <c r="E2547" s="3">
        <v>41662</v>
      </c>
      <c r="F2547" s="3">
        <v>15450</v>
      </c>
      <c r="G2547" s="1">
        <f t="shared" si="954"/>
        <v>57112</v>
      </c>
      <c r="H2547" s="2">
        <f t="shared" si="955"/>
        <v>0.72947891861605263</v>
      </c>
      <c r="I2547" s="2">
        <f t="shared" si="956"/>
        <v>0.27052108138394731</v>
      </c>
      <c r="J2547" s="4">
        <v>6347</v>
      </c>
      <c r="K2547" s="4">
        <v>10765</v>
      </c>
      <c r="L2547" s="1">
        <f t="shared" si="957"/>
        <v>17112</v>
      </c>
      <c r="M2547" s="2">
        <f t="shared" si="958"/>
        <v>0.3709093034128097</v>
      </c>
      <c r="N2547" s="2">
        <f t="shared" si="959"/>
        <v>0.6290906965871903</v>
      </c>
    </row>
    <row r="2548" spans="1:14" x14ac:dyDescent="0.35">
      <c r="A2548" t="s">
        <v>35</v>
      </c>
      <c r="B2548" t="s">
        <v>20</v>
      </c>
      <c r="C2548">
        <v>2006</v>
      </c>
      <c r="D2548" t="s">
        <v>32</v>
      </c>
      <c r="E2548" s="3">
        <v>47428</v>
      </c>
      <c r="F2548" s="3">
        <v>18448</v>
      </c>
      <c r="G2548" s="1">
        <f t="shared" si="954"/>
        <v>65876</v>
      </c>
      <c r="H2548" s="2">
        <f t="shared" si="955"/>
        <v>0.71995871030420788</v>
      </c>
      <c r="I2548" s="2">
        <f t="shared" si="956"/>
        <v>0.28004128969579212</v>
      </c>
      <c r="J2548" s="4">
        <v>7293</v>
      </c>
      <c r="K2548" s="4">
        <v>15893</v>
      </c>
      <c r="L2548" s="1">
        <f t="shared" si="957"/>
        <v>23186</v>
      </c>
      <c r="M2548" s="2">
        <f t="shared" si="958"/>
        <v>0.31454325886310702</v>
      </c>
      <c r="N2548" s="2">
        <f t="shared" si="959"/>
        <v>0.68545674113689292</v>
      </c>
    </row>
    <row r="2549" spans="1:14" x14ac:dyDescent="0.35">
      <c r="A2549" t="s">
        <v>35</v>
      </c>
      <c r="B2549" t="s">
        <v>21</v>
      </c>
      <c r="C2549">
        <v>2006</v>
      </c>
      <c r="D2549" t="s">
        <v>32</v>
      </c>
      <c r="E2549" s="3">
        <v>40401</v>
      </c>
      <c r="F2549" s="3">
        <v>15609</v>
      </c>
      <c r="G2549" s="1">
        <f t="shared" si="954"/>
        <v>56010</v>
      </c>
      <c r="H2549" s="2">
        <f t="shared" si="955"/>
        <v>0.72131762185324044</v>
      </c>
      <c r="I2549" s="2">
        <f t="shared" si="956"/>
        <v>0.2786823781467595</v>
      </c>
      <c r="J2549" s="4">
        <v>6048</v>
      </c>
      <c r="K2549" s="4">
        <v>11394</v>
      </c>
      <c r="L2549" s="1">
        <f t="shared" si="957"/>
        <v>17442</v>
      </c>
      <c r="M2549" s="2">
        <f t="shared" si="958"/>
        <v>0.34674922600619196</v>
      </c>
      <c r="N2549" s="2">
        <f t="shared" si="959"/>
        <v>0.65325077399380804</v>
      </c>
    </row>
    <row r="2550" spans="1:14" x14ac:dyDescent="0.35">
      <c r="A2550" t="s">
        <v>35</v>
      </c>
      <c r="B2550" t="s">
        <v>22</v>
      </c>
      <c r="C2550">
        <v>2006</v>
      </c>
      <c r="D2550" t="s">
        <v>32</v>
      </c>
      <c r="E2550" s="3">
        <v>44271</v>
      </c>
      <c r="F2550" s="3">
        <v>18109</v>
      </c>
      <c r="G2550" s="1">
        <f t="shared" si="954"/>
        <v>62380</v>
      </c>
      <c r="H2550" s="2">
        <f t="shared" si="955"/>
        <v>0.70969862135299777</v>
      </c>
      <c r="I2550" s="2">
        <f t="shared" si="956"/>
        <v>0.29030137864700223</v>
      </c>
      <c r="J2550" s="4">
        <v>6851</v>
      </c>
      <c r="K2550" s="4">
        <v>14231</v>
      </c>
      <c r="L2550" s="1">
        <f t="shared" si="957"/>
        <v>21082</v>
      </c>
      <c r="M2550" s="2">
        <f t="shared" si="958"/>
        <v>0.3249691680106252</v>
      </c>
      <c r="N2550" s="2">
        <f t="shared" si="959"/>
        <v>0.67503083198937486</v>
      </c>
    </row>
    <row r="2551" spans="1:14" x14ac:dyDescent="0.35">
      <c r="A2551" t="s">
        <v>35</v>
      </c>
      <c r="B2551" t="s">
        <v>23</v>
      </c>
      <c r="C2551">
        <v>2006</v>
      </c>
      <c r="D2551" t="s">
        <v>32</v>
      </c>
      <c r="E2551" s="3">
        <v>43219</v>
      </c>
      <c r="F2551" s="3">
        <v>17847</v>
      </c>
      <c r="G2551" s="1">
        <f t="shared" ref="G2551:G2614" si="960">SUM(E2551:F2551)</f>
        <v>61066</v>
      </c>
      <c r="H2551" s="2">
        <f t="shared" ref="H2551:H2614" si="961">SUM(E2551)/G2551</f>
        <v>0.70774244260308516</v>
      </c>
      <c r="I2551" s="2">
        <f t="shared" ref="I2551:I2614" si="962">SUM(F2551/G2551)</f>
        <v>0.29225755739691484</v>
      </c>
      <c r="J2551" s="4">
        <v>6592</v>
      </c>
      <c r="K2551" s="4">
        <v>13610</v>
      </c>
      <c r="L2551" s="1">
        <f t="shared" si="957"/>
        <v>20202</v>
      </c>
      <c r="M2551" s="2">
        <f t="shared" si="958"/>
        <v>0.32630432630432632</v>
      </c>
      <c r="N2551" s="2">
        <f t="shared" si="959"/>
        <v>0.67369567369567374</v>
      </c>
    </row>
    <row r="2552" spans="1:14" x14ac:dyDescent="0.35">
      <c r="A2552" t="s">
        <v>35</v>
      </c>
      <c r="B2552" t="s">
        <v>24</v>
      </c>
      <c r="C2552">
        <v>2006</v>
      </c>
      <c r="D2552" t="s">
        <v>32</v>
      </c>
      <c r="E2552" s="3">
        <v>38893</v>
      </c>
      <c r="F2552" s="3">
        <v>16758</v>
      </c>
      <c r="G2552" s="1">
        <f t="shared" si="960"/>
        <v>55651</v>
      </c>
      <c r="H2552" s="2">
        <f t="shared" si="961"/>
        <v>0.698873335609423</v>
      </c>
      <c r="I2552" s="2">
        <f t="shared" si="962"/>
        <v>0.301126664390577</v>
      </c>
      <c r="J2552" s="4">
        <v>5889</v>
      </c>
      <c r="K2552" s="4">
        <v>12246</v>
      </c>
      <c r="L2552" s="1">
        <f t="shared" si="957"/>
        <v>18135</v>
      </c>
      <c r="M2552" s="2">
        <f t="shared" si="958"/>
        <v>0.3247311827956989</v>
      </c>
      <c r="N2552" s="2">
        <f t="shared" si="959"/>
        <v>0.6752688172043011</v>
      </c>
    </row>
    <row r="2553" spans="1:14" x14ac:dyDescent="0.35">
      <c r="A2553" t="s">
        <v>35</v>
      </c>
      <c r="B2553" t="s">
        <v>25</v>
      </c>
      <c r="C2553">
        <v>2006</v>
      </c>
      <c r="D2553" t="s">
        <v>32</v>
      </c>
      <c r="E2553" s="3">
        <v>43649</v>
      </c>
      <c r="F2553" s="3">
        <v>19080</v>
      </c>
      <c r="G2553" s="1">
        <f t="shared" si="960"/>
        <v>62729</v>
      </c>
      <c r="H2553" s="2">
        <f t="shared" si="961"/>
        <v>0.69583446252929271</v>
      </c>
      <c r="I2553" s="2">
        <f t="shared" si="962"/>
        <v>0.30416553747070735</v>
      </c>
      <c r="J2553" s="4">
        <v>6662</v>
      </c>
      <c r="K2553" s="4">
        <v>14380</v>
      </c>
      <c r="L2553" s="1">
        <f t="shared" si="957"/>
        <v>21042</v>
      </c>
      <c r="M2553" s="2">
        <f t="shared" si="958"/>
        <v>0.31660488546716092</v>
      </c>
      <c r="N2553" s="2">
        <f t="shared" si="959"/>
        <v>0.68339511453283908</v>
      </c>
    </row>
    <row r="2554" spans="1:14" x14ac:dyDescent="0.35">
      <c r="A2554" t="s">
        <v>35</v>
      </c>
      <c r="B2554" t="s">
        <v>26</v>
      </c>
      <c r="C2554">
        <v>2006</v>
      </c>
      <c r="D2554" t="s">
        <v>32</v>
      </c>
      <c r="E2554" s="3">
        <v>38006</v>
      </c>
      <c r="F2554" s="3">
        <v>16996</v>
      </c>
      <c r="G2554" s="1">
        <f t="shared" si="960"/>
        <v>55002</v>
      </c>
      <c r="H2554" s="2">
        <f t="shared" si="961"/>
        <v>0.69099305479800732</v>
      </c>
      <c r="I2554" s="2">
        <f t="shared" si="962"/>
        <v>0.30900694520199268</v>
      </c>
      <c r="J2554" s="4">
        <v>5758</v>
      </c>
      <c r="K2554" s="4">
        <v>12408</v>
      </c>
      <c r="L2554" s="1">
        <f t="shared" si="957"/>
        <v>18166</v>
      </c>
      <c r="M2554" s="2">
        <f t="shared" si="958"/>
        <v>0.3169657602113839</v>
      </c>
      <c r="N2554" s="2">
        <f t="shared" si="959"/>
        <v>0.6830342397886161</v>
      </c>
    </row>
    <row r="2555" spans="1:14" x14ac:dyDescent="0.35">
      <c r="A2555" t="s">
        <v>35</v>
      </c>
      <c r="B2555" t="s">
        <v>27</v>
      </c>
      <c r="C2555">
        <v>2006</v>
      </c>
      <c r="D2555" t="s">
        <v>32</v>
      </c>
      <c r="E2555" s="3">
        <v>40756</v>
      </c>
      <c r="F2555" s="3">
        <v>18776</v>
      </c>
      <c r="G2555" s="1">
        <f t="shared" si="960"/>
        <v>59532</v>
      </c>
      <c r="H2555" s="2">
        <f t="shared" si="961"/>
        <v>0.68460659813209701</v>
      </c>
      <c r="I2555" s="2">
        <f t="shared" si="962"/>
        <v>0.31539340186790299</v>
      </c>
      <c r="J2555" s="4">
        <v>6161</v>
      </c>
      <c r="K2555" s="4">
        <v>13849</v>
      </c>
      <c r="L2555" s="1">
        <f t="shared" si="957"/>
        <v>20010</v>
      </c>
      <c r="M2555" s="2">
        <f t="shared" si="958"/>
        <v>0.30789605197401299</v>
      </c>
      <c r="N2555" s="2">
        <f t="shared" si="959"/>
        <v>0.69210394802598696</v>
      </c>
    </row>
    <row r="2556" spans="1:14" x14ac:dyDescent="0.35">
      <c r="A2556" t="s">
        <v>35</v>
      </c>
      <c r="B2556" t="s">
        <v>28</v>
      </c>
      <c r="C2556">
        <v>2006</v>
      </c>
      <c r="D2556" t="s">
        <v>32</v>
      </c>
      <c r="E2556" s="3">
        <v>37170</v>
      </c>
      <c r="F2556" s="3">
        <v>17472</v>
      </c>
      <c r="G2556" s="1">
        <f t="shared" si="960"/>
        <v>54642</v>
      </c>
      <c r="H2556" s="2">
        <f t="shared" si="961"/>
        <v>0.68024596464258258</v>
      </c>
      <c r="I2556" s="2">
        <f t="shared" si="962"/>
        <v>0.31975403535741737</v>
      </c>
      <c r="J2556" s="4">
        <v>5589</v>
      </c>
      <c r="K2556" s="4">
        <v>12576</v>
      </c>
      <c r="L2556" s="1">
        <f t="shared" si="957"/>
        <v>18165</v>
      </c>
      <c r="M2556" s="2">
        <f t="shared" si="958"/>
        <v>0.30767960363336083</v>
      </c>
      <c r="N2556" s="2">
        <f t="shared" si="959"/>
        <v>0.69232039636663911</v>
      </c>
    </row>
    <row r="2557" spans="1:14" x14ac:dyDescent="0.35">
      <c r="A2557" t="s">
        <v>35</v>
      </c>
      <c r="B2557" t="s">
        <v>29</v>
      </c>
      <c r="C2557">
        <v>2006</v>
      </c>
      <c r="D2557" t="s">
        <v>32</v>
      </c>
      <c r="E2557" s="3">
        <v>34594</v>
      </c>
      <c r="F2557" s="3">
        <v>16598</v>
      </c>
      <c r="G2557" s="1">
        <f t="shared" si="960"/>
        <v>51192</v>
      </c>
      <c r="H2557" s="2">
        <f t="shared" si="961"/>
        <v>0.67576965150804813</v>
      </c>
      <c r="I2557" s="2">
        <f t="shared" si="962"/>
        <v>0.32423034849195187</v>
      </c>
      <c r="J2557" s="4">
        <v>5082</v>
      </c>
      <c r="K2557" s="4">
        <v>11208</v>
      </c>
      <c r="L2557" s="1">
        <f t="shared" si="957"/>
        <v>16290</v>
      </c>
      <c r="M2557" s="2">
        <f t="shared" si="958"/>
        <v>0.3119705340699816</v>
      </c>
      <c r="N2557" s="2">
        <f t="shared" si="959"/>
        <v>0.68802946593001846</v>
      </c>
    </row>
    <row r="2558" spans="1:14" x14ac:dyDescent="0.35">
      <c r="A2558" t="s">
        <v>35</v>
      </c>
      <c r="B2558" t="s">
        <v>17</v>
      </c>
      <c r="C2558">
        <v>2007</v>
      </c>
      <c r="D2558" t="s">
        <v>32</v>
      </c>
      <c r="E2558" s="3">
        <v>38245</v>
      </c>
      <c r="F2558" s="3">
        <v>18999</v>
      </c>
      <c r="G2558" s="1">
        <f t="shared" si="960"/>
        <v>57244</v>
      </c>
      <c r="H2558" s="2">
        <f t="shared" si="961"/>
        <v>0.66810495423101113</v>
      </c>
      <c r="I2558" s="2">
        <f t="shared" si="962"/>
        <v>0.33189504576898887</v>
      </c>
      <c r="J2558" s="4">
        <v>5806</v>
      </c>
      <c r="K2558" s="4">
        <v>14333</v>
      </c>
      <c r="L2558" s="1">
        <f t="shared" si="957"/>
        <v>20139</v>
      </c>
      <c r="M2558" s="2">
        <f t="shared" si="958"/>
        <v>0.28829634043398383</v>
      </c>
      <c r="N2558" s="2">
        <f t="shared" si="959"/>
        <v>0.71170365956601622</v>
      </c>
    </row>
    <row r="2559" spans="1:14" x14ac:dyDescent="0.35">
      <c r="A2559" t="s">
        <v>35</v>
      </c>
      <c r="B2559" t="s">
        <v>19</v>
      </c>
      <c r="C2559">
        <v>2007</v>
      </c>
      <c r="D2559" t="s">
        <v>32</v>
      </c>
      <c r="E2559" s="3">
        <v>35658</v>
      </c>
      <c r="F2559" s="3">
        <v>17642</v>
      </c>
      <c r="G2559" s="1">
        <f t="shared" si="960"/>
        <v>53300</v>
      </c>
      <c r="H2559" s="2">
        <f t="shared" si="961"/>
        <v>0.66900562851782364</v>
      </c>
      <c r="I2559" s="2">
        <f t="shared" si="962"/>
        <v>0.33099437148217636</v>
      </c>
      <c r="J2559" s="4">
        <v>5263</v>
      </c>
      <c r="K2559" s="4">
        <v>12055</v>
      </c>
      <c r="L2559" s="1">
        <f t="shared" si="957"/>
        <v>17318</v>
      </c>
      <c r="M2559" s="2">
        <f t="shared" si="958"/>
        <v>0.30390345305462524</v>
      </c>
      <c r="N2559" s="2">
        <f t="shared" si="959"/>
        <v>0.69609654694537471</v>
      </c>
    </row>
    <row r="2560" spans="1:14" x14ac:dyDescent="0.35">
      <c r="A2560" t="s">
        <v>35</v>
      </c>
      <c r="B2560" t="s">
        <v>20</v>
      </c>
      <c r="C2560">
        <v>2007</v>
      </c>
      <c r="D2560" t="s">
        <v>32</v>
      </c>
      <c r="E2560" s="3">
        <v>39271</v>
      </c>
      <c r="F2560" s="3">
        <v>19993</v>
      </c>
      <c r="G2560" s="1">
        <f t="shared" si="960"/>
        <v>59264</v>
      </c>
      <c r="H2560" s="2">
        <f t="shared" si="961"/>
        <v>0.66264511339092869</v>
      </c>
      <c r="I2560" s="2">
        <f t="shared" si="962"/>
        <v>0.33735488660907126</v>
      </c>
      <c r="J2560" s="4">
        <v>5920</v>
      </c>
      <c r="K2560" s="4">
        <v>14926</v>
      </c>
      <c r="L2560" s="1">
        <f t="shared" si="957"/>
        <v>20846</v>
      </c>
      <c r="M2560" s="2">
        <f t="shared" si="958"/>
        <v>0.28398733569989448</v>
      </c>
      <c r="N2560" s="2">
        <f t="shared" si="959"/>
        <v>0.71601266430010557</v>
      </c>
    </row>
    <row r="2561" spans="1:14" x14ac:dyDescent="0.35">
      <c r="A2561" t="s">
        <v>35</v>
      </c>
      <c r="B2561" t="s">
        <v>21</v>
      </c>
      <c r="C2561">
        <v>2007</v>
      </c>
      <c r="D2561" t="s">
        <v>32</v>
      </c>
      <c r="E2561" s="3">
        <v>35067</v>
      </c>
      <c r="F2561" s="3">
        <v>17876</v>
      </c>
      <c r="G2561" s="1">
        <f t="shared" si="960"/>
        <v>52943</v>
      </c>
      <c r="H2561" s="2">
        <f t="shared" si="961"/>
        <v>0.66235385225620003</v>
      </c>
      <c r="I2561" s="2">
        <f t="shared" si="962"/>
        <v>0.33764614774379992</v>
      </c>
      <c r="J2561" s="4">
        <v>5155</v>
      </c>
      <c r="K2561" s="4">
        <v>12208</v>
      </c>
      <c r="L2561" s="1">
        <f t="shared" si="957"/>
        <v>17363</v>
      </c>
      <c r="M2561" s="2">
        <f t="shared" si="958"/>
        <v>0.296895697748085</v>
      </c>
      <c r="N2561" s="2">
        <f t="shared" si="959"/>
        <v>0.703104302251915</v>
      </c>
    </row>
    <row r="2562" spans="1:14" x14ac:dyDescent="0.35">
      <c r="A2562" t="s">
        <v>35</v>
      </c>
      <c r="B2562" t="s">
        <v>22</v>
      </c>
      <c r="C2562">
        <v>2007</v>
      </c>
      <c r="D2562" t="s">
        <v>32</v>
      </c>
      <c r="E2562" s="3">
        <v>38442</v>
      </c>
      <c r="F2562" s="3">
        <v>20322</v>
      </c>
      <c r="G2562" s="1">
        <f t="shared" si="960"/>
        <v>58764</v>
      </c>
      <c r="H2562" s="2">
        <f t="shared" si="961"/>
        <v>0.65417602613845216</v>
      </c>
      <c r="I2562" s="2">
        <f t="shared" si="962"/>
        <v>0.3458239738615479</v>
      </c>
      <c r="J2562" s="4">
        <v>5750</v>
      </c>
      <c r="K2562" s="4">
        <v>15105</v>
      </c>
      <c r="L2562" s="1">
        <f t="shared" si="957"/>
        <v>20855</v>
      </c>
      <c r="M2562" s="2">
        <f t="shared" si="958"/>
        <v>0.27571325821146009</v>
      </c>
      <c r="N2562" s="2">
        <f t="shared" si="959"/>
        <v>0.72428674178853991</v>
      </c>
    </row>
    <row r="2563" spans="1:14" x14ac:dyDescent="0.35">
      <c r="A2563" t="s">
        <v>35</v>
      </c>
      <c r="B2563" t="s">
        <v>23</v>
      </c>
      <c r="C2563">
        <v>2007</v>
      </c>
      <c r="D2563" t="s">
        <v>32</v>
      </c>
      <c r="E2563" s="3">
        <v>36302</v>
      </c>
      <c r="F2563" s="3">
        <v>19310</v>
      </c>
      <c r="G2563" s="1">
        <f t="shared" si="960"/>
        <v>55612</v>
      </c>
      <c r="H2563" s="2">
        <f t="shared" si="961"/>
        <v>0.65277278285262175</v>
      </c>
      <c r="I2563" s="2">
        <f t="shared" si="962"/>
        <v>0.34722721714737825</v>
      </c>
      <c r="J2563" s="4">
        <v>5277</v>
      </c>
      <c r="K2563" s="4">
        <v>13817</v>
      </c>
      <c r="L2563" s="1">
        <f t="shared" ref="L2563:L2626" si="963">SUM(J2563:K2563)</f>
        <v>19094</v>
      </c>
      <c r="M2563" s="2">
        <f t="shared" ref="M2563:M2626" si="964">SUM(J2563)/L2563</f>
        <v>0.27636954016968679</v>
      </c>
      <c r="N2563" s="2">
        <f t="shared" ref="N2563:N2626" si="965">SUM(K2563/L2563)</f>
        <v>0.72363045983031316</v>
      </c>
    </row>
    <row r="2564" spans="1:14" x14ac:dyDescent="0.35">
      <c r="A2564" t="s">
        <v>35</v>
      </c>
      <c r="B2564" t="s">
        <v>24</v>
      </c>
      <c r="C2564">
        <v>2007</v>
      </c>
      <c r="D2564" t="s">
        <v>32</v>
      </c>
      <c r="E2564" s="3">
        <v>35953</v>
      </c>
      <c r="F2564" s="3">
        <v>19468</v>
      </c>
      <c r="G2564" s="1">
        <f t="shared" si="960"/>
        <v>55421</v>
      </c>
      <c r="H2564" s="2">
        <f t="shared" si="961"/>
        <v>0.64872521246458925</v>
      </c>
      <c r="I2564" s="2">
        <f t="shared" si="962"/>
        <v>0.35127478753541075</v>
      </c>
      <c r="J2564" s="4">
        <v>5215</v>
      </c>
      <c r="K2564" s="4">
        <v>13911</v>
      </c>
      <c r="L2564" s="1">
        <f t="shared" si="963"/>
        <v>19126</v>
      </c>
      <c r="M2564" s="2">
        <f t="shared" si="964"/>
        <v>0.27266548154344872</v>
      </c>
      <c r="N2564" s="2">
        <f t="shared" si="965"/>
        <v>0.72733451845655128</v>
      </c>
    </row>
    <row r="2565" spans="1:14" x14ac:dyDescent="0.35">
      <c r="A2565" t="s">
        <v>35</v>
      </c>
      <c r="B2565" t="s">
        <v>25</v>
      </c>
      <c r="C2565">
        <v>2007</v>
      </c>
      <c r="D2565" t="s">
        <v>32</v>
      </c>
      <c r="E2565" s="3">
        <v>38723</v>
      </c>
      <c r="F2565" s="3">
        <v>21302</v>
      </c>
      <c r="G2565" s="1">
        <f t="shared" si="960"/>
        <v>60025</v>
      </c>
      <c r="H2565" s="2">
        <f t="shared" si="961"/>
        <v>0.64511453561016241</v>
      </c>
      <c r="I2565" s="2">
        <f t="shared" si="962"/>
        <v>0.35488546438983759</v>
      </c>
      <c r="J2565" s="4">
        <v>5587</v>
      </c>
      <c r="K2565" s="4">
        <v>15418</v>
      </c>
      <c r="L2565" s="1">
        <f t="shared" si="963"/>
        <v>21005</v>
      </c>
      <c r="M2565" s="2">
        <f t="shared" si="964"/>
        <v>0.26598428945489166</v>
      </c>
      <c r="N2565" s="2">
        <f t="shared" si="965"/>
        <v>0.73401571054510828</v>
      </c>
    </row>
    <row r="2566" spans="1:14" x14ac:dyDescent="0.35">
      <c r="A2566" t="s">
        <v>35</v>
      </c>
      <c r="B2566" t="s">
        <v>26</v>
      </c>
      <c r="C2566">
        <v>2007</v>
      </c>
      <c r="D2566" t="s">
        <v>32</v>
      </c>
      <c r="E2566" s="3">
        <v>32373</v>
      </c>
      <c r="F2566" s="3">
        <v>18063</v>
      </c>
      <c r="G2566" s="1">
        <f t="shared" si="960"/>
        <v>50436</v>
      </c>
      <c r="H2566" s="2">
        <f t="shared" si="961"/>
        <v>0.64186295503211988</v>
      </c>
      <c r="I2566" s="2">
        <f t="shared" si="962"/>
        <v>0.35813704496788007</v>
      </c>
      <c r="J2566" s="4">
        <v>4695</v>
      </c>
      <c r="K2566" s="4">
        <v>12409</v>
      </c>
      <c r="L2566" s="1">
        <f t="shared" si="963"/>
        <v>17104</v>
      </c>
      <c r="M2566" s="2">
        <f t="shared" si="964"/>
        <v>0.27449719363891489</v>
      </c>
      <c r="N2566" s="2">
        <f t="shared" si="965"/>
        <v>0.72550280636108511</v>
      </c>
    </row>
    <row r="2567" spans="1:14" x14ac:dyDescent="0.35">
      <c r="A2567" t="s">
        <v>35</v>
      </c>
      <c r="B2567" t="s">
        <v>27</v>
      </c>
      <c r="C2567">
        <v>2007</v>
      </c>
      <c r="D2567" t="s">
        <v>32</v>
      </c>
      <c r="E2567" s="3">
        <v>35212</v>
      </c>
      <c r="F2567" s="3">
        <v>20087</v>
      </c>
      <c r="G2567" s="1">
        <f t="shared" si="960"/>
        <v>55299</v>
      </c>
      <c r="H2567" s="2">
        <f t="shared" si="961"/>
        <v>0.63675654170961504</v>
      </c>
      <c r="I2567" s="2">
        <f t="shared" si="962"/>
        <v>0.36324345829038501</v>
      </c>
      <c r="J2567" s="4">
        <v>5052</v>
      </c>
      <c r="K2567" s="4">
        <v>13968</v>
      </c>
      <c r="L2567" s="1">
        <f t="shared" si="963"/>
        <v>19020</v>
      </c>
      <c r="M2567" s="2">
        <f t="shared" si="964"/>
        <v>0.26561514195583596</v>
      </c>
      <c r="N2567" s="2">
        <f t="shared" si="965"/>
        <v>0.73438485804416409</v>
      </c>
    </row>
    <row r="2568" spans="1:14" x14ac:dyDescent="0.35">
      <c r="A2568" t="s">
        <v>35</v>
      </c>
      <c r="B2568" t="s">
        <v>28</v>
      </c>
      <c r="C2568">
        <v>2007</v>
      </c>
      <c r="D2568" t="s">
        <v>32</v>
      </c>
      <c r="E2568" s="3">
        <v>34945</v>
      </c>
      <c r="F2568" s="3">
        <v>20183</v>
      </c>
      <c r="G2568" s="1">
        <f t="shared" si="960"/>
        <v>55128</v>
      </c>
      <c r="H2568" s="2">
        <f t="shared" si="961"/>
        <v>0.63388840516615874</v>
      </c>
      <c r="I2568" s="2">
        <f t="shared" si="962"/>
        <v>0.36611159483384126</v>
      </c>
      <c r="J2568" s="4">
        <v>5018</v>
      </c>
      <c r="K2568" s="4">
        <v>13991</v>
      </c>
      <c r="L2568" s="1">
        <f t="shared" si="963"/>
        <v>19009</v>
      </c>
      <c r="M2568" s="2">
        <f t="shared" si="964"/>
        <v>0.26398021989583881</v>
      </c>
      <c r="N2568" s="2">
        <f t="shared" si="965"/>
        <v>0.73601978010416114</v>
      </c>
    </row>
    <row r="2569" spans="1:14" x14ac:dyDescent="0.35">
      <c r="A2569" t="s">
        <v>35</v>
      </c>
      <c r="B2569" t="s">
        <v>29</v>
      </c>
      <c r="C2569">
        <v>2007</v>
      </c>
      <c r="D2569" t="s">
        <v>32</v>
      </c>
      <c r="E2569" s="3">
        <v>34636</v>
      </c>
      <c r="F2569" s="3">
        <v>20324</v>
      </c>
      <c r="G2569" s="1">
        <f t="shared" si="960"/>
        <v>54960</v>
      </c>
      <c r="H2569" s="2">
        <f t="shared" si="961"/>
        <v>0.63020378457059678</v>
      </c>
      <c r="I2569" s="2">
        <f t="shared" si="962"/>
        <v>0.36979621542940322</v>
      </c>
      <c r="J2569" s="4">
        <v>4971</v>
      </c>
      <c r="K2569" s="4">
        <v>14079</v>
      </c>
      <c r="L2569" s="1">
        <f t="shared" si="963"/>
        <v>19050</v>
      </c>
      <c r="M2569" s="2">
        <f t="shared" si="964"/>
        <v>0.26094488188976378</v>
      </c>
      <c r="N2569" s="2">
        <f t="shared" si="965"/>
        <v>0.73905511811023628</v>
      </c>
    </row>
    <row r="2570" spans="1:14" x14ac:dyDescent="0.35">
      <c r="A2570" t="s">
        <v>35</v>
      </c>
      <c r="B2570" t="s">
        <v>17</v>
      </c>
      <c r="C2570">
        <v>2008</v>
      </c>
      <c r="D2570" t="s">
        <v>32</v>
      </c>
      <c r="E2570" s="3">
        <v>34347</v>
      </c>
      <c r="F2570" s="3">
        <v>20588</v>
      </c>
      <c r="G2570" s="1">
        <f t="shared" si="960"/>
        <v>54935</v>
      </c>
      <c r="H2570" s="2">
        <f t="shared" si="961"/>
        <v>0.62522981705652136</v>
      </c>
      <c r="I2570" s="2">
        <f t="shared" si="962"/>
        <v>0.37477018294347864</v>
      </c>
      <c r="J2570" s="4">
        <v>4878</v>
      </c>
      <c r="K2570" s="4">
        <v>14165</v>
      </c>
      <c r="L2570" s="1">
        <f t="shared" si="963"/>
        <v>19043</v>
      </c>
      <c r="M2570" s="2">
        <f t="shared" si="964"/>
        <v>0.2561571181011395</v>
      </c>
      <c r="N2570" s="2">
        <f t="shared" si="965"/>
        <v>0.7438428818988605</v>
      </c>
    </row>
    <row r="2571" spans="1:14" x14ac:dyDescent="0.35">
      <c r="A2571" t="s">
        <v>35</v>
      </c>
      <c r="B2571" t="s">
        <v>19</v>
      </c>
      <c r="C2571">
        <v>2008</v>
      </c>
      <c r="D2571" t="s">
        <v>32</v>
      </c>
      <c r="E2571" s="3">
        <v>34138</v>
      </c>
      <c r="F2571" s="3">
        <v>20516</v>
      </c>
      <c r="G2571" s="1">
        <f t="shared" si="960"/>
        <v>54654</v>
      </c>
      <c r="H2571" s="2">
        <f t="shared" si="961"/>
        <v>0.62462033885900392</v>
      </c>
      <c r="I2571" s="2">
        <f t="shared" si="962"/>
        <v>0.37537966114099608</v>
      </c>
      <c r="J2571" s="4">
        <v>4847</v>
      </c>
      <c r="K2571" s="4">
        <v>14192</v>
      </c>
      <c r="L2571" s="1">
        <f t="shared" si="963"/>
        <v>19039</v>
      </c>
      <c r="M2571" s="2">
        <f t="shared" si="964"/>
        <v>0.25458269867114869</v>
      </c>
      <c r="N2571" s="2">
        <f t="shared" si="965"/>
        <v>0.74541730132885131</v>
      </c>
    </row>
    <row r="2572" spans="1:14" x14ac:dyDescent="0.35">
      <c r="A2572" t="s">
        <v>35</v>
      </c>
      <c r="B2572" t="s">
        <v>20</v>
      </c>
      <c r="C2572">
        <v>2008</v>
      </c>
      <c r="D2572" t="s">
        <v>32</v>
      </c>
      <c r="E2572" s="3">
        <v>33967</v>
      </c>
      <c r="F2572" s="3">
        <v>20600</v>
      </c>
      <c r="G2572" s="1">
        <f t="shared" si="960"/>
        <v>54567</v>
      </c>
      <c r="H2572" s="2">
        <f t="shared" si="961"/>
        <v>0.62248245276449132</v>
      </c>
      <c r="I2572" s="2">
        <f t="shared" si="962"/>
        <v>0.37751754723550862</v>
      </c>
      <c r="J2572" s="4">
        <v>4809</v>
      </c>
      <c r="K2572" s="4">
        <v>14198</v>
      </c>
      <c r="L2572" s="1">
        <f t="shared" si="963"/>
        <v>19007</v>
      </c>
      <c r="M2572" s="2">
        <f t="shared" si="964"/>
        <v>0.25301204819277107</v>
      </c>
      <c r="N2572" s="2">
        <f t="shared" si="965"/>
        <v>0.74698795180722888</v>
      </c>
    </row>
    <row r="2573" spans="1:14" x14ac:dyDescent="0.35">
      <c r="A2573" t="s">
        <v>35</v>
      </c>
      <c r="B2573" t="s">
        <v>21</v>
      </c>
      <c r="C2573">
        <v>2008</v>
      </c>
      <c r="D2573" t="s">
        <v>32</v>
      </c>
      <c r="E2573" s="3">
        <v>33731</v>
      </c>
      <c r="F2573" s="3">
        <v>20765</v>
      </c>
      <c r="G2573" s="1">
        <f t="shared" si="960"/>
        <v>54496</v>
      </c>
      <c r="H2573" s="2">
        <f t="shared" si="961"/>
        <v>0.61896285965942455</v>
      </c>
      <c r="I2573" s="2">
        <f t="shared" si="962"/>
        <v>0.38103714034057545</v>
      </c>
      <c r="J2573" s="4">
        <v>4761</v>
      </c>
      <c r="K2573" s="4">
        <v>14302</v>
      </c>
      <c r="L2573" s="1">
        <f t="shared" si="963"/>
        <v>19063</v>
      </c>
      <c r="M2573" s="2">
        <f t="shared" si="964"/>
        <v>0.24975082620783717</v>
      </c>
      <c r="N2573" s="2">
        <f t="shared" si="965"/>
        <v>0.75024917379216283</v>
      </c>
    </row>
    <row r="2574" spans="1:14" x14ac:dyDescent="0.35">
      <c r="A2574" t="s">
        <v>35</v>
      </c>
      <c r="B2574" t="s">
        <v>22</v>
      </c>
      <c r="C2574">
        <v>2008</v>
      </c>
      <c r="D2574" t="s">
        <v>32</v>
      </c>
      <c r="E2574" s="3">
        <v>33620</v>
      </c>
      <c r="F2574" s="3">
        <v>21010</v>
      </c>
      <c r="G2574" s="1">
        <f t="shared" si="960"/>
        <v>54630</v>
      </c>
      <c r="H2574" s="2">
        <f t="shared" si="961"/>
        <v>0.61541277686252971</v>
      </c>
      <c r="I2574" s="2">
        <f t="shared" si="962"/>
        <v>0.38458722313747024</v>
      </c>
      <c r="J2574" s="4">
        <v>4809</v>
      </c>
      <c r="K2574" s="4">
        <v>14291</v>
      </c>
      <c r="L2574" s="1">
        <f t="shared" si="963"/>
        <v>19100</v>
      </c>
      <c r="M2574" s="2">
        <f t="shared" si="964"/>
        <v>0.25178010471204187</v>
      </c>
      <c r="N2574" s="2">
        <f t="shared" si="965"/>
        <v>0.74821989528795807</v>
      </c>
    </row>
    <row r="2575" spans="1:14" x14ac:dyDescent="0.35">
      <c r="A2575" t="s">
        <v>35</v>
      </c>
      <c r="B2575" t="s">
        <v>23</v>
      </c>
      <c r="C2575">
        <v>2008</v>
      </c>
      <c r="D2575" t="s">
        <v>32</v>
      </c>
      <c r="E2575" s="3">
        <v>32829</v>
      </c>
      <c r="F2575" s="3">
        <v>21222</v>
      </c>
      <c r="G2575" s="1">
        <f t="shared" si="960"/>
        <v>54051</v>
      </c>
      <c r="H2575" s="2">
        <f t="shared" si="961"/>
        <v>0.60737081645112945</v>
      </c>
      <c r="I2575" s="2">
        <f t="shared" si="962"/>
        <v>0.3926291835488705</v>
      </c>
      <c r="J2575" s="4">
        <v>4586</v>
      </c>
      <c r="K2575" s="4">
        <v>14343</v>
      </c>
      <c r="L2575" s="1">
        <f t="shared" si="963"/>
        <v>18929</v>
      </c>
      <c r="M2575" s="2">
        <f t="shared" si="964"/>
        <v>0.24227375983939986</v>
      </c>
      <c r="N2575" s="2">
        <f t="shared" si="965"/>
        <v>0.75772624016060008</v>
      </c>
    </row>
    <row r="2576" spans="1:14" x14ac:dyDescent="0.35">
      <c r="A2576" t="s">
        <v>35</v>
      </c>
      <c r="B2576" t="s">
        <v>24</v>
      </c>
      <c r="C2576">
        <v>2008</v>
      </c>
      <c r="D2576" t="s">
        <v>32</v>
      </c>
      <c r="E2576" s="3">
        <v>32097</v>
      </c>
      <c r="F2576" s="3">
        <v>21282</v>
      </c>
      <c r="G2576" s="1">
        <f t="shared" si="960"/>
        <v>53379</v>
      </c>
      <c r="H2576" s="2">
        <f t="shared" si="961"/>
        <v>0.60130388354971054</v>
      </c>
      <c r="I2576" s="2">
        <f t="shared" si="962"/>
        <v>0.39869611645028946</v>
      </c>
      <c r="J2576" s="4">
        <v>4528</v>
      </c>
      <c r="K2576" s="4">
        <v>14388</v>
      </c>
      <c r="L2576" s="1">
        <f t="shared" si="963"/>
        <v>18916</v>
      </c>
      <c r="M2576" s="2">
        <f t="shared" si="964"/>
        <v>0.2393740748572637</v>
      </c>
      <c r="N2576" s="2">
        <f t="shared" si="965"/>
        <v>0.7606259251427363</v>
      </c>
    </row>
    <row r="2577" spans="1:14" x14ac:dyDescent="0.35">
      <c r="A2577" t="s">
        <v>35</v>
      </c>
      <c r="B2577" t="s">
        <v>25</v>
      </c>
      <c r="C2577">
        <v>2008</v>
      </c>
      <c r="D2577" t="s">
        <v>32</v>
      </c>
      <c r="E2577" s="3">
        <v>31765</v>
      </c>
      <c r="F2577" s="3">
        <v>21417</v>
      </c>
      <c r="G2577" s="1">
        <f t="shared" si="960"/>
        <v>53182</v>
      </c>
      <c r="H2577" s="2">
        <f t="shared" si="961"/>
        <v>0.59728855627844002</v>
      </c>
      <c r="I2577" s="2">
        <f t="shared" si="962"/>
        <v>0.40271144372155993</v>
      </c>
      <c r="J2577" s="4">
        <v>4489</v>
      </c>
      <c r="K2577" s="4">
        <v>14400</v>
      </c>
      <c r="L2577" s="1">
        <f t="shared" si="963"/>
        <v>18889</v>
      </c>
      <c r="M2577" s="2">
        <f t="shared" si="964"/>
        <v>0.23765154322621632</v>
      </c>
      <c r="N2577" s="2">
        <f t="shared" si="965"/>
        <v>0.76234845677378371</v>
      </c>
    </row>
    <row r="2578" spans="1:14" x14ac:dyDescent="0.35">
      <c r="A2578" t="s">
        <v>35</v>
      </c>
      <c r="B2578" t="s">
        <v>26</v>
      </c>
      <c r="C2578">
        <v>2008</v>
      </c>
      <c r="D2578" t="s">
        <v>32</v>
      </c>
      <c r="E2578" s="3">
        <v>31359</v>
      </c>
      <c r="F2578" s="3">
        <v>21475</v>
      </c>
      <c r="G2578" s="1">
        <f t="shared" si="960"/>
        <v>52834</v>
      </c>
      <c r="H2578" s="2">
        <f t="shared" si="961"/>
        <v>0.59353825188325704</v>
      </c>
      <c r="I2578" s="2">
        <f t="shared" si="962"/>
        <v>0.40646174811674302</v>
      </c>
      <c r="J2578" s="4">
        <v>4392</v>
      </c>
      <c r="K2578" s="4">
        <v>14419</v>
      </c>
      <c r="L2578" s="1">
        <f t="shared" si="963"/>
        <v>18811</v>
      </c>
      <c r="M2578" s="2">
        <f t="shared" si="964"/>
        <v>0.23348041039817127</v>
      </c>
      <c r="N2578" s="2">
        <f t="shared" si="965"/>
        <v>0.76651958960182875</v>
      </c>
    </row>
    <row r="2579" spans="1:14" x14ac:dyDescent="0.35">
      <c r="A2579" t="s">
        <v>35</v>
      </c>
      <c r="B2579" t="s">
        <v>27</v>
      </c>
      <c r="C2579">
        <v>2008</v>
      </c>
      <c r="D2579" t="s">
        <v>32</v>
      </c>
      <c r="E2579" s="3">
        <v>30916</v>
      </c>
      <c r="F2579" s="3">
        <v>21560</v>
      </c>
      <c r="G2579" s="1">
        <f t="shared" si="960"/>
        <v>52476</v>
      </c>
      <c r="H2579" s="2">
        <f t="shared" si="961"/>
        <v>0.58914551413979721</v>
      </c>
      <c r="I2579" s="2">
        <f t="shared" si="962"/>
        <v>0.41085448586020273</v>
      </c>
      <c r="J2579" s="4">
        <v>4346</v>
      </c>
      <c r="K2579" s="4">
        <v>14485.1</v>
      </c>
      <c r="L2579" s="1">
        <f t="shared" si="963"/>
        <v>18831.099999999999</v>
      </c>
      <c r="M2579" s="2">
        <f t="shared" si="964"/>
        <v>0.23078842977839853</v>
      </c>
      <c r="N2579" s="2">
        <f t="shared" si="965"/>
        <v>0.76921157022160158</v>
      </c>
    </row>
    <row r="2580" spans="1:14" x14ac:dyDescent="0.35">
      <c r="A2580" t="s">
        <v>35</v>
      </c>
      <c r="B2580" t="s">
        <v>28</v>
      </c>
      <c r="C2580">
        <v>2008</v>
      </c>
      <c r="D2580" t="s">
        <v>32</v>
      </c>
      <c r="E2580" s="3">
        <v>30541</v>
      </c>
      <c r="F2580" s="3">
        <v>21864</v>
      </c>
      <c r="G2580" s="1">
        <f t="shared" si="960"/>
        <v>52405</v>
      </c>
      <c r="H2580" s="2">
        <f t="shared" si="961"/>
        <v>0.58278790191775598</v>
      </c>
      <c r="I2580" s="2">
        <f t="shared" si="962"/>
        <v>0.41721209808224408</v>
      </c>
      <c r="J2580" s="4">
        <v>4300</v>
      </c>
      <c r="K2580" s="4">
        <v>14472.99</v>
      </c>
      <c r="L2580" s="1">
        <f t="shared" si="963"/>
        <v>18772.989999999998</v>
      </c>
      <c r="M2580" s="2">
        <f t="shared" si="964"/>
        <v>0.22905248444706999</v>
      </c>
      <c r="N2580" s="2">
        <f t="shared" si="965"/>
        <v>0.77094751555293006</v>
      </c>
    </row>
    <row r="2581" spans="1:14" x14ac:dyDescent="0.35">
      <c r="A2581" t="s">
        <v>35</v>
      </c>
      <c r="B2581" t="s">
        <v>29</v>
      </c>
      <c r="C2581">
        <v>2008</v>
      </c>
      <c r="D2581" t="s">
        <v>32</v>
      </c>
      <c r="E2581" s="3">
        <v>30253</v>
      </c>
      <c r="F2581" s="3">
        <v>22305</v>
      </c>
      <c r="G2581" s="1">
        <f t="shared" si="960"/>
        <v>52558</v>
      </c>
      <c r="H2581" s="2">
        <f t="shared" si="961"/>
        <v>0.57561170516381899</v>
      </c>
      <c r="I2581" s="2">
        <f t="shared" si="962"/>
        <v>0.42438829483618096</v>
      </c>
      <c r="J2581" s="4">
        <v>4269</v>
      </c>
      <c r="K2581" s="4">
        <v>14501.57</v>
      </c>
      <c r="L2581" s="1">
        <f t="shared" si="963"/>
        <v>18770.57</v>
      </c>
      <c r="M2581" s="2">
        <f t="shared" si="964"/>
        <v>0.22743049358650269</v>
      </c>
      <c r="N2581" s="2">
        <f t="shared" si="965"/>
        <v>0.77256950641349731</v>
      </c>
    </row>
    <row r="2582" spans="1:14" x14ac:dyDescent="0.35">
      <c r="A2582" t="s">
        <v>35</v>
      </c>
      <c r="B2582" t="s">
        <v>17</v>
      </c>
      <c r="C2582">
        <v>2009</v>
      </c>
      <c r="D2582" t="s">
        <v>32</v>
      </c>
      <c r="E2582" s="3">
        <v>29884</v>
      </c>
      <c r="F2582" s="3">
        <v>21715</v>
      </c>
      <c r="G2582" s="1">
        <f t="shared" si="960"/>
        <v>51599</v>
      </c>
      <c r="H2582" s="2">
        <f t="shared" si="961"/>
        <v>0.57915851082385317</v>
      </c>
      <c r="I2582" s="2">
        <f t="shared" si="962"/>
        <v>0.42084148917614683</v>
      </c>
      <c r="J2582" s="4">
        <v>4192</v>
      </c>
      <c r="K2582" s="4">
        <v>14550</v>
      </c>
      <c r="L2582" s="1">
        <f t="shared" si="963"/>
        <v>18742</v>
      </c>
      <c r="M2582" s="2">
        <f t="shared" si="964"/>
        <v>0.22366876533987834</v>
      </c>
      <c r="N2582" s="2">
        <f t="shared" si="965"/>
        <v>0.77633123466012166</v>
      </c>
    </row>
    <row r="2583" spans="1:14" x14ac:dyDescent="0.35">
      <c r="A2583" t="s">
        <v>35</v>
      </c>
      <c r="B2583" t="s">
        <v>19</v>
      </c>
      <c r="C2583">
        <v>2009</v>
      </c>
      <c r="D2583" t="s">
        <v>32</v>
      </c>
      <c r="E2583" s="3">
        <v>29383</v>
      </c>
      <c r="F2583" s="3">
        <v>21911</v>
      </c>
      <c r="G2583" s="1">
        <f t="shared" si="960"/>
        <v>51294</v>
      </c>
      <c r="H2583" s="2">
        <f t="shared" si="961"/>
        <v>0.57283502943814091</v>
      </c>
      <c r="I2583" s="2">
        <f t="shared" si="962"/>
        <v>0.42716497056185909</v>
      </c>
      <c r="J2583" s="4">
        <v>4105</v>
      </c>
      <c r="K2583" s="4">
        <v>14598</v>
      </c>
      <c r="L2583" s="1">
        <f t="shared" si="963"/>
        <v>18703</v>
      </c>
      <c r="M2583" s="2">
        <f t="shared" si="964"/>
        <v>0.21948350532000213</v>
      </c>
      <c r="N2583" s="2">
        <f t="shared" si="965"/>
        <v>0.78051649467999784</v>
      </c>
    </row>
    <row r="2584" spans="1:14" x14ac:dyDescent="0.35">
      <c r="A2584" t="s">
        <v>35</v>
      </c>
      <c r="B2584" t="s">
        <v>20</v>
      </c>
      <c r="C2584">
        <v>2009</v>
      </c>
      <c r="D2584" t="s">
        <v>32</v>
      </c>
      <c r="E2584" s="3">
        <v>29093</v>
      </c>
      <c r="F2584" s="3">
        <v>21951</v>
      </c>
      <c r="G2584" s="1">
        <f t="shared" si="960"/>
        <v>51044</v>
      </c>
      <c r="H2584" s="2">
        <f t="shared" si="961"/>
        <v>0.5699592508424105</v>
      </c>
      <c r="I2584" s="2">
        <f t="shared" si="962"/>
        <v>0.43004074915758955</v>
      </c>
      <c r="J2584" s="4">
        <v>4074</v>
      </c>
      <c r="K2584" s="4">
        <v>14591</v>
      </c>
      <c r="L2584" s="1">
        <f t="shared" si="963"/>
        <v>18665</v>
      </c>
      <c r="M2584" s="2">
        <f t="shared" si="964"/>
        <v>0.21826948834717386</v>
      </c>
      <c r="N2584" s="2">
        <f t="shared" si="965"/>
        <v>0.78173051165282614</v>
      </c>
    </row>
    <row r="2585" spans="1:14" x14ac:dyDescent="0.35">
      <c r="A2585" t="s">
        <v>35</v>
      </c>
      <c r="B2585" t="s">
        <v>21</v>
      </c>
      <c r="C2585">
        <v>2009</v>
      </c>
      <c r="D2585" t="s">
        <v>32</v>
      </c>
      <c r="E2585" s="3">
        <v>28823</v>
      </c>
      <c r="F2585" s="3">
        <v>22008</v>
      </c>
      <c r="G2585" s="1">
        <f t="shared" si="960"/>
        <v>50831</v>
      </c>
      <c r="H2585" s="2">
        <f t="shared" si="961"/>
        <v>0.56703586394129568</v>
      </c>
      <c r="I2585" s="2">
        <f t="shared" si="962"/>
        <v>0.43296413605870432</v>
      </c>
      <c r="J2585" s="4">
        <v>4024</v>
      </c>
      <c r="K2585" s="4">
        <v>14635</v>
      </c>
      <c r="L2585" s="1">
        <f t="shared" si="963"/>
        <v>18659</v>
      </c>
      <c r="M2585" s="2">
        <f t="shared" si="964"/>
        <v>0.21566000321560641</v>
      </c>
      <c r="N2585" s="2">
        <f t="shared" si="965"/>
        <v>0.78433999678439359</v>
      </c>
    </row>
    <row r="2586" spans="1:14" x14ac:dyDescent="0.35">
      <c r="A2586" t="s">
        <v>35</v>
      </c>
      <c r="B2586" t="s">
        <v>22</v>
      </c>
      <c r="C2586">
        <v>2009</v>
      </c>
      <c r="D2586" t="s">
        <v>32</v>
      </c>
      <c r="E2586" s="3">
        <v>28251</v>
      </c>
      <c r="F2586" s="3">
        <v>22273</v>
      </c>
      <c r="G2586" s="1">
        <f t="shared" si="960"/>
        <v>50524</v>
      </c>
      <c r="H2586" s="2">
        <f t="shared" si="961"/>
        <v>0.5591600031668118</v>
      </c>
      <c r="I2586" s="2">
        <f t="shared" si="962"/>
        <v>0.4408399968331882</v>
      </c>
      <c r="J2586" s="4">
        <v>3965</v>
      </c>
      <c r="K2586" s="4">
        <v>14671</v>
      </c>
      <c r="L2586" s="1">
        <f t="shared" si="963"/>
        <v>18636</v>
      </c>
      <c r="M2586" s="2">
        <f t="shared" si="964"/>
        <v>0.21276024898046791</v>
      </c>
      <c r="N2586" s="2">
        <f t="shared" si="965"/>
        <v>0.78723975101953214</v>
      </c>
    </row>
    <row r="2587" spans="1:14" x14ac:dyDescent="0.35">
      <c r="A2587" t="s">
        <v>35</v>
      </c>
      <c r="B2587" t="s">
        <v>23</v>
      </c>
      <c r="C2587">
        <v>2009</v>
      </c>
      <c r="D2587" t="s">
        <v>32</v>
      </c>
      <c r="E2587" s="3">
        <v>27825</v>
      </c>
      <c r="F2587" s="3">
        <v>22436</v>
      </c>
      <c r="G2587" s="1">
        <f t="shared" si="960"/>
        <v>50261</v>
      </c>
      <c r="H2587" s="2">
        <f t="shared" si="961"/>
        <v>0.55361015499094723</v>
      </c>
      <c r="I2587" s="2">
        <f t="shared" si="962"/>
        <v>0.44638984500905277</v>
      </c>
      <c r="J2587" s="4">
        <v>3903</v>
      </c>
      <c r="K2587" s="4">
        <v>14719</v>
      </c>
      <c r="L2587" s="1">
        <f t="shared" si="963"/>
        <v>18622</v>
      </c>
      <c r="M2587" s="2">
        <f t="shared" si="964"/>
        <v>0.2095908065728708</v>
      </c>
      <c r="N2587" s="2">
        <f t="shared" si="965"/>
        <v>0.79040919342712923</v>
      </c>
    </row>
    <row r="2588" spans="1:14" x14ac:dyDescent="0.35">
      <c r="A2588" t="s">
        <v>35</v>
      </c>
      <c r="B2588" t="s">
        <v>24</v>
      </c>
      <c r="C2588">
        <v>2009</v>
      </c>
      <c r="D2588" t="s">
        <v>32</v>
      </c>
      <c r="E2588" s="3">
        <v>27512</v>
      </c>
      <c r="F2588" s="3">
        <v>22576</v>
      </c>
      <c r="G2588" s="1">
        <f t="shared" si="960"/>
        <v>50088</v>
      </c>
      <c r="H2588" s="2">
        <f t="shared" si="961"/>
        <v>0.5492732790289091</v>
      </c>
      <c r="I2588" s="2">
        <f t="shared" si="962"/>
        <v>0.4507267209710909</v>
      </c>
      <c r="J2588" s="4">
        <v>3827</v>
      </c>
      <c r="K2588" s="4">
        <v>14763</v>
      </c>
      <c r="L2588" s="1">
        <f t="shared" si="963"/>
        <v>18590</v>
      </c>
      <c r="M2588" s="2">
        <f t="shared" si="964"/>
        <v>0.20586336740182895</v>
      </c>
      <c r="N2588" s="2">
        <f t="shared" si="965"/>
        <v>0.79413663259817102</v>
      </c>
    </row>
    <row r="2589" spans="1:14" x14ac:dyDescent="0.35">
      <c r="A2589" t="s">
        <v>35</v>
      </c>
      <c r="B2589" t="s">
        <v>25</v>
      </c>
      <c r="C2589">
        <v>2009</v>
      </c>
      <c r="D2589" t="s">
        <v>32</v>
      </c>
      <c r="E2589" s="3">
        <v>27213</v>
      </c>
      <c r="F2589" s="3">
        <v>22725</v>
      </c>
      <c r="G2589" s="1">
        <f t="shared" si="960"/>
        <v>49938</v>
      </c>
      <c r="H2589" s="2">
        <f t="shared" si="961"/>
        <v>0.54493572029316351</v>
      </c>
      <c r="I2589" s="2">
        <f t="shared" si="962"/>
        <v>0.45506427970683649</v>
      </c>
      <c r="J2589" s="4">
        <v>3763</v>
      </c>
      <c r="K2589" s="4">
        <v>14828</v>
      </c>
      <c r="L2589" s="1">
        <f t="shared" si="963"/>
        <v>18591</v>
      </c>
      <c r="M2589" s="2">
        <f t="shared" si="964"/>
        <v>0.20240976816739281</v>
      </c>
      <c r="N2589" s="2">
        <f t="shared" si="965"/>
        <v>0.79759023183260713</v>
      </c>
    </row>
    <row r="2590" spans="1:14" x14ac:dyDescent="0.35">
      <c r="A2590" t="s">
        <v>35</v>
      </c>
      <c r="B2590" t="s">
        <v>26</v>
      </c>
      <c r="C2590">
        <v>2009</v>
      </c>
      <c r="D2590" t="s">
        <v>32</v>
      </c>
      <c r="E2590" s="3">
        <v>26794</v>
      </c>
      <c r="F2590" s="3">
        <v>23112</v>
      </c>
      <c r="G2590" s="1">
        <f t="shared" si="960"/>
        <v>49906</v>
      </c>
      <c r="H2590" s="2">
        <f t="shared" si="961"/>
        <v>0.5368893519817256</v>
      </c>
      <c r="I2590" s="2">
        <f t="shared" si="962"/>
        <v>0.46311064801827434</v>
      </c>
      <c r="J2590" s="4">
        <v>3665</v>
      </c>
      <c r="K2590" s="4">
        <v>14977</v>
      </c>
      <c r="L2590" s="1">
        <f t="shared" si="963"/>
        <v>18642</v>
      </c>
      <c r="M2590" s="2">
        <f t="shared" si="964"/>
        <v>0.19659907735221543</v>
      </c>
      <c r="N2590" s="2">
        <f t="shared" si="965"/>
        <v>0.80340092264778462</v>
      </c>
    </row>
    <row r="2591" spans="1:14" x14ac:dyDescent="0.35">
      <c r="A2591" t="s">
        <v>35</v>
      </c>
      <c r="B2591" t="s">
        <v>27</v>
      </c>
      <c r="C2591">
        <v>2009</v>
      </c>
      <c r="D2591" t="s">
        <v>32</v>
      </c>
      <c r="E2591" s="3">
        <v>26327</v>
      </c>
      <c r="F2591" s="3">
        <v>23334</v>
      </c>
      <c r="G2591" s="1">
        <f t="shared" si="960"/>
        <v>49661</v>
      </c>
      <c r="H2591" s="2">
        <f t="shared" si="961"/>
        <v>0.53013431062604455</v>
      </c>
      <c r="I2591" s="2">
        <f t="shared" si="962"/>
        <v>0.4698656893739554</v>
      </c>
      <c r="J2591" s="4">
        <v>3583</v>
      </c>
      <c r="K2591" s="4">
        <v>14978</v>
      </c>
      <c r="L2591" s="1">
        <f t="shared" si="963"/>
        <v>18561</v>
      </c>
      <c r="M2591" s="2">
        <f t="shared" si="964"/>
        <v>0.19303916814826788</v>
      </c>
      <c r="N2591" s="2">
        <f t="shared" si="965"/>
        <v>0.80696083185173217</v>
      </c>
    </row>
    <row r="2592" spans="1:14" x14ac:dyDescent="0.35">
      <c r="A2592" t="s">
        <v>35</v>
      </c>
      <c r="B2592" t="s">
        <v>28</v>
      </c>
      <c r="C2592">
        <v>2009</v>
      </c>
      <c r="D2592" t="s">
        <v>32</v>
      </c>
      <c r="E2592" s="3">
        <v>25921</v>
      </c>
      <c r="F2592" s="3">
        <v>23486</v>
      </c>
      <c r="G2592" s="1">
        <f t="shared" si="960"/>
        <v>49407</v>
      </c>
      <c r="H2592" s="2">
        <f t="shared" si="961"/>
        <v>0.52464225717003665</v>
      </c>
      <c r="I2592" s="2">
        <f t="shared" si="962"/>
        <v>0.47535774282996335</v>
      </c>
      <c r="J2592" s="4">
        <v>3514</v>
      </c>
      <c r="K2592" s="4">
        <v>15003</v>
      </c>
      <c r="L2592" s="1">
        <f t="shared" si="963"/>
        <v>18517</v>
      </c>
      <c r="M2592" s="2">
        <f t="shared" si="964"/>
        <v>0.18977156126802397</v>
      </c>
      <c r="N2592" s="2">
        <f t="shared" si="965"/>
        <v>0.81022843873197603</v>
      </c>
    </row>
    <row r="2593" spans="1:14" x14ac:dyDescent="0.35">
      <c r="A2593" t="s">
        <v>35</v>
      </c>
      <c r="B2593" t="s">
        <v>29</v>
      </c>
      <c r="C2593">
        <v>2009</v>
      </c>
      <c r="D2593" t="s">
        <v>32</v>
      </c>
      <c r="E2593" s="3">
        <v>25540</v>
      </c>
      <c r="F2593" s="3">
        <v>23741</v>
      </c>
      <c r="G2593" s="1">
        <f t="shared" si="960"/>
        <v>49281</v>
      </c>
      <c r="H2593" s="2">
        <f t="shared" si="961"/>
        <v>0.5182524705261663</v>
      </c>
      <c r="I2593" s="2">
        <f t="shared" si="962"/>
        <v>0.4817475294738337</v>
      </c>
      <c r="J2593" s="4">
        <v>3467</v>
      </c>
      <c r="K2593" s="4">
        <v>15054</v>
      </c>
      <c r="L2593" s="1">
        <f t="shared" si="963"/>
        <v>18521</v>
      </c>
      <c r="M2593" s="2">
        <f t="shared" si="964"/>
        <v>0.187192916149236</v>
      </c>
      <c r="N2593" s="2">
        <f t="shared" si="965"/>
        <v>0.81280708385076395</v>
      </c>
    </row>
    <row r="2594" spans="1:14" x14ac:dyDescent="0.35">
      <c r="A2594" t="s">
        <v>35</v>
      </c>
      <c r="B2594" t="s">
        <v>17</v>
      </c>
      <c r="C2594">
        <v>2010</v>
      </c>
      <c r="D2594" t="s">
        <v>32</v>
      </c>
      <c r="E2594" s="3">
        <v>22873</v>
      </c>
      <c r="F2594" s="3">
        <v>21251</v>
      </c>
      <c r="G2594" s="1">
        <f t="shared" si="960"/>
        <v>44124</v>
      </c>
      <c r="H2594" s="2">
        <f t="shared" si="961"/>
        <v>0.51838001994379479</v>
      </c>
      <c r="I2594" s="2">
        <f t="shared" si="962"/>
        <v>0.48161998005620527</v>
      </c>
      <c r="J2594" s="4">
        <v>3073</v>
      </c>
      <c r="K2594" s="4">
        <v>11833</v>
      </c>
      <c r="L2594" s="1">
        <f t="shared" si="963"/>
        <v>14906</v>
      </c>
      <c r="M2594" s="2">
        <f t="shared" si="964"/>
        <v>0.20615859385482357</v>
      </c>
      <c r="N2594" s="2">
        <f t="shared" si="965"/>
        <v>0.7938414061451764</v>
      </c>
    </row>
    <row r="2595" spans="1:14" x14ac:dyDescent="0.35">
      <c r="A2595" t="s">
        <v>35</v>
      </c>
      <c r="B2595" t="s">
        <v>19</v>
      </c>
      <c r="C2595">
        <v>2010</v>
      </c>
      <c r="D2595" t="s">
        <v>32</v>
      </c>
      <c r="E2595" s="3">
        <v>24932</v>
      </c>
      <c r="F2595" s="3">
        <v>23654</v>
      </c>
      <c r="G2595" s="1">
        <f t="shared" si="960"/>
        <v>48586</v>
      </c>
      <c r="H2595" s="2">
        <f t="shared" si="961"/>
        <v>0.51315193677190962</v>
      </c>
      <c r="I2595" s="2">
        <f t="shared" si="962"/>
        <v>0.48684806322809038</v>
      </c>
      <c r="J2595" s="4">
        <v>3374</v>
      </c>
      <c r="K2595" s="4">
        <v>15123</v>
      </c>
      <c r="L2595" s="1">
        <f t="shared" si="963"/>
        <v>18497</v>
      </c>
      <c r="M2595" s="2">
        <f t="shared" si="964"/>
        <v>0.18240795804725091</v>
      </c>
      <c r="N2595" s="2">
        <f t="shared" si="965"/>
        <v>0.81759204195274915</v>
      </c>
    </row>
    <row r="2596" spans="1:14" x14ac:dyDescent="0.35">
      <c r="A2596" t="s">
        <v>35</v>
      </c>
      <c r="B2596" t="s">
        <v>20</v>
      </c>
      <c r="C2596">
        <v>2010</v>
      </c>
      <c r="D2596" t="s">
        <v>32</v>
      </c>
      <c r="E2596" s="3">
        <v>24545</v>
      </c>
      <c r="F2596" s="3">
        <v>23860</v>
      </c>
      <c r="G2596" s="1">
        <f t="shared" si="960"/>
        <v>48405</v>
      </c>
      <c r="H2596" s="2">
        <f t="shared" si="961"/>
        <v>0.50707571531866547</v>
      </c>
      <c r="I2596" s="2">
        <f t="shared" si="962"/>
        <v>0.49292428468133459</v>
      </c>
      <c r="J2596" s="4">
        <v>3326</v>
      </c>
      <c r="K2596" s="4">
        <v>15185</v>
      </c>
      <c r="L2596" s="1">
        <f t="shared" si="963"/>
        <v>18511</v>
      </c>
      <c r="M2596" s="2">
        <f t="shared" si="964"/>
        <v>0.17967694884122953</v>
      </c>
      <c r="N2596" s="2">
        <f t="shared" si="965"/>
        <v>0.82032305115877047</v>
      </c>
    </row>
    <row r="2597" spans="1:14" x14ac:dyDescent="0.35">
      <c r="A2597" t="s">
        <v>35</v>
      </c>
      <c r="B2597" t="s">
        <v>21</v>
      </c>
      <c r="C2597">
        <v>2010</v>
      </c>
      <c r="D2597" t="s">
        <v>32</v>
      </c>
      <c r="E2597" s="3">
        <v>24200</v>
      </c>
      <c r="F2597" s="3">
        <v>23997</v>
      </c>
      <c r="G2597" s="1">
        <f t="shared" si="960"/>
        <v>48197</v>
      </c>
      <c r="H2597" s="2">
        <f t="shared" si="961"/>
        <v>0.5021059402037471</v>
      </c>
      <c r="I2597" s="2">
        <f t="shared" si="962"/>
        <v>0.4978940597962529</v>
      </c>
      <c r="J2597" s="4">
        <v>3407</v>
      </c>
      <c r="K2597" s="4">
        <v>15432</v>
      </c>
      <c r="L2597" s="1">
        <f t="shared" si="963"/>
        <v>18839</v>
      </c>
      <c r="M2597" s="2">
        <f t="shared" si="964"/>
        <v>0.18084824035246033</v>
      </c>
      <c r="N2597" s="2">
        <f t="shared" si="965"/>
        <v>0.81915175964753972</v>
      </c>
    </row>
    <row r="2598" spans="1:14" x14ac:dyDescent="0.35">
      <c r="A2598" t="s">
        <v>35</v>
      </c>
      <c r="B2598" t="s">
        <v>22</v>
      </c>
      <c r="C2598">
        <v>2010</v>
      </c>
      <c r="D2598" t="s">
        <v>32</v>
      </c>
      <c r="E2598" s="3">
        <v>23965</v>
      </c>
      <c r="F2598" s="3">
        <v>24085</v>
      </c>
      <c r="G2598" s="1">
        <f t="shared" si="960"/>
        <v>48050</v>
      </c>
      <c r="H2598" s="2">
        <f t="shared" si="961"/>
        <v>0.4987513007284079</v>
      </c>
      <c r="I2598" s="2">
        <f t="shared" si="962"/>
        <v>0.5012486992715921</v>
      </c>
      <c r="J2598" s="4">
        <v>3225</v>
      </c>
      <c r="K2598" s="4">
        <v>15243</v>
      </c>
      <c r="L2598" s="1">
        <f t="shared" si="963"/>
        <v>18468</v>
      </c>
      <c r="M2598" s="2">
        <f t="shared" si="964"/>
        <v>0.17462638076673165</v>
      </c>
      <c r="N2598" s="2">
        <f t="shared" si="965"/>
        <v>0.82537361923326835</v>
      </c>
    </row>
    <row r="2599" spans="1:14" x14ac:dyDescent="0.35">
      <c r="A2599" t="s">
        <v>35</v>
      </c>
      <c r="B2599" t="s">
        <v>23</v>
      </c>
      <c r="C2599">
        <v>2010</v>
      </c>
      <c r="D2599" t="s">
        <v>32</v>
      </c>
      <c r="E2599" s="3">
        <v>23739</v>
      </c>
      <c r="F2599" s="3">
        <v>24214</v>
      </c>
      <c r="G2599" s="1">
        <f t="shared" si="960"/>
        <v>47953</v>
      </c>
      <c r="H2599" s="2">
        <f t="shared" si="961"/>
        <v>0.49504723374971327</v>
      </c>
      <c r="I2599" s="2">
        <f t="shared" si="962"/>
        <v>0.50495276625028673</v>
      </c>
      <c r="J2599" s="4">
        <v>3184</v>
      </c>
      <c r="K2599" s="4">
        <v>15314</v>
      </c>
      <c r="L2599" s="1">
        <f t="shared" si="963"/>
        <v>18498</v>
      </c>
      <c r="M2599" s="2">
        <f t="shared" si="964"/>
        <v>0.17212671640177316</v>
      </c>
      <c r="N2599" s="2">
        <f t="shared" si="965"/>
        <v>0.82787328359822687</v>
      </c>
    </row>
    <row r="2600" spans="1:14" x14ac:dyDescent="0.35">
      <c r="A2600" t="s">
        <v>35</v>
      </c>
      <c r="B2600" t="s">
        <v>24</v>
      </c>
      <c r="C2600">
        <v>2010</v>
      </c>
      <c r="D2600" t="s">
        <v>32</v>
      </c>
      <c r="E2600" s="3">
        <v>23465</v>
      </c>
      <c r="F2600" s="3">
        <v>24165</v>
      </c>
      <c r="G2600" s="1">
        <f t="shared" si="960"/>
        <v>47630</v>
      </c>
      <c r="H2600" s="2">
        <f t="shared" si="961"/>
        <v>0.49265169011127441</v>
      </c>
      <c r="I2600" s="2">
        <f t="shared" si="962"/>
        <v>0.50734830988872559</v>
      </c>
      <c r="J2600" s="4">
        <v>3184</v>
      </c>
      <c r="K2600" s="4">
        <v>15142</v>
      </c>
      <c r="L2600" s="1">
        <f t="shared" si="963"/>
        <v>18326</v>
      </c>
      <c r="M2600" s="2">
        <f t="shared" si="964"/>
        <v>0.17374222416239224</v>
      </c>
      <c r="N2600" s="2">
        <f t="shared" si="965"/>
        <v>0.82625777583760773</v>
      </c>
    </row>
    <row r="2601" spans="1:14" x14ac:dyDescent="0.35">
      <c r="A2601" t="s">
        <v>35</v>
      </c>
      <c r="B2601" t="s">
        <v>25</v>
      </c>
      <c r="C2601">
        <v>2010</v>
      </c>
      <c r="D2601" t="s">
        <v>32</v>
      </c>
      <c r="E2601" s="3">
        <v>22130</v>
      </c>
      <c r="F2601" s="3">
        <v>23021</v>
      </c>
      <c r="G2601" s="1">
        <f t="shared" si="960"/>
        <v>45151</v>
      </c>
      <c r="H2601" s="2">
        <f t="shared" si="961"/>
        <v>0.49013310890124251</v>
      </c>
      <c r="I2601" s="2">
        <f t="shared" si="962"/>
        <v>0.50986689109875749</v>
      </c>
      <c r="J2601" s="4">
        <v>2946</v>
      </c>
      <c r="K2601" s="4">
        <v>14925</v>
      </c>
      <c r="L2601" s="1">
        <f t="shared" si="963"/>
        <v>17871</v>
      </c>
      <c r="M2601" s="2">
        <f t="shared" si="964"/>
        <v>0.16484807789155614</v>
      </c>
      <c r="N2601" s="2">
        <f t="shared" si="965"/>
        <v>0.8351519221084438</v>
      </c>
    </row>
    <row r="2602" spans="1:14" x14ac:dyDescent="0.35">
      <c r="A2602" t="s">
        <v>35</v>
      </c>
      <c r="B2602" t="s">
        <v>26</v>
      </c>
      <c r="C2602">
        <v>2010</v>
      </c>
      <c r="D2602" t="s">
        <v>32</v>
      </c>
      <c r="E2602" s="3">
        <v>22958</v>
      </c>
      <c r="F2602" s="3">
        <v>24318</v>
      </c>
      <c r="G2602" s="1">
        <f t="shared" si="960"/>
        <v>47276</v>
      </c>
      <c r="H2602" s="2">
        <f t="shared" si="961"/>
        <v>0.48561638040443356</v>
      </c>
      <c r="I2602" s="2">
        <f t="shared" si="962"/>
        <v>0.51438361959556644</v>
      </c>
      <c r="J2602" s="4">
        <v>3008</v>
      </c>
      <c r="K2602" s="4">
        <v>15432</v>
      </c>
      <c r="L2602" s="1">
        <f t="shared" si="963"/>
        <v>18440</v>
      </c>
      <c r="M2602" s="2">
        <f t="shared" si="964"/>
        <v>0.1631236442516269</v>
      </c>
      <c r="N2602" s="2">
        <f t="shared" si="965"/>
        <v>0.83687635574837316</v>
      </c>
    </row>
    <row r="2603" spans="1:14" x14ac:dyDescent="0.35">
      <c r="A2603" t="s">
        <v>35</v>
      </c>
      <c r="B2603" t="s">
        <v>27</v>
      </c>
      <c r="C2603">
        <v>2010</v>
      </c>
      <c r="D2603" t="s">
        <v>32</v>
      </c>
      <c r="E2603" s="3">
        <v>21616</v>
      </c>
      <c r="F2603" s="3">
        <v>23153</v>
      </c>
      <c r="G2603" s="1">
        <f t="shared" si="960"/>
        <v>44769</v>
      </c>
      <c r="H2603" s="2">
        <f t="shared" si="961"/>
        <v>0.48283410395586229</v>
      </c>
      <c r="I2603" s="2">
        <f t="shared" si="962"/>
        <v>0.51716589604413765</v>
      </c>
      <c r="J2603" s="4">
        <v>2810</v>
      </c>
      <c r="K2603" s="4">
        <v>14619</v>
      </c>
      <c r="L2603" s="1">
        <f t="shared" si="963"/>
        <v>17429</v>
      </c>
      <c r="M2603" s="2">
        <f t="shared" si="964"/>
        <v>0.16122554363417294</v>
      </c>
      <c r="N2603" s="2">
        <f t="shared" si="965"/>
        <v>0.83877445636582704</v>
      </c>
    </row>
    <row r="2604" spans="1:14" x14ac:dyDescent="0.35">
      <c r="A2604" t="s">
        <v>35</v>
      </c>
      <c r="B2604" t="s">
        <v>28</v>
      </c>
      <c r="C2604">
        <v>2010</v>
      </c>
      <c r="D2604" t="s">
        <v>32</v>
      </c>
      <c r="E2604" s="3">
        <v>21298</v>
      </c>
      <c r="F2604" s="3">
        <v>23450</v>
      </c>
      <c r="G2604" s="1">
        <f t="shared" si="960"/>
        <v>44748</v>
      </c>
      <c r="H2604" s="2">
        <f t="shared" si="961"/>
        <v>0.47595423259140074</v>
      </c>
      <c r="I2604" s="2">
        <f t="shared" si="962"/>
        <v>0.52404576740859932</v>
      </c>
      <c r="J2604" s="4">
        <v>2805</v>
      </c>
      <c r="K2604" s="4">
        <v>15004</v>
      </c>
      <c r="L2604" s="1">
        <f t="shared" si="963"/>
        <v>17809</v>
      </c>
      <c r="M2604" s="2">
        <f t="shared" si="964"/>
        <v>0.15750463248919086</v>
      </c>
      <c r="N2604" s="2">
        <f t="shared" si="965"/>
        <v>0.84249536751080911</v>
      </c>
    </row>
    <row r="2605" spans="1:14" x14ac:dyDescent="0.35">
      <c r="A2605" t="s">
        <v>35</v>
      </c>
      <c r="B2605" t="s">
        <v>29</v>
      </c>
      <c r="C2605">
        <v>2010</v>
      </c>
      <c r="D2605" t="s">
        <v>32</v>
      </c>
      <c r="E2605" s="3">
        <v>21916</v>
      </c>
      <c r="F2605" s="3">
        <v>24833</v>
      </c>
      <c r="G2605" s="1">
        <f t="shared" si="960"/>
        <v>46749</v>
      </c>
      <c r="H2605" s="2">
        <f t="shared" si="961"/>
        <v>0.46880147168923397</v>
      </c>
      <c r="I2605" s="2">
        <f t="shared" si="962"/>
        <v>0.53119852831076597</v>
      </c>
      <c r="J2605" s="4">
        <v>2858</v>
      </c>
      <c r="K2605" s="4">
        <v>17193</v>
      </c>
      <c r="L2605" s="1">
        <f t="shared" si="963"/>
        <v>20051</v>
      </c>
      <c r="M2605" s="2">
        <f t="shared" si="964"/>
        <v>0.1425365318437983</v>
      </c>
      <c r="N2605" s="2">
        <f t="shared" si="965"/>
        <v>0.85746346815620167</v>
      </c>
    </row>
    <row r="2606" spans="1:14" x14ac:dyDescent="0.35">
      <c r="A2606" t="s">
        <v>35</v>
      </c>
      <c r="B2606" t="s">
        <v>17</v>
      </c>
      <c r="C2606">
        <v>2011</v>
      </c>
      <c r="D2606" t="s">
        <v>32</v>
      </c>
      <c r="E2606" s="3">
        <v>19533</v>
      </c>
      <c r="F2606" s="3">
        <v>22555</v>
      </c>
      <c r="G2606" s="1">
        <f t="shared" si="960"/>
        <v>42088</v>
      </c>
      <c r="H2606" s="2">
        <f t="shared" si="961"/>
        <v>0.46409903060254704</v>
      </c>
      <c r="I2606" s="2">
        <f t="shared" si="962"/>
        <v>0.53590096939745291</v>
      </c>
      <c r="J2606" s="4">
        <v>2548</v>
      </c>
      <c r="K2606" s="4">
        <v>13120</v>
      </c>
      <c r="L2606" s="1">
        <f t="shared" si="963"/>
        <v>15668</v>
      </c>
      <c r="M2606" s="2">
        <f t="shared" si="964"/>
        <v>0.16262445749297932</v>
      </c>
      <c r="N2606" s="2">
        <f t="shared" si="965"/>
        <v>0.83737554250702073</v>
      </c>
    </row>
    <row r="2607" spans="1:14" x14ac:dyDescent="0.35">
      <c r="A2607" t="s">
        <v>35</v>
      </c>
      <c r="B2607" t="s">
        <v>19</v>
      </c>
      <c r="C2607">
        <v>2011</v>
      </c>
      <c r="D2607" t="s">
        <v>32</v>
      </c>
      <c r="E2607" s="3">
        <v>21512</v>
      </c>
      <c r="F2607" s="3">
        <v>24946</v>
      </c>
      <c r="G2607" s="1">
        <f t="shared" si="960"/>
        <v>46458</v>
      </c>
      <c r="H2607" s="2">
        <f t="shared" si="961"/>
        <v>0.46304188729605233</v>
      </c>
      <c r="I2607" s="2">
        <f t="shared" si="962"/>
        <v>0.53695811270394767</v>
      </c>
      <c r="J2607" s="4">
        <v>2772</v>
      </c>
      <c r="K2607" s="4">
        <v>15657</v>
      </c>
      <c r="L2607" s="1">
        <f t="shared" si="963"/>
        <v>18429</v>
      </c>
      <c r="M2607" s="2">
        <f t="shared" si="964"/>
        <v>0.15041510662542731</v>
      </c>
      <c r="N2607" s="2">
        <f t="shared" si="965"/>
        <v>0.84958489337457266</v>
      </c>
    </row>
    <row r="2608" spans="1:14" x14ac:dyDescent="0.35">
      <c r="A2608" t="s">
        <v>35</v>
      </c>
      <c r="B2608" t="s">
        <v>20</v>
      </c>
      <c r="C2608">
        <v>2011</v>
      </c>
      <c r="D2608" t="s">
        <v>32</v>
      </c>
      <c r="E2608" s="3">
        <v>21288</v>
      </c>
      <c r="F2608" s="3">
        <v>24914</v>
      </c>
      <c r="G2608" s="1">
        <f t="shared" si="960"/>
        <v>46202</v>
      </c>
      <c r="H2608" s="2">
        <f t="shared" si="961"/>
        <v>0.46075927449028181</v>
      </c>
      <c r="I2608" s="2">
        <f t="shared" si="962"/>
        <v>0.53924072550971824</v>
      </c>
      <c r="J2608" s="4">
        <v>2744</v>
      </c>
      <c r="K2608" s="4">
        <v>15360</v>
      </c>
      <c r="L2608" s="1">
        <f t="shared" si="963"/>
        <v>18104</v>
      </c>
      <c r="M2608" s="2">
        <f t="shared" si="964"/>
        <v>0.1515687140963323</v>
      </c>
      <c r="N2608" s="2">
        <f t="shared" si="965"/>
        <v>0.84843128590366768</v>
      </c>
    </row>
    <row r="2609" spans="1:14" x14ac:dyDescent="0.35">
      <c r="A2609" t="s">
        <v>35</v>
      </c>
      <c r="B2609" t="s">
        <v>21</v>
      </c>
      <c r="C2609">
        <v>2011</v>
      </c>
      <c r="D2609" t="s">
        <v>32</v>
      </c>
      <c r="E2609" s="3">
        <v>20181</v>
      </c>
      <c r="F2609" s="3">
        <v>23798</v>
      </c>
      <c r="G2609" s="1">
        <f t="shared" si="960"/>
        <v>43979</v>
      </c>
      <c r="H2609" s="2">
        <f t="shared" si="961"/>
        <v>0.45887810091179881</v>
      </c>
      <c r="I2609" s="2">
        <f t="shared" si="962"/>
        <v>0.54112189908820119</v>
      </c>
      <c r="J2609" s="4">
        <v>2599</v>
      </c>
      <c r="K2609" s="4">
        <v>13710</v>
      </c>
      <c r="L2609" s="1">
        <f t="shared" si="963"/>
        <v>16309</v>
      </c>
      <c r="M2609" s="2">
        <f t="shared" si="964"/>
        <v>0.15935986265252314</v>
      </c>
      <c r="N2609" s="2">
        <f t="shared" si="965"/>
        <v>0.84064013734747689</v>
      </c>
    </row>
    <row r="2610" spans="1:14" x14ac:dyDescent="0.35">
      <c r="A2610" t="s">
        <v>35</v>
      </c>
      <c r="B2610" t="s">
        <v>22</v>
      </c>
      <c r="C2610">
        <v>2011</v>
      </c>
      <c r="D2610" t="s">
        <v>32</v>
      </c>
      <c r="E2610" s="3">
        <v>18976</v>
      </c>
      <c r="F2610" s="3">
        <v>22737</v>
      </c>
      <c r="G2610" s="1">
        <f t="shared" si="960"/>
        <v>41713</v>
      </c>
      <c r="H2610" s="2">
        <f t="shared" si="961"/>
        <v>0.45491813103828543</v>
      </c>
      <c r="I2610" s="2">
        <f t="shared" si="962"/>
        <v>0.54508186896171462</v>
      </c>
      <c r="J2610" s="4">
        <v>2450</v>
      </c>
      <c r="K2610" s="4">
        <v>13230</v>
      </c>
      <c r="L2610" s="1">
        <f t="shared" si="963"/>
        <v>15680</v>
      </c>
      <c r="M2610" s="2">
        <f t="shared" si="964"/>
        <v>0.15625</v>
      </c>
      <c r="N2610" s="2">
        <f t="shared" si="965"/>
        <v>0.84375</v>
      </c>
    </row>
    <row r="2611" spans="1:14" x14ac:dyDescent="0.35">
      <c r="A2611" t="s">
        <v>35</v>
      </c>
      <c r="B2611" t="s">
        <v>23</v>
      </c>
      <c r="C2611">
        <v>2011</v>
      </c>
      <c r="D2611" t="s">
        <v>32</v>
      </c>
      <c r="E2611" s="3">
        <v>20835</v>
      </c>
      <c r="F2611" s="3">
        <v>25197</v>
      </c>
      <c r="G2611" s="1">
        <f t="shared" si="960"/>
        <v>46032</v>
      </c>
      <c r="H2611" s="2">
        <f t="shared" si="961"/>
        <v>0.45261991657977058</v>
      </c>
      <c r="I2611" s="2">
        <f t="shared" si="962"/>
        <v>0.54738008342022937</v>
      </c>
      <c r="J2611" s="4">
        <v>2661</v>
      </c>
      <c r="K2611" s="4">
        <v>15145</v>
      </c>
      <c r="L2611" s="1">
        <f t="shared" si="963"/>
        <v>17806</v>
      </c>
      <c r="M2611" s="2">
        <f t="shared" si="964"/>
        <v>0.14944400763787488</v>
      </c>
      <c r="N2611" s="2">
        <f t="shared" si="965"/>
        <v>0.85055599236212509</v>
      </c>
    </row>
    <row r="2612" spans="1:14" x14ac:dyDescent="0.35">
      <c r="A2612" t="s">
        <v>35</v>
      </c>
      <c r="B2612" t="s">
        <v>24</v>
      </c>
      <c r="C2612">
        <v>2011</v>
      </c>
      <c r="D2612" t="s">
        <v>32</v>
      </c>
      <c r="E2612" s="3">
        <v>19758</v>
      </c>
      <c r="F2612" s="3">
        <v>23974</v>
      </c>
      <c r="G2612" s="1">
        <f t="shared" si="960"/>
        <v>43732</v>
      </c>
      <c r="H2612" s="2">
        <f t="shared" si="961"/>
        <v>0.45179731089362479</v>
      </c>
      <c r="I2612" s="2">
        <f t="shared" si="962"/>
        <v>0.54820268910637515</v>
      </c>
      <c r="J2612" s="4">
        <v>2522</v>
      </c>
      <c r="K2612" s="4">
        <v>13746</v>
      </c>
      <c r="L2612" s="1">
        <f t="shared" si="963"/>
        <v>16268</v>
      </c>
      <c r="M2612" s="2">
        <f t="shared" si="964"/>
        <v>0.15502827637078928</v>
      </c>
      <c r="N2612" s="2">
        <f t="shared" si="965"/>
        <v>0.84497172362921069</v>
      </c>
    </row>
    <row r="2613" spans="1:14" x14ac:dyDescent="0.35">
      <c r="A2613" t="s">
        <v>35</v>
      </c>
      <c r="B2613" t="s">
        <v>25</v>
      </c>
      <c r="C2613">
        <v>2011</v>
      </c>
      <c r="D2613" t="s">
        <v>32</v>
      </c>
      <c r="E2613" s="3">
        <v>20442</v>
      </c>
      <c r="F2613" s="3">
        <v>25309</v>
      </c>
      <c r="G2613" s="1">
        <f t="shared" si="960"/>
        <v>45751</v>
      </c>
      <c r="H2613" s="2">
        <f t="shared" si="961"/>
        <v>0.44680990579440888</v>
      </c>
      <c r="I2613" s="2">
        <f t="shared" si="962"/>
        <v>0.55319009420559118</v>
      </c>
      <c r="J2613" s="4">
        <v>2597</v>
      </c>
      <c r="K2613" s="4">
        <v>15249</v>
      </c>
      <c r="L2613" s="1">
        <f t="shared" si="963"/>
        <v>17846</v>
      </c>
      <c r="M2613" s="2">
        <f t="shared" si="964"/>
        <v>0.14552280623108821</v>
      </c>
      <c r="N2613" s="2">
        <f t="shared" si="965"/>
        <v>0.85447719376891185</v>
      </c>
    </row>
    <row r="2614" spans="1:14" x14ac:dyDescent="0.35">
      <c r="A2614" t="s">
        <v>35</v>
      </c>
      <c r="B2614" t="s">
        <v>26</v>
      </c>
      <c r="C2614">
        <v>2011</v>
      </c>
      <c r="D2614" t="s">
        <v>32</v>
      </c>
      <c r="E2614" s="3">
        <v>19244</v>
      </c>
      <c r="F2614" s="3">
        <v>24231</v>
      </c>
      <c r="G2614" s="1">
        <f t="shared" si="960"/>
        <v>43475</v>
      </c>
      <c r="H2614" s="2">
        <f t="shared" si="961"/>
        <v>0.44264519838987926</v>
      </c>
      <c r="I2614" s="2">
        <f t="shared" si="962"/>
        <v>0.55735480161012074</v>
      </c>
      <c r="J2614" s="4">
        <v>2437</v>
      </c>
      <c r="K2614" s="4">
        <v>14864</v>
      </c>
      <c r="L2614" s="1">
        <f t="shared" si="963"/>
        <v>17301</v>
      </c>
      <c r="M2614" s="2">
        <f t="shared" si="964"/>
        <v>0.14085890988960176</v>
      </c>
      <c r="N2614" s="2">
        <f t="shared" si="965"/>
        <v>0.8591410901103983</v>
      </c>
    </row>
    <row r="2615" spans="1:14" x14ac:dyDescent="0.35">
      <c r="A2615" t="s">
        <v>35</v>
      </c>
      <c r="B2615" t="s">
        <v>27</v>
      </c>
      <c r="C2615">
        <v>2011</v>
      </c>
      <c r="D2615" t="s">
        <v>32</v>
      </c>
      <c r="E2615" s="3">
        <v>19227</v>
      </c>
      <c r="F2615" s="3">
        <v>24385</v>
      </c>
      <c r="G2615" s="1">
        <f t="shared" ref="G2615:G2678" si="966">SUM(E2615:F2615)</f>
        <v>43612</v>
      </c>
      <c r="H2615" s="2">
        <f t="shared" ref="H2615:H2678" si="967">SUM(E2615)/G2615</f>
        <v>0.44086489956892599</v>
      </c>
      <c r="I2615" s="2">
        <f t="shared" ref="I2615:I2678" si="968">SUM(F2615/G2615)</f>
        <v>0.55913510043107406</v>
      </c>
      <c r="J2615" s="4">
        <v>2418</v>
      </c>
      <c r="K2615" s="4">
        <v>14688</v>
      </c>
      <c r="L2615" s="1">
        <f t="shared" si="963"/>
        <v>17106</v>
      </c>
      <c r="M2615" s="2">
        <f t="shared" si="964"/>
        <v>0.14135391090845317</v>
      </c>
      <c r="N2615" s="2">
        <f t="shared" si="965"/>
        <v>0.85864608909154683</v>
      </c>
    </row>
    <row r="2616" spans="1:14" x14ac:dyDescent="0.35">
      <c r="A2616" t="s">
        <v>35</v>
      </c>
      <c r="B2616" t="s">
        <v>28</v>
      </c>
      <c r="C2616">
        <v>2011</v>
      </c>
      <c r="D2616" t="s">
        <v>32</v>
      </c>
      <c r="E2616" s="3">
        <v>19864</v>
      </c>
      <c r="F2616" s="3">
        <v>25754</v>
      </c>
      <c r="G2616" s="1">
        <f t="shared" si="966"/>
        <v>45618</v>
      </c>
      <c r="H2616" s="2">
        <f t="shared" si="967"/>
        <v>0.43544215002849751</v>
      </c>
      <c r="I2616" s="2">
        <f t="shared" si="968"/>
        <v>0.56455784997150249</v>
      </c>
      <c r="J2616" s="4">
        <v>2517</v>
      </c>
      <c r="K2616" s="4">
        <v>15403</v>
      </c>
      <c r="L2616" s="1">
        <f t="shared" si="963"/>
        <v>17920</v>
      </c>
      <c r="M2616" s="2">
        <f t="shared" si="964"/>
        <v>0.14045758928571428</v>
      </c>
      <c r="N2616" s="2">
        <f t="shared" si="965"/>
        <v>0.85954241071428572</v>
      </c>
    </row>
    <row r="2617" spans="1:14" x14ac:dyDescent="0.35">
      <c r="A2617" t="s">
        <v>35</v>
      </c>
      <c r="B2617" t="s">
        <v>29</v>
      </c>
      <c r="C2617">
        <v>2011</v>
      </c>
      <c r="D2617" t="s">
        <v>32</v>
      </c>
      <c r="E2617" s="3">
        <v>17879</v>
      </c>
      <c r="F2617" s="3">
        <v>23078</v>
      </c>
      <c r="G2617" s="1">
        <f t="shared" si="966"/>
        <v>40957</v>
      </c>
      <c r="H2617" s="2">
        <f t="shared" si="967"/>
        <v>0.4365309959225529</v>
      </c>
      <c r="I2617" s="2">
        <f t="shared" si="968"/>
        <v>0.56346900407744704</v>
      </c>
      <c r="J2617" s="4">
        <v>2283</v>
      </c>
      <c r="K2617" s="4">
        <v>13417</v>
      </c>
      <c r="L2617" s="1">
        <f t="shared" si="963"/>
        <v>15700</v>
      </c>
      <c r="M2617" s="2">
        <f t="shared" si="964"/>
        <v>0.14541401273885352</v>
      </c>
      <c r="N2617" s="2">
        <f t="shared" si="965"/>
        <v>0.85458598726114654</v>
      </c>
    </row>
    <row r="2618" spans="1:14" x14ac:dyDescent="0.35">
      <c r="A2618" t="s">
        <v>35</v>
      </c>
      <c r="B2618" t="s">
        <v>17</v>
      </c>
      <c r="C2618">
        <v>2012</v>
      </c>
      <c r="D2618" t="s">
        <v>32</v>
      </c>
      <c r="E2618" s="3">
        <v>17808</v>
      </c>
      <c r="F2618" s="3">
        <v>23148</v>
      </c>
      <c r="G2618" s="1">
        <f t="shared" si="966"/>
        <v>40956</v>
      </c>
      <c r="H2618" s="2">
        <f t="shared" si="967"/>
        <v>0.43480808672721943</v>
      </c>
      <c r="I2618" s="2">
        <f t="shared" si="968"/>
        <v>0.56519191327278051</v>
      </c>
      <c r="J2618" s="4">
        <v>2195</v>
      </c>
      <c r="K2618" s="4">
        <v>13849</v>
      </c>
      <c r="L2618" s="1">
        <f t="shared" si="963"/>
        <v>16044</v>
      </c>
      <c r="M2618" s="2">
        <f t="shared" si="964"/>
        <v>0.13681126901022189</v>
      </c>
      <c r="N2618" s="2">
        <f t="shared" si="965"/>
        <v>0.86318873098977811</v>
      </c>
    </row>
    <row r="2619" spans="1:14" x14ac:dyDescent="0.35">
      <c r="A2619" t="s">
        <v>35</v>
      </c>
      <c r="B2619" t="s">
        <v>19</v>
      </c>
      <c r="C2619">
        <v>2012</v>
      </c>
      <c r="D2619" t="s">
        <v>32</v>
      </c>
      <c r="E2619" s="3">
        <v>18505</v>
      </c>
      <c r="F2619" s="3">
        <v>24681</v>
      </c>
      <c r="G2619" s="1">
        <f t="shared" si="966"/>
        <v>43186</v>
      </c>
      <c r="H2619" s="2">
        <f t="shared" si="967"/>
        <v>0.42849534571388875</v>
      </c>
      <c r="I2619" s="2">
        <f t="shared" si="968"/>
        <v>0.57150465428611119</v>
      </c>
      <c r="J2619" s="4">
        <v>2292</v>
      </c>
      <c r="K2619" s="4">
        <v>14449</v>
      </c>
      <c r="L2619" s="1">
        <f t="shared" si="963"/>
        <v>16741</v>
      </c>
      <c r="M2619" s="2">
        <f t="shared" si="964"/>
        <v>0.1369093841467057</v>
      </c>
      <c r="N2619" s="2">
        <f t="shared" si="965"/>
        <v>0.86309061585329427</v>
      </c>
    </row>
    <row r="2620" spans="1:14" x14ac:dyDescent="0.35">
      <c r="A2620" t="s">
        <v>35</v>
      </c>
      <c r="B2620" t="s">
        <v>20</v>
      </c>
      <c r="C2620">
        <v>2012</v>
      </c>
      <c r="D2620" t="s">
        <v>32</v>
      </c>
      <c r="E2620" s="3">
        <v>19176</v>
      </c>
      <c r="F2620" s="3">
        <v>25760</v>
      </c>
      <c r="G2620" s="1">
        <f t="shared" si="966"/>
        <v>44936</v>
      </c>
      <c r="H2620" s="2">
        <f t="shared" si="967"/>
        <v>0.42674025280398792</v>
      </c>
      <c r="I2620" s="2">
        <f t="shared" si="968"/>
        <v>0.57325974719601214</v>
      </c>
      <c r="J2620" s="4">
        <v>2375</v>
      </c>
      <c r="K2620" s="4">
        <v>15526</v>
      </c>
      <c r="L2620" s="1">
        <f t="shared" si="963"/>
        <v>17901</v>
      </c>
      <c r="M2620" s="2">
        <f t="shared" si="964"/>
        <v>0.13267415228199542</v>
      </c>
      <c r="N2620" s="2">
        <f t="shared" si="965"/>
        <v>0.86732584771800458</v>
      </c>
    </row>
    <row r="2621" spans="1:14" x14ac:dyDescent="0.35">
      <c r="A2621" t="s">
        <v>35</v>
      </c>
      <c r="B2621" t="s">
        <v>21</v>
      </c>
      <c r="C2621">
        <v>2012</v>
      </c>
      <c r="D2621" t="s">
        <v>32</v>
      </c>
      <c r="E2621" s="3">
        <v>18982</v>
      </c>
      <c r="F2621" s="3">
        <v>25840</v>
      </c>
      <c r="G2621" s="1">
        <f t="shared" si="966"/>
        <v>44822</v>
      </c>
      <c r="H2621" s="2">
        <f t="shared" si="967"/>
        <v>0.42349738967471329</v>
      </c>
      <c r="I2621" s="2">
        <f t="shared" si="968"/>
        <v>0.57650261032528671</v>
      </c>
      <c r="J2621" s="4">
        <v>2386</v>
      </c>
      <c r="K2621" s="4">
        <v>15904</v>
      </c>
      <c r="L2621" s="1">
        <f t="shared" si="963"/>
        <v>18290</v>
      </c>
      <c r="M2621" s="2">
        <f t="shared" si="964"/>
        <v>0.13045379989065062</v>
      </c>
      <c r="N2621" s="2">
        <f t="shared" si="965"/>
        <v>0.86954620010934935</v>
      </c>
    </row>
    <row r="2622" spans="1:14" x14ac:dyDescent="0.35">
      <c r="A2622" t="s">
        <v>35</v>
      </c>
      <c r="B2622" t="s">
        <v>22</v>
      </c>
      <c r="C2622">
        <v>2012</v>
      </c>
      <c r="D2622" t="s">
        <v>32</v>
      </c>
      <c r="E2622" s="3">
        <v>18773</v>
      </c>
      <c r="F2622" s="3">
        <v>26005</v>
      </c>
      <c r="G2622" s="1">
        <f t="shared" si="966"/>
        <v>44778</v>
      </c>
      <c r="H2622" s="2">
        <f t="shared" si="967"/>
        <v>0.41924605833221673</v>
      </c>
      <c r="I2622" s="2">
        <f t="shared" si="968"/>
        <v>0.58075394166778327</v>
      </c>
      <c r="J2622" s="4">
        <v>2336</v>
      </c>
      <c r="K2622" s="4">
        <v>15952</v>
      </c>
      <c r="L2622" s="1">
        <f t="shared" si="963"/>
        <v>18288</v>
      </c>
      <c r="M2622" s="2">
        <f t="shared" si="964"/>
        <v>0.12773403324584426</v>
      </c>
      <c r="N2622" s="2">
        <f t="shared" si="965"/>
        <v>0.87226596675415569</v>
      </c>
    </row>
    <row r="2623" spans="1:14" x14ac:dyDescent="0.35">
      <c r="A2623" t="s">
        <v>35</v>
      </c>
      <c r="B2623" t="s">
        <v>23</v>
      </c>
      <c r="C2623">
        <v>2012</v>
      </c>
      <c r="D2623" t="s">
        <v>32</v>
      </c>
      <c r="E2623" s="3">
        <v>18594</v>
      </c>
      <c r="F2623" s="3">
        <v>26425</v>
      </c>
      <c r="G2623" s="1">
        <f t="shared" si="966"/>
        <v>45019</v>
      </c>
      <c r="H2623" s="2">
        <f t="shared" si="967"/>
        <v>0.4130256114085164</v>
      </c>
      <c r="I2623" s="2">
        <f t="shared" si="968"/>
        <v>0.58697438859148354</v>
      </c>
      <c r="J2623" s="4">
        <v>2306</v>
      </c>
      <c r="K2623" s="4">
        <v>14913</v>
      </c>
      <c r="L2623" s="1">
        <f t="shared" si="963"/>
        <v>17219</v>
      </c>
      <c r="M2623" s="2">
        <f t="shared" si="964"/>
        <v>0.13392183053603576</v>
      </c>
      <c r="N2623" s="2">
        <f t="shared" si="965"/>
        <v>0.86607816946396421</v>
      </c>
    </row>
    <row r="2624" spans="1:14" x14ac:dyDescent="0.35">
      <c r="A2624" t="s">
        <v>35</v>
      </c>
      <c r="B2624" t="s">
        <v>24</v>
      </c>
      <c r="C2624">
        <v>2012</v>
      </c>
      <c r="D2624" t="s">
        <v>32</v>
      </c>
      <c r="E2624" s="3">
        <v>18504</v>
      </c>
      <c r="F2624" s="3">
        <v>26338</v>
      </c>
      <c r="G2624" s="1">
        <f t="shared" si="966"/>
        <v>44842</v>
      </c>
      <c r="H2624" s="2">
        <f t="shared" si="967"/>
        <v>0.41264885598323003</v>
      </c>
      <c r="I2624" s="2">
        <f t="shared" si="968"/>
        <v>0.58735114401677002</v>
      </c>
      <c r="J2624" s="4">
        <v>2288</v>
      </c>
      <c r="K2624" s="4">
        <v>15718</v>
      </c>
      <c r="L2624" s="1">
        <f t="shared" si="963"/>
        <v>18006</v>
      </c>
      <c r="M2624" s="2">
        <f t="shared" si="964"/>
        <v>0.12706875485949129</v>
      </c>
      <c r="N2624" s="2">
        <f t="shared" si="965"/>
        <v>0.87293124514050868</v>
      </c>
    </row>
    <row r="2625" spans="1:14" x14ac:dyDescent="0.35">
      <c r="A2625" t="s">
        <v>35</v>
      </c>
      <c r="B2625" t="s">
        <v>25</v>
      </c>
      <c r="C2625">
        <v>2012</v>
      </c>
      <c r="D2625" t="s">
        <v>32</v>
      </c>
      <c r="E2625" s="3">
        <v>18329</v>
      </c>
      <c r="F2625" s="3">
        <v>26222</v>
      </c>
      <c r="G2625" s="1">
        <f t="shared" si="966"/>
        <v>44551</v>
      </c>
      <c r="H2625" s="2">
        <f t="shared" si="967"/>
        <v>0.4114161298287356</v>
      </c>
      <c r="I2625" s="2">
        <f t="shared" si="968"/>
        <v>0.58858387017126435</v>
      </c>
      <c r="J2625" s="4">
        <v>2265</v>
      </c>
      <c r="K2625" s="4">
        <v>16062</v>
      </c>
      <c r="L2625" s="1">
        <f t="shared" si="963"/>
        <v>18327</v>
      </c>
      <c r="M2625" s="2">
        <f t="shared" si="964"/>
        <v>0.12358814863316418</v>
      </c>
      <c r="N2625" s="2">
        <f t="shared" si="965"/>
        <v>0.87641185136683586</v>
      </c>
    </row>
    <row r="2626" spans="1:14" x14ac:dyDescent="0.35">
      <c r="A2626" t="s">
        <v>35</v>
      </c>
      <c r="B2626" t="s">
        <v>26</v>
      </c>
      <c r="C2626">
        <v>2012</v>
      </c>
      <c r="D2626" t="s">
        <v>32</v>
      </c>
      <c r="E2626" s="3">
        <v>18243</v>
      </c>
      <c r="F2626" s="3">
        <v>26253</v>
      </c>
      <c r="G2626" s="1">
        <f t="shared" si="966"/>
        <v>44496</v>
      </c>
      <c r="H2626" s="2">
        <f t="shared" si="967"/>
        <v>0.40999190938511326</v>
      </c>
      <c r="I2626" s="2">
        <f t="shared" si="968"/>
        <v>0.59000809061488668</v>
      </c>
      <c r="J2626" s="4">
        <v>2269</v>
      </c>
      <c r="K2626" s="4">
        <v>16052</v>
      </c>
      <c r="L2626" s="1">
        <f t="shared" si="963"/>
        <v>18321</v>
      </c>
      <c r="M2626" s="2">
        <f t="shared" si="964"/>
        <v>0.12384695158561214</v>
      </c>
      <c r="N2626" s="2">
        <f t="shared" si="965"/>
        <v>0.8761530484143879</v>
      </c>
    </row>
    <row r="2627" spans="1:14" x14ac:dyDescent="0.35">
      <c r="A2627" t="s">
        <v>35</v>
      </c>
      <c r="B2627" t="s">
        <v>27</v>
      </c>
      <c r="C2627">
        <v>2012</v>
      </c>
      <c r="D2627" t="s">
        <v>32</v>
      </c>
      <c r="E2627" s="3">
        <v>18049</v>
      </c>
      <c r="F2627" s="3">
        <v>26411</v>
      </c>
      <c r="G2627" s="1">
        <f t="shared" si="966"/>
        <v>44460</v>
      </c>
      <c r="H2627" s="2">
        <f t="shared" si="967"/>
        <v>0.40596041385515069</v>
      </c>
      <c r="I2627" s="2">
        <f t="shared" si="968"/>
        <v>0.59403958614484931</v>
      </c>
      <c r="J2627" s="4">
        <v>2241</v>
      </c>
      <c r="K2627" s="4">
        <v>16085</v>
      </c>
      <c r="L2627" s="1">
        <f t="shared" ref="L2627:L2690" si="969">SUM(J2627:K2627)</f>
        <v>18326</v>
      </c>
      <c r="M2627" s="2">
        <f t="shared" ref="M2627:M2690" si="970">SUM(J2627)/L2627</f>
        <v>0.12228527774746262</v>
      </c>
      <c r="N2627" s="2">
        <f t="shared" ref="N2627:N2690" si="971">SUM(K2627/L2627)</f>
        <v>0.87771472225253733</v>
      </c>
    </row>
    <row r="2628" spans="1:14" x14ac:dyDescent="0.35">
      <c r="A2628" t="s">
        <v>35</v>
      </c>
      <c r="B2628" t="s">
        <v>28</v>
      </c>
      <c r="C2628">
        <v>2012</v>
      </c>
      <c r="D2628" t="s">
        <v>32</v>
      </c>
      <c r="E2628" s="3">
        <v>17835</v>
      </c>
      <c r="F2628" s="3">
        <v>26501</v>
      </c>
      <c r="G2628" s="1">
        <f t="shared" si="966"/>
        <v>44336</v>
      </c>
      <c r="H2628" s="2">
        <f t="shared" si="967"/>
        <v>0.40226903644893541</v>
      </c>
      <c r="I2628" s="2">
        <f t="shared" si="968"/>
        <v>0.59773096355106459</v>
      </c>
      <c r="J2628" s="4">
        <v>2201</v>
      </c>
      <c r="K2628" s="4">
        <v>16142</v>
      </c>
      <c r="L2628" s="1">
        <f t="shared" si="969"/>
        <v>18343</v>
      </c>
      <c r="M2628" s="2">
        <f t="shared" si="970"/>
        <v>0.11999127732650057</v>
      </c>
      <c r="N2628" s="2">
        <f t="shared" si="971"/>
        <v>0.88000872267349939</v>
      </c>
    </row>
    <row r="2629" spans="1:14" x14ac:dyDescent="0.35">
      <c r="A2629" t="s">
        <v>35</v>
      </c>
      <c r="B2629" t="s">
        <v>29</v>
      </c>
      <c r="C2629">
        <v>2012</v>
      </c>
      <c r="D2629" t="s">
        <v>32</v>
      </c>
      <c r="E2629" s="3">
        <v>17715</v>
      </c>
      <c r="F2629" s="3">
        <v>26562</v>
      </c>
      <c r="G2629" s="1">
        <f t="shared" si="966"/>
        <v>44277</v>
      </c>
      <c r="H2629" s="2">
        <f t="shared" si="967"/>
        <v>0.40009485737516093</v>
      </c>
      <c r="I2629" s="2">
        <f t="shared" si="968"/>
        <v>0.59990514262483907</v>
      </c>
      <c r="J2629" s="4">
        <v>2295</v>
      </c>
      <c r="K2629" s="4">
        <v>16093</v>
      </c>
      <c r="L2629" s="1">
        <f t="shared" si="969"/>
        <v>18388</v>
      </c>
      <c r="M2629" s="2">
        <f t="shared" si="970"/>
        <v>0.12480965847291713</v>
      </c>
      <c r="N2629" s="2">
        <f t="shared" si="971"/>
        <v>0.87519034152708286</v>
      </c>
    </row>
    <row r="2630" spans="1:14" x14ac:dyDescent="0.35">
      <c r="A2630" t="s">
        <v>35</v>
      </c>
      <c r="B2630" t="s">
        <v>17</v>
      </c>
      <c r="C2630">
        <v>2013</v>
      </c>
      <c r="D2630" t="s">
        <v>32</v>
      </c>
      <c r="E2630" s="3">
        <v>17608</v>
      </c>
      <c r="F2630" s="3">
        <v>26727</v>
      </c>
      <c r="G2630" s="1">
        <f t="shared" si="966"/>
        <v>44335</v>
      </c>
      <c r="H2630" s="2">
        <f t="shared" si="967"/>
        <v>0.39715800157888803</v>
      </c>
      <c r="I2630" s="2">
        <f t="shared" si="968"/>
        <v>0.60284199842111197</v>
      </c>
      <c r="J2630" s="4">
        <v>2192</v>
      </c>
      <c r="K2630" s="4">
        <v>16163</v>
      </c>
      <c r="L2630" s="1">
        <f t="shared" si="969"/>
        <v>18355</v>
      </c>
      <c r="M2630" s="2">
        <f t="shared" si="970"/>
        <v>0.11942250068101334</v>
      </c>
      <c r="N2630" s="2">
        <f t="shared" si="971"/>
        <v>0.88057749931898666</v>
      </c>
    </row>
    <row r="2631" spans="1:14" x14ac:dyDescent="0.35">
      <c r="A2631" t="s">
        <v>35</v>
      </c>
      <c r="B2631" t="s">
        <v>19</v>
      </c>
      <c r="C2631">
        <v>2013</v>
      </c>
      <c r="D2631" t="s">
        <v>32</v>
      </c>
      <c r="E2631" s="3">
        <v>17344</v>
      </c>
      <c r="F2631" s="3">
        <v>26724</v>
      </c>
      <c r="G2631" s="1">
        <f t="shared" si="966"/>
        <v>44068</v>
      </c>
      <c r="H2631" s="2">
        <f t="shared" si="967"/>
        <v>0.39357356812199329</v>
      </c>
      <c r="I2631" s="2">
        <f t="shared" si="968"/>
        <v>0.60642643187800671</v>
      </c>
      <c r="J2631" s="4">
        <v>2165</v>
      </c>
      <c r="K2631" s="4">
        <v>16156</v>
      </c>
      <c r="L2631" s="1">
        <f t="shared" si="969"/>
        <v>18321</v>
      </c>
      <c r="M2631" s="2">
        <f t="shared" si="970"/>
        <v>0.11817040554554882</v>
      </c>
      <c r="N2631" s="2">
        <f t="shared" si="971"/>
        <v>0.88182959445445119</v>
      </c>
    </row>
    <row r="2632" spans="1:14" x14ac:dyDescent="0.35">
      <c r="A2632" t="s">
        <v>35</v>
      </c>
      <c r="B2632" t="s">
        <v>20</v>
      </c>
      <c r="C2632">
        <v>2013</v>
      </c>
      <c r="D2632" t="s">
        <v>32</v>
      </c>
      <c r="E2632" s="3">
        <v>17107</v>
      </c>
      <c r="F2632" s="3">
        <v>26789</v>
      </c>
      <c r="G2632" s="1">
        <f t="shared" si="966"/>
        <v>43896</v>
      </c>
      <c r="H2632" s="2">
        <f t="shared" si="967"/>
        <v>0.38971660287953347</v>
      </c>
      <c r="I2632" s="2">
        <f t="shared" si="968"/>
        <v>0.61028339712046653</v>
      </c>
      <c r="J2632" s="4">
        <v>2144</v>
      </c>
      <c r="K2632" s="4">
        <v>16195</v>
      </c>
      <c r="L2632" s="1">
        <f t="shared" si="969"/>
        <v>18339</v>
      </c>
      <c r="M2632" s="2">
        <f t="shared" si="970"/>
        <v>0.11690931893778286</v>
      </c>
      <c r="N2632" s="2">
        <f t="shared" si="971"/>
        <v>0.88309068106221711</v>
      </c>
    </row>
    <row r="2633" spans="1:14" x14ac:dyDescent="0.35">
      <c r="A2633" t="s">
        <v>35</v>
      </c>
      <c r="B2633" t="s">
        <v>21</v>
      </c>
      <c r="C2633">
        <v>2013</v>
      </c>
      <c r="D2633" t="s">
        <v>32</v>
      </c>
      <c r="E2633" s="3">
        <v>16941</v>
      </c>
      <c r="F2633" s="3">
        <v>26941</v>
      </c>
      <c r="G2633" s="1">
        <f t="shared" si="966"/>
        <v>43882</v>
      </c>
      <c r="H2633" s="2">
        <f t="shared" si="967"/>
        <v>0.38605806481017274</v>
      </c>
      <c r="I2633" s="2">
        <f t="shared" si="968"/>
        <v>0.61394193518982731</v>
      </c>
      <c r="J2633" s="4">
        <v>2118</v>
      </c>
      <c r="K2633" s="4">
        <v>16201</v>
      </c>
      <c r="L2633" s="1">
        <f t="shared" si="969"/>
        <v>18319</v>
      </c>
      <c r="M2633" s="2">
        <f t="shared" si="970"/>
        <v>0.11561766471968994</v>
      </c>
      <c r="N2633" s="2">
        <f t="shared" si="971"/>
        <v>0.88438233528031007</v>
      </c>
    </row>
    <row r="2634" spans="1:14" x14ac:dyDescent="0.35">
      <c r="A2634" t="s">
        <v>35</v>
      </c>
      <c r="B2634" t="s">
        <v>22</v>
      </c>
      <c r="C2634">
        <v>2013</v>
      </c>
      <c r="D2634" t="s">
        <v>32</v>
      </c>
      <c r="E2634" s="3">
        <v>16941</v>
      </c>
      <c r="F2634" s="3">
        <v>26965</v>
      </c>
      <c r="G2634" s="1">
        <f t="shared" si="966"/>
        <v>43906</v>
      </c>
      <c r="H2634" s="2">
        <f t="shared" si="967"/>
        <v>0.38584703685145538</v>
      </c>
      <c r="I2634" s="2">
        <f t="shared" si="968"/>
        <v>0.61415296314854462</v>
      </c>
      <c r="J2634" s="4">
        <v>2111</v>
      </c>
      <c r="K2634" s="4">
        <v>16226</v>
      </c>
      <c r="L2634" s="1">
        <f t="shared" si="969"/>
        <v>18337</v>
      </c>
      <c r="M2634" s="2">
        <f t="shared" si="970"/>
        <v>0.11512243005944266</v>
      </c>
      <c r="N2634" s="2">
        <f t="shared" si="971"/>
        <v>0.88487756994055733</v>
      </c>
    </row>
    <row r="2635" spans="1:14" x14ac:dyDescent="0.35">
      <c r="A2635" t="s">
        <v>35</v>
      </c>
      <c r="B2635" t="s">
        <v>23</v>
      </c>
      <c r="C2635">
        <v>2013</v>
      </c>
      <c r="D2635" t="s">
        <v>32</v>
      </c>
      <c r="E2635" s="3">
        <v>16727</v>
      </c>
      <c r="F2635" s="3">
        <v>26985</v>
      </c>
      <c r="G2635" s="1">
        <f t="shared" si="966"/>
        <v>43712</v>
      </c>
      <c r="H2635" s="2">
        <f t="shared" si="967"/>
        <v>0.38266379941434847</v>
      </c>
      <c r="I2635" s="2">
        <f t="shared" si="968"/>
        <v>0.61733620058565153</v>
      </c>
      <c r="J2635" s="4">
        <v>2096</v>
      </c>
      <c r="K2635" s="4">
        <v>16222</v>
      </c>
      <c r="L2635" s="1">
        <f t="shared" si="969"/>
        <v>18318</v>
      </c>
      <c r="M2635" s="2">
        <f t="shared" si="970"/>
        <v>0.11442297194016814</v>
      </c>
      <c r="N2635" s="2">
        <f t="shared" si="971"/>
        <v>0.88557702805983185</v>
      </c>
    </row>
    <row r="2636" spans="1:14" x14ac:dyDescent="0.35">
      <c r="A2636" t="s">
        <v>35</v>
      </c>
      <c r="B2636" t="s">
        <v>24</v>
      </c>
      <c r="C2636">
        <v>2013</v>
      </c>
      <c r="D2636" t="s">
        <v>32</v>
      </c>
      <c r="E2636" s="3">
        <v>16640</v>
      </c>
      <c r="F2636" s="3">
        <v>27026</v>
      </c>
      <c r="G2636" s="1">
        <f t="shared" si="966"/>
        <v>43666</v>
      </c>
      <c r="H2636" s="2">
        <f t="shared" si="967"/>
        <v>0.38107452022168276</v>
      </c>
      <c r="I2636" s="2">
        <f t="shared" si="968"/>
        <v>0.61892547977831724</v>
      </c>
      <c r="J2636" s="4">
        <v>2076</v>
      </c>
      <c r="K2636" s="4">
        <v>16241</v>
      </c>
      <c r="L2636" s="1">
        <f t="shared" si="969"/>
        <v>18317</v>
      </c>
      <c r="M2636" s="2">
        <f t="shared" si="970"/>
        <v>0.1133373369001474</v>
      </c>
      <c r="N2636" s="2">
        <f t="shared" si="971"/>
        <v>0.88666266309985264</v>
      </c>
    </row>
    <row r="2637" spans="1:14" x14ac:dyDescent="0.35">
      <c r="A2637" t="s">
        <v>35</v>
      </c>
      <c r="B2637" t="s">
        <v>25</v>
      </c>
      <c r="C2637">
        <v>2013</v>
      </c>
      <c r="D2637" t="s">
        <v>32</v>
      </c>
      <c r="E2637" s="3">
        <v>16504</v>
      </c>
      <c r="F2637" s="3">
        <v>26901</v>
      </c>
      <c r="G2637" s="1">
        <f t="shared" si="966"/>
        <v>43405</v>
      </c>
      <c r="H2637" s="2">
        <f t="shared" si="967"/>
        <v>0.38023269208616517</v>
      </c>
      <c r="I2637" s="2">
        <f t="shared" si="968"/>
        <v>0.61976730791383483</v>
      </c>
      <c r="J2637" s="4">
        <v>2054</v>
      </c>
      <c r="K2637" s="4">
        <v>16265</v>
      </c>
      <c r="L2637" s="1">
        <f t="shared" si="969"/>
        <v>18319</v>
      </c>
      <c r="M2637" s="2">
        <f t="shared" si="970"/>
        <v>0.11212402423713085</v>
      </c>
      <c r="N2637" s="2">
        <f t="shared" si="971"/>
        <v>0.88787597576286914</v>
      </c>
    </row>
    <row r="2638" spans="1:14" x14ac:dyDescent="0.35">
      <c r="A2638" t="s">
        <v>35</v>
      </c>
      <c r="B2638" t="s">
        <v>26</v>
      </c>
      <c r="C2638">
        <v>2013</v>
      </c>
      <c r="D2638" t="s">
        <v>32</v>
      </c>
      <c r="E2638" s="3">
        <v>16369</v>
      </c>
      <c r="F2638" s="3">
        <v>26959</v>
      </c>
      <c r="G2638" s="1">
        <f t="shared" si="966"/>
        <v>43328</v>
      </c>
      <c r="H2638" s="2">
        <f t="shared" si="967"/>
        <v>0.37779265140324964</v>
      </c>
      <c r="I2638" s="2">
        <f t="shared" si="968"/>
        <v>0.62220734859675042</v>
      </c>
      <c r="J2638" s="4">
        <v>2033</v>
      </c>
      <c r="K2638" s="4">
        <v>16306</v>
      </c>
      <c r="L2638" s="1">
        <f t="shared" si="969"/>
        <v>18339</v>
      </c>
      <c r="M2638" s="2">
        <f t="shared" si="970"/>
        <v>0.11085664430994056</v>
      </c>
      <c r="N2638" s="2">
        <f t="shared" si="971"/>
        <v>0.88914335569005942</v>
      </c>
    </row>
    <row r="2639" spans="1:14" x14ac:dyDescent="0.35">
      <c r="A2639" t="s">
        <v>35</v>
      </c>
      <c r="B2639" t="s">
        <v>27</v>
      </c>
      <c r="C2639">
        <v>2013</v>
      </c>
      <c r="D2639" t="s">
        <v>32</v>
      </c>
      <c r="E2639" s="3">
        <v>16263</v>
      </c>
      <c r="F2639" s="3">
        <v>27391</v>
      </c>
      <c r="G2639" s="1">
        <f t="shared" si="966"/>
        <v>43654</v>
      </c>
      <c r="H2639" s="2">
        <f t="shared" si="967"/>
        <v>0.37254318046456225</v>
      </c>
      <c r="I2639" s="2">
        <f t="shared" si="968"/>
        <v>0.62745681953543775</v>
      </c>
      <c r="J2639" s="4">
        <v>2047</v>
      </c>
      <c r="K2639" s="4">
        <v>16345</v>
      </c>
      <c r="L2639" s="1">
        <f t="shared" si="969"/>
        <v>18392</v>
      </c>
      <c r="M2639" s="2">
        <f t="shared" si="970"/>
        <v>0.11129839060461071</v>
      </c>
      <c r="N2639" s="2">
        <f t="shared" si="971"/>
        <v>0.88870160939538934</v>
      </c>
    </row>
    <row r="2640" spans="1:14" x14ac:dyDescent="0.35">
      <c r="A2640" t="s">
        <v>35</v>
      </c>
      <c r="B2640" t="s">
        <v>28</v>
      </c>
      <c r="C2640">
        <v>2013</v>
      </c>
      <c r="D2640" t="s">
        <v>32</v>
      </c>
      <c r="E2640" s="3">
        <v>16141</v>
      </c>
      <c r="F2640" s="3">
        <v>26987</v>
      </c>
      <c r="G2640" s="1">
        <f t="shared" si="966"/>
        <v>43128</v>
      </c>
      <c r="H2640" s="2">
        <f t="shared" si="967"/>
        <v>0.37425802263030977</v>
      </c>
      <c r="I2640" s="2">
        <f t="shared" si="968"/>
        <v>0.62574197736969017</v>
      </c>
      <c r="J2640" s="4">
        <v>1988</v>
      </c>
      <c r="K2640" s="4">
        <v>16310</v>
      </c>
      <c r="L2640" s="1">
        <f t="shared" si="969"/>
        <v>18298</v>
      </c>
      <c r="M2640" s="2">
        <f t="shared" si="970"/>
        <v>0.10864575363427698</v>
      </c>
      <c r="N2640" s="2">
        <f t="shared" si="971"/>
        <v>0.89135424636572302</v>
      </c>
    </row>
    <row r="2641" spans="1:14" x14ac:dyDescent="0.35">
      <c r="A2641" t="s">
        <v>35</v>
      </c>
      <c r="B2641" t="s">
        <v>29</v>
      </c>
      <c r="C2641">
        <v>2013</v>
      </c>
      <c r="D2641" t="s">
        <v>32</v>
      </c>
      <c r="E2641" s="3">
        <v>16012</v>
      </c>
      <c r="F2641" s="3">
        <v>26817</v>
      </c>
      <c r="G2641" s="1">
        <f t="shared" si="966"/>
        <v>42829</v>
      </c>
      <c r="H2641" s="2">
        <f t="shared" si="967"/>
        <v>0.37385883396763875</v>
      </c>
      <c r="I2641" s="2">
        <f t="shared" si="968"/>
        <v>0.62614116603236125</v>
      </c>
      <c r="J2641" s="4">
        <v>1976</v>
      </c>
      <c r="K2641" s="4">
        <v>16000</v>
      </c>
      <c r="L2641" s="1">
        <f t="shared" si="969"/>
        <v>17976</v>
      </c>
      <c r="M2641" s="2">
        <f t="shared" si="970"/>
        <v>0.10992434356920339</v>
      </c>
      <c r="N2641" s="2">
        <f t="shared" si="971"/>
        <v>0.89007565643079667</v>
      </c>
    </row>
    <row r="2642" spans="1:14" x14ac:dyDescent="0.35">
      <c r="A2642" t="s">
        <v>35</v>
      </c>
      <c r="B2642" t="s">
        <v>17</v>
      </c>
      <c r="C2642">
        <v>2014</v>
      </c>
      <c r="D2642" t="s">
        <v>32</v>
      </c>
      <c r="E2642" s="3">
        <v>15102</v>
      </c>
      <c r="F2642" s="3">
        <v>26172</v>
      </c>
      <c r="G2642" s="1">
        <f t="shared" si="966"/>
        <v>41274</v>
      </c>
      <c r="H2642" s="2">
        <f t="shared" si="967"/>
        <v>0.36589620584387267</v>
      </c>
      <c r="I2642" s="2">
        <f t="shared" si="968"/>
        <v>0.63410379415612739</v>
      </c>
      <c r="J2642" s="4">
        <v>1859</v>
      </c>
      <c r="K2642" s="4">
        <v>14948</v>
      </c>
      <c r="L2642" s="1">
        <f t="shared" si="969"/>
        <v>16807</v>
      </c>
      <c r="M2642" s="2">
        <f t="shared" si="970"/>
        <v>0.11060867495686322</v>
      </c>
      <c r="N2642" s="2">
        <f t="shared" si="971"/>
        <v>0.88939132504313678</v>
      </c>
    </row>
    <row r="2643" spans="1:14" x14ac:dyDescent="0.35">
      <c r="A2643" t="s">
        <v>35</v>
      </c>
      <c r="B2643" t="s">
        <v>19</v>
      </c>
      <c r="C2643">
        <v>2014</v>
      </c>
      <c r="D2643" t="s">
        <v>32</v>
      </c>
      <c r="E2643" s="3">
        <v>14947</v>
      </c>
      <c r="F2643" s="3">
        <v>25476</v>
      </c>
      <c r="G2643" s="1">
        <f t="shared" si="966"/>
        <v>40423</v>
      </c>
      <c r="H2643" s="2">
        <f t="shared" si="967"/>
        <v>0.36976473789674197</v>
      </c>
      <c r="I2643" s="2">
        <f t="shared" si="968"/>
        <v>0.63023526210325809</v>
      </c>
      <c r="J2643" s="4">
        <v>1827</v>
      </c>
      <c r="K2643" s="4">
        <v>15252</v>
      </c>
      <c r="L2643" s="1">
        <f t="shared" si="969"/>
        <v>17079</v>
      </c>
      <c r="M2643" s="2">
        <f t="shared" si="970"/>
        <v>0.10697347619884068</v>
      </c>
      <c r="N2643" s="2">
        <f t="shared" si="971"/>
        <v>0.89302652380115932</v>
      </c>
    </row>
    <row r="2644" spans="1:14" x14ac:dyDescent="0.35">
      <c r="A2644" t="s">
        <v>35</v>
      </c>
      <c r="B2644" t="s">
        <v>20</v>
      </c>
      <c r="C2644">
        <v>2014</v>
      </c>
      <c r="D2644" t="s">
        <v>32</v>
      </c>
      <c r="E2644" s="3">
        <v>14884</v>
      </c>
      <c r="F2644" s="3">
        <v>25693</v>
      </c>
      <c r="G2644" s="1">
        <f t="shared" si="966"/>
        <v>40577</v>
      </c>
      <c r="H2644" s="2">
        <f t="shared" si="967"/>
        <v>0.36680878330088473</v>
      </c>
      <c r="I2644" s="2">
        <f t="shared" si="968"/>
        <v>0.63319121669911527</v>
      </c>
      <c r="J2644" s="4">
        <v>1830</v>
      </c>
      <c r="K2644" s="4">
        <v>14970</v>
      </c>
      <c r="L2644" s="1">
        <f t="shared" si="969"/>
        <v>16800</v>
      </c>
      <c r="M2644" s="2">
        <f t="shared" si="970"/>
        <v>0.10892857142857143</v>
      </c>
      <c r="N2644" s="2">
        <f t="shared" si="971"/>
        <v>0.89107142857142863</v>
      </c>
    </row>
    <row r="2645" spans="1:14" x14ac:dyDescent="0.35">
      <c r="A2645" t="s">
        <v>35</v>
      </c>
      <c r="B2645" t="s">
        <v>21</v>
      </c>
      <c r="C2645">
        <v>2014</v>
      </c>
      <c r="D2645" t="s">
        <v>32</v>
      </c>
      <c r="E2645" s="3">
        <v>15454</v>
      </c>
      <c r="F2645" s="3">
        <v>27162</v>
      </c>
      <c r="G2645" s="1">
        <f t="shared" si="966"/>
        <v>42616</v>
      </c>
      <c r="H2645" s="2">
        <f t="shared" si="967"/>
        <v>0.36263375258119018</v>
      </c>
      <c r="I2645" s="2">
        <f t="shared" si="968"/>
        <v>0.63736624741880987</v>
      </c>
      <c r="J2645" s="4">
        <v>1898</v>
      </c>
      <c r="K2645" s="4">
        <v>16438</v>
      </c>
      <c r="L2645" s="1">
        <f t="shared" si="969"/>
        <v>18336</v>
      </c>
      <c r="M2645" s="2">
        <f t="shared" si="970"/>
        <v>0.10351221640488656</v>
      </c>
      <c r="N2645" s="2">
        <f t="shared" si="971"/>
        <v>0.89648778359511339</v>
      </c>
    </row>
    <row r="2646" spans="1:14" x14ac:dyDescent="0.35">
      <c r="A2646" t="s">
        <v>35</v>
      </c>
      <c r="B2646" t="s">
        <v>22</v>
      </c>
      <c r="C2646">
        <v>2014</v>
      </c>
      <c r="D2646" t="s">
        <v>32</v>
      </c>
      <c r="E2646" s="3">
        <v>15338</v>
      </c>
      <c r="F2646" s="3">
        <v>27265</v>
      </c>
      <c r="G2646" s="1">
        <f t="shared" si="966"/>
        <v>42603</v>
      </c>
      <c r="H2646" s="2">
        <f t="shared" si="967"/>
        <v>0.3600215947233763</v>
      </c>
      <c r="I2646" s="2">
        <f t="shared" si="968"/>
        <v>0.63997840527662375</v>
      </c>
      <c r="J2646" s="4">
        <v>1888</v>
      </c>
      <c r="K2646" s="4">
        <v>16499</v>
      </c>
      <c r="L2646" s="1">
        <f t="shared" si="969"/>
        <v>18387</v>
      </c>
      <c r="M2646" s="2">
        <f t="shared" si="970"/>
        <v>0.1026812421819764</v>
      </c>
      <c r="N2646" s="2">
        <f t="shared" si="971"/>
        <v>0.89731875781802362</v>
      </c>
    </row>
    <row r="2647" spans="1:14" x14ac:dyDescent="0.35">
      <c r="A2647" t="s">
        <v>35</v>
      </c>
      <c r="B2647" t="s">
        <v>23</v>
      </c>
      <c r="C2647">
        <v>2014</v>
      </c>
      <c r="D2647" t="s">
        <v>32</v>
      </c>
      <c r="E2647" s="3">
        <v>15256</v>
      </c>
      <c r="F2647" s="3">
        <v>27128</v>
      </c>
      <c r="G2647" s="1">
        <f t="shared" si="966"/>
        <v>42384</v>
      </c>
      <c r="H2647" s="2">
        <f t="shared" si="967"/>
        <v>0.35994714986787468</v>
      </c>
      <c r="I2647" s="2">
        <f t="shared" si="968"/>
        <v>0.64005285013212532</v>
      </c>
      <c r="J2647" s="4">
        <v>1877</v>
      </c>
      <c r="K2647" s="4">
        <v>16451</v>
      </c>
      <c r="L2647" s="1">
        <f t="shared" si="969"/>
        <v>18328</v>
      </c>
      <c r="M2647" s="2">
        <f t="shared" si="970"/>
        <v>0.10241161065037102</v>
      </c>
      <c r="N2647" s="2">
        <f t="shared" si="971"/>
        <v>0.89758838934962903</v>
      </c>
    </row>
    <row r="2648" spans="1:14" x14ac:dyDescent="0.35">
      <c r="A2648" t="s">
        <v>35</v>
      </c>
      <c r="B2648" t="s">
        <v>24</v>
      </c>
      <c r="C2648">
        <v>2014</v>
      </c>
      <c r="D2648" t="s">
        <v>32</v>
      </c>
      <c r="E2648" s="3">
        <v>15172</v>
      </c>
      <c r="F2648" s="3">
        <v>27121</v>
      </c>
      <c r="G2648" s="1">
        <f t="shared" si="966"/>
        <v>42293</v>
      </c>
      <c r="H2648" s="2">
        <f t="shared" si="967"/>
        <v>0.35873548814224576</v>
      </c>
      <c r="I2648" s="2">
        <f t="shared" si="968"/>
        <v>0.64126451185775424</v>
      </c>
      <c r="J2648" s="4">
        <v>1868</v>
      </c>
      <c r="K2648" s="4">
        <v>16499</v>
      </c>
      <c r="L2648" s="1">
        <f t="shared" si="969"/>
        <v>18367</v>
      </c>
      <c r="M2648" s="2">
        <f t="shared" si="970"/>
        <v>0.10170414330048456</v>
      </c>
      <c r="N2648" s="2">
        <f t="shared" si="971"/>
        <v>0.89829585669951539</v>
      </c>
    </row>
    <row r="2649" spans="1:14" x14ac:dyDescent="0.35">
      <c r="A2649" t="s">
        <v>35</v>
      </c>
      <c r="B2649" t="s">
        <v>25</v>
      </c>
      <c r="C2649">
        <v>2014</v>
      </c>
      <c r="D2649" t="s">
        <v>32</v>
      </c>
      <c r="E2649" s="3">
        <v>15064</v>
      </c>
      <c r="F2649" s="3">
        <v>27057</v>
      </c>
      <c r="G2649" s="1">
        <f t="shared" si="966"/>
        <v>42121</v>
      </c>
      <c r="H2649" s="2">
        <f t="shared" si="967"/>
        <v>0.35763633342038414</v>
      </c>
      <c r="I2649" s="2">
        <f t="shared" si="968"/>
        <v>0.64236366657961586</v>
      </c>
      <c r="J2649" s="4">
        <v>1854</v>
      </c>
      <c r="K2649" s="4">
        <v>16646</v>
      </c>
      <c r="L2649" s="1">
        <f t="shared" si="969"/>
        <v>18500</v>
      </c>
      <c r="M2649" s="2">
        <f t="shared" si="970"/>
        <v>0.10021621621621622</v>
      </c>
      <c r="N2649" s="2">
        <f t="shared" si="971"/>
        <v>0.89978378378378376</v>
      </c>
    </row>
    <row r="2650" spans="1:14" x14ac:dyDescent="0.35">
      <c r="A2650" t="s">
        <v>35</v>
      </c>
      <c r="B2650" t="s">
        <v>26</v>
      </c>
      <c r="C2650">
        <v>2014</v>
      </c>
      <c r="D2650" t="s">
        <v>32</v>
      </c>
      <c r="E2650" s="3">
        <v>14967</v>
      </c>
      <c r="F2650" s="3">
        <v>27017</v>
      </c>
      <c r="G2650" s="1">
        <f t="shared" si="966"/>
        <v>41984</v>
      </c>
      <c r="H2650" s="2">
        <f t="shared" si="967"/>
        <v>0.35649294969512196</v>
      </c>
      <c r="I2650" s="2">
        <f t="shared" si="968"/>
        <v>0.64350705030487809</v>
      </c>
      <c r="J2650" s="4">
        <v>1847</v>
      </c>
      <c r="K2650" s="4">
        <v>16523</v>
      </c>
      <c r="L2650" s="1">
        <f t="shared" si="969"/>
        <v>18370</v>
      </c>
      <c r="M2650" s="2">
        <f t="shared" si="970"/>
        <v>0.10054436581382689</v>
      </c>
      <c r="N2650" s="2">
        <f t="shared" si="971"/>
        <v>0.89945563418617314</v>
      </c>
    </row>
    <row r="2651" spans="1:14" x14ac:dyDescent="0.35">
      <c r="A2651" t="s">
        <v>35</v>
      </c>
      <c r="B2651" t="s">
        <v>27</v>
      </c>
      <c r="C2651">
        <v>2014</v>
      </c>
      <c r="D2651" t="s">
        <v>32</v>
      </c>
      <c r="E2651" s="3">
        <v>14877</v>
      </c>
      <c r="F2651" s="3">
        <v>27103</v>
      </c>
      <c r="G2651" s="1">
        <f t="shared" si="966"/>
        <v>41980</v>
      </c>
      <c r="H2651" s="2">
        <f t="shared" si="967"/>
        <v>0.35438303954263933</v>
      </c>
      <c r="I2651" s="2">
        <f t="shared" si="968"/>
        <v>0.64561696045736061</v>
      </c>
      <c r="J2651" s="4">
        <v>1824</v>
      </c>
      <c r="K2651" s="4">
        <v>16541</v>
      </c>
      <c r="L2651" s="1">
        <f t="shared" si="969"/>
        <v>18365</v>
      </c>
      <c r="M2651" s="2">
        <f t="shared" si="970"/>
        <v>9.9319357473454939E-2</v>
      </c>
      <c r="N2651" s="2">
        <f t="shared" si="971"/>
        <v>0.90068064252654501</v>
      </c>
    </row>
    <row r="2652" spans="1:14" x14ac:dyDescent="0.35">
      <c r="A2652" t="s">
        <v>35</v>
      </c>
      <c r="B2652" t="s">
        <v>28</v>
      </c>
      <c r="C2652">
        <v>2014</v>
      </c>
      <c r="D2652" t="s">
        <v>32</v>
      </c>
      <c r="E2652" s="3">
        <v>14802</v>
      </c>
      <c r="F2652" s="3">
        <v>27095</v>
      </c>
      <c r="G2652" s="1">
        <f t="shared" si="966"/>
        <v>41897</v>
      </c>
      <c r="H2652" s="2">
        <f t="shared" si="967"/>
        <v>0.35329498532114473</v>
      </c>
      <c r="I2652" s="2">
        <f t="shared" si="968"/>
        <v>0.64670501467885533</v>
      </c>
      <c r="J2652" s="4">
        <v>1832</v>
      </c>
      <c r="K2652" s="4">
        <v>16567</v>
      </c>
      <c r="L2652" s="1">
        <f t="shared" si="969"/>
        <v>18399</v>
      </c>
      <c r="M2652" s="2">
        <f t="shared" si="970"/>
        <v>9.9570628838523828E-2</v>
      </c>
      <c r="N2652" s="2">
        <f t="shared" si="971"/>
        <v>0.90042937116147614</v>
      </c>
    </row>
    <row r="2653" spans="1:14" x14ac:dyDescent="0.35">
      <c r="A2653" t="s">
        <v>35</v>
      </c>
      <c r="B2653" t="s">
        <v>29</v>
      </c>
      <c r="C2653">
        <v>2014</v>
      </c>
      <c r="D2653" t="s">
        <v>32</v>
      </c>
      <c r="E2653" s="3">
        <v>14719</v>
      </c>
      <c r="F2653" s="3">
        <v>27059</v>
      </c>
      <c r="G2653" s="1">
        <f t="shared" si="966"/>
        <v>41778</v>
      </c>
      <c r="H2653" s="2">
        <f t="shared" si="967"/>
        <v>0.35231461534779068</v>
      </c>
      <c r="I2653" s="2">
        <f t="shared" si="968"/>
        <v>0.64768538465220926</v>
      </c>
      <c r="J2653" s="4">
        <v>1803</v>
      </c>
      <c r="K2653" s="4">
        <v>16554</v>
      </c>
      <c r="L2653" s="1">
        <f t="shared" si="969"/>
        <v>18357</v>
      </c>
      <c r="M2653" s="2">
        <f t="shared" si="970"/>
        <v>9.8218663180258209E-2</v>
      </c>
      <c r="N2653" s="2">
        <f t="shared" si="971"/>
        <v>0.90178133681974182</v>
      </c>
    </row>
    <row r="2654" spans="1:14" x14ac:dyDescent="0.35">
      <c r="A2654" t="s">
        <v>35</v>
      </c>
      <c r="B2654" t="s">
        <v>17</v>
      </c>
      <c r="C2654">
        <v>2015</v>
      </c>
      <c r="D2654" t="s">
        <v>32</v>
      </c>
      <c r="E2654" s="3">
        <v>14671</v>
      </c>
      <c r="F2654" s="3">
        <v>27055</v>
      </c>
      <c r="G2654" s="1">
        <f t="shared" si="966"/>
        <v>41726</v>
      </c>
      <c r="H2654" s="2">
        <f t="shared" si="967"/>
        <v>0.35160331687676749</v>
      </c>
      <c r="I2654" s="2">
        <f t="shared" si="968"/>
        <v>0.64839668312323251</v>
      </c>
      <c r="J2654" s="4">
        <v>1796</v>
      </c>
      <c r="K2654" s="4">
        <v>16599</v>
      </c>
      <c r="L2654" s="1">
        <f t="shared" si="969"/>
        <v>18395</v>
      </c>
      <c r="M2654" s="2">
        <f t="shared" si="970"/>
        <v>9.7635226963848867E-2</v>
      </c>
      <c r="N2654" s="2">
        <f t="shared" si="971"/>
        <v>0.90236477303615115</v>
      </c>
    </row>
    <row r="2655" spans="1:14" x14ac:dyDescent="0.35">
      <c r="A2655" t="s">
        <v>35</v>
      </c>
      <c r="B2655" t="s">
        <v>19</v>
      </c>
      <c r="C2655">
        <v>2015</v>
      </c>
      <c r="D2655" t="s">
        <v>32</v>
      </c>
      <c r="E2655" s="3">
        <v>14558</v>
      </c>
      <c r="F2655" s="3">
        <v>27066</v>
      </c>
      <c r="G2655" s="1">
        <f t="shared" si="966"/>
        <v>41624</v>
      </c>
      <c r="H2655" s="2">
        <f t="shared" si="967"/>
        <v>0.34975014414760713</v>
      </c>
      <c r="I2655" s="2">
        <f t="shared" si="968"/>
        <v>0.65024985585239281</v>
      </c>
      <c r="J2655" s="4">
        <v>1781</v>
      </c>
      <c r="K2655" s="4">
        <v>16598</v>
      </c>
      <c r="L2655" s="1">
        <f t="shared" si="969"/>
        <v>18379</v>
      </c>
      <c r="M2655" s="2">
        <f t="shared" si="970"/>
        <v>9.6904075303335335E-2</v>
      </c>
      <c r="N2655" s="2">
        <f t="shared" si="971"/>
        <v>0.90309592469666466</v>
      </c>
    </row>
    <row r="2656" spans="1:14" x14ac:dyDescent="0.35">
      <c r="A2656" t="s">
        <v>35</v>
      </c>
      <c r="B2656" t="s">
        <v>20</v>
      </c>
      <c r="C2656">
        <v>2015</v>
      </c>
      <c r="D2656" t="s">
        <v>32</v>
      </c>
      <c r="E2656" s="3">
        <v>14407</v>
      </c>
      <c r="F2656" s="3">
        <v>26995</v>
      </c>
      <c r="G2656" s="1">
        <f t="shared" si="966"/>
        <v>41402</v>
      </c>
      <c r="H2656" s="2">
        <f t="shared" si="967"/>
        <v>0.3479783585334042</v>
      </c>
      <c r="I2656" s="2">
        <f t="shared" si="968"/>
        <v>0.6520216414665958</v>
      </c>
      <c r="J2656" s="4">
        <v>1766</v>
      </c>
      <c r="K2656" s="4">
        <v>16608</v>
      </c>
      <c r="L2656" s="1">
        <f t="shared" si="969"/>
        <v>18374</v>
      </c>
      <c r="M2656" s="2">
        <f t="shared" si="970"/>
        <v>9.6114074235332539E-2</v>
      </c>
      <c r="N2656" s="2">
        <f t="shared" si="971"/>
        <v>0.90388592576466742</v>
      </c>
    </row>
    <row r="2657" spans="1:14" x14ac:dyDescent="0.35">
      <c r="A2657" t="s">
        <v>35</v>
      </c>
      <c r="B2657" t="s">
        <v>21</v>
      </c>
      <c r="C2657">
        <v>2015</v>
      </c>
      <c r="D2657" t="s">
        <v>32</v>
      </c>
      <c r="E2657" s="3">
        <v>14320</v>
      </c>
      <c r="F2657" s="3">
        <v>27092</v>
      </c>
      <c r="G2657" s="1">
        <f t="shared" si="966"/>
        <v>41412</v>
      </c>
      <c r="H2657" s="2">
        <f t="shared" si="967"/>
        <v>0.34579348980971697</v>
      </c>
      <c r="I2657" s="2">
        <f t="shared" si="968"/>
        <v>0.65420651019028297</v>
      </c>
      <c r="J2657" s="4">
        <v>1749</v>
      </c>
      <c r="K2657" s="4">
        <v>16618</v>
      </c>
      <c r="L2657" s="1">
        <f t="shared" si="969"/>
        <v>18367</v>
      </c>
      <c r="M2657" s="2">
        <f t="shared" si="970"/>
        <v>9.5225132030271678E-2</v>
      </c>
      <c r="N2657" s="2">
        <f t="shared" si="971"/>
        <v>0.90477486796972828</v>
      </c>
    </row>
    <row r="2658" spans="1:14" x14ac:dyDescent="0.35">
      <c r="A2658" t="s">
        <v>35</v>
      </c>
      <c r="B2658" t="s">
        <v>22</v>
      </c>
      <c r="C2658">
        <v>2015</v>
      </c>
      <c r="D2658" t="s">
        <v>32</v>
      </c>
      <c r="E2658" s="3">
        <v>14185</v>
      </c>
      <c r="F2658" s="3">
        <v>27210</v>
      </c>
      <c r="G2658" s="1">
        <f t="shared" si="966"/>
        <v>41395</v>
      </c>
      <c r="H2658" s="2">
        <f t="shared" si="967"/>
        <v>0.34267423601884284</v>
      </c>
      <c r="I2658" s="2">
        <f t="shared" si="968"/>
        <v>0.65732576398115716</v>
      </c>
      <c r="J2658" s="4">
        <v>1736</v>
      </c>
      <c r="K2658" s="4">
        <v>16649</v>
      </c>
      <c r="L2658" s="1">
        <f t="shared" si="969"/>
        <v>18385</v>
      </c>
      <c r="M2658" s="2">
        <f t="shared" si="970"/>
        <v>9.4424802828392718E-2</v>
      </c>
      <c r="N2658" s="2">
        <f t="shared" si="971"/>
        <v>0.90557519717160728</v>
      </c>
    </row>
    <row r="2659" spans="1:14" x14ac:dyDescent="0.35">
      <c r="A2659" t="s">
        <v>35</v>
      </c>
      <c r="B2659" t="s">
        <v>23</v>
      </c>
      <c r="C2659">
        <v>2015</v>
      </c>
      <c r="D2659" t="s">
        <v>32</v>
      </c>
      <c r="E2659" s="3">
        <v>14098</v>
      </c>
      <c r="F2659" s="3">
        <v>27291</v>
      </c>
      <c r="G2659" s="1">
        <f t="shared" si="966"/>
        <v>41389</v>
      </c>
      <c r="H2659" s="2">
        <f t="shared" si="967"/>
        <v>0.34062190437072654</v>
      </c>
      <c r="I2659" s="2">
        <f t="shared" si="968"/>
        <v>0.65937809562927352</v>
      </c>
      <c r="J2659" s="4">
        <v>1719</v>
      </c>
      <c r="K2659" s="4">
        <v>16685</v>
      </c>
      <c r="L2659" s="1">
        <f t="shared" si="969"/>
        <v>18404</v>
      </c>
      <c r="M2659" s="2">
        <f t="shared" si="970"/>
        <v>9.3403607911323627E-2</v>
      </c>
      <c r="N2659" s="2">
        <f t="shared" si="971"/>
        <v>0.90659639208867637</v>
      </c>
    </row>
    <row r="2660" spans="1:14" x14ac:dyDescent="0.35">
      <c r="A2660" t="s">
        <v>35</v>
      </c>
      <c r="B2660" t="s">
        <v>24</v>
      </c>
      <c r="C2660">
        <v>2015</v>
      </c>
      <c r="D2660" t="s">
        <v>32</v>
      </c>
      <c r="E2660" s="3">
        <v>13914</v>
      </c>
      <c r="F2660" s="3">
        <v>27342</v>
      </c>
      <c r="G2660" s="1">
        <f t="shared" si="966"/>
        <v>41256</v>
      </c>
      <c r="H2660" s="2">
        <f t="shared" si="967"/>
        <v>0.33726003490401396</v>
      </c>
      <c r="I2660" s="2">
        <f t="shared" si="968"/>
        <v>0.66273996509598598</v>
      </c>
      <c r="J2660" s="4">
        <v>1687</v>
      </c>
      <c r="K2660" s="4">
        <v>16720</v>
      </c>
      <c r="L2660" s="1">
        <f t="shared" si="969"/>
        <v>18407</v>
      </c>
      <c r="M2660" s="2">
        <f t="shared" si="970"/>
        <v>9.1649915792904879E-2</v>
      </c>
      <c r="N2660" s="2">
        <f t="shared" si="971"/>
        <v>0.90835008420709518</v>
      </c>
    </row>
    <row r="2661" spans="1:14" x14ac:dyDescent="0.35">
      <c r="A2661" t="s">
        <v>35</v>
      </c>
      <c r="B2661" t="s">
        <v>25</v>
      </c>
      <c r="C2661">
        <v>2015</v>
      </c>
      <c r="D2661" t="s">
        <v>32</v>
      </c>
      <c r="E2661" s="3">
        <v>13793</v>
      </c>
      <c r="F2661" s="3">
        <v>27277</v>
      </c>
      <c r="G2661" s="1">
        <f t="shared" si="966"/>
        <v>41070</v>
      </c>
      <c r="H2661" s="2">
        <f t="shared" si="967"/>
        <v>0.33584124665205745</v>
      </c>
      <c r="I2661" s="2">
        <f t="shared" si="968"/>
        <v>0.6641587533479425</v>
      </c>
      <c r="J2661" s="4">
        <v>1665</v>
      </c>
      <c r="K2661" s="4">
        <v>16742</v>
      </c>
      <c r="L2661" s="1">
        <f t="shared" si="969"/>
        <v>18407</v>
      </c>
      <c r="M2661" s="2">
        <f t="shared" si="970"/>
        <v>9.0454718313685012E-2</v>
      </c>
      <c r="N2661" s="2">
        <f t="shared" si="971"/>
        <v>0.90954528168631499</v>
      </c>
    </row>
    <row r="2662" spans="1:14" x14ac:dyDescent="0.35">
      <c r="A2662" t="s">
        <v>35</v>
      </c>
      <c r="B2662" t="s">
        <v>26</v>
      </c>
      <c r="C2662">
        <v>2015</v>
      </c>
      <c r="D2662" t="s">
        <v>32</v>
      </c>
      <c r="E2662" s="3">
        <v>13662</v>
      </c>
      <c r="F2662" s="3">
        <v>27324</v>
      </c>
      <c r="G2662" s="1">
        <f t="shared" si="966"/>
        <v>40986</v>
      </c>
      <c r="H2662" s="2">
        <f t="shared" si="967"/>
        <v>0.33333333333333331</v>
      </c>
      <c r="I2662" s="2">
        <f t="shared" si="968"/>
        <v>0.66666666666666663</v>
      </c>
      <c r="J2662" s="4">
        <v>1639</v>
      </c>
      <c r="K2662" s="4">
        <v>16784</v>
      </c>
      <c r="L2662" s="1">
        <f t="shared" si="969"/>
        <v>18423</v>
      </c>
      <c r="M2662" s="2">
        <f t="shared" si="970"/>
        <v>8.8964880855452427E-2</v>
      </c>
      <c r="N2662" s="2">
        <f t="shared" si="971"/>
        <v>0.9110351191445476</v>
      </c>
    </row>
    <row r="2663" spans="1:14" x14ac:dyDescent="0.35">
      <c r="A2663" t="s">
        <v>35</v>
      </c>
      <c r="B2663" t="s">
        <v>27</v>
      </c>
      <c r="C2663">
        <v>2015</v>
      </c>
      <c r="D2663" t="s">
        <v>32</v>
      </c>
      <c r="E2663" s="3">
        <v>13615</v>
      </c>
      <c r="F2663" s="3">
        <v>27340</v>
      </c>
      <c r="G2663" s="1">
        <f t="shared" si="966"/>
        <v>40955</v>
      </c>
      <c r="H2663" s="2">
        <f t="shared" si="967"/>
        <v>0.33243804175314368</v>
      </c>
      <c r="I2663" s="2">
        <f t="shared" si="968"/>
        <v>0.66756195824685627</v>
      </c>
      <c r="J2663" s="4">
        <v>1623</v>
      </c>
      <c r="K2663" s="4">
        <v>16705</v>
      </c>
      <c r="L2663" s="1">
        <f t="shared" si="969"/>
        <v>18328</v>
      </c>
      <c r="M2663" s="2">
        <f t="shared" si="970"/>
        <v>8.8553033609777385E-2</v>
      </c>
      <c r="N2663" s="2">
        <f t="shared" si="971"/>
        <v>0.9114469663902226</v>
      </c>
    </row>
    <row r="2664" spans="1:14" x14ac:dyDescent="0.35">
      <c r="A2664" t="s">
        <v>35</v>
      </c>
      <c r="B2664" t="s">
        <v>28</v>
      </c>
      <c r="C2664">
        <v>2015</v>
      </c>
      <c r="D2664" t="s">
        <v>32</v>
      </c>
      <c r="E2664" s="3">
        <v>13453</v>
      </c>
      <c r="F2664" s="3">
        <v>27460</v>
      </c>
      <c r="G2664" s="1">
        <f t="shared" si="966"/>
        <v>40913</v>
      </c>
      <c r="H2664" s="2">
        <f t="shared" si="967"/>
        <v>0.32881969056290178</v>
      </c>
      <c r="I2664" s="2">
        <f t="shared" si="968"/>
        <v>0.67118030943709828</v>
      </c>
      <c r="J2664" s="4">
        <v>1591</v>
      </c>
      <c r="K2664" s="4">
        <v>16775</v>
      </c>
      <c r="L2664" s="1">
        <f t="shared" si="969"/>
        <v>18366</v>
      </c>
      <c r="M2664" s="2">
        <f t="shared" si="970"/>
        <v>8.6627463791789178E-2</v>
      </c>
      <c r="N2664" s="2">
        <f t="shared" si="971"/>
        <v>0.91337253620821079</v>
      </c>
    </row>
    <row r="2665" spans="1:14" x14ac:dyDescent="0.35">
      <c r="A2665" t="s">
        <v>35</v>
      </c>
      <c r="B2665" t="s">
        <v>29</v>
      </c>
      <c r="C2665">
        <v>2015</v>
      </c>
      <c r="D2665" t="s">
        <v>32</v>
      </c>
      <c r="E2665" s="3">
        <v>13304</v>
      </c>
      <c r="F2665" s="3">
        <v>27488</v>
      </c>
      <c r="G2665" s="1">
        <f t="shared" si="966"/>
        <v>40792</v>
      </c>
      <c r="H2665" s="2">
        <f t="shared" si="967"/>
        <v>0.32614238085899194</v>
      </c>
      <c r="I2665" s="2">
        <f t="shared" si="968"/>
        <v>0.67385761914100806</v>
      </c>
      <c r="J2665" s="4">
        <v>1566</v>
      </c>
      <c r="K2665" s="4">
        <v>16788</v>
      </c>
      <c r="L2665" s="1">
        <f t="shared" si="969"/>
        <v>18354</v>
      </c>
      <c r="M2665" s="2">
        <f t="shared" si="970"/>
        <v>8.5322000653808433E-2</v>
      </c>
      <c r="N2665" s="2">
        <f t="shared" si="971"/>
        <v>0.91467799934619154</v>
      </c>
    </row>
    <row r="2666" spans="1:14" x14ac:dyDescent="0.35">
      <c r="A2666" t="s">
        <v>35</v>
      </c>
      <c r="B2666" t="s">
        <v>17</v>
      </c>
      <c r="C2666">
        <v>2016</v>
      </c>
      <c r="D2666" t="s">
        <v>32</v>
      </c>
      <c r="E2666" s="3">
        <v>13220</v>
      </c>
      <c r="F2666" s="3">
        <v>27600</v>
      </c>
      <c r="G2666" s="1">
        <f t="shared" si="966"/>
        <v>40820</v>
      </c>
      <c r="H2666" s="2">
        <f t="shared" si="967"/>
        <v>0.3238608525232729</v>
      </c>
      <c r="I2666" s="2">
        <f t="shared" si="968"/>
        <v>0.6761391474767271</v>
      </c>
      <c r="J2666" s="4">
        <v>1540</v>
      </c>
      <c r="K2666" s="4">
        <v>16804</v>
      </c>
      <c r="L2666" s="1">
        <f t="shared" si="969"/>
        <v>18344</v>
      </c>
      <c r="M2666" s="2">
        <f t="shared" si="970"/>
        <v>8.3951155691234194E-2</v>
      </c>
      <c r="N2666" s="2">
        <f t="shared" si="971"/>
        <v>0.91604884430876576</v>
      </c>
    </row>
    <row r="2667" spans="1:14" x14ac:dyDescent="0.35">
      <c r="A2667" t="s">
        <v>35</v>
      </c>
      <c r="B2667" t="s">
        <v>19</v>
      </c>
      <c r="C2667">
        <v>2016</v>
      </c>
      <c r="D2667" t="s">
        <v>32</v>
      </c>
      <c r="E2667" s="3">
        <v>13079</v>
      </c>
      <c r="F2667" s="3">
        <v>27678</v>
      </c>
      <c r="G2667" s="1">
        <f t="shared" si="966"/>
        <v>40757</v>
      </c>
      <c r="H2667" s="2">
        <f t="shared" si="967"/>
        <v>0.32090193095664549</v>
      </c>
      <c r="I2667" s="2">
        <f t="shared" si="968"/>
        <v>0.67909806904335457</v>
      </c>
      <c r="J2667" s="4">
        <v>1525</v>
      </c>
      <c r="K2667" s="4">
        <v>16877</v>
      </c>
      <c r="L2667" s="1">
        <f t="shared" si="969"/>
        <v>18402</v>
      </c>
      <c r="M2667" s="2">
        <f t="shared" si="970"/>
        <v>8.2871427018802304E-2</v>
      </c>
      <c r="N2667" s="2">
        <f t="shared" si="971"/>
        <v>0.91712857298119765</v>
      </c>
    </row>
    <row r="2668" spans="1:14" x14ac:dyDescent="0.35">
      <c r="A2668" t="s">
        <v>35</v>
      </c>
      <c r="B2668" t="s">
        <v>20</v>
      </c>
      <c r="C2668">
        <v>2016</v>
      </c>
      <c r="D2668" t="s">
        <v>32</v>
      </c>
      <c r="E2668" s="3">
        <v>12996</v>
      </c>
      <c r="F2668" s="3">
        <v>27692</v>
      </c>
      <c r="G2668" s="1">
        <f t="shared" si="966"/>
        <v>40688</v>
      </c>
      <c r="H2668" s="2">
        <f t="shared" si="967"/>
        <v>0.31940621313409356</v>
      </c>
      <c r="I2668" s="2">
        <f t="shared" si="968"/>
        <v>0.68059378686590644</v>
      </c>
      <c r="J2668" s="4">
        <v>1510</v>
      </c>
      <c r="K2668" s="4">
        <v>16881</v>
      </c>
      <c r="L2668" s="1">
        <f t="shared" si="969"/>
        <v>18391</v>
      </c>
      <c r="M2668" s="2">
        <f t="shared" si="970"/>
        <v>8.2105377630362672E-2</v>
      </c>
      <c r="N2668" s="2">
        <f t="shared" si="971"/>
        <v>0.91789462236963737</v>
      </c>
    </row>
    <row r="2669" spans="1:14" x14ac:dyDescent="0.35">
      <c r="A2669" t="s">
        <v>35</v>
      </c>
      <c r="B2669" t="s">
        <v>21</v>
      </c>
      <c r="C2669">
        <v>2016</v>
      </c>
      <c r="D2669" t="s">
        <v>32</v>
      </c>
      <c r="E2669" s="3">
        <v>12907</v>
      </c>
      <c r="F2669" s="3">
        <v>27787</v>
      </c>
      <c r="G2669" s="1">
        <f t="shared" si="966"/>
        <v>40694</v>
      </c>
      <c r="H2669" s="2">
        <f t="shared" si="967"/>
        <v>0.31717206467783948</v>
      </c>
      <c r="I2669" s="2">
        <f t="shared" si="968"/>
        <v>0.68282793532216046</v>
      </c>
      <c r="J2669" s="4">
        <v>1499</v>
      </c>
      <c r="K2669" s="4">
        <v>16913</v>
      </c>
      <c r="L2669" s="1">
        <f t="shared" si="969"/>
        <v>18412</v>
      </c>
      <c r="M2669" s="2">
        <f t="shared" si="970"/>
        <v>8.1414295024983707E-2</v>
      </c>
      <c r="N2669" s="2">
        <f t="shared" si="971"/>
        <v>0.91858570497501635</v>
      </c>
    </row>
    <row r="2670" spans="1:14" x14ac:dyDescent="0.35">
      <c r="A2670" t="s">
        <v>35</v>
      </c>
      <c r="B2670" t="s">
        <v>22</v>
      </c>
      <c r="C2670">
        <v>2016</v>
      </c>
      <c r="D2670" t="s">
        <v>32</v>
      </c>
      <c r="E2670" s="3">
        <v>12862</v>
      </c>
      <c r="F2670" s="3">
        <v>27926</v>
      </c>
      <c r="G2670" s="1">
        <f t="shared" si="966"/>
        <v>40788</v>
      </c>
      <c r="H2670" s="2">
        <f t="shared" si="967"/>
        <v>0.31533784446405805</v>
      </c>
      <c r="I2670" s="2">
        <f t="shared" si="968"/>
        <v>0.6846621555359419</v>
      </c>
      <c r="J2670" s="4">
        <v>1490</v>
      </c>
      <c r="K2670" s="4">
        <v>16922</v>
      </c>
      <c r="L2670" s="1">
        <f t="shared" si="969"/>
        <v>18412</v>
      </c>
      <c r="M2670" s="2">
        <f t="shared" si="970"/>
        <v>8.092548338040409E-2</v>
      </c>
      <c r="N2670" s="2">
        <f t="shared" si="971"/>
        <v>0.91907451661959594</v>
      </c>
    </row>
    <row r="2671" spans="1:14" x14ac:dyDescent="0.35">
      <c r="A2671" t="s">
        <v>35</v>
      </c>
      <c r="B2671" t="s">
        <v>23</v>
      </c>
      <c r="C2671">
        <v>2016</v>
      </c>
      <c r="D2671" t="s">
        <v>32</v>
      </c>
      <c r="E2671" s="3">
        <v>12716</v>
      </c>
      <c r="F2671" s="3">
        <v>27905</v>
      </c>
      <c r="G2671" s="1">
        <f t="shared" si="966"/>
        <v>40621</v>
      </c>
      <c r="H2671" s="2">
        <f t="shared" si="967"/>
        <v>0.31304005317446643</v>
      </c>
      <c r="I2671" s="2">
        <f t="shared" si="968"/>
        <v>0.68695994682553363</v>
      </c>
      <c r="J2671" s="4">
        <v>1457</v>
      </c>
      <c r="K2671" s="4">
        <v>16917</v>
      </c>
      <c r="L2671" s="1">
        <f t="shared" si="969"/>
        <v>18374</v>
      </c>
      <c r="M2671" s="2">
        <f t="shared" si="970"/>
        <v>7.9296832480679216E-2</v>
      </c>
      <c r="N2671" s="2">
        <f t="shared" si="971"/>
        <v>0.9207031675193208</v>
      </c>
    </row>
    <row r="2672" spans="1:14" x14ac:dyDescent="0.35">
      <c r="A2672" t="s">
        <v>35</v>
      </c>
      <c r="B2672" t="s">
        <v>24</v>
      </c>
      <c r="C2672">
        <v>2016</v>
      </c>
      <c r="D2672" t="s">
        <v>32</v>
      </c>
      <c r="E2672" s="12">
        <v>12644</v>
      </c>
      <c r="F2672" s="12">
        <v>27923</v>
      </c>
      <c r="G2672" s="1">
        <f t="shared" si="966"/>
        <v>40567</v>
      </c>
      <c r="H2672" s="2">
        <f t="shared" si="967"/>
        <v>0.31168190894076464</v>
      </c>
      <c r="I2672" s="2">
        <f t="shared" si="968"/>
        <v>0.68831809105923536</v>
      </c>
      <c r="J2672" s="12">
        <v>1443.0930000000001</v>
      </c>
      <c r="K2672" s="12">
        <v>16967.875</v>
      </c>
      <c r="L2672" s="1">
        <f t="shared" si="969"/>
        <v>18410.968000000001</v>
      </c>
      <c r="M2672" s="2">
        <f t="shared" si="970"/>
        <v>7.838224475758146E-2</v>
      </c>
      <c r="N2672" s="2">
        <f t="shared" si="971"/>
        <v>0.92161775524241851</v>
      </c>
    </row>
    <row r="2673" spans="1:14" x14ac:dyDescent="0.35">
      <c r="A2673" t="s">
        <v>35</v>
      </c>
      <c r="B2673" t="s">
        <v>25</v>
      </c>
      <c r="C2673">
        <v>2016</v>
      </c>
      <c r="D2673" t="s">
        <v>32</v>
      </c>
      <c r="E2673" s="12">
        <v>12526</v>
      </c>
      <c r="F2673" s="12">
        <v>27994</v>
      </c>
      <c r="G2673" s="1">
        <f t="shared" si="966"/>
        <v>40520</v>
      </c>
      <c r="H2673" s="2">
        <f t="shared" si="967"/>
        <v>0.30913129318854887</v>
      </c>
      <c r="I2673" s="2">
        <f t="shared" si="968"/>
        <v>0.69086870681145118</v>
      </c>
      <c r="J2673" s="12">
        <v>1415.518</v>
      </c>
      <c r="K2673" s="12">
        <v>17006.393999999997</v>
      </c>
      <c r="L2673" s="1">
        <f t="shared" si="969"/>
        <v>18421.911999999997</v>
      </c>
      <c r="M2673" s="2">
        <f t="shared" si="970"/>
        <v>7.6838821073512906E-2</v>
      </c>
      <c r="N2673" s="2">
        <f t="shared" si="971"/>
        <v>0.92316117892648708</v>
      </c>
    </row>
    <row r="2674" spans="1:14" x14ac:dyDescent="0.35">
      <c r="A2674" t="s">
        <v>35</v>
      </c>
      <c r="B2674" t="s">
        <v>26</v>
      </c>
      <c r="C2674">
        <v>2016</v>
      </c>
      <c r="D2674" t="s">
        <v>32</v>
      </c>
      <c r="E2674" s="12">
        <v>12367</v>
      </c>
      <c r="F2674" s="12">
        <v>28046</v>
      </c>
      <c r="G2674" s="1">
        <f t="shared" si="966"/>
        <v>40413</v>
      </c>
      <c r="H2674" s="2">
        <f t="shared" si="967"/>
        <v>0.30601539108702647</v>
      </c>
      <c r="I2674" s="2">
        <f t="shared" si="968"/>
        <v>0.69398460891297353</v>
      </c>
      <c r="J2674" s="12">
        <v>1385.5029999999999</v>
      </c>
      <c r="K2674" s="12">
        <v>17044.305</v>
      </c>
      <c r="L2674" s="1">
        <f t="shared" si="969"/>
        <v>18429.808000000001</v>
      </c>
      <c r="M2674" s="2">
        <f t="shared" si="970"/>
        <v>7.5177288878972584E-2</v>
      </c>
      <c r="N2674" s="2">
        <f t="shared" si="971"/>
        <v>0.92482271112102743</v>
      </c>
    </row>
    <row r="2675" spans="1:14" x14ac:dyDescent="0.35">
      <c r="A2675" t="s">
        <v>35</v>
      </c>
      <c r="B2675" t="s">
        <v>27</v>
      </c>
      <c r="C2675">
        <v>2016</v>
      </c>
      <c r="D2675" t="s">
        <v>32</v>
      </c>
      <c r="E2675" s="3">
        <v>12327</v>
      </c>
      <c r="F2675" s="12">
        <v>28012</v>
      </c>
      <c r="G2675" s="1">
        <f t="shared" si="966"/>
        <v>40339</v>
      </c>
      <c r="H2675" s="2">
        <f t="shared" si="967"/>
        <v>0.30558516572051858</v>
      </c>
      <c r="I2675" s="2">
        <f t="shared" si="968"/>
        <v>0.69441483427948136</v>
      </c>
      <c r="J2675" s="4">
        <v>1379</v>
      </c>
      <c r="K2675" s="4">
        <v>16933</v>
      </c>
      <c r="L2675" s="1">
        <f t="shared" si="969"/>
        <v>18312</v>
      </c>
      <c r="M2675" s="2">
        <f t="shared" si="970"/>
        <v>7.5305810397553519E-2</v>
      </c>
      <c r="N2675" s="2">
        <f t="shared" si="971"/>
        <v>0.92469418960244654</v>
      </c>
    </row>
    <row r="2676" spans="1:14" x14ac:dyDescent="0.35">
      <c r="A2676" t="s">
        <v>35</v>
      </c>
      <c r="B2676" t="s">
        <v>28</v>
      </c>
      <c r="C2676">
        <v>2016</v>
      </c>
      <c r="D2676" t="s">
        <v>32</v>
      </c>
      <c r="E2676" s="3">
        <v>11690</v>
      </c>
      <c r="F2676" s="12">
        <v>26929</v>
      </c>
      <c r="G2676" s="1">
        <f t="shared" si="966"/>
        <v>38619</v>
      </c>
      <c r="H2676" s="2">
        <f t="shared" si="967"/>
        <v>0.30270074315751316</v>
      </c>
      <c r="I2676" s="2">
        <f t="shared" si="968"/>
        <v>0.69729925684248684</v>
      </c>
      <c r="J2676" s="4">
        <v>1306</v>
      </c>
      <c r="K2676" s="4">
        <v>16597</v>
      </c>
      <c r="L2676" s="1">
        <f t="shared" si="969"/>
        <v>17903</v>
      </c>
      <c r="M2676" s="2">
        <f t="shared" si="970"/>
        <v>7.2948667821035582E-2</v>
      </c>
      <c r="N2676" s="2">
        <f t="shared" si="971"/>
        <v>0.9270513321789644</v>
      </c>
    </row>
    <row r="2677" spans="1:14" x14ac:dyDescent="0.35">
      <c r="A2677" t="s">
        <v>35</v>
      </c>
      <c r="B2677" t="s">
        <v>29</v>
      </c>
      <c r="C2677">
        <v>2016</v>
      </c>
      <c r="D2677" t="s">
        <v>32</v>
      </c>
      <c r="E2677" s="3">
        <v>12177</v>
      </c>
      <c r="F2677" s="12">
        <v>28067</v>
      </c>
      <c r="G2677" s="1">
        <f t="shared" si="966"/>
        <v>40244</v>
      </c>
      <c r="H2677" s="2">
        <f t="shared" si="967"/>
        <v>0.3025792664745055</v>
      </c>
      <c r="I2677" s="2">
        <f t="shared" si="968"/>
        <v>0.6974207335254945</v>
      </c>
      <c r="J2677" s="4">
        <v>1360</v>
      </c>
      <c r="K2677" s="4">
        <v>17094</v>
      </c>
      <c r="L2677" s="1">
        <f t="shared" si="969"/>
        <v>18454</v>
      </c>
      <c r="M2677" s="2">
        <f t="shared" si="970"/>
        <v>7.3696759510133311E-2</v>
      </c>
      <c r="N2677" s="2">
        <f t="shared" si="971"/>
        <v>0.92630324048986667</v>
      </c>
    </row>
    <row r="2678" spans="1:14" x14ac:dyDescent="0.35">
      <c r="A2678" t="s">
        <v>35</v>
      </c>
      <c r="B2678" t="s">
        <v>17</v>
      </c>
      <c r="C2678">
        <v>2017</v>
      </c>
      <c r="D2678" t="s">
        <v>32</v>
      </c>
      <c r="E2678" s="3">
        <v>12114</v>
      </c>
      <c r="F2678" s="3">
        <v>28047</v>
      </c>
      <c r="G2678" s="1">
        <f t="shared" si="966"/>
        <v>40161</v>
      </c>
      <c r="H2678" s="2">
        <f t="shared" si="967"/>
        <v>0.30163591544035256</v>
      </c>
      <c r="I2678" s="2">
        <f t="shared" si="968"/>
        <v>0.69836408455964738</v>
      </c>
      <c r="J2678" s="4">
        <v>1335</v>
      </c>
      <c r="K2678" s="4">
        <v>17143</v>
      </c>
      <c r="L2678" s="1">
        <f t="shared" si="969"/>
        <v>18478</v>
      </c>
      <c r="M2678" s="2">
        <f t="shared" si="970"/>
        <v>7.2248078796406531E-2</v>
      </c>
      <c r="N2678" s="2">
        <f t="shared" si="971"/>
        <v>0.92775192120359351</v>
      </c>
    </row>
    <row r="2679" spans="1:14" x14ac:dyDescent="0.35">
      <c r="A2679" t="s">
        <v>35</v>
      </c>
      <c r="B2679" t="s">
        <v>19</v>
      </c>
      <c r="C2679">
        <v>2017</v>
      </c>
      <c r="D2679" t="s">
        <v>32</v>
      </c>
      <c r="E2679" s="3">
        <v>10888</v>
      </c>
      <c r="F2679" s="3">
        <v>25584</v>
      </c>
      <c r="G2679" s="1">
        <f t="shared" ref="G2679:G2742" si="972">SUM(E2679:F2679)</f>
        <v>36472</v>
      </c>
      <c r="H2679" s="2">
        <f t="shared" ref="H2679:H2742" si="973">SUM(E2679)/G2679</f>
        <v>0.29853037946918182</v>
      </c>
      <c r="I2679" s="2">
        <f t="shared" ref="I2679:I2742" si="974">SUM(F2679/G2679)</f>
        <v>0.70146962053081818</v>
      </c>
      <c r="J2679" s="4">
        <v>1196</v>
      </c>
      <c r="K2679" s="4">
        <v>15291</v>
      </c>
      <c r="L2679" s="1">
        <f t="shared" si="969"/>
        <v>16487</v>
      </c>
      <c r="M2679" s="2">
        <f t="shared" si="970"/>
        <v>7.2542002790077026E-2</v>
      </c>
      <c r="N2679" s="2">
        <f t="shared" si="971"/>
        <v>0.92745799720992295</v>
      </c>
    </row>
    <row r="2680" spans="1:14" x14ac:dyDescent="0.35">
      <c r="A2680" t="s">
        <v>35</v>
      </c>
      <c r="B2680" t="s">
        <v>20</v>
      </c>
      <c r="C2680">
        <v>2017</v>
      </c>
      <c r="D2680" t="s">
        <v>32</v>
      </c>
      <c r="E2680" s="3">
        <v>11837</v>
      </c>
      <c r="F2680" s="3">
        <v>28124</v>
      </c>
      <c r="G2680" s="1">
        <f t="shared" si="972"/>
        <v>39961</v>
      </c>
      <c r="H2680" s="2">
        <f t="shared" si="973"/>
        <v>0.29621380846325168</v>
      </c>
      <c r="I2680" s="2">
        <f t="shared" si="974"/>
        <v>0.70378619153674837</v>
      </c>
      <c r="J2680" s="4">
        <v>1291</v>
      </c>
      <c r="K2680" s="4">
        <v>17164</v>
      </c>
      <c r="L2680" s="1">
        <f t="shared" si="969"/>
        <v>18455</v>
      </c>
      <c r="M2680" s="2">
        <f t="shared" si="970"/>
        <v>6.995394202113249E-2</v>
      </c>
      <c r="N2680" s="2">
        <f t="shared" si="971"/>
        <v>0.93004605797886752</v>
      </c>
    </row>
    <row r="2681" spans="1:14" x14ac:dyDescent="0.35">
      <c r="A2681" t="s">
        <v>35</v>
      </c>
      <c r="B2681" t="s">
        <v>21</v>
      </c>
      <c r="C2681">
        <v>2017</v>
      </c>
      <c r="D2681" t="s">
        <v>32</v>
      </c>
      <c r="E2681" s="3">
        <v>11753</v>
      </c>
      <c r="F2681" s="3">
        <v>28147</v>
      </c>
      <c r="G2681" s="1">
        <f t="shared" si="972"/>
        <v>39900</v>
      </c>
      <c r="H2681" s="2">
        <f t="shared" si="973"/>
        <v>0.29456140350877191</v>
      </c>
      <c r="I2681" s="2">
        <f t="shared" si="974"/>
        <v>0.70543859649122809</v>
      </c>
      <c r="J2681" s="4">
        <v>1281</v>
      </c>
      <c r="K2681" s="4">
        <v>17210</v>
      </c>
      <c r="L2681" s="1">
        <f t="shared" si="969"/>
        <v>18491</v>
      </c>
      <c r="M2681" s="2">
        <f t="shared" si="970"/>
        <v>6.9276945541074039E-2</v>
      </c>
      <c r="N2681" s="2">
        <f t="shared" si="971"/>
        <v>0.930723054458926</v>
      </c>
    </row>
    <row r="2682" spans="1:14" x14ac:dyDescent="0.35">
      <c r="A2682" t="s">
        <v>35</v>
      </c>
      <c r="B2682" t="s">
        <v>22</v>
      </c>
      <c r="C2682">
        <v>2017</v>
      </c>
      <c r="D2682" t="s">
        <v>32</v>
      </c>
      <c r="E2682" s="3">
        <v>11667</v>
      </c>
      <c r="F2682" s="3">
        <v>28338</v>
      </c>
      <c r="G2682" s="1">
        <f t="shared" si="972"/>
        <v>40005</v>
      </c>
      <c r="H2682" s="2">
        <f t="shared" si="973"/>
        <v>0.29163854518185228</v>
      </c>
      <c r="I2682" s="2">
        <f t="shared" si="974"/>
        <v>0.70836145481814772</v>
      </c>
      <c r="J2682" s="4">
        <v>1264</v>
      </c>
      <c r="K2682" s="4">
        <v>17263</v>
      </c>
      <c r="L2682" s="1">
        <f t="shared" si="969"/>
        <v>18527</v>
      </c>
      <c r="M2682" s="2">
        <f t="shared" si="970"/>
        <v>6.8224753063097096E-2</v>
      </c>
      <c r="N2682" s="2">
        <f t="shared" si="971"/>
        <v>0.93177524693690295</v>
      </c>
    </row>
    <row r="2683" spans="1:14" x14ac:dyDescent="0.35">
      <c r="A2683" t="s">
        <v>35</v>
      </c>
      <c r="B2683" t="s">
        <v>23</v>
      </c>
      <c r="C2683">
        <v>2017</v>
      </c>
      <c r="D2683" t="s">
        <v>32</v>
      </c>
      <c r="E2683" s="3">
        <v>11619</v>
      </c>
      <c r="F2683" s="3">
        <v>28330</v>
      </c>
      <c r="G2683" s="1">
        <f t="shared" si="972"/>
        <v>39949</v>
      </c>
      <c r="H2683" s="2">
        <f t="shared" si="973"/>
        <v>0.29084582843124984</v>
      </c>
      <c r="I2683" s="2">
        <f t="shared" si="974"/>
        <v>0.70915417156875016</v>
      </c>
      <c r="J2683" s="4">
        <v>1251</v>
      </c>
      <c r="K2683" s="4">
        <v>17233</v>
      </c>
      <c r="L2683" s="1">
        <f t="shared" si="969"/>
        <v>18484</v>
      </c>
      <c r="M2683" s="2">
        <f t="shared" si="970"/>
        <v>6.7680155810430645E-2</v>
      </c>
      <c r="N2683" s="2">
        <f t="shared" si="971"/>
        <v>0.93231984418956937</v>
      </c>
    </row>
    <row r="2684" spans="1:14" x14ac:dyDescent="0.35">
      <c r="A2684" t="s">
        <v>35</v>
      </c>
      <c r="B2684" t="s">
        <v>24</v>
      </c>
      <c r="C2684">
        <v>2017</v>
      </c>
      <c r="D2684" t="s">
        <v>32</v>
      </c>
      <c r="E2684" s="3">
        <v>11524</v>
      </c>
      <c r="F2684" s="3">
        <v>28200</v>
      </c>
      <c r="G2684" s="1">
        <f t="shared" si="972"/>
        <v>39724</v>
      </c>
      <c r="H2684" s="2">
        <f t="shared" si="973"/>
        <v>0.29010170174201994</v>
      </c>
      <c r="I2684" s="2">
        <f t="shared" si="974"/>
        <v>0.70989829825798001</v>
      </c>
      <c r="J2684" s="4">
        <v>1237</v>
      </c>
      <c r="K2684" s="4">
        <v>17266</v>
      </c>
      <c r="L2684" s="1">
        <f t="shared" si="969"/>
        <v>18503</v>
      </c>
      <c r="M2684" s="2">
        <f t="shared" si="970"/>
        <v>6.6854023671837001E-2</v>
      </c>
      <c r="N2684" s="2">
        <f t="shared" si="971"/>
        <v>0.93314597632816298</v>
      </c>
    </row>
    <row r="2685" spans="1:14" x14ac:dyDescent="0.35">
      <c r="A2685" t="s">
        <v>35</v>
      </c>
      <c r="B2685" t="s">
        <v>25</v>
      </c>
      <c r="C2685">
        <v>2017</v>
      </c>
      <c r="D2685" t="s">
        <v>32</v>
      </c>
      <c r="E2685" s="3">
        <v>11389</v>
      </c>
      <c r="F2685" s="3">
        <v>28254</v>
      </c>
      <c r="G2685" s="1">
        <f t="shared" si="972"/>
        <v>39643</v>
      </c>
      <c r="H2685" s="2">
        <f t="shared" si="973"/>
        <v>0.2872890548142169</v>
      </c>
      <c r="I2685" s="2">
        <f t="shared" si="974"/>
        <v>0.71271094518578315</v>
      </c>
      <c r="J2685" s="4">
        <v>1221</v>
      </c>
      <c r="K2685" s="4">
        <v>17336</v>
      </c>
      <c r="L2685" s="1">
        <f t="shared" si="969"/>
        <v>18557</v>
      </c>
      <c r="M2685" s="2">
        <f t="shared" si="970"/>
        <v>6.5797273266152936E-2</v>
      </c>
      <c r="N2685" s="2">
        <f t="shared" si="971"/>
        <v>0.93420272673384708</v>
      </c>
    </row>
    <row r="2686" spans="1:14" x14ac:dyDescent="0.35">
      <c r="A2686" t="s">
        <v>35</v>
      </c>
      <c r="B2686" t="s">
        <v>26</v>
      </c>
      <c r="C2686">
        <v>2017</v>
      </c>
      <c r="D2686" t="s">
        <v>32</v>
      </c>
      <c r="E2686" s="3">
        <v>11240</v>
      </c>
      <c r="F2686" s="3">
        <v>28262</v>
      </c>
      <c r="G2686" s="1">
        <f t="shared" si="972"/>
        <v>39502</v>
      </c>
      <c r="H2686" s="2">
        <f t="shared" si="973"/>
        <v>0.28454255480735152</v>
      </c>
      <c r="I2686" s="2">
        <f t="shared" si="974"/>
        <v>0.71545744519264842</v>
      </c>
      <c r="J2686" s="4">
        <v>1203</v>
      </c>
      <c r="K2686" s="4">
        <v>17311</v>
      </c>
      <c r="L2686" s="1">
        <f t="shared" si="969"/>
        <v>18514</v>
      </c>
      <c r="M2686" s="2">
        <f t="shared" si="970"/>
        <v>6.4977854596521556E-2</v>
      </c>
      <c r="N2686" s="2">
        <f t="shared" si="971"/>
        <v>0.9350221454034785</v>
      </c>
    </row>
    <row r="2687" spans="1:14" x14ac:dyDescent="0.35">
      <c r="A2687" t="s">
        <v>35</v>
      </c>
      <c r="B2687" t="s">
        <v>27</v>
      </c>
      <c r="C2687">
        <v>2017</v>
      </c>
      <c r="D2687" t="s">
        <v>32</v>
      </c>
      <c r="E2687" s="3">
        <v>11165</v>
      </c>
      <c r="F2687" s="3">
        <v>28322</v>
      </c>
      <c r="G2687" s="1">
        <f t="shared" si="972"/>
        <v>39487</v>
      </c>
      <c r="H2687" s="2">
        <f t="shared" si="973"/>
        <v>0.28275128523311471</v>
      </c>
      <c r="I2687" s="2">
        <f t="shared" si="974"/>
        <v>0.71724871476688534</v>
      </c>
      <c r="J2687" s="4">
        <v>1185</v>
      </c>
      <c r="K2687" s="4">
        <v>17328</v>
      </c>
      <c r="L2687" s="1">
        <f t="shared" si="969"/>
        <v>18513</v>
      </c>
      <c r="M2687" s="2">
        <f t="shared" si="970"/>
        <v>6.400907470426187E-2</v>
      </c>
      <c r="N2687" s="2">
        <f t="shared" si="971"/>
        <v>0.93599092529573813</v>
      </c>
    </row>
    <row r="2688" spans="1:14" x14ac:dyDescent="0.35">
      <c r="A2688" t="s">
        <v>35</v>
      </c>
      <c r="B2688" t="s">
        <v>28</v>
      </c>
      <c r="C2688">
        <v>2017</v>
      </c>
      <c r="D2688" t="s">
        <v>32</v>
      </c>
      <c r="E2688" s="3">
        <v>11093</v>
      </c>
      <c r="F2688" s="3">
        <v>28366</v>
      </c>
      <c r="G2688" s="1">
        <f t="shared" si="972"/>
        <v>39459</v>
      </c>
      <c r="H2688" s="2">
        <f t="shared" si="973"/>
        <v>0.28112724600217948</v>
      </c>
      <c r="I2688" s="2">
        <f t="shared" si="974"/>
        <v>0.71887275399782047</v>
      </c>
      <c r="J2688" s="4">
        <v>1159</v>
      </c>
      <c r="K2688" s="4">
        <v>17349</v>
      </c>
      <c r="L2688" s="1">
        <f t="shared" si="969"/>
        <v>18508</v>
      </c>
      <c r="M2688" s="2">
        <f t="shared" si="970"/>
        <v>6.2621569051221099E-2</v>
      </c>
      <c r="N2688" s="2">
        <f t="shared" si="971"/>
        <v>0.93737843094877893</v>
      </c>
    </row>
    <row r="2689" spans="1:14" x14ac:dyDescent="0.35">
      <c r="A2689" t="s">
        <v>35</v>
      </c>
      <c r="B2689" t="s">
        <v>29</v>
      </c>
      <c r="C2689">
        <v>2017</v>
      </c>
      <c r="D2689" t="s">
        <v>32</v>
      </c>
      <c r="E2689" s="3">
        <v>10968</v>
      </c>
      <c r="F2689" s="3">
        <v>28378</v>
      </c>
      <c r="G2689" s="1">
        <f t="shared" si="972"/>
        <v>39346</v>
      </c>
      <c r="H2689" s="2">
        <f t="shared" si="973"/>
        <v>0.27875768820210439</v>
      </c>
      <c r="I2689" s="2">
        <f t="shared" si="974"/>
        <v>0.72124231179789555</v>
      </c>
      <c r="J2689" s="4">
        <v>1144</v>
      </c>
      <c r="K2689" s="4">
        <v>17369</v>
      </c>
      <c r="L2689" s="1">
        <f t="shared" si="969"/>
        <v>18513</v>
      </c>
      <c r="M2689" s="2">
        <f t="shared" si="970"/>
        <v>6.1794414735591205E-2</v>
      </c>
      <c r="N2689" s="2">
        <f t="shared" si="971"/>
        <v>0.93820558526440878</v>
      </c>
    </row>
    <row r="2690" spans="1:14" x14ac:dyDescent="0.35">
      <c r="A2690" t="s">
        <v>35</v>
      </c>
      <c r="B2690" t="s">
        <v>17</v>
      </c>
      <c r="C2690">
        <v>2002</v>
      </c>
      <c r="D2690" t="s">
        <v>33</v>
      </c>
      <c r="E2690" s="1">
        <f>SUM(E1922+E2114+E2306+E2498)</f>
        <v>724644</v>
      </c>
      <c r="F2690" s="1">
        <f>SUM(F1922+F2114+F2306+F2498)</f>
        <v>6341</v>
      </c>
      <c r="G2690" s="1">
        <f t="shared" si="972"/>
        <v>730985</v>
      </c>
      <c r="H2690" s="2">
        <f t="shared" si="973"/>
        <v>0.99132540339405051</v>
      </c>
      <c r="I2690" s="2">
        <f t="shared" si="974"/>
        <v>8.6745966059495073E-3</v>
      </c>
      <c r="J2690" s="1">
        <f>SUM(J1922+J2114+J2306+J2498)</f>
        <v>908118.02300000004</v>
      </c>
      <c r="K2690" s="1">
        <f>SUM(K1922+K2114+K2306+K2498)</f>
        <v>71693.297999999981</v>
      </c>
      <c r="L2690" s="1">
        <f t="shared" si="969"/>
        <v>979811.321</v>
      </c>
      <c r="M2690" s="2">
        <f t="shared" si="970"/>
        <v>0.92682948598018911</v>
      </c>
      <c r="N2690" s="2">
        <f t="shared" si="971"/>
        <v>7.317051401981095E-2</v>
      </c>
    </row>
    <row r="2691" spans="1:14" x14ac:dyDescent="0.35">
      <c r="A2691" t="s">
        <v>35</v>
      </c>
      <c r="B2691" t="s">
        <v>19</v>
      </c>
      <c r="C2691">
        <v>2002</v>
      </c>
      <c r="D2691" t="s">
        <v>33</v>
      </c>
      <c r="E2691" s="1">
        <f>SUM(E1923+E2115+E2307+E2499)</f>
        <v>731093</v>
      </c>
      <c r="F2691" s="1">
        <f t="shared" ref="F2691:F2754" si="975">SUM(F1923+F2115+F2307+F2499)</f>
        <v>8469</v>
      </c>
      <c r="G2691" s="1">
        <f t="shared" si="972"/>
        <v>739562</v>
      </c>
      <c r="H2691" s="2">
        <f t="shared" si="973"/>
        <v>0.98854862743083072</v>
      </c>
      <c r="I2691" s="2">
        <f t="shared" si="974"/>
        <v>1.1451372569169319E-2</v>
      </c>
      <c r="J2691" s="1">
        <f t="shared" ref="J2691:K2691" si="976">SUM(J1923+J2115+J2307+J2499)</f>
        <v>937184.17700000003</v>
      </c>
      <c r="K2691" s="1">
        <f t="shared" si="976"/>
        <v>279885.00799999997</v>
      </c>
      <c r="L2691" s="1">
        <f t="shared" ref="L2691:L2754" si="977">SUM(J2691:K2691)</f>
        <v>1217069.1850000001</v>
      </c>
      <c r="M2691" s="2">
        <f t="shared" ref="M2691:M2754" si="978">SUM(J2691)/L2691</f>
        <v>0.77003360905896234</v>
      </c>
      <c r="N2691" s="2">
        <f t="shared" ref="N2691:N2754" si="979">SUM(K2691/L2691)</f>
        <v>0.22996639094103755</v>
      </c>
    </row>
    <row r="2692" spans="1:14" x14ac:dyDescent="0.35">
      <c r="A2692" t="s">
        <v>35</v>
      </c>
      <c r="B2692" t="s">
        <v>20</v>
      </c>
      <c r="C2692">
        <v>2002</v>
      </c>
      <c r="D2692" t="s">
        <v>33</v>
      </c>
      <c r="E2692" s="1">
        <f t="shared" ref="E2692" si="980">SUM(E1924+E2116+E2308+E2500)</f>
        <v>735002</v>
      </c>
      <c r="F2692" s="1">
        <f t="shared" si="975"/>
        <v>10777</v>
      </c>
      <c r="G2692" s="1">
        <f t="shared" si="972"/>
        <v>745779</v>
      </c>
      <c r="H2692" s="2">
        <f t="shared" si="973"/>
        <v>0.98554933834286029</v>
      </c>
      <c r="I2692" s="2">
        <f t="shared" si="974"/>
        <v>1.4450661657139716E-2</v>
      </c>
      <c r="J2692" s="1">
        <f t="shared" ref="J2692:K2692" si="981">SUM(J1924+J2116+J2308+J2500)</f>
        <v>1112677.473</v>
      </c>
      <c r="K2692" s="1">
        <f t="shared" si="981"/>
        <v>544244.3409999999</v>
      </c>
      <c r="L2692" s="1">
        <f t="shared" si="977"/>
        <v>1656921.8139999998</v>
      </c>
      <c r="M2692" s="2">
        <f t="shared" si="978"/>
        <v>0.67153287716930266</v>
      </c>
      <c r="N2692" s="2">
        <f t="shared" si="979"/>
        <v>0.3284671228306974</v>
      </c>
    </row>
    <row r="2693" spans="1:14" x14ac:dyDescent="0.35">
      <c r="A2693" t="s">
        <v>35</v>
      </c>
      <c r="B2693" t="s">
        <v>21</v>
      </c>
      <c r="C2693">
        <v>2002</v>
      </c>
      <c r="D2693" t="s">
        <v>33</v>
      </c>
      <c r="E2693" s="1">
        <f t="shared" ref="E2693" si="982">SUM(E1925+E2117+E2309+E2501)</f>
        <v>735341</v>
      </c>
      <c r="F2693" s="1">
        <f t="shared" si="975"/>
        <v>12543</v>
      </c>
      <c r="G2693" s="1">
        <f t="shared" si="972"/>
        <v>747884</v>
      </c>
      <c r="H2693" s="2">
        <f t="shared" si="973"/>
        <v>0.98322868252295814</v>
      </c>
      <c r="I2693" s="2">
        <f t="shared" si="974"/>
        <v>1.6771317477041893E-2</v>
      </c>
      <c r="J2693" s="1">
        <f t="shared" ref="J2693:K2693" si="983">SUM(J1925+J2117+J2309+J2501)</f>
        <v>1097937.2589999998</v>
      </c>
      <c r="K2693" s="1">
        <f t="shared" si="983"/>
        <v>444062.13400000002</v>
      </c>
      <c r="L2693" s="1">
        <f t="shared" si="977"/>
        <v>1541999.3929999999</v>
      </c>
      <c r="M2693" s="2">
        <f t="shared" si="978"/>
        <v>0.71202184902546195</v>
      </c>
      <c r="N2693" s="2">
        <f t="shared" si="979"/>
        <v>0.28797815097453805</v>
      </c>
    </row>
    <row r="2694" spans="1:14" x14ac:dyDescent="0.35">
      <c r="A2694" t="s">
        <v>35</v>
      </c>
      <c r="B2694" t="s">
        <v>22</v>
      </c>
      <c r="C2694">
        <v>2002</v>
      </c>
      <c r="D2694" t="s">
        <v>33</v>
      </c>
      <c r="E2694" s="1">
        <f t="shared" ref="E2694" si="984">SUM(E1926+E2118+E2310+E2502)</f>
        <v>736469</v>
      </c>
      <c r="F2694" s="1">
        <f t="shared" si="975"/>
        <v>14484</v>
      </c>
      <c r="G2694" s="1">
        <f t="shared" si="972"/>
        <v>750953</v>
      </c>
      <c r="H2694" s="2">
        <f t="shared" si="973"/>
        <v>0.98071250797320209</v>
      </c>
      <c r="I2694" s="2">
        <f t="shared" si="974"/>
        <v>1.9287492026797949E-2</v>
      </c>
      <c r="J2694" s="1">
        <f t="shared" ref="J2694:K2694" si="985">SUM(J1926+J2118+J2310+J2502)</f>
        <v>1280101.3110000002</v>
      </c>
      <c r="K2694" s="1">
        <f t="shared" si="985"/>
        <v>520597.86900000001</v>
      </c>
      <c r="L2694" s="1">
        <f t="shared" si="977"/>
        <v>1800699.1800000002</v>
      </c>
      <c r="M2694" s="2">
        <f t="shared" si="978"/>
        <v>0.71089126113779877</v>
      </c>
      <c r="N2694" s="2">
        <f t="shared" si="979"/>
        <v>0.28910873886220129</v>
      </c>
    </row>
    <row r="2695" spans="1:14" x14ac:dyDescent="0.35">
      <c r="A2695" t="s">
        <v>35</v>
      </c>
      <c r="B2695" t="s">
        <v>23</v>
      </c>
      <c r="C2695">
        <v>2002</v>
      </c>
      <c r="D2695" t="s">
        <v>33</v>
      </c>
      <c r="E2695" s="1">
        <f t="shared" ref="E2695" si="986">SUM(E1927+E2119+E2311+E2503)</f>
        <v>738259</v>
      </c>
      <c r="F2695" s="1">
        <f t="shared" si="975"/>
        <v>16276</v>
      </c>
      <c r="G2695" s="1">
        <f t="shared" si="972"/>
        <v>754535</v>
      </c>
      <c r="H2695" s="2">
        <f t="shared" si="973"/>
        <v>0.97842909871642803</v>
      </c>
      <c r="I2695" s="2">
        <f t="shared" si="974"/>
        <v>2.1570901283572003E-2</v>
      </c>
      <c r="J2695" s="1">
        <f t="shared" ref="J2695:K2695" si="987">SUM(J1927+J2119+J2311+J2503)</f>
        <v>1219111.4550000001</v>
      </c>
      <c r="K2695" s="1">
        <f t="shared" si="987"/>
        <v>598481.58299999987</v>
      </c>
      <c r="L2695" s="1">
        <f t="shared" si="977"/>
        <v>1817593.0379999999</v>
      </c>
      <c r="M2695" s="2">
        <f t="shared" si="978"/>
        <v>0.67072850165703601</v>
      </c>
      <c r="N2695" s="2">
        <f t="shared" si="979"/>
        <v>0.32927149834296399</v>
      </c>
    </row>
    <row r="2696" spans="1:14" x14ac:dyDescent="0.35">
      <c r="A2696" t="s">
        <v>35</v>
      </c>
      <c r="B2696" t="s">
        <v>24</v>
      </c>
      <c r="C2696">
        <v>2002</v>
      </c>
      <c r="D2696" t="s">
        <v>33</v>
      </c>
      <c r="E2696" s="1">
        <f t="shared" ref="E2696" si="988">SUM(E1928+E2120+E2312+E2504)</f>
        <v>741094</v>
      </c>
      <c r="F2696" s="1">
        <f t="shared" si="975"/>
        <v>19045</v>
      </c>
      <c r="G2696" s="1">
        <f t="shared" si="972"/>
        <v>760139</v>
      </c>
      <c r="H2696" s="2">
        <f t="shared" si="973"/>
        <v>0.97494537183330943</v>
      </c>
      <c r="I2696" s="2">
        <f t="shared" si="974"/>
        <v>2.5054628166690567E-2</v>
      </c>
      <c r="J2696" s="1">
        <f t="shared" ref="J2696:K2696" si="989">SUM(J1928+J2120+J2312+J2504)</f>
        <v>1346969.8389999999</v>
      </c>
      <c r="K2696" s="1">
        <f t="shared" si="989"/>
        <v>998780.75799999991</v>
      </c>
      <c r="L2696" s="1">
        <f t="shared" si="977"/>
        <v>2345750.5970000001</v>
      </c>
      <c r="M2696" s="2">
        <f t="shared" si="978"/>
        <v>0.5742169865469291</v>
      </c>
      <c r="N2696" s="2">
        <f t="shared" si="979"/>
        <v>0.42578301345307079</v>
      </c>
    </row>
    <row r="2697" spans="1:14" x14ac:dyDescent="0.35">
      <c r="A2697" t="s">
        <v>35</v>
      </c>
      <c r="B2697" t="s">
        <v>25</v>
      </c>
      <c r="C2697">
        <v>2002</v>
      </c>
      <c r="D2697" t="s">
        <v>33</v>
      </c>
      <c r="E2697" s="1">
        <f t="shared" ref="E2697" si="990">SUM(E1929+E2121+E2313+E2505)</f>
        <v>744714</v>
      </c>
      <c r="F2697" s="1">
        <f t="shared" si="975"/>
        <v>26498</v>
      </c>
      <c r="G2697" s="1">
        <f t="shared" si="972"/>
        <v>771212</v>
      </c>
      <c r="H2697" s="2">
        <f t="shared" si="973"/>
        <v>0.96564109479624283</v>
      </c>
      <c r="I2697" s="2">
        <f t="shared" si="974"/>
        <v>3.4358905203757201E-2</v>
      </c>
      <c r="J2697" s="1">
        <f t="shared" ref="J2697:K2697" si="991">SUM(J1929+J2121+J2313+J2505)</f>
        <v>1391622.4609999999</v>
      </c>
      <c r="K2697" s="1">
        <f t="shared" si="991"/>
        <v>340892.49400000001</v>
      </c>
      <c r="L2697" s="1">
        <f t="shared" si="977"/>
        <v>1732514.9549999998</v>
      </c>
      <c r="M2697" s="2">
        <f t="shared" si="978"/>
        <v>0.80323835415319689</v>
      </c>
      <c r="N2697" s="2">
        <f t="shared" si="979"/>
        <v>0.19676164584680311</v>
      </c>
    </row>
    <row r="2698" spans="1:14" x14ac:dyDescent="0.35">
      <c r="A2698" t="s">
        <v>35</v>
      </c>
      <c r="B2698" t="s">
        <v>26</v>
      </c>
      <c r="C2698">
        <v>2002</v>
      </c>
      <c r="D2698" t="s">
        <v>33</v>
      </c>
      <c r="E2698" s="1">
        <f t="shared" ref="E2698" si="992">SUM(E1930+E2122+E2314+E2506)</f>
        <v>733468</v>
      </c>
      <c r="F2698" s="1">
        <f t="shared" si="975"/>
        <v>32114</v>
      </c>
      <c r="G2698" s="1">
        <f t="shared" si="972"/>
        <v>765582</v>
      </c>
      <c r="H2698" s="2">
        <f t="shared" si="973"/>
        <v>0.95805282778330736</v>
      </c>
      <c r="I2698" s="2">
        <f t="shared" si="974"/>
        <v>4.1947172216692662E-2</v>
      </c>
      <c r="J2698" s="1">
        <f t="shared" ref="J2698:K2698" si="993">SUM(J1930+J2122+J2314+J2506)</f>
        <v>1360714.284</v>
      </c>
      <c r="K2698" s="1">
        <f t="shared" si="993"/>
        <v>837510.12900000007</v>
      </c>
      <c r="L2698" s="1">
        <f t="shared" si="977"/>
        <v>2198224.4130000002</v>
      </c>
      <c r="M2698" s="2">
        <f t="shared" si="978"/>
        <v>0.61900608325197404</v>
      </c>
      <c r="N2698" s="2">
        <f t="shared" si="979"/>
        <v>0.38099391674802585</v>
      </c>
    </row>
    <row r="2699" spans="1:14" x14ac:dyDescent="0.35">
      <c r="A2699" t="s">
        <v>35</v>
      </c>
      <c r="B2699" t="s">
        <v>27</v>
      </c>
      <c r="C2699">
        <v>2002</v>
      </c>
      <c r="D2699" t="s">
        <v>33</v>
      </c>
      <c r="E2699" s="1">
        <f t="shared" ref="E2699" si="994">SUM(E1931+E2123+E2315+E2507)</f>
        <v>650371</v>
      </c>
      <c r="F2699" s="1">
        <f t="shared" si="975"/>
        <v>32984</v>
      </c>
      <c r="G2699" s="1">
        <f t="shared" si="972"/>
        <v>683355</v>
      </c>
      <c r="H2699" s="2">
        <f t="shared" si="973"/>
        <v>0.95173226214778561</v>
      </c>
      <c r="I2699" s="2">
        <f t="shared" si="974"/>
        <v>4.8267737852214443E-2</v>
      </c>
      <c r="J2699" s="1">
        <f t="shared" ref="J2699:K2699" si="995">SUM(J1931+J2123+J2315+J2507)</f>
        <v>1118804.2250000001</v>
      </c>
      <c r="K2699" s="1">
        <f t="shared" si="995"/>
        <v>700945.86100000003</v>
      </c>
      <c r="L2699" s="1">
        <f t="shared" si="977"/>
        <v>1819750.0860000001</v>
      </c>
      <c r="M2699" s="2">
        <f t="shared" si="978"/>
        <v>0.61481201930274287</v>
      </c>
      <c r="N2699" s="2">
        <f t="shared" si="979"/>
        <v>0.38518798069725713</v>
      </c>
    </row>
    <row r="2700" spans="1:14" x14ac:dyDescent="0.35">
      <c r="A2700" t="s">
        <v>35</v>
      </c>
      <c r="B2700" t="s">
        <v>28</v>
      </c>
      <c r="C2700">
        <v>2002</v>
      </c>
      <c r="D2700" t="s">
        <v>33</v>
      </c>
      <c r="E2700" s="1">
        <f t="shared" ref="E2700" si="996">SUM(E1932+E2124+E2316+E2508)</f>
        <v>647740</v>
      </c>
      <c r="F2700" s="1">
        <f t="shared" si="975"/>
        <v>35088</v>
      </c>
      <c r="G2700" s="1">
        <f t="shared" si="972"/>
        <v>682828</v>
      </c>
      <c r="H2700" s="2">
        <f t="shared" si="973"/>
        <v>0.94861370652638732</v>
      </c>
      <c r="I2700" s="2">
        <f t="shared" si="974"/>
        <v>5.1386293473612683E-2</v>
      </c>
      <c r="J2700" s="1">
        <f t="shared" ref="J2700:K2700" si="997">SUM(J1932+J2124+J2316+J2508)</f>
        <v>848974.02899999998</v>
      </c>
      <c r="K2700" s="1">
        <f t="shared" si="997"/>
        <v>650051.9439999999</v>
      </c>
      <c r="L2700" s="1">
        <f t="shared" si="977"/>
        <v>1499025.9729999998</v>
      </c>
      <c r="M2700" s="2">
        <f t="shared" si="978"/>
        <v>0.5663504464175152</v>
      </c>
      <c r="N2700" s="2">
        <f t="shared" si="979"/>
        <v>0.43364955358248486</v>
      </c>
    </row>
    <row r="2701" spans="1:14" x14ac:dyDescent="0.35">
      <c r="A2701" t="s">
        <v>35</v>
      </c>
      <c r="B2701" t="s">
        <v>29</v>
      </c>
      <c r="C2701">
        <v>2002</v>
      </c>
      <c r="D2701" t="s">
        <v>33</v>
      </c>
      <c r="E2701" s="1">
        <f t="shared" ref="E2701" si="998">SUM(E1933+E2125+E2317+E2509)</f>
        <v>651872</v>
      </c>
      <c r="F2701" s="1">
        <f t="shared" si="975"/>
        <v>38192</v>
      </c>
      <c r="G2701" s="1">
        <f t="shared" si="972"/>
        <v>690064</v>
      </c>
      <c r="H2701" s="2">
        <f t="shared" si="973"/>
        <v>0.94465440886642393</v>
      </c>
      <c r="I2701" s="2">
        <f t="shared" si="974"/>
        <v>5.5345591133576018E-2</v>
      </c>
      <c r="J2701" s="1">
        <f t="shared" ref="J2701:K2701" si="999">SUM(J1933+J2125+J2317+J2509)</f>
        <v>867033.35899999994</v>
      </c>
      <c r="K2701" s="1">
        <f t="shared" si="999"/>
        <v>449263.12900000007</v>
      </c>
      <c r="L2701" s="1">
        <f t="shared" si="977"/>
        <v>1316296.4879999999</v>
      </c>
      <c r="M2701" s="2">
        <f t="shared" si="978"/>
        <v>0.65869153864976349</v>
      </c>
      <c r="N2701" s="2">
        <f t="shared" si="979"/>
        <v>0.34130846135023657</v>
      </c>
    </row>
    <row r="2702" spans="1:14" x14ac:dyDescent="0.35">
      <c r="A2702" t="s">
        <v>35</v>
      </c>
      <c r="B2702" t="s">
        <v>17</v>
      </c>
      <c r="C2702">
        <v>2003</v>
      </c>
      <c r="D2702" t="s">
        <v>33</v>
      </c>
      <c r="E2702" s="1">
        <f t="shared" ref="E2702" si="1000">SUM(E1934+E2126+E2318+E2510)</f>
        <v>762941</v>
      </c>
      <c r="F2702" s="1">
        <f t="shared" si="975"/>
        <v>56440</v>
      </c>
      <c r="G2702" s="1">
        <f t="shared" si="972"/>
        <v>819381</v>
      </c>
      <c r="H2702" s="2">
        <f t="shared" si="973"/>
        <v>0.9311187347522093</v>
      </c>
      <c r="I2702" s="2">
        <f t="shared" si="974"/>
        <v>6.8881265247790716E-2</v>
      </c>
      <c r="J2702" s="1">
        <f t="shared" ref="J2702:K2702" si="1001">SUM(J1934+J2126+J2318+J2510)</f>
        <v>991867</v>
      </c>
      <c r="K2702" s="1">
        <f t="shared" si="1001"/>
        <v>634293</v>
      </c>
      <c r="L2702" s="1">
        <f t="shared" si="977"/>
        <v>1626160</v>
      </c>
      <c r="M2702" s="2">
        <f t="shared" si="978"/>
        <v>0.60994428592512417</v>
      </c>
      <c r="N2702" s="2">
        <f t="shared" si="979"/>
        <v>0.39005571407487577</v>
      </c>
    </row>
    <row r="2703" spans="1:14" x14ac:dyDescent="0.35">
      <c r="A2703" t="s">
        <v>35</v>
      </c>
      <c r="B2703" t="s">
        <v>19</v>
      </c>
      <c r="C2703">
        <v>2003</v>
      </c>
      <c r="D2703" t="s">
        <v>33</v>
      </c>
      <c r="E2703" s="1">
        <f t="shared" ref="E2703" si="1002">SUM(E1935+E2127+E2319+E2511)</f>
        <v>693455</v>
      </c>
      <c r="F2703" s="1">
        <f t="shared" si="975"/>
        <v>57795</v>
      </c>
      <c r="G2703" s="1">
        <f t="shared" si="972"/>
        <v>751250</v>
      </c>
      <c r="H2703" s="2">
        <f t="shared" si="973"/>
        <v>0.92306821963394348</v>
      </c>
      <c r="I2703" s="2">
        <f t="shared" si="974"/>
        <v>7.6931780366056579E-2</v>
      </c>
      <c r="J2703" s="1">
        <f t="shared" ref="J2703:K2703" si="1003">SUM(J1935+J2127+J2319+J2511)</f>
        <v>878110</v>
      </c>
      <c r="K2703" s="1">
        <f t="shared" si="1003"/>
        <v>559016</v>
      </c>
      <c r="L2703" s="1">
        <f t="shared" si="977"/>
        <v>1437126</v>
      </c>
      <c r="M2703" s="2">
        <f t="shared" si="978"/>
        <v>0.61101810140516555</v>
      </c>
      <c r="N2703" s="2">
        <f t="shared" si="979"/>
        <v>0.3889818985948344</v>
      </c>
    </row>
    <row r="2704" spans="1:14" x14ac:dyDescent="0.35">
      <c r="A2704" t="s">
        <v>35</v>
      </c>
      <c r="B2704" t="s">
        <v>20</v>
      </c>
      <c r="C2704">
        <v>2003</v>
      </c>
      <c r="D2704" t="s">
        <v>33</v>
      </c>
      <c r="E2704" s="1">
        <f t="shared" ref="E2704" si="1004">SUM(E1936+E2128+E2320+E2512)</f>
        <v>766514</v>
      </c>
      <c r="F2704" s="1">
        <f t="shared" si="975"/>
        <v>68317</v>
      </c>
      <c r="G2704" s="1">
        <f t="shared" si="972"/>
        <v>834831</v>
      </c>
      <c r="H2704" s="2">
        <f t="shared" si="973"/>
        <v>0.91816667085913195</v>
      </c>
      <c r="I2704" s="2">
        <f t="shared" si="974"/>
        <v>8.1833329140868036E-2</v>
      </c>
      <c r="J2704" s="1">
        <f t="shared" ref="J2704:K2704" si="1005">SUM(J1936+J2128+J2320+J2512)</f>
        <v>854651</v>
      </c>
      <c r="K2704" s="1">
        <f t="shared" si="1005"/>
        <v>537199</v>
      </c>
      <c r="L2704" s="1">
        <f t="shared" si="977"/>
        <v>1391850</v>
      </c>
      <c r="M2704" s="2">
        <f t="shared" si="978"/>
        <v>0.61403958759923838</v>
      </c>
      <c r="N2704" s="2">
        <f t="shared" si="979"/>
        <v>0.38596041240076157</v>
      </c>
    </row>
    <row r="2705" spans="1:14" x14ac:dyDescent="0.35">
      <c r="A2705" t="s">
        <v>35</v>
      </c>
      <c r="B2705" t="s">
        <v>21</v>
      </c>
      <c r="C2705">
        <v>2003</v>
      </c>
      <c r="D2705" t="s">
        <v>33</v>
      </c>
      <c r="E2705" s="1">
        <f t="shared" ref="E2705" si="1006">SUM(E1937+E2129+E2321+E2513)</f>
        <v>712368</v>
      </c>
      <c r="F2705" s="1">
        <f t="shared" si="975"/>
        <v>72432</v>
      </c>
      <c r="G2705" s="1">
        <f t="shared" si="972"/>
        <v>784800</v>
      </c>
      <c r="H2705" s="2">
        <f t="shared" si="973"/>
        <v>0.90770642201834861</v>
      </c>
      <c r="I2705" s="2">
        <f t="shared" si="974"/>
        <v>9.2293577981651373E-2</v>
      </c>
      <c r="J2705" s="1">
        <f t="shared" ref="J2705:K2705" si="1007">SUM(J1937+J2129+J2321+J2513)</f>
        <v>854138</v>
      </c>
      <c r="K2705" s="1">
        <f t="shared" si="1007"/>
        <v>560206</v>
      </c>
      <c r="L2705" s="1">
        <f t="shared" si="977"/>
        <v>1414344</v>
      </c>
      <c r="M2705" s="2">
        <f t="shared" si="978"/>
        <v>0.60391107113969444</v>
      </c>
      <c r="N2705" s="2">
        <f t="shared" si="979"/>
        <v>0.39608892886030556</v>
      </c>
    </row>
    <row r="2706" spans="1:14" x14ac:dyDescent="0.35">
      <c r="A2706" t="s">
        <v>35</v>
      </c>
      <c r="B2706" t="s">
        <v>22</v>
      </c>
      <c r="C2706">
        <v>2003</v>
      </c>
      <c r="D2706" t="s">
        <v>33</v>
      </c>
      <c r="E2706" s="1">
        <f t="shared" ref="E2706" si="1008">SUM(E1938+E2130+E2322+E2514)</f>
        <v>703391</v>
      </c>
      <c r="F2706" s="1">
        <f t="shared" si="975"/>
        <v>82508</v>
      </c>
      <c r="G2706" s="1">
        <f t="shared" si="972"/>
        <v>785899</v>
      </c>
      <c r="H2706" s="2">
        <f t="shared" si="973"/>
        <v>0.89501449931861476</v>
      </c>
      <c r="I2706" s="2">
        <f t="shared" si="974"/>
        <v>0.10498550068138526</v>
      </c>
      <c r="J2706" s="1">
        <f t="shared" ref="J2706:K2706" si="1009">SUM(J1938+J2130+J2322+J2514)</f>
        <v>1065121</v>
      </c>
      <c r="K2706" s="1">
        <f t="shared" si="1009"/>
        <v>691625</v>
      </c>
      <c r="L2706" s="1">
        <f t="shared" si="977"/>
        <v>1756746</v>
      </c>
      <c r="M2706" s="2">
        <f t="shared" si="978"/>
        <v>0.60630335859594953</v>
      </c>
      <c r="N2706" s="2">
        <f t="shared" si="979"/>
        <v>0.39369664140405042</v>
      </c>
    </row>
    <row r="2707" spans="1:14" x14ac:dyDescent="0.35">
      <c r="A2707" t="s">
        <v>35</v>
      </c>
      <c r="B2707" t="s">
        <v>23</v>
      </c>
      <c r="C2707">
        <v>2003</v>
      </c>
      <c r="D2707" t="s">
        <v>33</v>
      </c>
      <c r="E2707" s="1">
        <f t="shared" ref="E2707" si="1010">SUM(E1939+E2131+E2323+E2515)</f>
        <v>695383</v>
      </c>
      <c r="F2707" s="1">
        <f t="shared" si="975"/>
        <v>90514</v>
      </c>
      <c r="G2707" s="1">
        <f t="shared" si="972"/>
        <v>785897</v>
      </c>
      <c r="H2707" s="2">
        <f t="shared" si="973"/>
        <v>0.88482714655991812</v>
      </c>
      <c r="I2707" s="2">
        <f t="shared" si="974"/>
        <v>0.11517285344008184</v>
      </c>
      <c r="J2707" s="1">
        <f t="shared" ref="J2707:K2707" si="1011">SUM(J1939+J2131+J2323+J2515)</f>
        <v>1234266</v>
      </c>
      <c r="K2707" s="1">
        <f t="shared" si="1011"/>
        <v>738829</v>
      </c>
      <c r="L2707" s="1">
        <f t="shared" si="977"/>
        <v>1973095</v>
      </c>
      <c r="M2707" s="2">
        <f t="shared" si="978"/>
        <v>0.62554818698542136</v>
      </c>
      <c r="N2707" s="2">
        <f t="shared" si="979"/>
        <v>0.37445181301457864</v>
      </c>
    </row>
    <row r="2708" spans="1:14" x14ac:dyDescent="0.35">
      <c r="A2708" t="s">
        <v>35</v>
      </c>
      <c r="B2708" t="s">
        <v>24</v>
      </c>
      <c r="C2708">
        <v>2003</v>
      </c>
      <c r="D2708" t="s">
        <v>33</v>
      </c>
      <c r="E2708" s="1">
        <f t="shared" ref="E2708" si="1012">SUM(E1940+E2132+E2324+E2516)</f>
        <v>718798</v>
      </c>
      <c r="F2708" s="1">
        <f t="shared" si="975"/>
        <v>105152</v>
      </c>
      <c r="G2708" s="1">
        <f t="shared" si="972"/>
        <v>823950</v>
      </c>
      <c r="H2708" s="2">
        <f t="shared" si="973"/>
        <v>0.872380605619273</v>
      </c>
      <c r="I2708" s="2">
        <f t="shared" si="974"/>
        <v>0.12761939438072697</v>
      </c>
      <c r="J2708" s="1">
        <f t="shared" ref="J2708:K2708" si="1013">SUM(J1940+J2132+J2324+J2516)</f>
        <v>1311941</v>
      </c>
      <c r="K2708" s="1">
        <f t="shared" si="1013"/>
        <v>797854</v>
      </c>
      <c r="L2708" s="1">
        <f t="shared" si="977"/>
        <v>2109795</v>
      </c>
      <c r="M2708" s="2">
        <f t="shared" si="978"/>
        <v>0.62183340087544048</v>
      </c>
      <c r="N2708" s="2">
        <f t="shared" si="979"/>
        <v>0.37816659912455952</v>
      </c>
    </row>
    <row r="2709" spans="1:14" x14ac:dyDescent="0.35">
      <c r="A2709" t="s">
        <v>35</v>
      </c>
      <c r="B2709" t="s">
        <v>25</v>
      </c>
      <c r="C2709">
        <v>2003</v>
      </c>
      <c r="D2709" t="s">
        <v>33</v>
      </c>
      <c r="E2709" s="1">
        <f t="shared" ref="E2709" si="1014">SUM(E1941+E2133+E2325+E2517)</f>
        <v>678536</v>
      </c>
      <c r="F2709" s="1">
        <f t="shared" si="975"/>
        <v>110778</v>
      </c>
      <c r="G2709" s="1">
        <f t="shared" si="972"/>
        <v>789314</v>
      </c>
      <c r="H2709" s="2">
        <f t="shared" si="973"/>
        <v>0.8596528124421966</v>
      </c>
      <c r="I2709" s="2">
        <f t="shared" si="974"/>
        <v>0.14034718755780337</v>
      </c>
      <c r="J2709" s="1">
        <f t="shared" ref="J2709:K2709" si="1015">SUM(J1941+J2133+J2325+J2517)</f>
        <v>1224665</v>
      </c>
      <c r="K2709" s="1">
        <f t="shared" si="1015"/>
        <v>770392</v>
      </c>
      <c r="L2709" s="1">
        <f t="shared" si="977"/>
        <v>1995057</v>
      </c>
      <c r="M2709" s="2">
        <f t="shared" si="978"/>
        <v>0.6138496293589607</v>
      </c>
      <c r="N2709" s="2">
        <f t="shared" si="979"/>
        <v>0.38615037064103935</v>
      </c>
    </row>
    <row r="2710" spans="1:14" x14ac:dyDescent="0.35">
      <c r="A2710" t="s">
        <v>35</v>
      </c>
      <c r="B2710" t="s">
        <v>26</v>
      </c>
      <c r="C2710">
        <v>2003</v>
      </c>
      <c r="D2710" t="s">
        <v>33</v>
      </c>
      <c r="E2710" s="1">
        <f t="shared" ref="E2710" si="1016">SUM(E1942+E2134+E2326+E2518)</f>
        <v>670858</v>
      </c>
      <c r="F2710" s="1">
        <f t="shared" si="975"/>
        <v>119226</v>
      </c>
      <c r="G2710" s="1">
        <f t="shared" si="972"/>
        <v>790084</v>
      </c>
      <c r="H2710" s="2">
        <f t="shared" si="973"/>
        <v>0.84909705803433555</v>
      </c>
      <c r="I2710" s="2">
        <f t="shared" si="974"/>
        <v>0.15090294196566442</v>
      </c>
      <c r="J2710" s="1">
        <f t="shared" ref="J2710:K2710" si="1017">SUM(J1942+J2134+J2326+J2518)</f>
        <v>1161778</v>
      </c>
      <c r="K2710" s="1">
        <f t="shared" si="1017"/>
        <v>794748</v>
      </c>
      <c r="L2710" s="1">
        <f t="shared" si="977"/>
        <v>1956526</v>
      </c>
      <c r="M2710" s="2">
        <f t="shared" si="978"/>
        <v>0.59379635128794606</v>
      </c>
      <c r="N2710" s="2">
        <f t="shared" si="979"/>
        <v>0.40620364871205389</v>
      </c>
    </row>
    <row r="2711" spans="1:14" x14ac:dyDescent="0.35">
      <c r="A2711" t="s">
        <v>35</v>
      </c>
      <c r="B2711" t="s">
        <v>27</v>
      </c>
      <c r="C2711">
        <v>2003</v>
      </c>
      <c r="D2711" t="s">
        <v>33</v>
      </c>
      <c r="E2711" s="1">
        <f t="shared" ref="E2711" si="1018">SUM(E1943+E2135+E2327+E2519)</f>
        <v>709977</v>
      </c>
      <c r="F2711" s="1">
        <f t="shared" si="975"/>
        <v>140629</v>
      </c>
      <c r="G2711" s="1">
        <f t="shared" si="972"/>
        <v>850606</v>
      </c>
      <c r="H2711" s="2">
        <f t="shared" si="973"/>
        <v>0.83467198679529653</v>
      </c>
      <c r="I2711" s="2">
        <f t="shared" si="974"/>
        <v>0.16532801320470347</v>
      </c>
      <c r="J2711" s="1">
        <f t="shared" ref="J2711:K2711" si="1019">SUM(J1943+J2135+J2327+J2519)</f>
        <v>968408</v>
      </c>
      <c r="K2711" s="1">
        <f t="shared" si="1019"/>
        <v>858654</v>
      </c>
      <c r="L2711" s="1">
        <f t="shared" si="977"/>
        <v>1827062</v>
      </c>
      <c r="M2711" s="2">
        <f t="shared" si="978"/>
        <v>0.53003565286782828</v>
      </c>
      <c r="N2711" s="2">
        <f t="shared" si="979"/>
        <v>0.46996434713217178</v>
      </c>
    </row>
    <row r="2712" spans="1:14" x14ac:dyDescent="0.35">
      <c r="A2712" t="s">
        <v>35</v>
      </c>
      <c r="B2712" t="s">
        <v>28</v>
      </c>
      <c r="C2712">
        <v>2003</v>
      </c>
      <c r="D2712" t="s">
        <v>33</v>
      </c>
      <c r="E2712" s="1">
        <f t="shared" ref="E2712" si="1020">SUM(E1944+E2136+E2328+E2520)</f>
        <v>541059</v>
      </c>
      <c r="F2712" s="1">
        <f t="shared" si="975"/>
        <v>114902</v>
      </c>
      <c r="G2712" s="1">
        <f t="shared" si="972"/>
        <v>655961</v>
      </c>
      <c r="H2712" s="2">
        <f t="shared" si="973"/>
        <v>0.82483409836865307</v>
      </c>
      <c r="I2712" s="2">
        <f t="shared" si="974"/>
        <v>0.17516590163134699</v>
      </c>
      <c r="J2712" s="1">
        <f t="shared" ref="J2712:K2712" si="1021">SUM(J1944+J2136+J2328+J2520)</f>
        <v>686951</v>
      </c>
      <c r="K2712" s="1">
        <f t="shared" si="1021"/>
        <v>697358</v>
      </c>
      <c r="L2712" s="1">
        <f t="shared" si="977"/>
        <v>1384309</v>
      </c>
      <c r="M2712" s="2">
        <f t="shared" si="978"/>
        <v>0.49624108490228697</v>
      </c>
      <c r="N2712" s="2">
        <f t="shared" si="979"/>
        <v>0.50375891509771298</v>
      </c>
    </row>
    <row r="2713" spans="1:14" x14ac:dyDescent="0.35">
      <c r="A2713" t="s">
        <v>35</v>
      </c>
      <c r="B2713" t="s">
        <v>29</v>
      </c>
      <c r="C2713">
        <v>2003</v>
      </c>
      <c r="D2713" t="s">
        <v>33</v>
      </c>
      <c r="E2713" s="1">
        <f t="shared" ref="E2713" si="1022">SUM(E1945+E2137+E2329+E2521)</f>
        <v>636121</v>
      </c>
      <c r="F2713" s="1">
        <f t="shared" si="975"/>
        <v>142759</v>
      </c>
      <c r="G2713" s="1">
        <f t="shared" si="972"/>
        <v>778880</v>
      </c>
      <c r="H2713" s="2">
        <f t="shared" si="973"/>
        <v>0.8167124589153657</v>
      </c>
      <c r="I2713" s="2">
        <f t="shared" si="974"/>
        <v>0.18328754108463435</v>
      </c>
      <c r="J2713" s="1">
        <f t="shared" ref="J2713:K2713" si="1023">SUM(J1945+J2137+J2329+J2521)</f>
        <v>668733</v>
      </c>
      <c r="K2713" s="1">
        <f t="shared" si="1023"/>
        <v>795604</v>
      </c>
      <c r="L2713" s="1">
        <f t="shared" si="977"/>
        <v>1464337</v>
      </c>
      <c r="M2713" s="2">
        <f t="shared" si="978"/>
        <v>0.45667971238860999</v>
      </c>
      <c r="N2713" s="2">
        <f t="shared" si="979"/>
        <v>0.54332028761138995</v>
      </c>
    </row>
    <row r="2714" spans="1:14" x14ac:dyDescent="0.35">
      <c r="A2714" t="s">
        <v>35</v>
      </c>
      <c r="B2714" t="s">
        <v>17</v>
      </c>
      <c r="C2714">
        <v>2004</v>
      </c>
      <c r="D2714" t="s">
        <v>33</v>
      </c>
      <c r="E2714" s="1">
        <f t="shared" ref="E2714" si="1024">SUM(E1946+E2138+E2330+E2522)</f>
        <v>651775</v>
      </c>
      <c r="F2714" s="1">
        <f t="shared" si="975"/>
        <v>148419</v>
      </c>
      <c r="G2714" s="1">
        <f t="shared" si="972"/>
        <v>800194</v>
      </c>
      <c r="H2714" s="2">
        <f t="shared" si="973"/>
        <v>0.814521228602064</v>
      </c>
      <c r="I2714" s="2">
        <f t="shared" si="974"/>
        <v>0.185478771397936</v>
      </c>
      <c r="J2714" s="1">
        <f t="shared" ref="J2714:K2714" si="1025">SUM(J1946+J2138+J2330+J2522)</f>
        <v>858425</v>
      </c>
      <c r="K2714" s="1">
        <f t="shared" si="1025"/>
        <v>855143</v>
      </c>
      <c r="L2714" s="1">
        <f t="shared" si="977"/>
        <v>1713568</v>
      </c>
      <c r="M2714" s="2">
        <f t="shared" si="978"/>
        <v>0.50095765093652544</v>
      </c>
      <c r="N2714" s="2">
        <f t="shared" si="979"/>
        <v>0.49904234906347456</v>
      </c>
    </row>
    <row r="2715" spans="1:14" x14ac:dyDescent="0.35">
      <c r="A2715" t="s">
        <v>35</v>
      </c>
      <c r="B2715" t="s">
        <v>19</v>
      </c>
      <c r="C2715">
        <v>2004</v>
      </c>
      <c r="D2715" t="s">
        <v>33</v>
      </c>
      <c r="E2715" s="1">
        <f t="shared" ref="E2715" si="1026">SUM(E1947+E2139+E2331+E2523)</f>
        <v>623401</v>
      </c>
      <c r="F2715" s="1">
        <f t="shared" si="975"/>
        <v>144140</v>
      </c>
      <c r="G2715" s="1">
        <f t="shared" si="972"/>
        <v>767541</v>
      </c>
      <c r="H2715" s="2">
        <f t="shared" si="973"/>
        <v>0.81220547175981483</v>
      </c>
      <c r="I2715" s="2">
        <f t="shared" si="974"/>
        <v>0.18779452824018522</v>
      </c>
      <c r="J2715" s="1">
        <f t="shared" ref="J2715:K2715" si="1027">SUM(J1947+J2139+J2331+J2523)</f>
        <v>602608</v>
      </c>
      <c r="K2715" s="1">
        <f t="shared" si="1027"/>
        <v>770622</v>
      </c>
      <c r="L2715" s="1">
        <f t="shared" si="977"/>
        <v>1373230</v>
      </c>
      <c r="M2715" s="2">
        <f t="shared" si="978"/>
        <v>0.4388252514145482</v>
      </c>
      <c r="N2715" s="2">
        <f t="shared" si="979"/>
        <v>0.5611747485854518</v>
      </c>
    </row>
    <row r="2716" spans="1:14" x14ac:dyDescent="0.35">
      <c r="A2716" t="s">
        <v>35</v>
      </c>
      <c r="B2716" t="s">
        <v>20</v>
      </c>
      <c r="C2716">
        <v>2004</v>
      </c>
      <c r="D2716" t="s">
        <v>33</v>
      </c>
      <c r="E2716" s="1">
        <f t="shared" ref="E2716" si="1028">SUM(E1948+E2140+E2332+E2524)</f>
        <v>706987</v>
      </c>
      <c r="F2716" s="1">
        <f t="shared" si="975"/>
        <v>169757</v>
      </c>
      <c r="G2716" s="1">
        <f t="shared" si="972"/>
        <v>876744</v>
      </c>
      <c r="H2716" s="2">
        <f t="shared" si="973"/>
        <v>0.80637791647276746</v>
      </c>
      <c r="I2716" s="2">
        <f t="shared" si="974"/>
        <v>0.19362208352723259</v>
      </c>
      <c r="J2716" s="1">
        <f t="shared" ref="J2716:K2716" si="1029">SUM(J1948+J2140+J2332+J2524)</f>
        <v>637389</v>
      </c>
      <c r="K2716" s="1">
        <f t="shared" si="1029"/>
        <v>936575</v>
      </c>
      <c r="L2716" s="1">
        <f t="shared" si="977"/>
        <v>1573964</v>
      </c>
      <c r="M2716" s="2">
        <f t="shared" si="978"/>
        <v>0.40495780081374161</v>
      </c>
      <c r="N2716" s="2">
        <f t="shared" si="979"/>
        <v>0.59504219918625834</v>
      </c>
    </row>
    <row r="2717" spans="1:14" x14ac:dyDescent="0.35">
      <c r="A2717" t="s">
        <v>35</v>
      </c>
      <c r="B2717" t="s">
        <v>21</v>
      </c>
      <c r="C2717">
        <v>2004</v>
      </c>
      <c r="D2717" t="s">
        <v>33</v>
      </c>
      <c r="E2717" s="1">
        <f t="shared" ref="E2717" si="1030">SUM(E1949+E2141+E2333+E2525)</f>
        <v>637812</v>
      </c>
      <c r="F2717" s="1">
        <f t="shared" si="975"/>
        <v>156086</v>
      </c>
      <c r="G2717" s="1">
        <f t="shared" si="972"/>
        <v>793898</v>
      </c>
      <c r="H2717" s="2">
        <f t="shared" si="973"/>
        <v>0.80339287918599112</v>
      </c>
      <c r="I2717" s="2">
        <f t="shared" si="974"/>
        <v>0.19660712081400886</v>
      </c>
      <c r="J2717" s="1">
        <f t="shared" ref="J2717:K2717" si="1031">SUM(J1949+J2141+J2333+J2525)</f>
        <v>613720</v>
      </c>
      <c r="K2717" s="1">
        <f t="shared" si="1031"/>
        <v>879306</v>
      </c>
      <c r="L2717" s="1">
        <f t="shared" si="977"/>
        <v>1493026</v>
      </c>
      <c r="M2717" s="2">
        <f t="shared" si="978"/>
        <v>0.4110578114513746</v>
      </c>
      <c r="N2717" s="2">
        <f t="shared" si="979"/>
        <v>0.58894218854862546</v>
      </c>
    </row>
    <row r="2718" spans="1:14" x14ac:dyDescent="0.35">
      <c r="A2718" t="s">
        <v>35</v>
      </c>
      <c r="B2718" t="s">
        <v>22</v>
      </c>
      <c r="C2718">
        <v>2004</v>
      </c>
      <c r="D2718" t="s">
        <v>33</v>
      </c>
      <c r="E2718" s="1">
        <f t="shared" ref="E2718" si="1032">SUM(E1950+E2142+E2334+E2526)</f>
        <v>599450</v>
      </c>
      <c r="F2718" s="1">
        <f t="shared" si="975"/>
        <v>153497</v>
      </c>
      <c r="G2718" s="1">
        <f t="shared" si="972"/>
        <v>752947</v>
      </c>
      <c r="H2718" s="2">
        <f t="shared" si="973"/>
        <v>0.79613837361726658</v>
      </c>
      <c r="I2718" s="2">
        <f t="shared" si="974"/>
        <v>0.20386162638273345</v>
      </c>
      <c r="J2718" s="1">
        <f t="shared" ref="J2718:K2718" si="1033">SUM(J1950+J2142+J2334+J2526)</f>
        <v>586829</v>
      </c>
      <c r="K2718" s="1">
        <f t="shared" si="1033"/>
        <v>847438</v>
      </c>
      <c r="L2718" s="1">
        <f t="shared" si="977"/>
        <v>1434267</v>
      </c>
      <c r="M2718" s="2">
        <f t="shared" si="978"/>
        <v>0.4091490635983398</v>
      </c>
      <c r="N2718" s="2">
        <f t="shared" si="979"/>
        <v>0.5908509364016602</v>
      </c>
    </row>
    <row r="2719" spans="1:14" x14ac:dyDescent="0.35">
      <c r="A2719" t="s">
        <v>35</v>
      </c>
      <c r="B2719" t="s">
        <v>23</v>
      </c>
      <c r="C2719">
        <v>2004</v>
      </c>
      <c r="D2719" t="s">
        <v>33</v>
      </c>
      <c r="E2719" s="1">
        <f t="shared" ref="E2719" si="1034">SUM(E1951+E2143+E2335+E2527)</f>
        <v>644759</v>
      </c>
      <c r="F2719" s="1">
        <f t="shared" si="975"/>
        <v>170172</v>
      </c>
      <c r="G2719" s="1">
        <f t="shared" si="972"/>
        <v>814931</v>
      </c>
      <c r="H2719" s="2">
        <f t="shared" si="973"/>
        <v>0.7911823209572344</v>
      </c>
      <c r="I2719" s="2">
        <f t="shared" si="974"/>
        <v>0.20881767904276557</v>
      </c>
      <c r="J2719" s="1">
        <f t="shared" ref="J2719:K2719" si="1035">SUM(J1951+J2143+J2335+J2527)</f>
        <v>888440</v>
      </c>
      <c r="K2719" s="1">
        <f t="shared" si="1035"/>
        <v>1224573</v>
      </c>
      <c r="L2719" s="1">
        <f t="shared" si="977"/>
        <v>2113013</v>
      </c>
      <c r="M2719" s="2">
        <f t="shared" si="978"/>
        <v>0.42046120871002685</v>
      </c>
      <c r="N2719" s="2">
        <f t="shared" si="979"/>
        <v>0.5795387912899731</v>
      </c>
    </row>
    <row r="2720" spans="1:14" x14ac:dyDescent="0.35">
      <c r="A2720" t="s">
        <v>35</v>
      </c>
      <c r="B2720" t="s">
        <v>24</v>
      </c>
      <c r="C2720">
        <v>2004</v>
      </c>
      <c r="D2720" t="s">
        <v>33</v>
      </c>
      <c r="E2720" s="1">
        <f t="shared" ref="E2720" si="1036">SUM(E1952+E2144+E2336+E2528)</f>
        <v>621508</v>
      </c>
      <c r="F2720" s="1">
        <f t="shared" si="975"/>
        <v>173958</v>
      </c>
      <c r="G2720" s="1">
        <f t="shared" si="972"/>
        <v>795466</v>
      </c>
      <c r="H2720" s="2">
        <f t="shared" si="973"/>
        <v>0.78131309194861875</v>
      </c>
      <c r="I2720" s="2">
        <f t="shared" si="974"/>
        <v>0.21868690805138119</v>
      </c>
      <c r="J2720" s="1">
        <f t="shared" ref="J2720:K2720" si="1037">SUM(J1952+J2144+J2336+J2528)</f>
        <v>941294</v>
      </c>
      <c r="K2720" s="1">
        <f t="shared" si="1037"/>
        <v>1162580</v>
      </c>
      <c r="L2720" s="1">
        <f t="shared" si="977"/>
        <v>2103874</v>
      </c>
      <c r="M2720" s="2">
        <f t="shared" si="978"/>
        <v>0.44740987340496624</v>
      </c>
      <c r="N2720" s="2">
        <f t="shared" si="979"/>
        <v>0.5525901265950337</v>
      </c>
    </row>
    <row r="2721" spans="1:14" x14ac:dyDescent="0.35">
      <c r="A2721" t="s">
        <v>35</v>
      </c>
      <c r="B2721" t="s">
        <v>25</v>
      </c>
      <c r="C2721">
        <v>2004</v>
      </c>
      <c r="D2721" t="s">
        <v>33</v>
      </c>
      <c r="E2721" s="1">
        <f t="shared" ref="E2721" si="1038">SUM(E1953+E2145+E2337+E2529)</f>
        <v>645268</v>
      </c>
      <c r="F2721" s="1">
        <f t="shared" si="975"/>
        <v>188166</v>
      </c>
      <c r="G2721" s="1">
        <f t="shared" si="972"/>
        <v>833434</v>
      </c>
      <c r="H2721" s="2">
        <f t="shared" si="973"/>
        <v>0.77422807324875154</v>
      </c>
      <c r="I2721" s="2">
        <f t="shared" si="974"/>
        <v>0.22577192675124844</v>
      </c>
      <c r="J2721" s="1">
        <f t="shared" ref="J2721:K2721" si="1039">SUM(J1953+J2145+J2337+J2529)</f>
        <v>947967</v>
      </c>
      <c r="K2721" s="1">
        <f t="shared" si="1039"/>
        <v>1210547</v>
      </c>
      <c r="L2721" s="1">
        <f t="shared" si="977"/>
        <v>2158514</v>
      </c>
      <c r="M2721" s="2">
        <f t="shared" si="978"/>
        <v>0.43917574775980139</v>
      </c>
      <c r="N2721" s="2">
        <f t="shared" si="979"/>
        <v>0.56082425224019861</v>
      </c>
    </row>
    <row r="2722" spans="1:14" x14ac:dyDescent="0.35">
      <c r="A2722" t="s">
        <v>35</v>
      </c>
      <c r="B2722" t="s">
        <v>26</v>
      </c>
      <c r="C2722">
        <v>2004</v>
      </c>
      <c r="D2722" t="s">
        <v>33</v>
      </c>
      <c r="E2722" s="1">
        <f t="shared" ref="E2722" si="1040">SUM(E1954+E2146+E2338+E2530)</f>
        <v>600087</v>
      </c>
      <c r="F2722" s="1">
        <f t="shared" si="975"/>
        <v>183170</v>
      </c>
      <c r="G2722" s="1">
        <f t="shared" si="972"/>
        <v>783257</v>
      </c>
      <c r="H2722" s="2">
        <f t="shared" si="973"/>
        <v>0.76614316884496403</v>
      </c>
      <c r="I2722" s="2">
        <f t="shared" si="974"/>
        <v>0.23385683115503597</v>
      </c>
      <c r="J2722" s="1">
        <f t="shared" ref="J2722:K2722" si="1041">SUM(J1954+J2146+J2338+J2530)</f>
        <v>849782</v>
      </c>
      <c r="K2722" s="1">
        <f t="shared" si="1041"/>
        <v>1160029</v>
      </c>
      <c r="L2722" s="1">
        <f t="shared" si="977"/>
        <v>2009811</v>
      </c>
      <c r="M2722" s="2">
        <f t="shared" si="978"/>
        <v>0.42281687183521238</v>
      </c>
      <c r="N2722" s="2">
        <f t="shared" si="979"/>
        <v>0.57718312816478767</v>
      </c>
    </row>
    <row r="2723" spans="1:14" x14ac:dyDescent="0.35">
      <c r="A2723" t="s">
        <v>35</v>
      </c>
      <c r="B2723" t="s">
        <v>27</v>
      </c>
      <c r="C2723">
        <v>2004</v>
      </c>
      <c r="D2723" t="s">
        <v>33</v>
      </c>
      <c r="E2723" s="1">
        <f t="shared" ref="E2723" si="1042">SUM(E1955+E2147+E2339+E2531)</f>
        <v>592737</v>
      </c>
      <c r="F2723" s="1">
        <f t="shared" si="975"/>
        <v>188904</v>
      </c>
      <c r="G2723" s="1">
        <f t="shared" si="972"/>
        <v>781641</v>
      </c>
      <c r="H2723" s="2">
        <f t="shared" si="973"/>
        <v>0.75832383408751591</v>
      </c>
      <c r="I2723" s="2">
        <f t="shared" si="974"/>
        <v>0.24167616591248411</v>
      </c>
      <c r="J2723" s="1">
        <f t="shared" ref="J2723:K2723" si="1043">SUM(J1955+J2147+J2339+J2531)</f>
        <v>713996</v>
      </c>
      <c r="K2723" s="1">
        <f t="shared" si="1043"/>
        <v>1273948</v>
      </c>
      <c r="L2723" s="1">
        <f t="shared" si="977"/>
        <v>1987944</v>
      </c>
      <c r="M2723" s="2">
        <f t="shared" si="978"/>
        <v>0.35916303477361533</v>
      </c>
      <c r="N2723" s="2">
        <f t="shared" si="979"/>
        <v>0.64083696522638467</v>
      </c>
    </row>
    <row r="2724" spans="1:14" x14ac:dyDescent="0.35">
      <c r="A2724" t="s">
        <v>35</v>
      </c>
      <c r="B2724" t="s">
        <v>28</v>
      </c>
      <c r="C2724">
        <v>2004</v>
      </c>
      <c r="D2724" t="s">
        <v>33</v>
      </c>
      <c r="E2724" s="1">
        <f t="shared" ref="E2724" si="1044">SUM(E1956+E2148+E2340+E2532)</f>
        <v>565016</v>
      </c>
      <c r="F2724" s="1">
        <f t="shared" si="975"/>
        <v>187208</v>
      </c>
      <c r="G2724" s="1">
        <f t="shared" si="972"/>
        <v>752224</v>
      </c>
      <c r="H2724" s="2">
        <f t="shared" si="973"/>
        <v>0.75112732377589653</v>
      </c>
      <c r="I2724" s="2">
        <f t="shared" si="974"/>
        <v>0.24887267622410345</v>
      </c>
      <c r="J2724" s="1">
        <f t="shared" ref="J2724:K2724" si="1045">SUM(J1956+J2148+J2340+J2532)</f>
        <v>590812</v>
      </c>
      <c r="K2724" s="1">
        <f t="shared" si="1045"/>
        <v>935565</v>
      </c>
      <c r="L2724" s="1">
        <f t="shared" si="977"/>
        <v>1526377</v>
      </c>
      <c r="M2724" s="2">
        <f t="shared" si="978"/>
        <v>0.38706820136833825</v>
      </c>
      <c r="N2724" s="2">
        <f t="shared" si="979"/>
        <v>0.61293179863166181</v>
      </c>
    </row>
    <row r="2725" spans="1:14" x14ac:dyDescent="0.35">
      <c r="A2725" t="s">
        <v>35</v>
      </c>
      <c r="B2725" t="s">
        <v>29</v>
      </c>
      <c r="C2725">
        <v>2004</v>
      </c>
      <c r="D2725" t="s">
        <v>33</v>
      </c>
      <c r="E2725" s="1">
        <f t="shared" ref="E2725" si="1046">SUM(E1957+E2149+E2341+E2533)</f>
        <v>549929</v>
      </c>
      <c r="F2725" s="1">
        <f t="shared" si="975"/>
        <v>188231</v>
      </c>
      <c r="G2725" s="1">
        <f t="shared" si="972"/>
        <v>738160</v>
      </c>
      <c r="H2725" s="2">
        <f t="shared" si="973"/>
        <v>0.74499972905603118</v>
      </c>
      <c r="I2725" s="2">
        <f t="shared" si="974"/>
        <v>0.25500027094396877</v>
      </c>
      <c r="J2725" s="1">
        <f t="shared" ref="J2725:K2725" si="1047">SUM(J1957+J2149+J2341+J2533)</f>
        <v>519265</v>
      </c>
      <c r="K2725" s="1">
        <f t="shared" si="1047"/>
        <v>1101590</v>
      </c>
      <c r="L2725" s="1">
        <f t="shared" si="977"/>
        <v>1620855</v>
      </c>
      <c r="M2725" s="2">
        <f t="shared" si="978"/>
        <v>0.32036486915856138</v>
      </c>
      <c r="N2725" s="2">
        <f t="shared" si="979"/>
        <v>0.67963513084143867</v>
      </c>
    </row>
    <row r="2726" spans="1:14" x14ac:dyDescent="0.35">
      <c r="A2726" t="s">
        <v>35</v>
      </c>
      <c r="B2726" t="s">
        <v>17</v>
      </c>
      <c r="C2726">
        <v>2005</v>
      </c>
      <c r="D2726" t="s">
        <v>33</v>
      </c>
      <c r="E2726" s="1">
        <f t="shared" ref="E2726" si="1048">SUM(E1958+E2150+E2342+E2534)</f>
        <v>593112</v>
      </c>
      <c r="F2726" s="1">
        <f t="shared" si="975"/>
        <v>209524</v>
      </c>
      <c r="G2726" s="1">
        <f t="shared" si="972"/>
        <v>802636</v>
      </c>
      <c r="H2726" s="2">
        <f t="shared" si="973"/>
        <v>0.73895514280445929</v>
      </c>
      <c r="I2726" s="2">
        <f t="shared" si="974"/>
        <v>0.26104485719554071</v>
      </c>
      <c r="J2726" s="1">
        <f t="shared" ref="J2726:K2726" si="1049">SUM(J1958+J2150+J2342+J2534)</f>
        <v>662806</v>
      </c>
      <c r="K2726" s="1">
        <f t="shared" si="1049"/>
        <v>996254</v>
      </c>
      <c r="L2726" s="1">
        <f t="shared" si="977"/>
        <v>1659060</v>
      </c>
      <c r="M2726" s="2">
        <f t="shared" si="978"/>
        <v>0.3995069497185153</v>
      </c>
      <c r="N2726" s="2">
        <f t="shared" si="979"/>
        <v>0.6004930502814847</v>
      </c>
    </row>
    <row r="2727" spans="1:14" x14ac:dyDescent="0.35">
      <c r="A2727" t="s">
        <v>35</v>
      </c>
      <c r="B2727" t="s">
        <v>19</v>
      </c>
      <c r="C2727">
        <v>2005</v>
      </c>
      <c r="D2727" t="s">
        <v>33</v>
      </c>
      <c r="E2727" s="1">
        <f t="shared" ref="E2727" si="1050">SUM(E1959+E2151+E2343+E2535)</f>
        <v>533075</v>
      </c>
      <c r="F2727" s="1">
        <f t="shared" si="975"/>
        <v>193199</v>
      </c>
      <c r="G2727" s="1">
        <f t="shared" si="972"/>
        <v>726274</v>
      </c>
      <c r="H2727" s="2">
        <f t="shared" si="973"/>
        <v>0.73398607137251226</v>
      </c>
      <c r="I2727" s="2">
        <f t="shared" si="974"/>
        <v>0.26601392862748768</v>
      </c>
      <c r="J2727" s="1">
        <f t="shared" ref="J2727:K2727" si="1051">SUM(J1959+J2151+J2343+J2535)</f>
        <v>468590</v>
      </c>
      <c r="K2727" s="1">
        <f t="shared" si="1051"/>
        <v>879750</v>
      </c>
      <c r="L2727" s="1">
        <f t="shared" si="977"/>
        <v>1348340</v>
      </c>
      <c r="M2727" s="2">
        <f t="shared" si="978"/>
        <v>0.34753103816544789</v>
      </c>
      <c r="N2727" s="2">
        <f t="shared" si="979"/>
        <v>0.65246896183455216</v>
      </c>
    </row>
    <row r="2728" spans="1:14" x14ac:dyDescent="0.35">
      <c r="A2728" t="s">
        <v>35</v>
      </c>
      <c r="B2728" t="s">
        <v>20</v>
      </c>
      <c r="C2728">
        <v>2005</v>
      </c>
      <c r="D2728" t="s">
        <v>33</v>
      </c>
      <c r="E2728" s="1">
        <f t="shared" ref="E2728" si="1052">SUM(E1960+E2152+E2344+E2536)</f>
        <v>582473</v>
      </c>
      <c r="F2728" s="1">
        <f t="shared" si="975"/>
        <v>214087</v>
      </c>
      <c r="G2728" s="1">
        <f t="shared" si="972"/>
        <v>796560</v>
      </c>
      <c r="H2728" s="2">
        <f t="shared" si="973"/>
        <v>0.73123556292055836</v>
      </c>
      <c r="I2728" s="2">
        <f t="shared" si="974"/>
        <v>0.26876443707944159</v>
      </c>
      <c r="J2728" s="1">
        <f t="shared" ref="J2728:K2728" si="1053">SUM(J1960+J2152+J2344+J2536)</f>
        <v>465289</v>
      </c>
      <c r="K2728" s="1">
        <f t="shared" si="1053"/>
        <v>1152117</v>
      </c>
      <c r="L2728" s="1">
        <f t="shared" si="977"/>
        <v>1617406</v>
      </c>
      <c r="M2728" s="2">
        <f t="shared" si="978"/>
        <v>0.28767606896474973</v>
      </c>
      <c r="N2728" s="2">
        <f t="shared" si="979"/>
        <v>0.71232393103525027</v>
      </c>
    </row>
    <row r="2729" spans="1:14" x14ac:dyDescent="0.35">
      <c r="A2729" t="s">
        <v>35</v>
      </c>
      <c r="B2729" t="s">
        <v>21</v>
      </c>
      <c r="C2729">
        <v>2005</v>
      </c>
      <c r="D2729" t="s">
        <v>33</v>
      </c>
      <c r="E2729" s="1">
        <f t="shared" ref="E2729" si="1054">SUM(E1961+E2153+E2345+E2537)</f>
        <v>552797</v>
      </c>
      <c r="F2729" s="1">
        <f t="shared" si="975"/>
        <v>205601</v>
      </c>
      <c r="G2729" s="1">
        <f t="shared" si="972"/>
        <v>758398</v>
      </c>
      <c r="H2729" s="2">
        <f t="shared" si="973"/>
        <v>0.72890092009736318</v>
      </c>
      <c r="I2729" s="2">
        <f t="shared" si="974"/>
        <v>0.27109907990263687</v>
      </c>
      <c r="J2729" s="1">
        <f t="shared" ref="J2729:K2729" si="1055">SUM(J1961+J2153+J2345+J2537)</f>
        <v>472925</v>
      </c>
      <c r="K2729" s="1">
        <f t="shared" si="1055"/>
        <v>1010694</v>
      </c>
      <c r="L2729" s="1">
        <f t="shared" si="977"/>
        <v>1483619</v>
      </c>
      <c r="M2729" s="2">
        <f t="shared" si="978"/>
        <v>0.31876445367712331</v>
      </c>
      <c r="N2729" s="2">
        <f t="shared" si="979"/>
        <v>0.68123554632287675</v>
      </c>
    </row>
    <row r="2730" spans="1:14" x14ac:dyDescent="0.35">
      <c r="A2730" t="s">
        <v>35</v>
      </c>
      <c r="B2730" t="s">
        <v>22</v>
      </c>
      <c r="C2730">
        <v>2005</v>
      </c>
      <c r="D2730" t="s">
        <v>33</v>
      </c>
      <c r="E2730" s="1">
        <f t="shared" ref="E2730" si="1056">SUM(E1962+E2154+E2346+E2538)</f>
        <v>553630</v>
      </c>
      <c r="F2730" s="1">
        <f t="shared" si="975"/>
        <v>210048</v>
      </c>
      <c r="G2730" s="1">
        <f t="shared" si="972"/>
        <v>763678</v>
      </c>
      <c r="H2730" s="2">
        <f t="shared" si="973"/>
        <v>0.72495213951429793</v>
      </c>
      <c r="I2730" s="2">
        <f t="shared" si="974"/>
        <v>0.27504786048570207</v>
      </c>
      <c r="J2730" s="1">
        <f t="shared" ref="J2730:K2730" si="1057">SUM(J1962+J2154+J2346+J2538)</f>
        <v>505939</v>
      </c>
      <c r="K2730" s="1">
        <f t="shared" si="1057"/>
        <v>997100</v>
      </c>
      <c r="L2730" s="1">
        <f t="shared" si="977"/>
        <v>1503039</v>
      </c>
      <c r="M2730" s="2">
        <f t="shared" si="978"/>
        <v>0.33661069340183453</v>
      </c>
      <c r="N2730" s="2">
        <f t="shared" si="979"/>
        <v>0.66338930659816542</v>
      </c>
    </row>
    <row r="2731" spans="1:14" x14ac:dyDescent="0.35">
      <c r="A2731" t="s">
        <v>35</v>
      </c>
      <c r="B2731" t="s">
        <v>23</v>
      </c>
      <c r="C2731">
        <v>2005</v>
      </c>
      <c r="D2731" t="s">
        <v>33</v>
      </c>
      <c r="E2731" s="1">
        <f t="shared" ref="E2731" si="1058">SUM(E1963+E2155+E2347+E2539)</f>
        <v>570299</v>
      </c>
      <c r="F2731" s="1">
        <f t="shared" si="975"/>
        <v>219028</v>
      </c>
      <c r="G2731" s="1">
        <f t="shared" si="972"/>
        <v>789327</v>
      </c>
      <c r="H2731" s="2">
        <f t="shared" si="973"/>
        <v>0.72251297624431954</v>
      </c>
      <c r="I2731" s="2">
        <f t="shared" si="974"/>
        <v>0.27748702375568046</v>
      </c>
      <c r="J2731" s="1">
        <f t="shared" ref="J2731:K2731" si="1059">SUM(J1963+J2155+J2347+J2539)</f>
        <v>743224</v>
      </c>
      <c r="K2731" s="1">
        <f t="shared" si="1059"/>
        <v>1300850</v>
      </c>
      <c r="L2731" s="1">
        <f t="shared" si="977"/>
        <v>2044074</v>
      </c>
      <c r="M2731" s="2">
        <f t="shared" si="978"/>
        <v>0.36359936088419498</v>
      </c>
      <c r="N2731" s="2">
        <f t="shared" si="979"/>
        <v>0.63640063911580502</v>
      </c>
    </row>
    <row r="2732" spans="1:14" x14ac:dyDescent="0.35">
      <c r="A2732" t="s">
        <v>35</v>
      </c>
      <c r="B2732" t="s">
        <v>24</v>
      </c>
      <c r="C2732">
        <v>2005</v>
      </c>
      <c r="D2732" t="s">
        <v>33</v>
      </c>
      <c r="E2732" s="1">
        <f t="shared" ref="E2732" si="1060">SUM(E1964+E2156+E2348+E2540)</f>
        <v>551580</v>
      </c>
      <c r="F2732" s="1">
        <f t="shared" si="975"/>
        <v>216413</v>
      </c>
      <c r="G2732" s="1">
        <f t="shared" si="972"/>
        <v>767993</v>
      </c>
      <c r="H2732" s="2">
        <f t="shared" si="973"/>
        <v>0.71820967118189882</v>
      </c>
      <c r="I2732" s="2">
        <f t="shared" si="974"/>
        <v>0.28179032881810123</v>
      </c>
      <c r="J2732" s="1">
        <f t="shared" ref="J2732:K2732" si="1061">SUM(J1964+J2156+J2348+J2540)</f>
        <v>797733</v>
      </c>
      <c r="K2732" s="1">
        <f t="shared" si="1061"/>
        <v>1278225</v>
      </c>
      <c r="L2732" s="1">
        <f t="shared" si="977"/>
        <v>2075958</v>
      </c>
      <c r="M2732" s="2">
        <f t="shared" si="978"/>
        <v>0.38427222516062465</v>
      </c>
      <c r="N2732" s="2">
        <f t="shared" si="979"/>
        <v>0.61572777483937535</v>
      </c>
    </row>
    <row r="2733" spans="1:14" x14ac:dyDescent="0.35">
      <c r="A2733" t="s">
        <v>35</v>
      </c>
      <c r="B2733" t="s">
        <v>25</v>
      </c>
      <c r="C2733">
        <v>2005</v>
      </c>
      <c r="D2733" t="s">
        <v>33</v>
      </c>
      <c r="E2733" s="1">
        <f t="shared" ref="E2733" si="1062">SUM(E1965+E2157+E2349+E2541)</f>
        <v>619429</v>
      </c>
      <c r="F2733" s="1">
        <f t="shared" si="975"/>
        <v>250078</v>
      </c>
      <c r="G2733" s="1">
        <f t="shared" si="972"/>
        <v>869507</v>
      </c>
      <c r="H2733" s="2">
        <f t="shared" si="973"/>
        <v>0.71239104458043467</v>
      </c>
      <c r="I2733" s="2">
        <f t="shared" si="974"/>
        <v>0.28760895541956533</v>
      </c>
      <c r="J2733" s="1">
        <f t="shared" ref="J2733:K2733" si="1063">SUM(J1965+J2157+J2349+J2541)</f>
        <v>868315</v>
      </c>
      <c r="K2733" s="1">
        <f t="shared" si="1063"/>
        <v>1491081</v>
      </c>
      <c r="L2733" s="1">
        <f t="shared" si="977"/>
        <v>2359396</v>
      </c>
      <c r="M2733" s="2">
        <f t="shared" si="978"/>
        <v>0.36802427400911081</v>
      </c>
      <c r="N2733" s="2">
        <f t="shared" si="979"/>
        <v>0.63197572599088925</v>
      </c>
    </row>
    <row r="2734" spans="1:14" x14ac:dyDescent="0.35">
      <c r="A2734" t="s">
        <v>35</v>
      </c>
      <c r="B2734" t="s">
        <v>26</v>
      </c>
      <c r="C2734">
        <v>2005</v>
      </c>
      <c r="D2734" t="s">
        <v>33</v>
      </c>
      <c r="E2734" s="1">
        <f t="shared" ref="E2734" si="1064">SUM(E1966+E2158+E2350+E2542)</f>
        <v>572066</v>
      </c>
      <c r="F2734" s="1">
        <f t="shared" si="975"/>
        <v>237779</v>
      </c>
      <c r="G2734" s="1">
        <f t="shared" si="972"/>
        <v>809845</v>
      </c>
      <c r="H2734" s="2">
        <f t="shared" si="973"/>
        <v>0.70638949428594355</v>
      </c>
      <c r="I2734" s="2">
        <f t="shared" si="974"/>
        <v>0.29361050571405639</v>
      </c>
      <c r="J2734" s="1">
        <f t="shared" ref="J2734:K2734" si="1065">SUM(J1966+J2158+J2350+J2542)</f>
        <v>811670</v>
      </c>
      <c r="K2734" s="1">
        <f t="shared" si="1065"/>
        <v>1430653</v>
      </c>
      <c r="L2734" s="1">
        <f t="shared" si="977"/>
        <v>2242323</v>
      </c>
      <c r="M2734" s="2">
        <f t="shared" si="978"/>
        <v>0.36197728873137369</v>
      </c>
      <c r="N2734" s="2">
        <f t="shared" si="979"/>
        <v>0.63802271126862631</v>
      </c>
    </row>
    <row r="2735" spans="1:14" x14ac:dyDescent="0.35">
      <c r="A2735" t="s">
        <v>35</v>
      </c>
      <c r="B2735" t="s">
        <v>27</v>
      </c>
      <c r="C2735">
        <v>2005</v>
      </c>
      <c r="D2735" t="s">
        <v>33</v>
      </c>
      <c r="E2735" s="1">
        <f t="shared" ref="E2735" si="1066">SUM(E1967+E2159+E2351+E2543)</f>
        <v>559307</v>
      </c>
      <c r="F2735" s="1">
        <f t="shared" si="975"/>
        <v>241506</v>
      </c>
      <c r="G2735" s="1">
        <f t="shared" si="972"/>
        <v>800813</v>
      </c>
      <c r="H2735" s="2">
        <f t="shared" si="973"/>
        <v>0.698423976633746</v>
      </c>
      <c r="I2735" s="2">
        <f t="shared" si="974"/>
        <v>0.30157602336625405</v>
      </c>
      <c r="J2735" s="1">
        <f t="shared" ref="J2735:K2735" si="1067">SUM(J1967+J2159+J2351+J2543)</f>
        <v>660600</v>
      </c>
      <c r="K2735" s="1">
        <f t="shared" si="1067"/>
        <v>1343335</v>
      </c>
      <c r="L2735" s="1">
        <f t="shared" si="977"/>
        <v>2003935</v>
      </c>
      <c r="M2735" s="2">
        <f t="shared" si="978"/>
        <v>0.32965141084915428</v>
      </c>
      <c r="N2735" s="2">
        <f t="shared" si="979"/>
        <v>0.67034858915084572</v>
      </c>
    </row>
    <row r="2736" spans="1:14" x14ac:dyDescent="0.35">
      <c r="A2736" t="s">
        <v>35</v>
      </c>
      <c r="B2736" t="s">
        <v>28</v>
      </c>
      <c r="C2736">
        <v>2005</v>
      </c>
      <c r="D2736" t="s">
        <v>33</v>
      </c>
      <c r="E2736" s="1">
        <f t="shared" ref="E2736" si="1068">SUM(E1968+E2160+E2352+E2544)</f>
        <v>524343</v>
      </c>
      <c r="F2736" s="1">
        <f t="shared" si="975"/>
        <v>231808</v>
      </c>
      <c r="G2736" s="1">
        <f t="shared" si="972"/>
        <v>756151</v>
      </c>
      <c r="H2736" s="2">
        <f t="shared" si="973"/>
        <v>0.69343689289573118</v>
      </c>
      <c r="I2736" s="2">
        <f t="shared" si="974"/>
        <v>0.30656310710426887</v>
      </c>
      <c r="J2736" s="1">
        <f t="shared" ref="J2736:K2736" si="1069">SUM(J1968+J2160+J2352+J2544)</f>
        <v>445917</v>
      </c>
      <c r="K2736" s="1">
        <f t="shared" si="1069"/>
        <v>1151572</v>
      </c>
      <c r="L2736" s="1">
        <f t="shared" si="977"/>
        <v>1597489</v>
      </c>
      <c r="M2736" s="2">
        <f t="shared" si="978"/>
        <v>0.27913619436503162</v>
      </c>
      <c r="N2736" s="2">
        <f t="shared" si="979"/>
        <v>0.72086380563496832</v>
      </c>
    </row>
    <row r="2737" spans="1:14" x14ac:dyDescent="0.35">
      <c r="A2737" t="s">
        <v>35</v>
      </c>
      <c r="B2737" t="s">
        <v>29</v>
      </c>
      <c r="C2737">
        <v>2005</v>
      </c>
      <c r="D2737" t="s">
        <v>33</v>
      </c>
      <c r="E2737" s="1">
        <f t="shared" ref="E2737" si="1070">SUM(E1969+E2161+E2353+E2545)</f>
        <v>524159</v>
      </c>
      <c r="F2737" s="1">
        <f t="shared" si="975"/>
        <v>238134</v>
      </c>
      <c r="G2737" s="1">
        <f t="shared" si="972"/>
        <v>762293</v>
      </c>
      <c r="H2737" s="2">
        <f t="shared" si="973"/>
        <v>0.68760830809150808</v>
      </c>
      <c r="I2737" s="2">
        <f t="shared" si="974"/>
        <v>0.31239169190849186</v>
      </c>
      <c r="J2737" s="1">
        <f t="shared" ref="J2737:K2737" si="1071">SUM(J1969+J2161+J2353+J2545)</f>
        <v>487946</v>
      </c>
      <c r="K2737" s="1">
        <f t="shared" si="1071"/>
        <v>1138983</v>
      </c>
      <c r="L2737" s="1">
        <f t="shared" si="977"/>
        <v>1626929</v>
      </c>
      <c r="M2737" s="2">
        <f t="shared" si="978"/>
        <v>0.29991843528512924</v>
      </c>
      <c r="N2737" s="2">
        <f t="shared" si="979"/>
        <v>0.70008156471487082</v>
      </c>
    </row>
    <row r="2738" spans="1:14" x14ac:dyDescent="0.35">
      <c r="A2738" t="s">
        <v>35</v>
      </c>
      <c r="B2738" t="s">
        <v>17</v>
      </c>
      <c r="C2738">
        <v>2006</v>
      </c>
      <c r="D2738" t="s">
        <v>33</v>
      </c>
      <c r="E2738" s="1">
        <f t="shared" ref="E2738" si="1072">SUM(E1970+E2162+E2354+E2546)</f>
        <v>548287</v>
      </c>
      <c r="F2738" s="1">
        <f t="shared" si="975"/>
        <v>254259</v>
      </c>
      <c r="G2738" s="1">
        <f t="shared" si="972"/>
        <v>802546</v>
      </c>
      <c r="H2738" s="2">
        <f t="shared" si="973"/>
        <v>0.68318451528012103</v>
      </c>
      <c r="I2738" s="2">
        <f t="shared" si="974"/>
        <v>0.31681548471987897</v>
      </c>
      <c r="J2738" s="1">
        <f t="shared" ref="J2738:K2738" si="1073">SUM(J1970+J2162+J2354+J2546)</f>
        <v>512714</v>
      </c>
      <c r="K2738" s="1">
        <f t="shared" si="1073"/>
        <v>1103765</v>
      </c>
      <c r="L2738" s="1">
        <f t="shared" si="977"/>
        <v>1616479</v>
      </c>
      <c r="M2738" s="2">
        <f t="shared" si="978"/>
        <v>0.31717949939343476</v>
      </c>
      <c r="N2738" s="2">
        <f t="shared" si="979"/>
        <v>0.68282050060656529</v>
      </c>
    </row>
    <row r="2739" spans="1:14" x14ac:dyDescent="0.35">
      <c r="A2739" t="s">
        <v>35</v>
      </c>
      <c r="B2739" t="s">
        <v>19</v>
      </c>
      <c r="C2739">
        <v>2006</v>
      </c>
      <c r="D2739" t="s">
        <v>33</v>
      </c>
      <c r="E2739" s="1">
        <f t="shared" ref="E2739" si="1074">SUM(E1971+E2163+E2355+E2547)</f>
        <v>518395</v>
      </c>
      <c r="F2739" s="1">
        <f t="shared" si="975"/>
        <v>244729</v>
      </c>
      <c r="G2739" s="1">
        <f t="shared" si="972"/>
        <v>763124</v>
      </c>
      <c r="H2739" s="2">
        <f t="shared" si="973"/>
        <v>0.67930637746945455</v>
      </c>
      <c r="I2739" s="2">
        <f t="shared" si="974"/>
        <v>0.32069362253054551</v>
      </c>
      <c r="J2739" s="1">
        <f t="shared" ref="J2739:K2739" si="1075">SUM(J1971+J2163+J2355+J2547)</f>
        <v>398627</v>
      </c>
      <c r="K2739" s="1">
        <f t="shared" si="1075"/>
        <v>945310</v>
      </c>
      <c r="L2739" s="1">
        <f t="shared" si="977"/>
        <v>1343937</v>
      </c>
      <c r="M2739" s="2">
        <f t="shared" si="978"/>
        <v>0.29661137389624664</v>
      </c>
      <c r="N2739" s="2">
        <f t="shared" si="979"/>
        <v>0.70338862610375341</v>
      </c>
    </row>
    <row r="2740" spans="1:14" x14ac:dyDescent="0.35">
      <c r="A2740" t="s">
        <v>35</v>
      </c>
      <c r="B2740" t="s">
        <v>20</v>
      </c>
      <c r="C2740">
        <v>2006</v>
      </c>
      <c r="D2740" t="s">
        <v>33</v>
      </c>
      <c r="E2740" s="1">
        <f t="shared" ref="E2740" si="1076">SUM(E1972+E2164+E2356+E2548)</f>
        <v>596062</v>
      </c>
      <c r="F2740" s="1">
        <f t="shared" si="975"/>
        <v>284851</v>
      </c>
      <c r="G2740" s="1">
        <f t="shared" si="972"/>
        <v>880913</v>
      </c>
      <c r="H2740" s="2">
        <f t="shared" si="973"/>
        <v>0.67664116660782625</v>
      </c>
      <c r="I2740" s="2">
        <f t="shared" si="974"/>
        <v>0.32335883339217381</v>
      </c>
      <c r="J2740" s="1">
        <f t="shared" ref="J2740:K2740" si="1077">SUM(J1972+J2164+J2356+J2548)</f>
        <v>481305</v>
      </c>
      <c r="K2740" s="1">
        <f t="shared" si="1077"/>
        <v>1326734</v>
      </c>
      <c r="L2740" s="1">
        <f t="shared" si="977"/>
        <v>1808039</v>
      </c>
      <c r="M2740" s="2">
        <f t="shared" si="978"/>
        <v>0.26620277549322774</v>
      </c>
      <c r="N2740" s="2">
        <f t="shared" si="979"/>
        <v>0.73379722450677221</v>
      </c>
    </row>
    <row r="2741" spans="1:14" x14ac:dyDescent="0.35">
      <c r="A2741" t="s">
        <v>35</v>
      </c>
      <c r="B2741" t="s">
        <v>21</v>
      </c>
      <c r="C2741">
        <v>2006</v>
      </c>
      <c r="D2741" t="s">
        <v>33</v>
      </c>
      <c r="E2741" s="1">
        <f t="shared" ref="E2741" si="1078">SUM(E1973+E2165+E2357+E2549)</f>
        <v>510837</v>
      </c>
      <c r="F2741" s="1">
        <f t="shared" si="975"/>
        <v>249690</v>
      </c>
      <c r="G2741" s="1">
        <f t="shared" si="972"/>
        <v>760527</v>
      </c>
      <c r="H2741" s="2">
        <f t="shared" si="973"/>
        <v>0.67168818464038749</v>
      </c>
      <c r="I2741" s="2">
        <f t="shared" si="974"/>
        <v>0.32831181535961246</v>
      </c>
      <c r="J2741" s="1">
        <f t="shared" ref="J2741:K2741" si="1079">SUM(J1973+J2165+J2357+J2549)</f>
        <v>428497</v>
      </c>
      <c r="K2741" s="1">
        <f t="shared" si="1079"/>
        <v>1030374</v>
      </c>
      <c r="L2741" s="1">
        <f t="shared" si="977"/>
        <v>1458871</v>
      </c>
      <c r="M2741" s="2">
        <f t="shared" si="978"/>
        <v>0.29371822457228913</v>
      </c>
      <c r="N2741" s="2">
        <f t="shared" si="979"/>
        <v>0.70628177542771087</v>
      </c>
    </row>
    <row r="2742" spans="1:14" x14ac:dyDescent="0.35">
      <c r="A2742" t="s">
        <v>35</v>
      </c>
      <c r="B2742" t="s">
        <v>22</v>
      </c>
      <c r="C2742">
        <v>2006</v>
      </c>
      <c r="D2742" t="s">
        <v>33</v>
      </c>
      <c r="E2742" s="1">
        <f t="shared" ref="E2742" si="1080">SUM(E1974+E2166+E2358+E2550)</f>
        <v>558953</v>
      </c>
      <c r="F2742" s="1">
        <f t="shared" si="975"/>
        <v>282146</v>
      </c>
      <c r="G2742" s="1">
        <f t="shared" si="972"/>
        <v>841099</v>
      </c>
      <c r="H2742" s="2">
        <f t="shared" si="973"/>
        <v>0.66455078415263835</v>
      </c>
      <c r="I2742" s="2">
        <f t="shared" si="974"/>
        <v>0.33544921584736159</v>
      </c>
      <c r="J2742" s="1">
        <f t="shared" ref="J2742:K2742" si="1081">SUM(J1974+J2166+J2358+J2550)</f>
        <v>596521</v>
      </c>
      <c r="K2742" s="1">
        <f t="shared" si="1081"/>
        <v>1323103</v>
      </c>
      <c r="L2742" s="1">
        <f t="shared" si="977"/>
        <v>1919624</v>
      </c>
      <c r="M2742" s="2">
        <f t="shared" si="978"/>
        <v>0.31074887582151506</v>
      </c>
      <c r="N2742" s="2">
        <f t="shared" si="979"/>
        <v>0.689251124178485</v>
      </c>
    </row>
    <row r="2743" spans="1:14" x14ac:dyDescent="0.35">
      <c r="A2743" t="s">
        <v>35</v>
      </c>
      <c r="B2743" t="s">
        <v>23</v>
      </c>
      <c r="C2743">
        <v>2006</v>
      </c>
      <c r="D2743" t="s">
        <v>33</v>
      </c>
      <c r="E2743" s="1">
        <f t="shared" ref="E2743" si="1082">SUM(E1975+E2167+E2359+E2551)</f>
        <v>550920</v>
      </c>
      <c r="F2743" s="1">
        <f t="shared" si="975"/>
        <v>289513</v>
      </c>
      <c r="G2743" s="1">
        <f t="shared" ref="G2743:G2806" si="1083">SUM(E2743:F2743)</f>
        <v>840433</v>
      </c>
      <c r="H2743" s="2">
        <f t="shared" ref="H2743:H2806" si="1084">SUM(E2743)/G2743</f>
        <v>0.65551923829740144</v>
      </c>
      <c r="I2743" s="2">
        <f t="shared" ref="I2743:I2806" si="1085">SUM(F2743/G2743)</f>
        <v>0.34448076170259856</v>
      </c>
      <c r="J2743" s="1">
        <f t="shared" ref="J2743:K2743" si="1086">SUM(J1975+J2167+J2359+J2551)</f>
        <v>674206</v>
      </c>
      <c r="K2743" s="1">
        <f t="shared" si="1086"/>
        <v>1546825</v>
      </c>
      <c r="L2743" s="1">
        <f t="shared" si="977"/>
        <v>2221031</v>
      </c>
      <c r="M2743" s="2">
        <f t="shared" si="978"/>
        <v>0.30355542088336451</v>
      </c>
      <c r="N2743" s="2">
        <f t="shared" si="979"/>
        <v>0.69644457911663549</v>
      </c>
    </row>
    <row r="2744" spans="1:14" x14ac:dyDescent="0.35">
      <c r="A2744" t="s">
        <v>35</v>
      </c>
      <c r="B2744" t="s">
        <v>24</v>
      </c>
      <c r="C2744">
        <v>2006</v>
      </c>
      <c r="D2744" t="s">
        <v>33</v>
      </c>
      <c r="E2744" s="1">
        <f t="shared" ref="E2744" si="1087">SUM(E1976+E2168+E2360+E2552)</f>
        <v>495504</v>
      </c>
      <c r="F2744" s="1">
        <f t="shared" si="975"/>
        <v>270036</v>
      </c>
      <c r="G2744" s="1">
        <f t="shared" si="1083"/>
        <v>765540</v>
      </c>
      <c r="H2744" s="2">
        <f t="shared" si="1084"/>
        <v>0.64726075711262643</v>
      </c>
      <c r="I2744" s="2">
        <f t="shared" si="1085"/>
        <v>0.35273924288737363</v>
      </c>
      <c r="J2744" s="1">
        <f t="shared" ref="J2744:K2744" si="1088">SUM(J1976+J2168+J2360+J2552)</f>
        <v>659012</v>
      </c>
      <c r="K2744" s="1">
        <f t="shared" si="1088"/>
        <v>1402856</v>
      </c>
      <c r="L2744" s="1">
        <f t="shared" si="977"/>
        <v>2061868</v>
      </c>
      <c r="M2744" s="2">
        <f t="shared" si="978"/>
        <v>0.31961890867892612</v>
      </c>
      <c r="N2744" s="2">
        <f t="shared" si="979"/>
        <v>0.68038109132107394</v>
      </c>
    </row>
    <row r="2745" spans="1:14" x14ac:dyDescent="0.35">
      <c r="A2745" t="s">
        <v>35</v>
      </c>
      <c r="B2745" t="s">
        <v>25</v>
      </c>
      <c r="C2745">
        <v>2006</v>
      </c>
      <c r="D2745" t="s">
        <v>33</v>
      </c>
      <c r="E2745" s="1">
        <f t="shared" ref="E2745" si="1089">SUM(E1977+E2169+E2361+E2553)</f>
        <v>559480</v>
      </c>
      <c r="F2745" s="1">
        <f t="shared" si="975"/>
        <v>316083</v>
      </c>
      <c r="G2745" s="1">
        <f t="shared" si="1083"/>
        <v>875563</v>
      </c>
      <c r="H2745" s="2">
        <f t="shared" si="1084"/>
        <v>0.63899456692436751</v>
      </c>
      <c r="I2745" s="2">
        <f t="shared" si="1085"/>
        <v>0.36100543307563249</v>
      </c>
      <c r="J2745" s="1">
        <f t="shared" ref="J2745:K2745" si="1090">SUM(J1977+J2169+J2361+J2553)</f>
        <v>736753</v>
      </c>
      <c r="K2745" s="1">
        <f t="shared" si="1090"/>
        <v>1528455</v>
      </c>
      <c r="L2745" s="1">
        <f t="shared" si="977"/>
        <v>2265208</v>
      </c>
      <c r="M2745" s="2">
        <f t="shared" si="978"/>
        <v>0.32524739449975454</v>
      </c>
      <c r="N2745" s="2">
        <f t="shared" si="979"/>
        <v>0.67475260550024541</v>
      </c>
    </row>
    <row r="2746" spans="1:14" x14ac:dyDescent="0.35">
      <c r="A2746" t="s">
        <v>35</v>
      </c>
      <c r="B2746" t="s">
        <v>26</v>
      </c>
      <c r="C2746">
        <v>2006</v>
      </c>
      <c r="D2746" t="s">
        <v>33</v>
      </c>
      <c r="E2746" s="1">
        <f t="shared" ref="E2746" si="1091">SUM(E1978+E2170+E2362+E2554)</f>
        <v>487403</v>
      </c>
      <c r="F2746" s="1">
        <f t="shared" si="975"/>
        <v>282541</v>
      </c>
      <c r="G2746" s="1">
        <f t="shared" si="1083"/>
        <v>769944</v>
      </c>
      <c r="H2746" s="2">
        <f t="shared" si="1084"/>
        <v>0.63303694814168299</v>
      </c>
      <c r="I2746" s="2">
        <f t="shared" si="1085"/>
        <v>0.36696305185831696</v>
      </c>
      <c r="J2746" s="1">
        <f t="shared" ref="J2746:K2746" si="1092">SUM(J1978+J2170+J2362+J2554)</f>
        <v>635787</v>
      </c>
      <c r="K2746" s="1">
        <f t="shared" si="1092"/>
        <v>1457395</v>
      </c>
      <c r="L2746" s="1">
        <f t="shared" si="977"/>
        <v>2093182</v>
      </c>
      <c r="M2746" s="2">
        <f t="shared" si="978"/>
        <v>0.30374186286715632</v>
      </c>
      <c r="N2746" s="2">
        <f t="shared" si="979"/>
        <v>0.69625813713284368</v>
      </c>
    </row>
    <row r="2747" spans="1:14" x14ac:dyDescent="0.35">
      <c r="A2747" t="s">
        <v>35</v>
      </c>
      <c r="B2747" t="s">
        <v>27</v>
      </c>
      <c r="C2747">
        <v>2006</v>
      </c>
      <c r="D2747" t="s">
        <v>33</v>
      </c>
      <c r="E2747" s="1">
        <f t="shared" ref="E2747" si="1093">SUM(E1979+E2171+E2363+E2555)</f>
        <v>525217</v>
      </c>
      <c r="F2747" s="1">
        <f t="shared" si="975"/>
        <v>318885</v>
      </c>
      <c r="G2747" s="1">
        <f t="shared" si="1083"/>
        <v>844102</v>
      </c>
      <c r="H2747" s="2">
        <f t="shared" si="1084"/>
        <v>0.62221982651385732</v>
      </c>
      <c r="I2747" s="2">
        <f t="shared" si="1085"/>
        <v>0.37778017348614268</v>
      </c>
      <c r="J2747" s="1">
        <f t="shared" ref="J2747:K2747" si="1094">SUM(J1979+J2171+J2363+J2555)</f>
        <v>543161</v>
      </c>
      <c r="K2747" s="1">
        <f t="shared" si="1094"/>
        <v>1644667</v>
      </c>
      <c r="L2747" s="1">
        <f t="shared" si="977"/>
        <v>2187828</v>
      </c>
      <c r="M2747" s="2">
        <f t="shared" si="978"/>
        <v>0.24826494587325879</v>
      </c>
      <c r="N2747" s="2">
        <f t="shared" si="979"/>
        <v>0.75173505412674124</v>
      </c>
    </row>
    <row r="2748" spans="1:14" x14ac:dyDescent="0.35">
      <c r="A2748" t="s">
        <v>35</v>
      </c>
      <c r="B2748" t="s">
        <v>28</v>
      </c>
      <c r="C2748">
        <v>2006</v>
      </c>
      <c r="D2748" t="s">
        <v>33</v>
      </c>
      <c r="E2748" s="1">
        <f t="shared" ref="E2748" si="1095">SUM(E1980+E2172+E2364+E2556)</f>
        <v>472764</v>
      </c>
      <c r="F2748" s="1">
        <f t="shared" si="975"/>
        <v>294235</v>
      </c>
      <c r="G2748" s="1">
        <f t="shared" si="1083"/>
        <v>766999</v>
      </c>
      <c r="H2748" s="2">
        <f t="shared" si="1084"/>
        <v>0.61638150766819777</v>
      </c>
      <c r="I2748" s="2">
        <f t="shared" si="1085"/>
        <v>0.38361849233180229</v>
      </c>
      <c r="J2748" s="1">
        <f t="shared" ref="J2748:K2748" si="1096">SUM(J1980+J2172+J2364+J2556)</f>
        <v>378945</v>
      </c>
      <c r="K2748" s="1">
        <f t="shared" si="1096"/>
        <v>1342807</v>
      </c>
      <c r="L2748" s="1">
        <f t="shared" si="977"/>
        <v>1721752</v>
      </c>
      <c r="M2748" s="2">
        <f t="shared" si="978"/>
        <v>0.22009267304466612</v>
      </c>
      <c r="N2748" s="2">
        <f t="shared" si="979"/>
        <v>0.77990732695533382</v>
      </c>
    </row>
    <row r="2749" spans="1:14" x14ac:dyDescent="0.35">
      <c r="A2749" t="s">
        <v>35</v>
      </c>
      <c r="B2749" t="s">
        <v>29</v>
      </c>
      <c r="C2749">
        <v>2006</v>
      </c>
      <c r="D2749" t="s">
        <v>33</v>
      </c>
      <c r="E2749" s="1">
        <f t="shared" ref="E2749" si="1097">SUM(E1981+E2173+E2365+E2557)</f>
        <v>442546</v>
      </c>
      <c r="F2749" s="1">
        <f t="shared" si="975"/>
        <v>283218</v>
      </c>
      <c r="G2749" s="1">
        <f t="shared" si="1083"/>
        <v>725764</v>
      </c>
      <c r="H2749" s="2">
        <f t="shared" si="1084"/>
        <v>0.60976570896324422</v>
      </c>
      <c r="I2749" s="2">
        <f t="shared" si="1085"/>
        <v>0.39023429103675578</v>
      </c>
      <c r="J2749" s="1">
        <f t="shared" ref="J2749:K2749" si="1098">SUM(J1981+J2173+J2365+J2557)</f>
        <v>384732</v>
      </c>
      <c r="K2749" s="1">
        <f t="shared" si="1098"/>
        <v>1265560</v>
      </c>
      <c r="L2749" s="1">
        <f t="shared" si="977"/>
        <v>1650292</v>
      </c>
      <c r="M2749" s="2">
        <f t="shared" si="978"/>
        <v>0.23312965220700338</v>
      </c>
      <c r="N2749" s="2">
        <f t="shared" si="979"/>
        <v>0.76687034779299668</v>
      </c>
    </row>
    <row r="2750" spans="1:14" x14ac:dyDescent="0.35">
      <c r="A2750" t="s">
        <v>35</v>
      </c>
      <c r="B2750" t="s">
        <v>17</v>
      </c>
      <c r="C2750">
        <v>2007</v>
      </c>
      <c r="D2750" t="s">
        <v>33</v>
      </c>
      <c r="E2750" s="1">
        <f t="shared" ref="E2750" si="1099">SUM(E1982+E2174+E2366+E2558)</f>
        <v>487944</v>
      </c>
      <c r="F2750" s="1">
        <f t="shared" si="975"/>
        <v>322327</v>
      </c>
      <c r="G2750" s="1">
        <f t="shared" si="1083"/>
        <v>810271</v>
      </c>
      <c r="H2750" s="2">
        <f t="shared" si="1084"/>
        <v>0.60219852370379789</v>
      </c>
      <c r="I2750" s="2">
        <f t="shared" si="1085"/>
        <v>0.39780147629620216</v>
      </c>
      <c r="J2750" s="1">
        <f t="shared" ref="J2750:K2750" si="1100">SUM(J1982+J2174+J2366+J2558)</f>
        <v>495949</v>
      </c>
      <c r="K2750" s="1">
        <f t="shared" si="1100"/>
        <v>1335896</v>
      </c>
      <c r="L2750" s="1">
        <f t="shared" si="977"/>
        <v>1831845</v>
      </c>
      <c r="M2750" s="2">
        <f t="shared" si="978"/>
        <v>0.27073742592850375</v>
      </c>
      <c r="N2750" s="2">
        <f t="shared" si="979"/>
        <v>0.72926257407149619</v>
      </c>
    </row>
    <row r="2751" spans="1:14" x14ac:dyDescent="0.35">
      <c r="A2751" t="s">
        <v>35</v>
      </c>
      <c r="B2751" t="s">
        <v>19</v>
      </c>
      <c r="C2751">
        <v>2007</v>
      </c>
      <c r="D2751" t="s">
        <v>33</v>
      </c>
      <c r="E2751" s="1">
        <f t="shared" ref="E2751" si="1101">SUM(E1983+E2175+E2367+E2559)</f>
        <v>460262</v>
      </c>
      <c r="F2751" s="1">
        <f t="shared" si="975"/>
        <v>309107</v>
      </c>
      <c r="G2751" s="1">
        <f t="shared" si="1083"/>
        <v>769369</v>
      </c>
      <c r="H2751" s="2">
        <f t="shared" si="1084"/>
        <v>0.59823309751237708</v>
      </c>
      <c r="I2751" s="2">
        <f t="shared" si="1085"/>
        <v>0.40176690248762298</v>
      </c>
      <c r="J2751" s="1">
        <f t="shared" ref="J2751:K2751" si="1102">SUM(J1983+J2175+J2367+J2559)</f>
        <v>461330</v>
      </c>
      <c r="K2751" s="1">
        <f t="shared" si="1102"/>
        <v>1092153</v>
      </c>
      <c r="L2751" s="1">
        <f t="shared" si="977"/>
        <v>1553483</v>
      </c>
      <c r="M2751" s="2">
        <f t="shared" si="978"/>
        <v>0.29696494908537785</v>
      </c>
      <c r="N2751" s="2">
        <f t="shared" si="979"/>
        <v>0.70303505091462215</v>
      </c>
    </row>
    <row r="2752" spans="1:14" x14ac:dyDescent="0.35">
      <c r="A2752" t="s">
        <v>35</v>
      </c>
      <c r="B2752" t="s">
        <v>20</v>
      </c>
      <c r="C2752">
        <v>2007</v>
      </c>
      <c r="D2752" t="s">
        <v>33</v>
      </c>
      <c r="E2752" s="1">
        <f t="shared" ref="E2752" si="1103">SUM(E1984+E2176+E2368+E2560)</f>
        <v>507262</v>
      </c>
      <c r="F2752" s="1">
        <f t="shared" si="975"/>
        <v>343538</v>
      </c>
      <c r="G2752" s="1">
        <f t="shared" si="1083"/>
        <v>850800</v>
      </c>
      <c r="H2752" s="2">
        <f t="shared" si="1084"/>
        <v>0.59621767748001886</v>
      </c>
      <c r="I2752" s="2">
        <f t="shared" si="1085"/>
        <v>0.4037823225199812</v>
      </c>
      <c r="J2752" s="1">
        <f t="shared" ref="J2752:K2752" si="1104">SUM(J1984+J2176+J2368+J2560)</f>
        <v>385356</v>
      </c>
      <c r="K2752" s="1">
        <f t="shared" si="1104"/>
        <v>1189005</v>
      </c>
      <c r="L2752" s="1">
        <f t="shared" si="977"/>
        <v>1574361</v>
      </c>
      <c r="M2752" s="2">
        <f t="shared" si="978"/>
        <v>0.24476978278806449</v>
      </c>
      <c r="N2752" s="2">
        <f t="shared" si="979"/>
        <v>0.75523021721193551</v>
      </c>
    </row>
    <row r="2753" spans="1:14" x14ac:dyDescent="0.35">
      <c r="A2753" t="s">
        <v>35</v>
      </c>
      <c r="B2753" t="s">
        <v>21</v>
      </c>
      <c r="C2753">
        <v>2007</v>
      </c>
      <c r="D2753" t="s">
        <v>33</v>
      </c>
      <c r="E2753" s="1">
        <f t="shared" ref="E2753" si="1105">SUM(E1985+E2177+E2369+E2561)</f>
        <v>456939</v>
      </c>
      <c r="F2753" s="1">
        <f t="shared" si="975"/>
        <v>316142</v>
      </c>
      <c r="G2753" s="1">
        <f t="shared" si="1083"/>
        <v>773081</v>
      </c>
      <c r="H2753" s="2">
        <f t="shared" si="1084"/>
        <v>0.59106225608959473</v>
      </c>
      <c r="I2753" s="2">
        <f t="shared" si="1085"/>
        <v>0.40893774391040527</v>
      </c>
      <c r="J2753" s="1">
        <f t="shared" ref="J2753:K2753" si="1106">SUM(J1985+J2177+J2369+J2561)</f>
        <v>348056</v>
      </c>
      <c r="K2753" s="1">
        <f t="shared" si="1106"/>
        <v>1099511</v>
      </c>
      <c r="L2753" s="1">
        <f t="shared" si="977"/>
        <v>1447567</v>
      </c>
      <c r="M2753" s="2">
        <f t="shared" si="978"/>
        <v>0.24044206589401387</v>
      </c>
      <c r="N2753" s="2">
        <f t="shared" si="979"/>
        <v>0.75955793410598615</v>
      </c>
    </row>
    <row r="2754" spans="1:14" x14ac:dyDescent="0.35">
      <c r="A2754" t="s">
        <v>35</v>
      </c>
      <c r="B2754" t="s">
        <v>22</v>
      </c>
      <c r="C2754">
        <v>2007</v>
      </c>
      <c r="D2754" t="s">
        <v>33</v>
      </c>
      <c r="E2754" s="1">
        <f t="shared" ref="E2754" si="1107">SUM(E1986+E2178+E2370+E2562)</f>
        <v>495750</v>
      </c>
      <c r="F2754" s="1">
        <f t="shared" si="975"/>
        <v>353402</v>
      </c>
      <c r="G2754" s="1">
        <f t="shared" si="1083"/>
        <v>849152</v>
      </c>
      <c r="H2754" s="2">
        <f t="shared" si="1084"/>
        <v>0.58381773816701843</v>
      </c>
      <c r="I2754" s="2">
        <f t="shared" si="1085"/>
        <v>0.41618226183298163</v>
      </c>
      <c r="J2754" s="1">
        <f t="shared" ref="J2754:K2754" si="1108">SUM(J1986+J2178+J2370+J2562)</f>
        <v>449059</v>
      </c>
      <c r="K2754" s="1">
        <f t="shared" si="1108"/>
        <v>1409864</v>
      </c>
      <c r="L2754" s="1">
        <f t="shared" si="977"/>
        <v>1858923</v>
      </c>
      <c r="M2754" s="2">
        <f t="shared" si="978"/>
        <v>0.24156944639449832</v>
      </c>
      <c r="N2754" s="2">
        <f t="shared" si="979"/>
        <v>0.75843055360550171</v>
      </c>
    </row>
    <row r="2755" spans="1:14" x14ac:dyDescent="0.35">
      <c r="A2755" t="s">
        <v>35</v>
      </c>
      <c r="B2755" t="s">
        <v>23</v>
      </c>
      <c r="C2755">
        <v>2007</v>
      </c>
      <c r="D2755" t="s">
        <v>33</v>
      </c>
      <c r="E2755" s="1">
        <f t="shared" ref="E2755:F2755" si="1109">SUM(E1987+E2179+E2371+E2563)</f>
        <v>470534</v>
      </c>
      <c r="F2755" s="1">
        <f t="shared" si="1109"/>
        <v>343965</v>
      </c>
      <c r="G2755" s="1">
        <f t="shared" si="1083"/>
        <v>814499</v>
      </c>
      <c r="H2755" s="2">
        <f t="shared" si="1084"/>
        <v>0.57769745573659392</v>
      </c>
      <c r="I2755" s="2">
        <f t="shared" si="1085"/>
        <v>0.42230254426340608</v>
      </c>
      <c r="J2755" s="1">
        <f t="shared" ref="J2755:K2755" si="1110">SUM(J1987+J2179+J2371+J2563)</f>
        <v>515572</v>
      </c>
      <c r="K2755" s="1">
        <f t="shared" si="1110"/>
        <v>1636950</v>
      </c>
      <c r="L2755" s="1">
        <f t="shared" ref="L2755:L2818" si="1111">SUM(J2755:K2755)</f>
        <v>2152522</v>
      </c>
      <c r="M2755" s="2">
        <f t="shared" ref="M2755:M2818" si="1112">SUM(J2755)/L2755</f>
        <v>0.23951996774016712</v>
      </c>
      <c r="N2755" s="2">
        <f t="shared" ref="N2755:N2818" si="1113">SUM(K2755/L2755)</f>
        <v>0.76048003225983285</v>
      </c>
    </row>
    <row r="2756" spans="1:14" x14ac:dyDescent="0.35">
      <c r="A2756" t="s">
        <v>35</v>
      </c>
      <c r="B2756" t="s">
        <v>24</v>
      </c>
      <c r="C2756">
        <v>2007</v>
      </c>
      <c r="D2756" t="s">
        <v>33</v>
      </c>
      <c r="E2756" s="1">
        <f t="shared" ref="E2756:F2756" si="1114">SUM(E1988+E2180+E2372+E2564)</f>
        <v>465442</v>
      </c>
      <c r="F2756" s="1">
        <f t="shared" si="1114"/>
        <v>349612</v>
      </c>
      <c r="G2756" s="1">
        <f t="shared" si="1083"/>
        <v>815054</v>
      </c>
      <c r="H2756" s="2">
        <f t="shared" si="1084"/>
        <v>0.57105664164582959</v>
      </c>
      <c r="I2756" s="2">
        <f t="shared" si="1085"/>
        <v>0.42894335835417041</v>
      </c>
      <c r="J2756" s="1">
        <f t="shared" ref="J2756:K2756" si="1115">SUM(J1988+J2180+J2372+J2564)</f>
        <v>567109</v>
      </c>
      <c r="K2756" s="1">
        <f t="shared" si="1115"/>
        <v>1587660</v>
      </c>
      <c r="L2756" s="1">
        <f t="shared" si="1111"/>
        <v>2154769</v>
      </c>
      <c r="M2756" s="2">
        <f t="shared" si="1112"/>
        <v>0.26318784055274602</v>
      </c>
      <c r="N2756" s="2">
        <f t="shared" si="1113"/>
        <v>0.73681215944725398</v>
      </c>
    </row>
    <row r="2757" spans="1:14" x14ac:dyDescent="0.35">
      <c r="A2757" t="s">
        <v>35</v>
      </c>
      <c r="B2757" t="s">
        <v>25</v>
      </c>
      <c r="C2757">
        <v>2007</v>
      </c>
      <c r="D2757" t="s">
        <v>33</v>
      </c>
      <c r="E2757" s="1">
        <f t="shared" ref="E2757:F2757" si="1116">SUM(E1989+E2181+E2373+E2565)</f>
        <v>503517</v>
      </c>
      <c r="F2757" s="1">
        <f t="shared" si="1116"/>
        <v>390602</v>
      </c>
      <c r="G2757" s="1">
        <f t="shared" si="1083"/>
        <v>894119</v>
      </c>
      <c r="H2757" s="2">
        <f t="shared" si="1084"/>
        <v>0.56314316103337481</v>
      </c>
      <c r="I2757" s="2">
        <f t="shared" si="1085"/>
        <v>0.43685683896662525</v>
      </c>
      <c r="J2757" s="1">
        <f t="shared" ref="J2757:K2757" si="1117">SUM(J1989+J2181+J2373+J2565)</f>
        <v>599021</v>
      </c>
      <c r="K2757" s="1">
        <f t="shared" si="1117"/>
        <v>1623708</v>
      </c>
      <c r="L2757" s="1">
        <f t="shared" si="1111"/>
        <v>2222729</v>
      </c>
      <c r="M2757" s="2">
        <f t="shared" si="1112"/>
        <v>0.2694979909831563</v>
      </c>
      <c r="N2757" s="2">
        <f t="shared" si="1113"/>
        <v>0.7305020090168437</v>
      </c>
    </row>
    <row r="2758" spans="1:14" x14ac:dyDescent="0.35">
      <c r="A2758" t="s">
        <v>35</v>
      </c>
      <c r="B2758" t="s">
        <v>26</v>
      </c>
      <c r="C2758">
        <v>2007</v>
      </c>
      <c r="D2758" t="s">
        <v>33</v>
      </c>
      <c r="E2758" s="1">
        <f t="shared" ref="E2758:F2758" si="1118">SUM(E1990+E2182+E2374+E2566)</f>
        <v>411469</v>
      </c>
      <c r="F2758" s="1">
        <f t="shared" si="1118"/>
        <v>326806</v>
      </c>
      <c r="G2758" s="1">
        <f t="shared" si="1083"/>
        <v>738275</v>
      </c>
      <c r="H2758" s="2">
        <f t="shared" si="1084"/>
        <v>0.55733839016626596</v>
      </c>
      <c r="I2758" s="2">
        <f t="shared" si="1085"/>
        <v>0.44266160983373404</v>
      </c>
      <c r="J2758" s="1">
        <f t="shared" ref="J2758:K2758" si="1119">SUM(J1990+J2182+J2374+J2566)</f>
        <v>489172</v>
      </c>
      <c r="K2758" s="1">
        <f t="shared" si="1119"/>
        <v>1446196</v>
      </c>
      <c r="L2758" s="1">
        <f t="shared" si="1111"/>
        <v>1935368</v>
      </c>
      <c r="M2758" s="2">
        <f t="shared" si="1112"/>
        <v>0.25275399820602595</v>
      </c>
      <c r="N2758" s="2">
        <f t="shared" si="1113"/>
        <v>0.74724600179397405</v>
      </c>
    </row>
    <row r="2759" spans="1:14" x14ac:dyDescent="0.35">
      <c r="A2759" t="s">
        <v>35</v>
      </c>
      <c r="B2759" t="s">
        <v>27</v>
      </c>
      <c r="C2759">
        <v>2007</v>
      </c>
      <c r="D2759" t="s">
        <v>33</v>
      </c>
      <c r="E2759" s="1">
        <f t="shared" ref="E2759:F2759" si="1120">SUM(E1991+E2183+E2375+E2567)</f>
        <v>449484</v>
      </c>
      <c r="F2759" s="1">
        <f t="shared" si="1120"/>
        <v>374135</v>
      </c>
      <c r="G2759" s="1">
        <f t="shared" si="1083"/>
        <v>823619</v>
      </c>
      <c r="H2759" s="2">
        <f t="shared" si="1084"/>
        <v>0.54574263099807074</v>
      </c>
      <c r="I2759" s="2">
        <f t="shared" si="1085"/>
        <v>0.45425736900192931</v>
      </c>
      <c r="J2759" s="1">
        <f t="shared" ref="J2759:K2759" si="1121">SUM(J1991+J2183+J2375+J2567)</f>
        <v>485802</v>
      </c>
      <c r="K2759" s="1">
        <f t="shared" si="1121"/>
        <v>1464210</v>
      </c>
      <c r="L2759" s="1">
        <f t="shared" si="1111"/>
        <v>1950012</v>
      </c>
      <c r="M2759" s="2">
        <f t="shared" si="1112"/>
        <v>0.24912769767570661</v>
      </c>
      <c r="N2759" s="2">
        <f t="shared" si="1113"/>
        <v>0.75087230232429336</v>
      </c>
    </row>
    <row r="2760" spans="1:14" x14ac:dyDescent="0.35">
      <c r="A2760" t="s">
        <v>35</v>
      </c>
      <c r="B2760" t="s">
        <v>28</v>
      </c>
      <c r="C2760">
        <v>2007</v>
      </c>
      <c r="D2760" t="s">
        <v>33</v>
      </c>
      <c r="E2760" s="1">
        <f t="shared" ref="E2760:F2760" si="1122">SUM(E1992+E2184+E2376+E2568)</f>
        <v>444938</v>
      </c>
      <c r="F2760" s="1">
        <f t="shared" si="1122"/>
        <v>379178</v>
      </c>
      <c r="G2760" s="1">
        <f t="shared" si="1083"/>
        <v>824116</v>
      </c>
      <c r="H2760" s="2">
        <f t="shared" si="1084"/>
        <v>0.53989729601172654</v>
      </c>
      <c r="I2760" s="2">
        <f t="shared" si="1085"/>
        <v>0.46010270398827352</v>
      </c>
      <c r="J2760" s="1">
        <f t="shared" ref="J2760:K2760" si="1123">SUM(J1992+J2184+J2376+J2568)</f>
        <v>365252</v>
      </c>
      <c r="K2760" s="1">
        <f t="shared" si="1123"/>
        <v>1376995</v>
      </c>
      <c r="L2760" s="1">
        <f t="shared" si="1111"/>
        <v>1742247</v>
      </c>
      <c r="M2760" s="2">
        <f t="shared" si="1112"/>
        <v>0.20964421233039862</v>
      </c>
      <c r="N2760" s="2">
        <f t="shared" si="1113"/>
        <v>0.79035578766960135</v>
      </c>
    </row>
    <row r="2761" spans="1:14" x14ac:dyDescent="0.35">
      <c r="A2761" t="s">
        <v>35</v>
      </c>
      <c r="B2761" t="s">
        <v>29</v>
      </c>
      <c r="C2761">
        <v>2007</v>
      </c>
      <c r="D2761" t="s">
        <v>33</v>
      </c>
      <c r="E2761" s="1">
        <f t="shared" ref="E2761:F2761" si="1124">SUM(E1993+E2185+E2377+E2569)</f>
        <v>439499</v>
      </c>
      <c r="F2761" s="1">
        <f t="shared" si="1124"/>
        <v>384507</v>
      </c>
      <c r="G2761" s="1">
        <f t="shared" si="1083"/>
        <v>824006</v>
      </c>
      <c r="H2761" s="2">
        <f t="shared" si="1084"/>
        <v>0.53336868906294377</v>
      </c>
      <c r="I2761" s="2">
        <f t="shared" si="1085"/>
        <v>0.46663131093705629</v>
      </c>
      <c r="J2761" s="1">
        <f t="shared" ref="J2761:K2761" si="1125">SUM(J1993+J2185+J2377+J2569)</f>
        <v>372437</v>
      </c>
      <c r="K2761" s="1">
        <f t="shared" si="1125"/>
        <v>1332879</v>
      </c>
      <c r="L2761" s="1">
        <f t="shared" si="1111"/>
        <v>1705316</v>
      </c>
      <c r="M2761" s="2">
        <f t="shared" si="1112"/>
        <v>0.21839764594948971</v>
      </c>
      <c r="N2761" s="2">
        <f t="shared" si="1113"/>
        <v>0.78160235405051026</v>
      </c>
    </row>
    <row r="2762" spans="1:14" x14ac:dyDescent="0.35">
      <c r="A2762" t="s">
        <v>35</v>
      </c>
      <c r="B2762" t="s">
        <v>17</v>
      </c>
      <c r="C2762">
        <v>2008</v>
      </c>
      <c r="D2762" t="s">
        <v>33</v>
      </c>
      <c r="E2762" s="1">
        <f t="shared" ref="E2762:F2762" si="1126">SUM(E1994+E2186+E2378+E2570)</f>
        <v>435765</v>
      </c>
      <c r="F2762" s="1">
        <f t="shared" si="1126"/>
        <v>389720</v>
      </c>
      <c r="G2762" s="1">
        <f t="shared" si="1083"/>
        <v>825485</v>
      </c>
      <c r="H2762" s="2">
        <f t="shared" si="1084"/>
        <v>0.52788966486368616</v>
      </c>
      <c r="I2762" s="2">
        <f t="shared" si="1085"/>
        <v>0.47211033513631379</v>
      </c>
      <c r="J2762" s="1">
        <f t="shared" ref="J2762:K2762" si="1127">SUM(J1994+J2186+J2378+J2570)</f>
        <v>402358</v>
      </c>
      <c r="K2762" s="1">
        <f t="shared" si="1127"/>
        <v>1333708</v>
      </c>
      <c r="L2762" s="1">
        <f t="shared" si="1111"/>
        <v>1736066</v>
      </c>
      <c r="M2762" s="2">
        <f t="shared" si="1112"/>
        <v>0.23176423016175651</v>
      </c>
      <c r="N2762" s="2">
        <f t="shared" si="1113"/>
        <v>0.76823576983824349</v>
      </c>
    </row>
    <row r="2763" spans="1:14" x14ac:dyDescent="0.35">
      <c r="A2763" t="s">
        <v>35</v>
      </c>
      <c r="B2763" t="s">
        <v>19</v>
      </c>
      <c r="C2763">
        <v>2008</v>
      </c>
      <c r="D2763" t="s">
        <v>33</v>
      </c>
      <c r="E2763" s="1">
        <f t="shared" ref="E2763:F2763" si="1128">SUM(E1995+E2187+E2379+E2571)</f>
        <v>432657</v>
      </c>
      <c r="F2763" s="1">
        <f t="shared" si="1128"/>
        <v>395122</v>
      </c>
      <c r="G2763" s="1">
        <f t="shared" si="1083"/>
        <v>827779</v>
      </c>
      <c r="H2763" s="2">
        <f t="shared" si="1084"/>
        <v>0.52267211417540194</v>
      </c>
      <c r="I2763" s="2">
        <f t="shared" si="1085"/>
        <v>0.47732788582459812</v>
      </c>
      <c r="J2763" s="1">
        <f t="shared" ref="J2763:K2763" si="1129">SUM(J1995+J2187+J2379+J2571)</f>
        <v>352466</v>
      </c>
      <c r="K2763" s="1">
        <f t="shared" si="1129"/>
        <v>1233682</v>
      </c>
      <c r="L2763" s="1">
        <f t="shared" si="1111"/>
        <v>1586148</v>
      </c>
      <c r="M2763" s="2">
        <f t="shared" si="1112"/>
        <v>0.22221507702938187</v>
      </c>
      <c r="N2763" s="2">
        <f t="shared" si="1113"/>
        <v>0.77778492297061808</v>
      </c>
    </row>
    <row r="2764" spans="1:14" x14ac:dyDescent="0.35">
      <c r="A2764" t="s">
        <v>35</v>
      </c>
      <c r="B2764" t="s">
        <v>20</v>
      </c>
      <c r="C2764">
        <v>2008</v>
      </c>
      <c r="D2764" t="s">
        <v>33</v>
      </c>
      <c r="E2764" s="1">
        <f t="shared" ref="E2764:F2764" si="1130">SUM(E1996+E2188+E2380+E2572)</f>
        <v>429443</v>
      </c>
      <c r="F2764" s="1">
        <f t="shared" si="1130"/>
        <v>400829</v>
      </c>
      <c r="G2764" s="1">
        <f t="shared" si="1083"/>
        <v>830272</v>
      </c>
      <c r="H2764" s="2">
        <f t="shared" si="1084"/>
        <v>0.51723170238187</v>
      </c>
      <c r="I2764" s="2">
        <f t="shared" si="1085"/>
        <v>0.48276829761812995</v>
      </c>
      <c r="J2764" s="1">
        <f t="shared" ref="J2764:K2764" si="1131">SUM(J1996+J2188+J2380+J2572)</f>
        <v>300301</v>
      </c>
      <c r="K2764" s="1">
        <f t="shared" si="1131"/>
        <v>1225451</v>
      </c>
      <c r="L2764" s="1">
        <f t="shared" si="1111"/>
        <v>1525752</v>
      </c>
      <c r="M2764" s="2">
        <f t="shared" si="1112"/>
        <v>0.19682163287349452</v>
      </c>
      <c r="N2764" s="2">
        <f t="shared" si="1113"/>
        <v>0.80317836712650548</v>
      </c>
    </row>
    <row r="2765" spans="1:14" x14ac:dyDescent="0.35">
      <c r="A2765" t="s">
        <v>35</v>
      </c>
      <c r="B2765" t="s">
        <v>21</v>
      </c>
      <c r="C2765">
        <v>2008</v>
      </c>
      <c r="D2765" t="s">
        <v>33</v>
      </c>
      <c r="E2765" s="1">
        <f t="shared" ref="E2765:F2765" si="1132">SUM(E1997+E2189+E2381+E2573)</f>
        <v>423352</v>
      </c>
      <c r="F2765" s="1">
        <f t="shared" si="1132"/>
        <v>407512</v>
      </c>
      <c r="G2765" s="1">
        <f t="shared" si="1083"/>
        <v>830864</v>
      </c>
      <c r="H2765" s="2">
        <f t="shared" si="1084"/>
        <v>0.50953224595120261</v>
      </c>
      <c r="I2765" s="2">
        <f t="shared" si="1085"/>
        <v>0.49046775404879739</v>
      </c>
      <c r="J2765" s="1">
        <f t="shared" ref="J2765:K2765" si="1133">SUM(J1997+J2189+J2381+J2573)</f>
        <v>328511</v>
      </c>
      <c r="K2765" s="1">
        <f t="shared" si="1133"/>
        <v>1338969</v>
      </c>
      <c r="L2765" s="1">
        <f t="shared" si="1111"/>
        <v>1667480</v>
      </c>
      <c r="M2765" s="2">
        <f t="shared" si="1112"/>
        <v>0.19701045889605873</v>
      </c>
      <c r="N2765" s="2">
        <f t="shared" si="1113"/>
        <v>0.80298954110394127</v>
      </c>
    </row>
    <row r="2766" spans="1:14" x14ac:dyDescent="0.35">
      <c r="A2766" t="s">
        <v>35</v>
      </c>
      <c r="B2766" t="s">
        <v>22</v>
      </c>
      <c r="C2766">
        <v>2008</v>
      </c>
      <c r="D2766" t="s">
        <v>33</v>
      </c>
      <c r="E2766" s="1">
        <f t="shared" ref="E2766:F2766" si="1134">SUM(E1998+E2190+E2382+E2574)</f>
        <v>417667</v>
      </c>
      <c r="F2766" s="1">
        <f t="shared" si="1134"/>
        <v>415440</v>
      </c>
      <c r="G2766" s="1">
        <f t="shared" si="1083"/>
        <v>833107</v>
      </c>
      <c r="H2766" s="2">
        <f t="shared" si="1084"/>
        <v>0.50133656301051366</v>
      </c>
      <c r="I2766" s="2">
        <f t="shared" si="1085"/>
        <v>0.49866343698948634</v>
      </c>
      <c r="J2766" s="1">
        <f t="shared" ref="J2766:K2766" si="1135">SUM(J1998+J2190+J2382+J2574)</f>
        <v>360306</v>
      </c>
      <c r="K2766" s="1">
        <f t="shared" si="1135"/>
        <v>1431578</v>
      </c>
      <c r="L2766" s="1">
        <f t="shared" si="1111"/>
        <v>1791884</v>
      </c>
      <c r="M2766" s="2">
        <f t="shared" si="1112"/>
        <v>0.20107663219270891</v>
      </c>
      <c r="N2766" s="2">
        <f t="shared" si="1113"/>
        <v>0.79892336780729112</v>
      </c>
    </row>
    <row r="2767" spans="1:14" x14ac:dyDescent="0.35">
      <c r="A2767" t="s">
        <v>35</v>
      </c>
      <c r="B2767" t="s">
        <v>23</v>
      </c>
      <c r="C2767">
        <v>2008</v>
      </c>
      <c r="D2767" t="s">
        <v>33</v>
      </c>
      <c r="E2767" s="1">
        <f t="shared" ref="E2767:F2767" si="1136">SUM(E1999+E2191+E2383+E2575)</f>
        <v>411279</v>
      </c>
      <c r="F2767" s="1">
        <f t="shared" si="1136"/>
        <v>421387</v>
      </c>
      <c r="G2767" s="1">
        <f t="shared" si="1083"/>
        <v>832666</v>
      </c>
      <c r="H2767" s="2">
        <f t="shared" si="1084"/>
        <v>0.49393033941580416</v>
      </c>
      <c r="I2767" s="2">
        <f t="shared" si="1085"/>
        <v>0.50606966058419578</v>
      </c>
      <c r="J2767" s="1">
        <f t="shared" ref="J2767:K2767" si="1137">SUM(J1999+J2191+J2383+J2575)</f>
        <v>487121</v>
      </c>
      <c r="K2767" s="1">
        <f t="shared" si="1137"/>
        <v>1706214</v>
      </c>
      <c r="L2767" s="1">
        <f t="shared" si="1111"/>
        <v>2193335</v>
      </c>
      <c r="M2767" s="2">
        <f t="shared" si="1112"/>
        <v>0.22209147257486886</v>
      </c>
      <c r="N2767" s="2">
        <f t="shared" si="1113"/>
        <v>0.77790852742513117</v>
      </c>
    </row>
    <row r="2768" spans="1:14" x14ac:dyDescent="0.35">
      <c r="A2768" t="s">
        <v>35</v>
      </c>
      <c r="B2768" t="s">
        <v>24</v>
      </c>
      <c r="C2768">
        <v>2008</v>
      </c>
      <c r="D2768" t="s">
        <v>33</v>
      </c>
      <c r="E2768" s="1">
        <f t="shared" ref="E2768:F2768" si="1138">SUM(E2000+E2192+E2384+E2576)</f>
        <v>403890</v>
      </c>
      <c r="F2768" s="1">
        <f t="shared" si="1138"/>
        <v>428616</v>
      </c>
      <c r="G2768" s="1">
        <f t="shared" si="1083"/>
        <v>832506</v>
      </c>
      <c r="H2768" s="2">
        <f t="shared" si="1084"/>
        <v>0.48514965657905168</v>
      </c>
      <c r="I2768" s="2">
        <f t="shared" si="1085"/>
        <v>0.51485034342094826</v>
      </c>
      <c r="J2768" s="1">
        <f t="shared" ref="J2768:K2768" si="1139">SUM(J2000+J2192+J2384+J2576)</f>
        <v>489787</v>
      </c>
      <c r="K2768" s="1">
        <f t="shared" si="1139"/>
        <v>1727663</v>
      </c>
      <c r="L2768" s="1">
        <f t="shared" si="1111"/>
        <v>2217450</v>
      </c>
      <c r="M2768" s="2">
        <f t="shared" si="1112"/>
        <v>0.22087848654986583</v>
      </c>
      <c r="N2768" s="2">
        <f t="shared" si="1113"/>
        <v>0.77912151345013414</v>
      </c>
    </row>
    <row r="2769" spans="1:14" x14ac:dyDescent="0.35">
      <c r="A2769" t="s">
        <v>35</v>
      </c>
      <c r="B2769" t="s">
        <v>25</v>
      </c>
      <c r="C2769">
        <v>2008</v>
      </c>
      <c r="D2769" t="s">
        <v>33</v>
      </c>
      <c r="E2769" s="1">
        <f t="shared" ref="E2769:F2769" si="1140">SUM(E2001+E2193+E2385+E2577)</f>
        <v>399010</v>
      </c>
      <c r="F2769" s="1">
        <f t="shared" si="1140"/>
        <v>434816</v>
      </c>
      <c r="G2769" s="1">
        <f t="shared" si="1083"/>
        <v>833826</v>
      </c>
      <c r="H2769" s="2">
        <f t="shared" si="1084"/>
        <v>0.47852909359986379</v>
      </c>
      <c r="I2769" s="2">
        <f t="shared" si="1085"/>
        <v>0.52147090640013627</v>
      </c>
      <c r="J2769" s="1">
        <f t="shared" ref="J2769:K2769" si="1141">SUM(J2001+J2193+J2385+J2577)</f>
        <v>464212</v>
      </c>
      <c r="K2769" s="1">
        <f t="shared" si="1141"/>
        <v>2184590</v>
      </c>
      <c r="L2769" s="1">
        <f t="shared" si="1111"/>
        <v>2648802</v>
      </c>
      <c r="M2769" s="2">
        <f t="shared" si="1112"/>
        <v>0.17525356746181858</v>
      </c>
      <c r="N2769" s="2">
        <f t="shared" si="1113"/>
        <v>0.82474643253818136</v>
      </c>
    </row>
    <row r="2770" spans="1:14" x14ac:dyDescent="0.35">
      <c r="A2770" t="s">
        <v>35</v>
      </c>
      <c r="B2770" t="s">
        <v>26</v>
      </c>
      <c r="C2770">
        <v>2008</v>
      </c>
      <c r="D2770" t="s">
        <v>33</v>
      </c>
      <c r="E2770" s="1">
        <f t="shared" ref="E2770:F2770" si="1142">SUM(E2002+E2194+E2386+E2578)</f>
        <v>392330</v>
      </c>
      <c r="F2770" s="1">
        <f t="shared" si="1142"/>
        <v>441199</v>
      </c>
      <c r="G2770" s="1">
        <f t="shared" si="1083"/>
        <v>833529</v>
      </c>
      <c r="H2770" s="2">
        <f t="shared" si="1084"/>
        <v>0.47068548304858021</v>
      </c>
      <c r="I2770" s="2">
        <f t="shared" si="1085"/>
        <v>0.52931451695141984</v>
      </c>
      <c r="J2770" s="1">
        <f t="shared" ref="J2770:K2770" si="1143">SUM(J2002+J2194+J2386+J2578)</f>
        <v>441779</v>
      </c>
      <c r="K2770" s="1">
        <f t="shared" si="1143"/>
        <v>1719704</v>
      </c>
      <c r="L2770" s="1">
        <f t="shared" si="1111"/>
        <v>2161483</v>
      </c>
      <c r="M2770" s="2">
        <f t="shared" si="1112"/>
        <v>0.20438698800777058</v>
      </c>
      <c r="N2770" s="2">
        <f t="shared" si="1113"/>
        <v>0.79561301199222945</v>
      </c>
    </row>
    <row r="2771" spans="1:14" x14ac:dyDescent="0.35">
      <c r="A2771" t="s">
        <v>35</v>
      </c>
      <c r="B2771" t="s">
        <v>27</v>
      </c>
      <c r="C2771">
        <v>2008</v>
      </c>
      <c r="D2771" t="s">
        <v>33</v>
      </c>
      <c r="E2771" s="1">
        <f t="shared" ref="E2771:F2771" si="1144">SUM(E2003+E2195+E2387+E2579)</f>
        <v>384106</v>
      </c>
      <c r="F2771" s="1">
        <f t="shared" si="1144"/>
        <v>447857</v>
      </c>
      <c r="G2771" s="1">
        <f t="shared" si="1083"/>
        <v>831963</v>
      </c>
      <c r="H2771" s="2">
        <f t="shared" si="1084"/>
        <v>0.46168639711141002</v>
      </c>
      <c r="I2771" s="2">
        <f t="shared" si="1085"/>
        <v>0.53831360288858998</v>
      </c>
      <c r="J2771" s="1">
        <f t="shared" ref="J2771:K2771" si="1145">SUM(J2003+J2195+J2387+J2579)</f>
        <v>344251</v>
      </c>
      <c r="K2771" s="1">
        <f t="shared" si="1145"/>
        <v>1539940.6400000001</v>
      </c>
      <c r="L2771" s="1">
        <f t="shared" si="1111"/>
        <v>1884191.6400000001</v>
      </c>
      <c r="M2771" s="2">
        <f t="shared" si="1112"/>
        <v>0.18270487602842775</v>
      </c>
      <c r="N2771" s="2">
        <f t="shared" si="1113"/>
        <v>0.81729512397157222</v>
      </c>
    </row>
    <row r="2772" spans="1:14" x14ac:dyDescent="0.35">
      <c r="A2772" t="s">
        <v>35</v>
      </c>
      <c r="B2772" t="s">
        <v>28</v>
      </c>
      <c r="C2772">
        <v>2008</v>
      </c>
      <c r="D2772" t="s">
        <v>33</v>
      </c>
      <c r="E2772" s="1">
        <f t="shared" ref="E2772:F2772" si="1146">SUM(E2004+E2196+E2388+E2580)</f>
        <v>376417</v>
      </c>
      <c r="F2772" s="1">
        <f t="shared" si="1146"/>
        <v>464096</v>
      </c>
      <c r="G2772" s="1">
        <f t="shared" si="1083"/>
        <v>840513</v>
      </c>
      <c r="H2772" s="2">
        <f t="shared" si="1084"/>
        <v>0.44784197270000581</v>
      </c>
      <c r="I2772" s="2">
        <f t="shared" si="1085"/>
        <v>0.55215802729999419</v>
      </c>
      <c r="J2772" s="1">
        <f t="shared" ref="J2772:K2772" si="1147">SUM(J2004+J2196+J2388+J2580)</f>
        <v>266086</v>
      </c>
      <c r="K2772" s="1">
        <f t="shared" si="1147"/>
        <v>1428613.32</v>
      </c>
      <c r="L2772" s="1">
        <f t="shared" si="1111"/>
        <v>1694699.32</v>
      </c>
      <c r="M2772" s="2">
        <f t="shared" si="1112"/>
        <v>0.15701074335711659</v>
      </c>
      <c r="N2772" s="2">
        <f t="shared" si="1113"/>
        <v>0.84298925664288338</v>
      </c>
    </row>
    <row r="2773" spans="1:14" x14ac:dyDescent="0.35">
      <c r="A2773" t="s">
        <v>35</v>
      </c>
      <c r="B2773" t="s">
        <v>29</v>
      </c>
      <c r="C2773">
        <v>2008</v>
      </c>
      <c r="D2773" t="s">
        <v>33</v>
      </c>
      <c r="E2773" s="1">
        <f t="shared" ref="E2773:F2773" si="1148">SUM(E2005+E2197+E2389+E2581)</f>
        <v>368697</v>
      </c>
      <c r="F2773" s="1">
        <f t="shared" si="1148"/>
        <v>466431</v>
      </c>
      <c r="G2773" s="1">
        <f t="shared" si="1083"/>
        <v>835128</v>
      </c>
      <c r="H2773" s="2">
        <f t="shared" si="1084"/>
        <v>0.4414856165761416</v>
      </c>
      <c r="I2773" s="2">
        <f t="shared" si="1085"/>
        <v>0.5585143834238584</v>
      </c>
      <c r="J2773" s="1">
        <f t="shared" ref="J2773:K2773" si="1149">SUM(J2005+J2197+J2389+J2581)</f>
        <v>276932</v>
      </c>
      <c r="K2773" s="1">
        <f t="shared" si="1149"/>
        <v>1293435.8999999999</v>
      </c>
      <c r="L2773" s="1">
        <f t="shared" si="1111"/>
        <v>1570367.9</v>
      </c>
      <c r="M2773" s="2">
        <f t="shared" si="1112"/>
        <v>0.17634848496330066</v>
      </c>
      <c r="N2773" s="2">
        <f t="shared" si="1113"/>
        <v>0.82365151503669931</v>
      </c>
    </row>
    <row r="2774" spans="1:14" x14ac:dyDescent="0.35">
      <c r="A2774" t="s">
        <v>35</v>
      </c>
      <c r="B2774" t="s">
        <v>17</v>
      </c>
      <c r="C2774">
        <v>2009</v>
      </c>
      <c r="D2774" t="s">
        <v>33</v>
      </c>
      <c r="E2774" s="1">
        <f t="shared" ref="E2774:F2774" si="1150">SUM(E2006+E2198+E2390+E2582)</f>
        <v>362091</v>
      </c>
      <c r="F2774" s="1">
        <f t="shared" si="1150"/>
        <v>460773</v>
      </c>
      <c r="G2774" s="1">
        <f t="shared" si="1083"/>
        <v>822864</v>
      </c>
      <c r="H2774" s="2">
        <f t="shared" si="1084"/>
        <v>0.44003747885434286</v>
      </c>
      <c r="I2774" s="2">
        <f t="shared" si="1085"/>
        <v>0.55996252114565714</v>
      </c>
      <c r="J2774" s="1">
        <f t="shared" ref="J2774:K2774" si="1151">SUM(J2006+J2198+J2390+J2582)</f>
        <v>314517</v>
      </c>
      <c r="K2774" s="1">
        <f t="shared" si="1151"/>
        <v>1563918</v>
      </c>
      <c r="L2774" s="1">
        <f t="shared" si="1111"/>
        <v>1878435</v>
      </c>
      <c r="M2774" s="2">
        <f t="shared" si="1112"/>
        <v>0.16743565787477341</v>
      </c>
      <c r="N2774" s="2">
        <f t="shared" si="1113"/>
        <v>0.83256434212522656</v>
      </c>
    </row>
    <row r="2775" spans="1:14" x14ac:dyDescent="0.35">
      <c r="A2775" t="s">
        <v>35</v>
      </c>
      <c r="B2775" t="s">
        <v>19</v>
      </c>
      <c r="C2775">
        <v>2009</v>
      </c>
      <c r="D2775" t="s">
        <v>33</v>
      </c>
      <c r="E2775" s="1">
        <f t="shared" ref="E2775:F2775" si="1152">SUM(E2007+E2199+E2391+E2583)</f>
        <v>355803</v>
      </c>
      <c r="F2775" s="1">
        <f t="shared" si="1152"/>
        <v>468561</v>
      </c>
      <c r="G2775" s="1">
        <f t="shared" si="1083"/>
        <v>824364</v>
      </c>
      <c r="H2775" s="2">
        <f t="shared" si="1084"/>
        <v>0.43160909501142697</v>
      </c>
      <c r="I2775" s="2">
        <f t="shared" si="1085"/>
        <v>0.56839090498857303</v>
      </c>
      <c r="J2775" s="1">
        <f t="shared" ref="J2775:K2775" si="1153">SUM(J2007+J2199+J2391+J2583)</f>
        <v>240761</v>
      </c>
      <c r="K2775" s="1">
        <f t="shared" si="1153"/>
        <v>1297632</v>
      </c>
      <c r="L2775" s="1">
        <f t="shared" si="1111"/>
        <v>1538393</v>
      </c>
      <c r="M2775" s="2">
        <f t="shared" si="1112"/>
        <v>0.15650162214726665</v>
      </c>
      <c r="N2775" s="2">
        <f t="shared" si="1113"/>
        <v>0.84349837785273329</v>
      </c>
    </row>
    <row r="2776" spans="1:14" x14ac:dyDescent="0.35">
      <c r="A2776" t="s">
        <v>35</v>
      </c>
      <c r="B2776" t="s">
        <v>20</v>
      </c>
      <c r="C2776">
        <v>2009</v>
      </c>
      <c r="D2776" t="s">
        <v>33</v>
      </c>
      <c r="E2776" s="1">
        <f t="shared" ref="E2776:F2776" si="1154">SUM(E2008+E2200+E2392+E2584)</f>
        <v>350641</v>
      </c>
      <c r="F2776" s="1">
        <f t="shared" si="1154"/>
        <v>476447</v>
      </c>
      <c r="G2776" s="1">
        <f t="shared" si="1083"/>
        <v>827088</v>
      </c>
      <c r="H2776" s="2">
        <f t="shared" si="1084"/>
        <v>0.42394642408062988</v>
      </c>
      <c r="I2776" s="2">
        <f t="shared" si="1085"/>
        <v>0.57605357591937012</v>
      </c>
      <c r="J2776" s="1">
        <f t="shared" ref="J2776:K2776" si="1155">SUM(J2008+J2200+J2392+J2584)</f>
        <v>227754</v>
      </c>
      <c r="K2776" s="1">
        <f t="shared" si="1155"/>
        <v>1251728</v>
      </c>
      <c r="L2776" s="1">
        <f t="shared" si="1111"/>
        <v>1479482</v>
      </c>
      <c r="M2776" s="2">
        <f t="shared" si="1112"/>
        <v>0.15394171743894147</v>
      </c>
      <c r="N2776" s="2">
        <f t="shared" si="1113"/>
        <v>0.84605828256105853</v>
      </c>
    </row>
    <row r="2777" spans="1:14" x14ac:dyDescent="0.35">
      <c r="A2777" t="s">
        <v>35</v>
      </c>
      <c r="B2777" t="s">
        <v>21</v>
      </c>
      <c r="C2777">
        <v>2009</v>
      </c>
      <c r="D2777" t="s">
        <v>33</v>
      </c>
      <c r="E2777" s="1">
        <f t="shared" ref="E2777:F2777" si="1156">SUM(E2009+E2201+E2393+E2585)</f>
        <v>344437</v>
      </c>
      <c r="F2777" s="1">
        <f t="shared" si="1156"/>
        <v>482665</v>
      </c>
      <c r="G2777" s="1">
        <f t="shared" si="1083"/>
        <v>827102</v>
      </c>
      <c r="H2777" s="2">
        <f t="shared" si="1084"/>
        <v>0.41643835947682389</v>
      </c>
      <c r="I2777" s="2">
        <f t="shared" si="1085"/>
        <v>0.58356164052317605</v>
      </c>
      <c r="J2777" s="1">
        <f t="shared" ref="J2777:K2777" si="1157">SUM(J2009+J2201+J2393+J2585)</f>
        <v>240238</v>
      </c>
      <c r="K2777" s="1">
        <f t="shared" si="1157"/>
        <v>1342144</v>
      </c>
      <c r="L2777" s="1">
        <f t="shared" si="1111"/>
        <v>1582382</v>
      </c>
      <c r="M2777" s="2">
        <f t="shared" si="1112"/>
        <v>0.15182048329670081</v>
      </c>
      <c r="N2777" s="2">
        <f t="shared" si="1113"/>
        <v>0.84817951670329916</v>
      </c>
    </row>
    <row r="2778" spans="1:14" x14ac:dyDescent="0.35">
      <c r="A2778" t="s">
        <v>35</v>
      </c>
      <c r="B2778" t="s">
        <v>22</v>
      </c>
      <c r="C2778">
        <v>2009</v>
      </c>
      <c r="D2778" t="s">
        <v>33</v>
      </c>
      <c r="E2778" s="1">
        <f t="shared" ref="E2778:F2778" si="1158">SUM(E2010+E2202+E2394+E2586)</f>
        <v>339125</v>
      </c>
      <c r="F2778" s="1">
        <f t="shared" si="1158"/>
        <v>488451</v>
      </c>
      <c r="G2778" s="1">
        <f t="shared" si="1083"/>
        <v>827576</v>
      </c>
      <c r="H2778" s="2">
        <f t="shared" si="1084"/>
        <v>0.40978109563351284</v>
      </c>
      <c r="I2778" s="2">
        <f t="shared" si="1085"/>
        <v>0.59021890436648716</v>
      </c>
      <c r="J2778" s="1">
        <f t="shared" ref="J2778:K2778" si="1159">SUM(J2010+J2202+J2394+J2586)</f>
        <v>297437</v>
      </c>
      <c r="K2778" s="1">
        <f t="shared" si="1159"/>
        <v>1472137</v>
      </c>
      <c r="L2778" s="1">
        <f t="shared" si="1111"/>
        <v>1769574</v>
      </c>
      <c r="M2778" s="2">
        <f t="shared" si="1112"/>
        <v>0.16808395692974692</v>
      </c>
      <c r="N2778" s="2">
        <f t="shared" si="1113"/>
        <v>0.83191604307025302</v>
      </c>
    </row>
    <row r="2779" spans="1:14" x14ac:dyDescent="0.35">
      <c r="A2779" t="s">
        <v>35</v>
      </c>
      <c r="B2779" t="s">
        <v>23</v>
      </c>
      <c r="C2779">
        <v>2009</v>
      </c>
      <c r="D2779" t="s">
        <v>33</v>
      </c>
      <c r="E2779" s="1">
        <f t="shared" ref="E2779:F2779" si="1160">SUM(E2011+E2203+E2395+E2587)</f>
        <v>334542</v>
      </c>
      <c r="F2779" s="1">
        <f t="shared" si="1160"/>
        <v>494570</v>
      </c>
      <c r="G2779" s="1">
        <f t="shared" si="1083"/>
        <v>829112</v>
      </c>
      <c r="H2779" s="2">
        <f t="shared" si="1084"/>
        <v>0.40349434093343239</v>
      </c>
      <c r="I2779" s="2">
        <f t="shared" si="1085"/>
        <v>0.59650565906656761</v>
      </c>
      <c r="J2779" s="1">
        <f t="shared" ref="J2779:K2779" si="1161">SUM(J2011+J2203+J2395+J2587)</f>
        <v>349142</v>
      </c>
      <c r="K2779" s="1">
        <f t="shared" si="1161"/>
        <v>1710796</v>
      </c>
      <c r="L2779" s="1">
        <f t="shared" si="1111"/>
        <v>2059938</v>
      </c>
      <c r="M2779" s="2">
        <f t="shared" si="1112"/>
        <v>0.16949150896774562</v>
      </c>
      <c r="N2779" s="2">
        <f t="shared" si="1113"/>
        <v>0.83050849103225433</v>
      </c>
    </row>
    <row r="2780" spans="1:14" x14ac:dyDescent="0.35">
      <c r="A2780" t="s">
        <v>35</v>
      </c>
      <c r="B2780" t="s">
        <v>24</v>
      </c>
      <c r="C2780">
        <v>2009</v>
      </c>
      <c r="D2780" t="s">
        <v>33</v>
      </c>
      <c r="E2780" s="1">
        <f t="shared" ref="E2780:F2780" si="1162">SUM(E2012+E2204+E2396+E2588)</f>
        <v>329402</v>
      </c>
      <c r="F2780" s="1">
        <f t="shared" si="1162"/>
        <v>499325</v>
      </c>
      <c r="G2780" s="1">
        <f t="shared" si="1083"/>
        <v>828727</v>
      </c>
      <c r="H2780" s="2">
        <f t="shared" si="1084"/>
        <v>0.39747950772691126</v>
      </c>
      <c r="I2780" s="2">
        <f t="shared" si="1085"/>
        <v>0.60252049227308868</v>
      </c>
      <c r="J2780" s="1">
        <f t="shared" ref="J2780:K2780" si="1163">SUM(J2012+J2204+J2396+J2588)</f>
        <v>421530</v>
      </c>
      <c r="K2780" s="1">
        <f t="shared" si="1163"/>
        <v>2015758</v>
      </c>
      <c r="L2780" s="1">
        <f t="shared" si="1111"/>
        <v>2437288</v>
      </c>
      <c r="M2780" s="2">
        <f t="shared" si="1112"/>
        <v>0.1729504268678958</v>
      </c>
      <c r="N2780" s="2">
        <f t="shared" si="1113"/>
        <v>0.82704957313210425</v>
      </c>
    </row>
    <row r="2781" spans="1:14" x14ac:dyDescent="0.35">
      <c r="A2781" t="s">
        <v>35</v>
      </c>
      <c r="B2781" t="s">
        <v>25</v>
      </c>
      <c r="C2781">
        <v>2009</v>
      </c>
      <c r="D2781" t="s">
        <v>33</v>
      </c>
      <c r="E2781" s="1">
        <f t="shared" ref="E2781:F2781" si="1164">SUM(E2013+E2205+E2397+E2589)</f>
        <v>324965</v>
      </c>
      <c r="F2781" s="1">
        <f t="shared" si="1164"/>
        <v>505097</v>
      </c>
      <c r="G2781" s="1">
        <f t="shared" si="1083"/>
        <v>830062</v>
      </c>
      <c r="H2781" s="2">
        <f t="shared" si="1084"/>
        <v>0.391494852191764</v>
      </c>
      <c r="I2781" s="2">
        <f t="shared" si="1085"/>
        <v>0.60850514780823606</v>
      </c>
      <c r="J2781" s="1">
        <f t="shared" ref="J2781:K2781" si="1165">SUM(J2013+J2205+J2397+J2589)</f>
        <v>420289</v>
      </c>
      <c r="K2781" s="1">
        <f t="shared" si="1165"/>
        <v>2007695</v>
      </c>
      <c r="L2781" s="1">
        <f t="shared" si="1111"/>
        <v>2427984</v>
      </c>
      <c r="M2781" s="2">
        <f t="shared" si="1112"/>
        <v>0.17310204680096739</v>
      </c>
      <c r="N2781" s="2">
        <f t="shared" si="1113"/>
        <v>0.82689795319903259</v>
      </c>
    </row>
    <row r="2782" spans="1:14" x14ac:dyDescent="0.35">
      <c r="A2782" t="s">
        <v>35</v>
      </c>
      <c r="B2782" t="s">
        <v>26</v>
      </c>
      <c r="C2782">
        <v>2009</v>
      </c>
      <c r="D2782" t="s">
        <v>33</v>
      </c>
      <c r="E2782" s="1">
        <f t="shared" ref="E2782:F2782" si="1166">SUM(E2014+E2206+E2398+E2590)</f>
        <v>319176</v>
      </c>
      <c r="F2782" s="1">
        <f t="shared" si="1166"/>
        <v>510953</v>
      </c>
      <c r="G2782" s="1">
        <f t="shared" si="1083"/>
        <v>830129</v>
      </c>
      <c r="H2782" s="2">
        <f t="shared" si="1084"/>
        <v>0.38448963956204396</v>
      </c>
      <c r="I2782" s="2">
        <f t="shared" si="1085"/>
        <v>0.61551036043795604</v>
      </c>
      <c r="J2782" s="1">
        <f t="shared" ref="J2782:K2782" si="1167">SUM(J2014+J2206+J2398+J2590)</f>
        <v>373557</v>
      </c>
      <c r="K2782" s="1">
        <f t="shared" si="1167"/>
        <v>1859722</v>
      </c>
      <c r="L2782" s="1">
        <f t="shared" si="1111"/>
        <v>2233279</v>
      </c>
      <c r="M2782" s="2">
        <f t="shared" si="1112"/>
        <v>0.1672683977237058</v>
      </c>
      <c r="N2782" s="2">
        <f t="shared" si="1113"/>
        <v>0.83273160227629417</v>
      </c>
    </row>
    <row r="2783" spans="1:14" x14ac:dyDescent="0.35">
      <c r="A2783" t="s">
        <v>35</v>
      </c>
      <c r="B2783" t="s">
        <v>27</v>
      </c>
      <c r="C2783">
        <v>2009</v>
      </c>
      <c r="D2783" t="s">
        <v>33</v>
      </c>
      <c r="E2783" s="1">
        <f t="shared" ref="E2783:F2783" si="1168">SUM(E2015+E2207+E2399+E2591)</f>
        <v>311868</v>
      </c>
      <c r="F2783" s="1">
        <f t="shared" si="1168"/>
        <v>516384</v>
      </c>
      <c r="G2783" s="1">
        <f t="shared" si="1083"/>
        <v>828252</v>
      </c>
      <c r="H2783" s="2">
        <f t="shared" si="1084"/>
        <v>0.37653757552049377</v>
      </c>
      <c r="I2783" s="2">
        <f t="shared" si="1085"/>
        <v>0.62346242447950628</v>
      </c>
      <c r="J2783" s="1">
        <f t="shared" ref="J2783:K2783" si="1169">SUM(J2015+J2207+J2399+J2591)</f>
        <v>294274</v>
      </c>
      <c r="K2783" s="1">
        <f t="shared" si="1169"/>
        <v>1603680</v>
      </c>
      <c r="L2783" s="1">
        <f t="shared" si="1111"/>
        <v>1897954</v>
      </c>
      <c r="M2783" s="2">
        <f t="shared" si="1112"/>
        <v>0.15504801486232017</v>
      </c>
      <c r="N2783" s="2">
        <f t="shared" si="1113"/>
        <v>0.84495198513767988</v>
      </c>
    </row>
    <row r="2784" spans="1:14" x14ac:dyDescent="0.35">
      <c r="A2784" t="s">
        <v>35</v>
      </c>
      <c r="B2784" t="s">
        <v>28</v>
      </c>
      <c r="C2784">
        <v>2009</v>
      </c>
      <c r="D2784" t="s">
        <v>33</v>
      </c>
      <c r="E2784" s="1">
        <f t="shared" ref="E2784:F2784" si="1170">SUM(E2016+E2208+E2400+E2592)</f>
        <v>306965</v>
      </c>
      <c r="F2784" s="1">
        <f t="shared" si="1170"/>
        <v>521261</v>
      </c>
      <c r="G2784" s="1">
        <f t="shared" si="1083"/>
        <v>828226</v>
      </c>
      <c r="H2784" s="2">
        <f t="shared" si="1084"/>
        <v>0.3706295141664232</v>
      </c>
      <c r="I2784" s="2">
        <f t="shared" si="1085"/>
        <v>0.6293704858335768</v>
      </c>
      <c r="J2784" s="1">
        <f t="shared" ref="J2784:K2784" si="1171">SUM(J2016+J2208+J2400+J2592)</f>
        <v>214698</v>
      </c>
      <c r="K2784" s="1">
        <f t="shared" si="1171"/>
        <v>1548291</v>
      </c>
      <c r="L2784" s="1">
        <f t="shared" si="1111"/>
        <v>1762989</v>
      </c>
      <c r="M2784" s="2">
        <f t="shared" si="1112"/>
        <v>0.12178068042398449</v>
      </c>
      <c r="N2784" s="2">
        <f t="shared" si="1113"/>
        <v>0.87821931957601551</v>
      </c>
    </row>
    <row r="2785" spans="1:14" x14ac:dyDescent="0.35">
      <c r="A2785" t="s">
        <v>35</v>
      </c>
      <c r="B2785" t="s">
        <v>29</v>
      </c>
      <c r="C2785">
        <v>2009</v>
      </c>
      <c r="D2785" t="s">
        <v>33</v>
      </c>
      <c r="E2785" s="1">
        <f t="shared" ref="E2785:F2785" si="1172">SUM(E2017+E2209+E2401+E2593)</f>
        <v>302058</v>
      </c>
      <c r="F2785" s="1">
        <f t="shared" si="1172"/>
        <v>523545</v>
      </c>
      <c r="G2785" s="1">
        <f t="shared" si="1083"/>
        <v>825603</v>
      </c>
      <c r="H2785" s="2">
        <f t="shared" si="1084"/>
        <v>0.36586349613555186</v>
      </c>
      <c r="I2785" s="2">
        <f t="shared" si="1085"/>
        <v>0.6341365038644482</v>
      </c>
      <c r="J2785" s="1">
        <f t="shared" ref="J2785:K2785" si="1173">SUM(J2017+J2209+J2401+J2593)</f>
        <v>236423</v>
      </c>
      <c r="K2785" s="1">
        <f t="shared" si="1173"/>
        <v>1598366</v>
      </c>
      <c r="L2785" s="1">
        <f t="shared" si="1111"/>
        <v>1834789</v>
      </c>
      <c r="M2785" s="2">
        <f t="shared" si="1112"/>
        <v>0.12885568858326488</v>
      </c>
      <c r="N2785" s="2">
        <f t="shared" si="1113"/>
        <v>0.8711443114167351</v>
      </c>
    </row>
    <row r="2786" spans="1:14" x14ac:dyDescent="0.35">
      <c r="A2786" t="s">
        <v>35</v>
      </c>
      <c r="B2786" t="s">
        <v>17</v>
      </c>
      <c r="C2786">
        <v>2010</v>
      </c>
      <c r="D2786" t="s">
        <v>33</v>
      </c>
      <c r="E2786" s="1">
        <f t="shared" ref="E2786:F2786" si="1174">SUM(E2018+E2210+E2402+E2594)</f>
        <v>276300</v>
      </c>
      <c r="F2786" s="1">
        <f t="shared" si="1174"/>
        <v>485233</v>
      </c>
      <c r="G2786" s="1">
        <f t="shared" si="1083"/>
        <v>761533</v>
      </c>
      <c r="H2786" s="2">
        <f t="shared" si="1084"/>
        <v>0.36282078386622774</v>
      </c>
      <c r="I2786" s="2">
        <f t="shared" si="1085"/>
        <v>0.63717921613377226</v>
      </c>
      <c r="J2786" s="1">
        <f t="shared" ref="J2786:K2786" si="1175">SUM(J2018+J2210+J2402+J2594)</f>
        <v>294599</v>
      </c>
      <c r="K2786" s="1">
        <f t="shared" si="1175"/>
        <v>1456961</v>
      </c>
      <c r="L2786" s="1">
        <f t="shared" si="1111"/>
        <v>1751560</v>
      </c>
      <c r="M2786" s="2">
        <f t="shared" si="1112"/>
        <v>0.16819235424421658</v>
      </c>
      <c r="N2786" s="2">
        <f t="shared" si="1113"/>
        <v>0.83180764575578336</v>
      </c>
    </row>
    <row r="2787" spans="1:14" x14ac:dyDescent="0.35">
      <c r="A2787" t="s">
        <v>35</v>
      </c>
      <c r="B2787" t="s">
        <v>19</v>
      </c>
      <c r="C2787">
        <v>2010</v>
      </c>
      <c r="D2787" t="s">
        <v>33</v>
      </c>
      <c r="E2787" s="1">
        <f t="shared" ref="E2787:F2787" si="1176">SUM(E2019+E2211+E2403+E2595)</f>
        <v>296966</v>
      </c>
      <c r="F2787" s="1">
        <f t="shared" si="1176"/>
        <v>530715</v>
      </c>
      <c r="G2787" s="1">
        <f t="shared" si="1083"/>
        <v>827681</v>
      </c>
      <c r="H2787" s="2">
        <f t="shared" si="1084"/>
        <v>0.3587928199390828</v>
      </c>
      <c r="I2787" s="2">
        <f t="shared" si="1085"/>
        <v>0.64120718006091715</v>
      </c>
      <c r="J2787" s="1">
        <f t="shared" ref="J2787:K2787" si="1177">SUM(J2019+J2211+J2403+J2595)</f>
        <v>237947</v>
      </c>
      <c r="K2787" s="1">
        <f t="shared" si="1177"/>
        <v>1450855</v>
      </c>
      <c r="L2787" s="1">
        <f t="shared" si="1111"/>
        <v>1688802</v>
      </c>
      <c r="M2787" s="2">
        <f t="shared" si="1112"/>
        <v>0.14089691982837538</v>
      </c>
      <c r="N2787" s="2">
        <f t="shared" si="1113"/>
        <v>0.85910308017162462</v>
      </c>
    </row>
    <row r="2788" spans="1:14" x14ac:dyDescent="0.35">
      <c r="A2788" t="s">
        <v>35</v>
      </c>
      <c r="B2788" t="s">
        <v>20</v>
      </c>
      <c r="C2788">
        <v>2010</v>
      </c>
      <c r="D2788" t="s">
        <v>33</v>
      </c>
      <c r="E2788" s="1">
        <f t="shared" ref="E2788:F2788" si="1178">SUM(E2020+E2212+E2404+E2596)</f>
        <v>294023</v>
      </c>
      <c r="F2788" s="1">
        <f t="shared" si="1178"/>
        <v>535919</v>
      </c>
      <c r="G2788" s="1">
        <f t="shared" si="1083"/>
        <v>829942</v>
      </c>
      <c r="H2788" s="2">
        <f t="shared" si="1084"/>
        <v>0.35426933448361453</v>
      </c>
      <c r="I2788" s="2">
        <f t="shared" si="1085"/>
        <v>0.64573066551638547</v>
      </c>
      <c r="J2788" s="1">
        <f t="shared" ref="J2788:K2788" si="1179">SUM(J2020+J2212+J2404+J2596)</f>
        <v>213573</v>
      </c>
      <c r="K2788" s="1">
        <f t="shared" si="1179"/>
        <v>1332049</v>
      </c>
      <c r="L2788" s="1">
        <f t="shared" si="1111"/>
        <v>1545622</v>
      </c>
      <c r="M2788" s="2">
        <f t="shared" si="1112"/>
        <v>0.13817932198170058</v>
      </c>
      <c r="N2788" s="2">
        <f t="shared" si="1113"/>
        <v>0.86182067801829942</v>
      </c>
    </row>
    <row r="2789" spans="1:14" x14ac:dyDescent="0.35">
      <c r="A2789" t="s">
        <v>35</v>
      </c>
      <c r="B2789" t="s">
        <v>21</v>
      </c>
      <c r="C2789">
        <v>2010</v>
      </c>
      <c r="D2789" t="s">
        <v>33</v>
      </c>
      <c r="E2789" s="1">
        <f t="shared" ref="E2789:F2789" si="1180">SUM(E2021+E2213+E2405+E2597)</f>
        <v>289923</v>
      </c>
      <c r="F2789" s="1">
        <f t="shared" si="1180"/>
        <v>540056</v>
      </c>
      <c r="G2789" s="1">
        <f t="shared" si="1083"/>
        <v>829979</v>
      </c>
      <c r="H2789" s="2">
        <f t="shared" si="1084"/>
        <v>0.34931365733349878</v>
      </c>
      <c r="I2789" s="2">
        <f t="shared" si="1085"/>
        <v>0.65068634266650116</v>
      </c>
      <c r="J2789" s="1">
        <f t="shared" ref="J2789:K2789" si="1181">SUM(J2021+J2213+J2405+J2597)</f>
        <v>184042</v>
      </c>
      <c r="K2789" s="1">
        <f t="shared" si="1181"/>
        <v>1408221</v>
      </c>
      <c r="L2789" s="1">
        <f t="shared" si="1111"/>
        <v>1592263</v>
      </c>
      <c r="M2789" s="2">
        <f t="shared" si="1112"/>
        <v>0.11558517656944864</v>
      </c>
      <c r="N2789" s="2">
        <f t="shared" si="1113"/>
        <v>0.88441482343055133</v>
      </c>
    </row>
    <row r="2790" spans="1:14" x14ac:dyDescent="0.35">
      <c r="A2790" t="s">
        <v>35</v>
      </c>
      <c r="B2790" t="s">
        <v>22</v>
      </c>
      <c r="C2790">
        <v>2010</v>
      </c>
      <c r="D2790" t="s">
        <v>33</v>
      </c>
      <c r="E2790" s="1">
        <f t="shared" ref="E2790:F2790" si="1182">SUM(E2022+E2214+E2406+E2598)</f>
        <v>286897</v>
      </c>
      <c r="F2790" s="1">
        <f t="shared" si="1182"/>
        <v>544019</v>
      </c>
      <c r="G2790" s="1">
        <f t="shared" si="1083"/>
        <v>830916</v>
      </c>
      <c r="H2790" s="2">
        <f t="shared" si="1084"/>
        <v>0.34527798237126256</v>
      </c>
      <c r="I2790" s="2">
        <f t="shared" si="1085"/>
        <v>0.6547220176287375</v>
      </c>
      <c r="J2790" s="1">
        <f t="shared" ref="J2790:K2790" si="1183">SUM(J2022+J2214+J2406+J2598)</f>
        <v>219218</v>
      </c>
      <c r="K2790" s="1">
        <f t="shared" si="1183"/>
        <v>1557753</v>
      </c>
      <c r="L2790" s="1">
        <f t="shared" si="1111"/>
        <v>1776971</v>
      </c>
      <c r="M2790" s="2">
        <f t="shared" si="1112"/>
        <v>0.12336611008283196</v>
      </c>
      <c r="N2790" s="2">
        <f t="shared" si="1113"/>
        <v>0.87663388991716806</v>
      </c>
    </row>
    <row r="2791" spans="1:14" x14ac:dyDescent="0.35">
      <c r="A2791" t="s">
        <v>35</v>
      </c>
      <c r="B2791" t="s">
        <v>23</v>
      </c>
      <c r="C2791">
        <v>2010</v>
      </c>
      <c r="D2791" t="s">
        <v>33</v>
      </c>
      <c r="E2791" s="1">
        <f t="shared" ref="E2791:F2791" si="1184">SUM(E2023+E2215+E2407+E2599)</f>
        <v>283653</v>
      </c>
      <c r="F2791" s="1">
        <f t="shared" si="1184"/>
        <v>548421</v>
      </c>
      <c r="G2791" s="1">
        <f t="shared" si="1083"/>
        <v>832074</v>
      </c>
      <c r="H2791" s="2">
        <f t="shared" si="1084"/>
        <v>0.34089876621550486</v>
      </c>
      <c r="I2791" s="2">
        <f t="shared" si="1085"/>
        <v>0.65910123378449514</v>
      </c>
      <c r="J2791" s="1">
        <f t="shared" ref="J2791:K2791" si="1185">SUM(J2023+J2215+J2407+J2599)</f>
        <v>298219</v>
      </c>
      <c r="K2791" s="1">
        <f t="shared" si="1185"/>
        <v>1831363</v>
      </c>
      <c r="L2791" s="1">
        <f t="shared" si="1111"/>
        <v>2129582</v>
      </c>
      <c r="M2791" s="2">
        <f t="shared" si="1112"/>
        <v>0.14003640150977986</v>
      </c>
      <c r="N2791" s="2">
        <f t="shared" si="1113"/>
        <v>0.85996359849022019</v>
      </c>
    </row>
    <row r="2792" spans="1:14" x14ac:dyDescent="0.35">
      <c r="A2792" t="s">
        <v>35</v>
      </c>
      <c r="B2792" t="s">
        <v>24</v>
      </c>
      <c r="C2792">
        <v>2010</v>
      </c>
      <c r="D2792" t="s">
        <v>33</v>
      </c>
      <c r="E2792" s="1">
        <f t="shared" ref="E2792:F2792" si="1186">SUM(E2024+E2216+E2408+E2600)</f>
        <v>280176</v>
      </c>
      <c r="F2792" s="1">
        <f t="shared" si="1186"/>
        <v>551624</v>
      </c>
      <c r="G2792" s="1">
        <f t="shared" si="1083"/>
        <v>831800</v>
      </c>
      <c r="H2792" s="2">
        <f t="shared" si="1084"/>
        <v>0.33683096898292858</v>
      </c>
      <c r="I2792" s="2">
        <f t="shared" si="1085"/>
        <v>0.66316903101707136</v>
      </c>
      <c r="J2792" s="1">
        <f t="shared" ref="J2792:K2792" si="1187">SUM(J2024+J2216+J2408+J2600)</f>
        <v>333851</v>
      </c>
      <c r="K2792" s="1">
        <f t="shared" si="1187"/>
        <v>1901601</v>
      </c>
      <c r="L2792" s="1">
        <f t="shared" si="1111"/>
        <v>2235452</v>
      </c>
      <c r="M2792" s="2">
        <f t="shared" si="1112"/>
        <v>0.14934384634516867</v>
      </c>
      <c r="N2792" s="2">
        <f t="shared" si="1113"/>
        <v>0.85065615365483138</v>
      </c>
    </row>
    <row r="2793" spans="1:14" x14ac:dyDescent="0.35">
      <c r="A2793" t="s">
        <v>35</v>
      </c>
      <c r="B2793" t="s">
        <v>25</v>
      </c>
      <c r="C2793">
        <v>2010</v>
      </c>
      <c r="D2793" t="s">
        <v>33</v>
      </c>
      <c r="E2793" s="1">
        <f t="shared" ref="E2793:F2793" si="1188">SUM(E2025+E2217+E2409+E2601)</f>
        <v>264017</v>
      </c>
      <c r="F2793" s="1">
        <f t="shared" si="1188"/>
        <v>530720</v>
      </c>
      <c r="G2793" s="1">
        <f t="shared" si="1083"/>
        <v>794737</v>
      </c>
      <c r="H2793" s="2">
        <f t="shared" si="1084"/>
        <v>0.33220675519071091</v>
      </c>
      <c r="I2793" s="2">
        <f t="shared" si="1085"/>
        <v>0.66779324480928914</v>
      </c>
      <c r="J2793" s="1">
        <f t="shared" ref="J2793:K2793" si="1189">SUM(J2025+J2217+J2409+J2601)</f>
        <v>311141</v>
      </c>
      <c r="K2793" s="1">
        <f t="shared" si="1189"/>
        <v>1848588</v>
      </c>
      <c r="L2793" s="1">
        <f t="shared" si="1111"/>
        <v>2159729</v>
      </c>
      <c r="M2793" s="2">
        <f t="shared" si="1112"/>
        <v>0.14406483406019921</v>
      </c>
      <c r="N2793" s="2">
        <f t="shared" si="1113"/>
        <v>0.85593516593980079</v>
      </c>
    </row>
    <row r="2794" spans="1:14" x14ac:dyDescent="0.35">
      <c r="A2794" t="s">
        <v>35</v>
      </c>
      <c r="B2794" t="s">
        <v>26</v>
      </c>
      <c r="C2794">
        <v>2010</v>
      </c>
      <c r="D2794" t="s">
        <v>33</v>
      </c>
      <c r="E2794" s="1">
        <f t="shared" ref="E2794:F2794" si="1190">SUM(E2026+E2218+E2410+E2602)</f>
        <v>274454</v>
      </c>
      <c r="F2794" s="1">
        <f t="shared" si="1190"/>
        <v>558666</v>
      </c>
      <c r="G2794" s="1">
        <f t="shared" si="1083"/>
        <v>833120</v>
      </c>
      <c r="H2794" s="2">
        <f t="shared" si="1084"/>
        <v>0.32942913385826772</v>
      </c>
      <c r="I2794" s="2">
        <f t="shared" si="1085"/>
        <v>0.67057086614173234</v>
      </c>
      <c r="J2794" s="1">
        <f t="shared" ref="J2794:K2794" si="1191">SUM(J2026+J2218+J2410+J2602)</f>
        <v>327243</v>
      </c>
      <c r="K2794" s="1">
        <f t="shared" si="1191"/>
        <v>1989048</v>
      </c>
      <c r="L2794" s="1">
        <f t="shared" si="1111"/>
        <v>2316291</v>
      </c>
      <c r="M2794" s="2">
        <f t="shared" si="1112"/>
        <v>0.14127888076239126</v>
      </c>
      <c r="N2794" s="2">
        <f t="shared" si="1113"/>
        <v>0.85872111923760874</v>
      </c>
    </row>
    <row r="2795" spans="1:14" x14ac:dyDescent="0.35">
      <c r="A2795" t="s">
        <v>35</v>
      </c>
      <c r="B2795" t="s">
        <v>27</v>
      </c>
      <c r="C2795">
        <v>2010</v>
      </c>
      <c r="D2795" t="s">
        <v>33</v>
      </c>
      <c r="E2795" s="1">
        <f t="shared" ref="E2795:F2795" si="1192">SUM(E2027+E2219+E2411+E2603)</f>
        <v>259568</v>
      </c>
      <c r="F2795" s="1">
        <f t="shared" si="1192"/>
        <v>532715</v>
      </c>
      <c r="G2795" s="1">
        <f t="shared" si="1083"/>
        <v>792283</v>
      </c>
      <c r="H2795" s="2">
        <f t="shared" si="1084"/>
        <v>0.32762030739016235</v>
      </c>
      <c r="I2795" s="2">
        <f t="shared" si="1085"/>
        <v>0.67237969260983765</v>
      </c>
      <c r="J2795" s="1">
        <f t="shared" ref="J2795:K2795" si="1193">SUM(J2027+J2219+J2411+J2603)</f>
        <v>230590</v>
      </c>
      <c r="K2795" s="1">
        <f t="shared" si="1193"/>
        <v>1591194</v>
      </c>
      <c r="L2795" s="1">
        <f t="shared" si="1111"/>
        <v>1821784</v>
      </c>
      <c r="M2795" s="2">
        <f t="shared" si="1112"/>
        <v>0.12657373212192005</v>
      </c>
      <c r="N2795" s="2">
        <f t="shared" si="1113"/>
        <v>0.87342626787807998</v>
      </c>
    </row>
    <row r="2796" spans="1:14" x14ac:dyDescent="0.35">
      <c r="A2796" t="s">
        <v>35</v>
      </c>
      <c r="B2796" t="s">
        <v>28</v>
      </c>
      <c r="C2796">
        <v>2010</v>
      </c>
      <c r="D2796" t="s">
        <v>33</v>
      </c>
      <c r="E2796" s="1">
        <f t="shared" ref="E2796:F2796" si="1194">SUM(E2028+E2220+E2412+E2604)</f>
        <v>258132</v>
      </c>
      <c r="F2796" s="1">
        <f t="shared" si="1194"/>
        <v>538511</v>
      </c>
      <c r="G2796" s="1">
        <f t="shared" si="1083"/>
        <v>796643</v>
      </c>
      <c r="H2796" s="2">
        <f t="shared" si="1084"/>
        <v>0.32402468859953582</v>
      </c>
      <c r="I2796" s="2">
        <f t="shared" si="1085"/>
        <v>0.67597531140046418</v>
      </c>
      <c r="J2796" s="1">
        <f t="shared" ref="J2796:K2796" si="1195">SUM(J2028+J2220+J2412+J2604)</f>
        <v>185497</v>
      </c>
      <c r="K2796" s="1">
        <f t="shared" si="1195"/>
        <v>1445472</v>
      </c>
      <c r="L2796" s="1">
        <f t="shared" si="1111"/>
        <v>1630969</v>
      </c>
      <c r="M2796" s="2">
        <f t="shared" si="1112"/>
        <v>0.11373422793443652</v>
      </c>
      <c r="N2796" s="2">
        <f t="shared" si="1113"/>
        <v>0.88626577206556345</v>
      </c>
    </row>
    <row r="2797" spans="1:14" x14ac:dyDescent="0.35">
      <c r="A2797" t="s">
        <v>35</v>
      </c>
      <c r="B2797" t="s">
        <v>29</v>
      </c>
      <c r="C2797">
        <v>2010</v>
      </c>
      <c r="D2797" t="s">
        <v>33</v>
      </c>
      <c r="E2797" s="1">
        <f t="shared" ref="E2797:F2797" si="1196">SUM(E2029+E2221+E2413+E2605)</f>
        <v>262909</v>
      </c>
      <c r="F2797" s="1">
        <f t="shared" si="1196"/>
        <v>554101</v>
      </c>
      <c r="G2797" s="1">
        <f t="shared" si="1083"/>
        <v>817010</v>
      </c>
      <c r="H2797" s="2">
        <f t="shared" si="1084"/>
        <v>0.32179410288735755</v>
      </c>
      <c r="I2797" s="2">
        <f t="shared" si="1085"/>
        <v>0.67820589711264245</v>
      </c>
      <c r="J2797" s="1">
        <f t="shared" ref="J2797:K2797" si="1197">SUM(J2029+J2221+J2413+J2605)</f>
        <v>195008</v>
      </c>
      <c r="K2797" s="1">
        <f t="shared" si="1197"/>
        <v>1423173</v>
      </c>
      <c r="L2797" s="1">
        <f t="shared" si="1111"/>
        <v>1618181</v>
      </c>
      <c r="M2797" s="2">
        <f t="shared" si="1112"/>
        <v>0.12051062273009014</v>
      </c>
      <c r="N2797" s="2">
        <f t="shared" si="1113"/>
        <v>0.87948937726990983</v>
      </c>
    </row>
    <row r="2798" spans="1:14" x14ac:dyDescent="0.35">
      <c r="A2798" t="s">
        <v>35</v>
      </c>
      <c r="B2798" t="s">
        <v>17</v>
      </c>
      <c r="C2798">
        <v>2011</v>
      </c>
      <c r="D2798" t="s">
        <v>33</v>
      </c>
      <c r="E2798" s="1">
        <f t="shared" ref="E2798:F2798" si="1198">SUM(E2030+E2222+E2414+E2606)</f>
        <v>241591</v>
      </c>
      <c r="F2798" s="1">
        <f t="shared" si="1198"/>
        <v>515793</v>
      </c>
      <c r="G2798" s="1">
        <f t="shared" si="1083"/>
        <v>757384</v>
      </c>
      <c r="H2798" s="2">
        <f t="shared" si="1084"/>
        <v>0.31898086043539342</v>
      </c>
      <c r="I2798" s="2">
        <f t="shared" si="1085"/>
        <v>0.68101913956460658</v>
      </c>
      <c r="J2798" s="1">
        <f t="shared" ref="J2798:K2798" si="1199">SUM(J2030+J2222+J2414+J2606)</f>
        <v>204265</v>
      </c>
      <c r="K2798" s="1">
        <f t="shared" si="1199"/>
        <v>1208284</v>
      </c>
      <c r="L2798" s="1">
        <f t="shared" si="1111"/>
        <v>1412549</v>
      </c>
      <c r="M2798" s="2">
        <f t="shared" si="1112"/>
        <v>0.1446073729123733</v>
      </c>
      <c r="N2798" s="2">
        <f t="shared" si="1113"/>
        <v>0.85539262708762664</v>
      </c>
    </row>
    <row r="2799" spans="1:14" x14ac:dyDescent="0.35">
      <c r="A2799" t="s">
        <v>35</v>
      </c>
      <c r="B2799" t="s">
        <v>19</v>
      </c>
      <c r="C2799">
        <v>2011</v>
      </c>
      <c r="D2799" t="s">
        <v>33</v>
      </c>
      <c r="E2799" s="1">
        <f t="shared" ref="E2799:F2799" si="1200">SUM(E2031+E2223+E2415+E2607)</f>
        <v>263249</v>
      </c>
      <c r="F2799" s="1">
        <f t="shared" si="1200"/>
        <v>565573</v>
      </c>
      <c r="G2799" s="1">
        <f t="shared" si="1083"/>
        <v>828822</v>
      </c>
      <c r="H2799" s="2">
        <f t="shared" si="1084"/>
        <v>0.31761825820260564</v>
      </c>
      <c r="I2799" s="2">
        <f t="shared" si="1085"/>
        <v>0.68238174179739441</v>
      </c>
      <c r="J2799" s="1">
        <f t="shared" ref="J2799:K2799" si="1201">SUM(J2031+J2223+J2415+J2607)</f>
        <v>245566</v>
      </c>
      <c r="K2799" s="1">
        <f t="shared" si="1201"/>
        <v>1582127</v>
      </c>
      <c r="L2799" s="1">
        <f t="shared" si="1111"/>
        <v>1827693</v>
      </c>
      <c r="M2799" s="2">
        <f t="shared" si="1112"/>
        <v>0.1343584507901491</v>
      </c>
      <c r="N2799" s="2">
        <f t="shared" si="1113"/>
        <v>0.86564154920985092</v>
      </c>
    </row>
    <row r="2800" spans="1:14" x14ac:dyDescent="0.35">
      <c r="A2800" t="s">
        <v>35</v>
      </c>
      <c r="B2800" t="s">
        <v>20</v>
      </c>
      <c r="C2800">
        <v>2011</v>
      </c>
      <c r="D2800" t="s">
        <v>33</v>
      </c>
      <c r="E2800" s="1">
        <f t="shared" ref="E2800:F2800" si="1202">SUM(E2032+E2224+E2416+E2608)</f>
        <v>262815</v>
      </c>
      <c r="F2800" s="1">
        <f t="shared" si="1202"/>
        <v>569951</v>
      </c>
      <c r="G2800" s="1">
        <f t="shared" si="1083"/>
        <v>832766</v>
      </c>
      <c r="H2800" s="2">
        <f t="shared" si="1084"/>
        <v>0.31559285561610345</v>
      </c>
      <c r="I2800" s="2">
        <f t="shared" si="1085"/>
        <v>0.6844071443838966</v>
      </c>
      <c r="J2800" s="1">
        <f t="shared" ref="J2800:K2800" si="1203">SUM(J2032+J2224+J2416+J2608)</f>
        <v>178358</v>
      </c>
      <c r="K2800" s="1">
        <f t="shared" si="1203"/>
        <v>1230375</v>
      </c>
      <c r="L2800" s="1">
        <f t="shared" si="1111"/>
        <v>1408733</v>
      </c>
      <c r="M2800" s="2">
        <f t="shared" si="1112"/>
        <v>0.12660880379745487</v>
      </c>
      <c r="N2800" s="2">
        <f t="shared" si="1113"/>
        <v>0.87339119620254513</v>
      </c>
    </row>
    <row r="2801" spans="1:14" x14ac:dyDescent="0.35">
      <c r="A2801" t="s">
        <v>35</v>
      </c>
      <c r="B2801" t="s">
        <v>21</v>
      </c>
      <c r="C2801">
        <v>2011</v>
      </c>
      <c r="D2801" t="s">
        <v>33</v>
      </c>
      <c r="E2801" s="1">
        <f t="shared" ref="E2801:F2801" si="1204">SUM(E2033+E2225+E2417+E2609)</f>
        <v>250945</v>
      </c>
      <c r="F2801" s="1">
        <f t="shared" si="1204"/>
        <v>548249</v>
      </c>
      <c r="G2801" s="1">
        <f t="shared" si="1083"/>
        <v>799194</v>
      </c>
      <c r="H2801" s="2">
        <f t="shared" si="1084"/>
        <v>0.31399760258460396</v>
      </c>
      <c r="I2801" s="2">
        <f t="shared" si="1085"/>
        <v>0.68600239741539604</v>
      </c>
      <c r="J2801" s="1">
        <f t="shared" ref="J2801:K2801" si="1205">SUM(J2033+J2225+J2417+J2609)</f>
        <v>186887</v>
      </c>
      <c r="K2801" s="1">
        <f t="shared" si="1205"/>
        <v>1269727</v>
      </c>
      <c r="L2801" s="1">
        <f t="shared" si="1111"/>
        <v>1456614</v>
      </c>
      <c r="M2801" s="2">
        <f t="shared" si="1112"/>
        <v>0.12830235051976707</v>
      </c>
      <c r="N2801" s="2">
        <f t="shared" si="1113"/>
        <v>0.87169764948023287</v>
      </c>
    </row>
    <row r="2802" spans="1:14" x14ac:dyDescent="0.35">
      <c r="A2802" t="s">
        <v>35</v>
      </c>
      <c r="B2802" t="s">
        <v>22</v>
      </c>
      <c r="C2802">
        <v>2011</v>
      </c>
      <c r="D2802" t="s">
        <v>33</v>
      </c>
      <c r="E2802" s="1">
        <f t="shared" ref="E2802:F2802" si="1206">SUM(E2034+E2226+E2418+E2610)</f>
        <v>236473</v>
      </c>
      <c r="F2802" s="1">
        <f t="shared" si="1206"/>
        <v>523516</v>
      </c>
      <c r="G2802" s="1">
        <f t="shared" si="1083"/>
        <v>759989</v>
      </c>
      <c r="H2802" s="2">
        <f t="shared" si="1084"/>
        <v>0.31115318774350681</v>
      </c>
      <c r="I2802" s="2">
        <f t="shared" si="1085"/>
        <v>0.68884681225649314</v>
      </c>
      <c r="J2802" s="1">
        <f t="shared" ref="J2802:K2802" si="1207">SUM(J2034+J2226+J2418+J2610)</f>
        <v>214945</v>
      </c>
      <c r="K2802" s="1">
        <f t="shared" si="1207"/>
        <v>1420820</v>
      </c>
      <c r="L2802" s="1">
        <f t="shared" si="1111"/>
        <v>1635765</v>
      </c>
      <c r="M2802" s="2">
        <f t="shared" si="1112"/>
        <v>0.13140334950313767</v>
      </c>
      <c r="N2802" s="2">
        <f t="shared" si="1113"/>
        <v>0.8685966504968623</v>
      </c>
    </row>
    <row r="2803" spans="1:14" x14ac:dyDescent="0.35">
      <c r="A2803" t="s">
        <v>35</v>
      </c>
      <c r="B2803" t="s">
        <v>23</v>
      </c>
      <c r="C2803">
        <v>2011</v>
      </c>
      <c r="D2803" t="s">
        <v>33</v>
      </c>
      <c r="E2803" s="1">
        <f t="shared" ref="E2803:F2803" si="1208">SUM(E2035+E2227+E2419+E2611)</f>
        <v>258899</v>
      </c>
      <c r="F2803" s="1">
        <f t="shared" si="1208"/>
        <v>576572</v>
      </c>
      <c r="G2803" s="1">
        <f t="shared" si="1083"/>
        <v>835471</v>
      </c>
      <c r="H2803" s="2">
        <f t="shared" si="1084"/>
        <v>0.30988388585600218</v>
      </c>
      <c r="I2803" s="2">
        <f t="shared" si="1085"/>
        <v>0.69011611414399787</v>
      </c>
      <c r="J2803" s="1">
        <f t="shared" ref="J2803:K2803" si="1209">SUM(J2035+J2227+J2419+J2611)</f>
        <v>297213</v>
      </c>
      <c r="K2803" s="1">
        <f t="shared" si="1209"/>
        <v>1769949</v>
      </c>
      <c r="L2803" s="1">
        <f t="shared" si="1111"/>
        <v>2067162</v>
      </c>
      <c r="M2803" s="2">
        <f t="shared" si="1112"/>
        <v>0.14377828152800795</v>
      </c>
      <c r="N2803" s="2">
        <f t="shared" si="1113"/>
        <v>0.85622171847199202</v>
      </c>
    </row>
    <row r="2804" spans="1:14" x14ac:dyDescent="0.35">
      <c r="A2804" t="s">
        <v>35</v>
      </c>
      <c r="B2804" t="s">
        <v>24</v>
      </c>
      <c r="C2804">
        <v>2011</v>
      </c>
      <c r="D2804" t="s">
        <v>33</v>
      </c>
      <c r="E2804" s="1">
        <f t="shared" ref="E2804:F2804" si="1210">SUM(E2036+E2228+E2420+E2612)</f>
        <v>247040</v>
      </c>
      <c r="F2804" s="1">
        <f t="shared" si="1210"/>
        <v>556282</v>
      </c>
      <c r="G2804" s="1">
        <f t="shared" si="1083"/>
        <v>803322</v>
      </c>
      <c r="H2804" s="2">
        <f t="shared" si="1084"/>
        <v>0.30752301069807625</v>
      </c>
      <c r="I2804" s="2">
        <f t="shared" si="1085"/>
        <v>0.69247698930192381</v>
      </c>
      <c r="J2804" s="1">
        <f t="shared" ref="J2804:K2804" si="1211">SUM(J2036+J2228+J2420+J2612)</f>
        <v>309369</v>
      </c>
      <c r="K2804" s="1">
        <f t="shared" si="1211"/>
        <v>1700566</v>
      </c>
      <c r="L2804" s="1">
        <f t="shared" si="1111"/>
        <v>2009935</v>
      </c>
      <c r="M2804" s="2">
        <f t="shared" si="1112"/>
        <v>0.15391990288243151</v>
      </c>
      <c r="N2804" s="2">
        <f t="shared" si="1113"/>
        <v>0.84608009711756849</v>
      </c>
    </row>
    <row r="2805" spans="1:14" x14ac:dyDescent="0.35">
      <c r="A2805" t="s">
        <v>35</v>
      </c>
      <c r="B2805" t="s">
        <v>25</v>
      </c>
      <c r="C2805">
        <v>2011</v>
      </c>
      <c r="D2805" t="s">
        <v>33</v>
      </c>
      <c r="E2805" s="1">
        <f t="shared" ref="E2805:F2805" si="1212">SUM(E2037+E2229+E2421+E2613)</f>
        <v>256060</v>
      </c>
      <c r="F2805" s="1">
        <f t="shared" si="1212"/>
        <v>581914</v>
      </c>
      <c r="G2805" s="1">
        <f t="shared" si="1083"/>
        <v>837974</v>
      </c>
      <c r="H2805" s="2">
        <f t="shared" si="1084"/>
        <v>0.30557033989121379</v>
      </c>
      <c r="I2805" s="2">
        <f t="shared" si="1085"/>
        <v>0.69442966010878615</v>
      </c>
      <c r="J2805" s="1">
        <f t="shared" ref="J2805:K2805" si="1213">SUM(J2037+J2229+J2421+J2613)</f>
        <v>334361</v>
      </c>
      <c r="K2805" s="1">
        <f t="shared" si="1213"/>
        <v>1829664</v>
      </c>
      <c r="L2805" s="1">
        <f t="shared" si="1111"/>
        <v>2164025</v>
      </c>
      <c r="M2805" s="2">
        <f t="shared" si="1112"/>
        <v>0.15450884347454397</v>
      </c>
      <c r="N2805" s="2">
        <f t="shared" si="1113"/>
        <v>0.84549115652545603</v>
      </c>
    </row>
    <row r="2806" spans="1:14" x14ac:dyDescent="0.35">
      <c r="A2806" t="s">
        <v>35</v>
      </c>
      <c r="B2806" t="s">
        <v>26</v>
      </c>
      <c r="C2806">
        <v>2011</v>
      </c>
      <c r="D2806" t="s">
        <v>33</v>
      </c>
      <c r="E2806" s="1">
        <f t="shared" ref="E2806:F2806" si="1214">SUM(E2038+E2230+E2422+E2614)</f>
        <v>239389</v>
      </c>
      <c r="F2806" s="1">
        <f t="shared" si="1214"/>
        <v>549575</v>
      </c>
      <c r="G2806" s="1">
        <f t="shared" si="1083"/>
        <v>788964</v>
      </c>
      <c r="H2806" s="2">
        <f t="shared" si="1084"/>
        <v>0.30342195588138371</v>
      </c>
      <c r="I2806" s="2">
        <f t="shared" si="1085"/>
        <v>0.69657804411861635</v>
      </c>
      <c r="J2806" s="1">
        <f t="shared" ref="J2806:K2806" si="1215">SUM(J2038+J2230+J2422+J2614)</f>
        <v>307368</v>
      </c>
      <c r="K2806" s="1">
        <f t="shared" si="1215"/>
        <v>1777204</v>
      </c>
      <c r="L2806" s="1">
        <f t="shared" si="1111"/>
        <v>2084572</v>
      </c>
      <c r="M2806" s="2">
        <f t="shared" si="1112"/>
        <v>0.14744897273876845</v>
      </c>
      <c r="N2806" s="2">
        <f t="shared" si="1113"/>
        <v>0.85255102726123155</v>
      </c>
    </row>
    <row r="2807" spans="1:14" x14ac:dyDescent="0.35">
      <c r="A2807" t="s">
        <v>35</v>
      </c>
      <c r="B2807" t="s">
        <v>27</v>
      </c>
      <c r="C2807">
        <v>2011</v>
      </c>
      <c r="D2807" t="s">
        <v>33</v>
      </c>
      <c r="E2807" s="1">
        <f t="shared" ref="E2807:F2807" si="1216">SUM(E2039+E2231+E2423+E2615)</f>
        <v>233495</v>
      </c>
      <c r="F2807" s="1">
        <f t="shared" si="1216"/>
        <v>536585</v>
      </c>
      <c r="G2807" s="1">
        <f t="shared" ref="G2807:G2870" si="1217">SUM(E2807:F2807)</f>
        <v>770080</v>
      </c>
      <c r="H2807" s="2">
        <f t="shared" ref="H2807:H2870" si="1218">SUM(E2807)/G2807</f>
        <v>0.30320875753168502</v>
      </c>
      <c r="I2807" s="2">
        <f t="shared" ref="I2807:I2870" si="1219">SUM(F2807/G2807)</f>
        <v>0.69679124246831503</v>
      </c>
      <c r="J2807" s="1">
        <f t="shared" ref="J2807:K2807" si="1220">SUM(J2039+J2231+J2423+J2615)</f>
        <v>238216</v>
      </c>
      <c r="K2807" s="1">
        <f t="shared" si="1220"/>
        <v>1496789</v>
      </c>
      <c r="L2807" s="1">
        <f t="shared" si="1111"/>
        <v>1735005</v>
      </c>
      <c r="M2807" s="2">
        <f t="shared" si="1112"/>
        <v>0.1372998925075144</v>
      </c>
      <c r="N2807" s="2">
        <f t="shared" si="1113"/>
        <v>0.8627001074924856</v>
      </c>
    </row>
    <row r="2808" spans="1:14" x14ac:dyDescent="0.35">
      <c r="A2808" t="s">
        <v>35</v>
      </c>
      <c r="B2808" t="s">
        <v>28</v>
      </c>
      <c r="C2808">
        <v>2011</v>
      </c>
      <c r="D2808" t="s">
        <v>33</v>
      </c>
      <c r="E2808" s="1">
        <f t="shared" ref="E2808:F2808" si="1221">SUM(E2040+E2232+E2424+E2616)</f>
        <v>240982</v>
      </c>
      <c r="F2808" s="1">
        <f t="shared" si="1221"/>
        <v>564846</v>
      </c>
      <c r="G2808" s="1">
        <f t="shared" si="1217"/>
        <v>805828</v>
      </c>
      <c r="H2808" s="2">
        <f t="shared" si="1218"/>
        <v>0.29904892855547338</v>
      </c>
      <c r="I2808" s="2">
        <f t="shared" si="1219"/>
        <v>0.70095107144452662</v>
      </c>
      <c r="J2808" s="1">
        <f t="shared" ref="J2808:K2808" si="1222">SUM(J2040+J2232+J2424+J2616)</f>
        <v>176909</v>
      </c>
      <c r="K2808" s="1">
        <f t="shared" si="1222"/>
        <v>1274590</v>
      </c>
      <c r="L2808" s="1">
        <f t="shared" si="1111"/>
        <v>1451499</v>
      </c>
      <c r="M2808" s="2">
        <f t="shared" si="1112"/>
        <v>0.12188020797809712</v>
      </c>
      <c r="N2808" s="2">
        <f t="shared" si="1113"/>
        <v>0.87811979202190282</v>
      </c>
    </row>
    <row r="2809" spans="1:14" x14ac:dyDescent="0.35">
      <c r="A2809" t="s">
        <v>35</v>
      </c>
      <c r="B2809" t="s">
        <v>29</v>
      </c>
      <c r="C2809">
        <v>2011</v>
      </c>
      <c r="D2809" t="s">
        <v>33</v>
      </c>
      <c r="E2809" s="1">
        <f t="shared" ref="E2809:F2809" si="1223">SUM(E2041+E2233+E2425+E2617)</f>
        <v>218161</v>
      </c>
      <c r="F2809" s="1">
        <f t="shared" si="1223"/>
        <v>510951</v>
      </c>
      <c r="G2809" s="1">
        <f t="shared" si="1217"/>
        <v>729112</v>
      </c>
      <c r="H2809" s="2">
        <f t="shared" si="1218"/>
        <v>0.29921466112202239</v>
      </c>
      <c r="I2809" s="2">
        <f t="shared" si="1219"/>
        <v>0.70078533887797756</v>
      </c>
      <c r="J2809" s="1">
        <f t="shared" ref="J2809:K2809" si="1224">SUM(J2041+J2233+J2425+J2617)</f>
        <v>171183</v>
      </c>
      <c r="K2809" s="1">
        <f t="shared" si="1224"/>
        <v>1107307</v>
      </c>
      <c r="L2809" s="1">
        <f t="shared" si="1111"/>
        <v>1278490</v>
      </c>
      <c r="M2809" s="2">
        <f t="shared" si="1112"/>
        <v>0.13389467262160831</v>
      </c>
      <c r="N2809" s="2">
        <f t="shared" si="1113"/>
        <v>0.86610532737839174</v>
      </c>
    </row>
    <row r="2810" spans="1:14" x14ac:dyDescent="0.35">
      <c r="A2810" t="s">
        <v>35</v>
      </c>
      <c r="B2810" t="s">
        <v>17</v>
      </c>
      <c r="C2810">
        <v>2012</v>
      </c>
      <c r="D2810" t="s">
        <v>33</v>
      </c>
      <c r="E2810" s="1">
        <f t="shared" ref="E2810:F2810" si="1225">SUM(E2042+E2234+E2426+E2618)</f>
        <v>229031</v>
      </c>
      <c r="F2810" s="1">
        <f t="shared" si="1225"/>
        <v>540884</v>
      </c>
      <c r="G2810" s="1">
        <f t="shared" si="1217"/>
        <v>769915</v>
      </c>
      <c r="H2810" s="2">
        <f t="shared" si="1218"/>
        <v>0.29747569536896928</v>
      </c>
      <c r="I2810" s="2">
        <f t="shared" si="1219"/>
        <v>0.70252430463103066</v>
      </c>
      <c r="J2810" s="1">
        <f t="shared" ref="J2810:K2810" si="1226">SUM(J2042+J2234+J2426+J2618)</f>
        <v>199650</v>
      </c>
      <c r="K2810" s="1">
        <f t="shared" si="1226"/>
        <v>1268980</v>
      </c>
      <c r="L2810" s="1">
        <f t="shared" si="1111"/>
        <v>1468630</v>
      </c>
      <c r="M2810" s="2">
        <f t="shared" si="1112"/>
        <v>0.13594302172773265</v>
      </c>
      <c r="N2810" s="2">
        <f t="shared" si="1113"/>
        <v>0.86405697827226735</v>
      </c>
    </row>
    <row r="2811" spans="1:14" x14ac:dyDescent="0.35">
      <c r="A2811" t="s">
        <v>35</v>
      </c>
      <c r="B2811" t="s">
        <v>19</v>
      </c>
      <c r="C2811">
        <v>2012</v>
      </c>
      <c r="D2811" t="s">
        <v>33</v>
      </c>
      <c r="E2811" s="1">
        <f t="shared" ref="E2811:F2811" si="1227">SUM(E2043+E2235+E2427+E2619)</f>
        <v>238521</v>
      </c>
      <c r="F2811" s="1">
        <f t="shared" si="1227"/>
        <v>566668</v>
      </c>
      <c r="G2811" s="1">
        <f t="shared" si="1217"/>
        <v>805189</v>
      </c>
      <c r="H2811" s="2">
        <f t="shared" si="1218"/>
        <v>0.2962298292698981</v>
      </c>
      <c r="I2811" s="2">
        <f t="shared" si="1219"/>
        <v>0.70377017073010184</v>
      </c>
      <c r="J2811" s="1">
        <f t="shared" ref="J2811:K2811" si="1228">SUM(J2043+J2235+J2427+J2619)</f>
        <v>164175</v>
      </c>
      <c r="K2811" s="1">
        <f t="shared" si="1228"/>
        <v>1410514</v>
      </c>
      <c r="L2811" s="1">
        <f t="shared" si="1111"/>
        <v>1574689</v>
      </c>
      <c r="M2811" s="2">
        <f t="shared" si="1112"/>
        <v>0.10425868219057859</v>
      </c>
      <c r="N2811" s="2">
        <f t="shared" si="1113"/>
        <v>0.89574131780942146</v>
      </c>
    </row>
    <row r="2812" spans="1:14" x14ac:dyDescent="0.35">
      <c r="A2812" t="s">
        <v>35</v>
      </c>
      <c r="B2812" t="s">
        <v>20</v>
      </c>
      <c r="C2812">
        <v>2012</v>
      </c>
      <c r="D2812" t="s">
        <v>33</v>
      </c>
      <c r="E2812" s="1">
        <f t="shared" ref="E2812:F2812" si="1229">SUM(E2044+E2236+E2428+E2620)</f>
        <v>247863</v>
      </c>
      <c r="F2812" s="1">
        <f t="shared" si="1229"/>
        <v>598425</v>
      </c>
      <c r="G2812" s="1">
        <f t="shared" si="1217"/>
        <v>846288</v>
      </c>
      <c r="H2812" s="2">
        <f t="shared" si="1218"/>
        <v>0.29288256480063524</v>
      </c>
      <c r="I2812" s="2">
        <f t="shared" si="1219"/>
        <v>0.70711743519936476</v>
      </c>
      <c r="J2812" s="1">
        <f t="shared" ref="J2812:K2812" si="1230">SUM(J2044+J2236+J2428+J2620)</f>
        <v>168038</v>
      </c>
      <c r="K2812" s="1">
        <f t="shared" si="1230"/>
        <v>1454267</v>
      </c>
      <c r="L2812" s="1">
        <f t="shared" si="1111"/>
        <v>1622305</v>
      </c>
      <c r="M2812" s="2">
        <f t="shared" si="1112"/>
        <v>0.103579783086411</v>
      </c>
      <c r="N2812" s="2">
        <f t="shared" si="1113"/>
        <v>0.89642021691358897</v>
      </c>
    </row>
    <row r="2813" spans="1:14" x14ac:dyDescent="0.35">
      <c r="A2813" t="s">
        <v>35</v>
      </c>
      <c r="B2813" t="s">
        <v>21</v>
      </c>
      <c r="C2813">
        <v>2012</v>
      </c>
      <c r="D2813" t="s">
        <v>33</v>
      </c>
      <c r="E2813" s="1">
        <f t="shared" ref="E2813:F2813" si="1231">SUM(E2045+E2237+E2429+E2621)</f>
        <v>246085</v>
      </c>
      <c r="F2813" s="1">
        <f t="shared" si="1231"/>
        <v>601098</v>
      </c>
      <c r="G2813" s="1">
        <f t="shared" si="1217"/>
        <v>847183</v>
      </c>
      <c r="H2813" s="2">
        <f t="shared" si="1218"/>
        <v>0.29047443114415655</v>
      </c>
      <c r="I2813" s="2">
        <f t="shared" si="1219"/>
        <v>0.70952556885584339</v>
      </c>
      <c r="J2813" s="1">
        <f t="shared" ref="J2813:K2813" si="1232">SUM(J2045+J2237+J2429+J2621)</f>
        <v>194832</v>
      </c>
      <c r="K2813" s="1">
        <f t="shared" si="1232"/>
        <v>1741020</v>
      </c>
      <c r="L2813" s="1">
        <f t="shared" si="1111"/>
        <v>1935852</v>
      </c>
      <c r="M2813" s="2">
        <f t="shared" si="1112"/>
        <v>0.10064405750026345</v>
      </c>
      <c r="N2813" s="2">
        <f t="shared" si="1113"/>
        <v>0.8993559424997366</v>
      </c>
    </row>
    <row r="2814" spans="1:14" x14ac:dyDescent="0.35">
      <c r="A2814" t="s">
        <v>35</v>
      </c>
      <c r="B2814" t="s">
        <v>22</v>
      </c>
      <c r="C2814">
        <v>2012</v>
      </c>
      <c r="D2814" t="s">
        <v>33</v>
      </c>
      <c r="E2814" s="1">
        <f t="shared" ref="E2814:F2814" si="1233">SUM(E2046+E2238+E2430+E2622)</f>
        <v>244397</v>
      </c>
      <c r="F2814" s="1">
        <f t="shared" si="1233"/>
        <v>605632</v>
      </c>
      <c r="G2814" s="1">
        <f t="shared" si="1217"/>
        <v>850029</v>
      </c>
      <c r="H2814" s="2">
        <f t="shared" si="1218"/>
        <v>0.28751607298103948</v>
      </c>
      <c r="I2814" s="2">
        <f t="shared" si="1219"/>
        <v>0.71248392701896057</v>
      </c>
      <c r="J2814" s="1">
        <f t="shared" ref="J2814:K2814" si="1234">SUM(J2046+J2238+J2430+J2622)</f>
        <v>216342</v>
      </c>
      <c r="K2814" s="1">
        <f t="shared" si="1234"/>
        <v>1709685</v>
      </c>
      <c r="L2814" s="1">
        <f t="shared" si="1111"/>
        <v>1926027</v>
      </c>
      <c r="M2814" s="2">
        <f t="shared" si="1112"/>
        <v>0.11232552814680168</v>
      </c>
      <c r="N2814" s="2">
        <f t="shared" si="1113"/>
        <v>0.88767447185319837</v>
      </c>
    </row>
    <row r="2815" spans="1:14" x14ac:dyDescent="0.35">
      <c r="A2815" t="s">
        <v>35</v>
      </c>
      <c r="B2815" t="s">
        <v>23</v>
      </c>
      <c r="C2815">
        <v>2012</v>
      </c>
      <c r="D2815" t="s">
        <v>33</v>
      </c>
      <c r="E2815" s="1">
        <f t="shared" ref="E2815:F2815" si="1235">SUM(E2047+E2239+E2431+E2623)</f>
        <v>240230</v>
      </c>
      <c r="F2815" s="1">
        <f t="shared" si="1235"/>
        <v>601366</v>
      </c>
      <c r="G2815" s="1">
        <f t="shared" si="1217"/>
        <v>841596</v>
      </c>
      <c r="H2815" s="2">
        <f t="shared" si="1218"/>
        <v>0.28544574831629427</v>
      </c>
      <c r="I2815" s="2">
        <f t="shared" si="1219"/>
        <v>0.71455425168370568</v>
      </c>
      <c r="J2815" s="1">
        <f t="shared" ref="J2815:K2815" si="1236">SUM(J2047+J2239+J2431+J2623)</f>
        <v>270737</v>
      </c>
      <c r="K2815" s="1">
        <f t="shared" si="1236"/>
        <v>1959060</v>
      </c>
      <c r="L2815" s="1">
        <f t="shared" si="1111"/>
        <v>2229797</v>
      </c>
      <c r="M2815" s="2">
        <f t="shared" si="1112"/>
        <v>0.12141777928663461</v>
      </c>
      <c r="N2815" s="2">
        <f t="shared" si="1113"/>
        <v>0.87858222071336534</v>
      </c>
    </row>
    <row r="2816" spans="1:14" x14ac:dyDescent="0.35">
      <c r="A2816" t="s">
        <v>35</v>
      </c>
      <c r="B2816" t="s">
        <v>24</v>
      </c>
      <c r="C2816">
        <v>2012</v>
      </c>
      <c r="D2816" t="s">
        <v>33</v>
      </c>
      <c r="E2816" s="1">
        <f t="shared" ref="E2816:F2816" si="1237">SUM(E2048+E2240+E2432+E2624)</f>
        <v>241154</v>
      </c>
      <c r="F2816" s="1">
        <f t="shared" si="1237"/>
        <v>612233</v>
      </c>
      <c r="G2816" s="1">
        <f t="shared" si="1217"/>
        <v>853387</v>
      </c>
      <c r="H2816" s="2">
        <f t="shared" si="1218"/>
        <v>0.28258457182966229</v>
      </c>
      <c r="I2816" s="2">
        <f t="shared" si="1219"/>
        <v>0.71741542817033777</v>
      </c>
      <c r="J2816" s="1">
        <f t="shared" ref="J2816:K2816" si="1238">SUM(J2048+J2240+J2432+J2624)</f>
        <v>300416</v>
      </c>
      <c r="K2816" s="1">
        <f t="shared" si="1238"/>
        <v>2059274</v>
      </c>
      <c r="L2816" s="1">
        <f t="shared" si="1111"/>
        <v>2359690</v>
      </c>
      <c r="M2816" s="2">
        <f t="shared" si="1112"/>
        <v>0.12731163839317877</v>
      </c>
      <c r="N2816" s="2">
        <f t="shared" si="1113"/>
        <v>0.87268836160682128</v>
      </c>
    </row>
    <row r="2817" spans="1:14" x14ac:dyDescent="0.35">
      <c r="A2817" t="s">
        <v>35</v>
      </c>
      <c r="B2817" t="s">
        <v>25</v>
      </c>
      <c r="C2817">
        <v>2012</v>
      </c>
      <c r="D2817" t="s">
        <v>33</v>
      </c>
      <c r="E2817" s="1">
        <f t="shared" ref="E2817:F2817" si="1239">SUM(E2049+E2241+E2433+E2625)</f>
        <v>239526</v>
      </c>
      <c r="F2817" s="1">
        <f t="shared" si="1239"/>
        <v>613722</v>
      </c>
      <c r="G2817" s="1">
        <f t="shared" si="1217"/>
        <v>853248</v>
      </c>
      <c r="H2817" s="2">
        <f t="shared" si="1218"/>
        <v>0.28072260351035105</v>
      </c>
      <c r="I2817" s="2">
        <f t="shared" si="1219"/>
        <v>0.71927739648964895</v>
      </c>
      <c r="J2817" s="1">
        <f t="shared" ref="J2817:K2817" si="1240">SUM(J2049+J2241+J2433+J2625)</f>
        <v>306815</v>
      </c>
      <c r="K2817" s="1">
        <f t="shared" si="1240"/>
        <v>2066941</v>
      </c>
      <c r="L2817" s="1">
        <f t="shared" si="1111"/>
        <v>2373756</v>
      </c>
      <c r="M2817" s="2">
        <f t="shared" si="1112"/>
        <v>0.1292529645001424</v>
      </c>
      <c r="N2817" s="2">
        <f t="shared" si="1113"/>
        <v>0.87074703549985766</v>
      </c>
    </row>
    <row r="2818" spans="1:14" x14ac:dyDescent="0.35">
      <c r="A2818" t="s">
        <v>35</v>
      </c>
      <c r="B2818" t="s">
        <v>26</v>
      </c>
      <c r="C2818">
        <v>2012</v>
      </c>
      <c r="D2818" t="s">
        <v>33</v>
      </c>
      <c r="E2818" s="1">
        <f t="shared" ref="E2818:F2818" si="1241">SUM(E2050+E2242+E2434+E2626)</f>
        <v>238495</v>
      </c>
      <c r="F2818" s="1">
        <f t="shared" si="1241"/>
        <v>613450</v>
      </c>
      <c r="G2818" s="1">
        <f t="shared" si="1217"/>
        <v>851945</v>
      </c>
      <c r="H2818" s="2">
        <f t="shared" si="1218"/>
        <v>0.27994178027924338</v>
      </c>
      <c r="I2818" s="2">
        <f t="shared" si="1219"/>
        <v>0.72005821972075668</v>
      </c>
      <c r="J2818" s="1">
        <f t="shared" ref="J2818:K2818" si="1242">SUM(J2050+J2242+J2434+J2626)</f>
        <v>304086</v>
      </c>
      <c r="K2818" s="1">
        <f t="shared" si="1242"/>
        <v>2094534</v>
      </c>
      <c r="L2818" s="1">
        <f t="shared" si="1111"/>
        <v>2398620</v>
      </c>
      <c r="M2818" s="2">
        <f t="shared" si="1112"/>
        <v>0.12677539585261524</v>
      </c>
      <c r="N2818" s="2">
        <f t="shared" si="1113"/>
        <v>0.87322460414738479</v>
      </c>
    </row>
    <row r="2819" spans="1:14" x14ac:dyDescent="0.35">
      <c r="A2819" t="s">
        <v>35</v>
      </c>
      <c r="B2819" t="s">
        <v>27</v>
      </c>
      <c r="C2819">
        <v>2012</v>
      </c>
      <c r="D2819" t="s">
        <v>33</v>
      </c>
      <c r="E2819" s="1">
        <f t="shared" ref="E2819:F2819" si="1243">SUM(E2051+E2243+E2435+E2627)</f>
        <v>237581</v>
      </c>
      <c r="F2819" s="1">
        <f t="shared" si="1243"/>
        <v>616419</v>
      </c>
      <c r="G2819" s="1">
        <f t="shared" si="1217"/>
        <v>854000</v>
      </c>
      <c r="H2819" s="2">
        <f t="shared" si="1218"/>
        <v>0.27819789227166275</v>
      </c>
      <c r="I2819" s="2">
        <f t="shared" si="1219"/>
        <v>0.72180210772833719</v>
      </c>
      <c r="J2819" s="1">
        <f t="shared" ref="J2819:K2819" si="1244">SUM(J2051+J2243+J2435+J2627)</f>
        <v>233181</v>
      </c>
      <c r="K2819" s="1">
        <f t="shared" si="1244"/>
        <v>1833903</v>
      </c>
      <c r="L2819" s="1">
        <f t="shared" ref="L2819:L2881" si="1245">SUM(J2819:K2819)</f>
        <v>2067084</v>
      </c>
      <c r="M2819" s="2">
        <f t="shared" ref="M2819:M2881" si="1246">SUM(J2819)/L2819</f>
        <v>0.1128067364461241</v>
      </c>
      <c r="N2819" s="2">
        <f t="shared" ref="N2819:N2881" si="1247">SUM(K2819/L2819)</f>
        <v>0.88719326355387584</v>
      </c>
    </row>
    <row r="2820" spans="1:14" x14ac:dyDescent="0.35">
      <c r="A2820" t="s">
        <v>35</v>
      </c>
      <c r="B2820" t="s">
        <v>28</v>
      </c>
      <c r="C2820">
        <v>2012</v>
      </c>
      <c r="D2820" t="s">
        <v>33</v>
      </c>
      <c r="E2820" s="1">
        <f t="shared" ref="E2820:F2820" si="1248">SUM(E2052+E2244+E2436+E2628)</f>
        <v>236695</v>
      </c>
      <c r="F2820" s="1">
        <f t="shared" si="1248"/>
        <v>618821</v>
      </c>
      <c r="G2820" s="1">
        <f t="shared" si="1217"/>
        <v>855516</v>
      </c>
      <c r="H2820" s="2">
        <f t="shared" si="1218"/>
        <v>0.27666928496953885</v>
      </c>
      <c r="I2820" s="2">
        <f t="shared" si="1219"/>
        <v>0.7233307150304612</v>
      </c>
      <c r="J2820" s="1">
        <f t="shared" ref="J2820:K2820" si="1249">SUM(J2052+J2244+J2436+J2628)</f>
        <v>191174</v>
      </c>
      <c r="K2820" s="1">
        <f t="shared" si="1249"/>
        <v>1654606</v>
      </c>
      <c r="L2820" s="1">
        <f t="shared" si="1245"/>
        <v>1845780</v>
      </c>
      <c r="M2820" s="2">
        <f t="shared" si="1246"/>
        <v>0.1035735569786215</v>
      </c>
      <c r="N2820" s="2">
        <f t="shared" si="1247"/>
        <v>0.89642644302137853</v>
      </c>
    </row>
    <row r="2821" spans="1:14" x14ac:dyDescent="0.35">
      <c r="A2821" t="s">
        <v>35</v>
      </c>
      <c r="B2821" t="s">
        <v>29</v>
      </c>
      <c r="C2821">
        <v>2012</v>
      </c>
      <c r="D2821" t="s">
        <v>33</v>
      </c>
      <c r="E2821" s="1">
        <f t="shared" ref="E2821:F2821" si="1250">SUM(E2053+E2245+E2437+E2629)</f>
        <v>235416</v>
      </c>
      <c r="F2821" s="1">
        <f t="shared" si="1250"/>
        <v>618483</v>
      </c>
      <c r="G2821" s="1">
        <f t="shared" si="1217"/>
        <v>853899</v>
      </c>
      <c r="H2821" s="2">
        <f t="shared" si="1218"/>
        <v>0.27569536912445147</v>
      </c>
      <c r="I2821" s="2">
        <f t="shared" si="1219"/>
        <v>0.72430463087554853</v>
      </c>
      <c r="J2821" s="1">
        <f t="shared" ref="J2821:K2821" si="1251">SUM(J2053+J2245+J2437+J2629)</f>
        <v>172943</v>
      </c>
      <c r="K2821" s="1">
        <f t="shared" si="1251"/>
        <v>1610527</v>
      </c>
      <c r="L2821" s="1">
        <f t="shared" si="1245"/>
        <v>1783470</v>
      </c>
      <c r="M2821" s="2">
        <f t="shared" si="1246"/>
        <v>9.6969951835466819E-2</v>
      </c>
      <c r="N2821" s="2">
        <f t="shared" si="1247"/>
        <v>0.90303004816453314</v>
      </c>
    </row>
    <row r="2822" spans="1:14" x14ac:dyDescent="0.35">
      <c r="A2822" t="s">
        <v>35</v>
      </c>
      <c r="B2822" t="s">
        <v>17</v>
      </c>
      <c r="C2822">
        <v>2013</v>
      </c>
      <c r="D2822" t="s">
        <v>33</v>
      </c>
      <c r="E2822" s="1">
        <f t="shared" ref="E2822:F2822" si="1252">SUM(E2054+E2246+E2438+E2630)</f>
        <v>233596</v>
      </c>
      <c r="F2822" s="1">
        <f t="shared" si="1252"/>
        <v>623047</v>
      </c>
      <c r="G2822" s="1">
        <f t="shared" si="1217"/>
        <v>856643</v>
      </c>
      <c r="H2822" s="2">
        <f t="shared" si="1218"/>
        <v>0.2726876890373236</v>
      </c>
      <c r="I2822" s="2">
        <f t="shared" si="1219"/>
        <v>0.72731231096267646</v>
      </c>
      <c r="J2822" s="1">
        <f t="shared" ref="J2822:K2822" si="1253">SUM(J2054+J2246+J2438+J2630)</f>
        <v>219031</v>
      </c>
      <c r="K2822" s="1">
        <f t="shared" si="1253"/>
        <v>1693135</v>
      </c>
      <c r="L2822" s="1">
        <f t="shared" si="1245"/>
        <v>1912166</v>
      </c>
      <c r="M2822" s="2">
        <f t="shared" si="1246"/>
        <v>0.11454601744827593</v>
      </c>
      <c r="N2822" s="2">
        <f t="shared" si="1247"/>
        <v>0.88545398255172403</v>
      </c>
    </row>
    <row r="2823" spans="1:14" x14ac:dyDescent="0.35">
      <c r="A2823" t="s">
        <v>35</v>
      </c>
      <c r="B2823" t="s">
        <v>19</v>
      </c>
      <c r="C2823">
        <v>2013</v>
      </c>
      <c r="D2823" t="s">
        <v>33</v>
      </c>
      <c r="E2823" s="1">
        <f t="shared" ref="E2823:F2823" si="1254">SUM(E2055+E2247+E2439+E2631)</f>
        <v>231961</v>
      </c>
      <c r="F2823" s="1">
        <f t="shared" si="1254"/>
        <v>622894</v>
      </c>
      <c r="G2823" s="1">
        <f t="shared" si="1217"/>
        <v>854855</v>
      </c>
      <c r="H2823" s="2">
        <f t="shared" si="1218"/>
        <v>0.27134543285118529</v>
      </c>
      <c r="I2823" s="2">
        <f t="shared" si="1219"/>
        <v>0.72865456714881471</v>
      </c>
      <c r="J2823" s="1">
        <f t="shared" ref="J2823:K2823" si="1255">SUM(J2055+J2247+J2439+J2631)</f>
        <v>161651</v>
      </c>
      <c r="K2823" s="1">
        <f t="shared" si="1255"/>
        <v>1480472</v>
      </c>
      <c r="L2823" s="1">
        <f t="shared" si="1245"/>
        <v>1642123</v>
      </c>
      <c r="M2823" s="2">
        <f t="shared" si="1246"/>
        <v>9.8440250821649783E-2</v>
      </c>
      <c r="N2823" s="2">
        <f t="shared" si="1247"/>
        <v>0.90155974917835024</v>
      </c>
    </row>
    <row r="2824" spans="1:14" x14ac:dyDescent="0.35">
      <c r="A2824" t="s">
        <v>35</v>
      </c>
      <c r="B2824" t="s">
        <v>20</v>
      </c>
      <c r="C2824">
        <v>2013</v>
      </c>
      <c r="D2824" t="s">
        <v>33</v>
      </c>
      <c r="E2824" s="1">
        <f t="shared" ref="E2824:F2824" si="1256">SUM(E2056+E2248+E2440+E2632)</f>
        <v>229934</v>
      </c>
      <c r="F2824" s="1">
        <f t="shared" si="1256"/>
        <v>624012</v>
      </c>
      <c r="G2824" s="1">
        <f t="shared" si="1217"/>
        <v>853946</v>
      </c>
      <c r="H2824" s="2">
        <f t="shared" si="1218"/>
        <v>0.26926058556395838</v>
      </c>
      <c r="I2824" s="2">
        <f t="shared" si="1219"/>
        <v>0.73073941443604162</v>
      </c>
      <c r="J2824" s="1">
        <f t="shared" ref="J2824:K2824" si="1257">SUM(J2056+J2248+J2440+J2632)</f>
        <v>143616</v>
      </c>
      <c r="K2824" s="1">
        <f t="shared" si="1257"/>
        <v>1397468</v>
      </c>
      <c r="L2824" s="1">
        <f t="shared" si="1245"/>
        <v>1541084</v>
      </c>
      <c r="M2824" s="2">
        <f t="shared" si="1246"/>
        <v>9.3191545691214753E-2</v>
      </c>
      <c r="N2824" s="2">
        <f t="shared" si="1247"/>
        <v>0.90680845430878521</v>
      </c>
    </row>
    <row r="2825" spans="1:14" x14ac:dyDescent="0.35">
      <c r="A2825" t="s">
        <v>35</v>
      </c>
      <c r="B2825" t="s">
        <v>21</v>
      </c>
      <c r="C2825">
        <v>2013</v>
      </c>
      <c r="D2825" t="s">
        <v>33</v>
      </c>
      <c r="E2825" s="1">
        <f t="shared" ref="E2825:F2825" si="1258">SUM(E2057+E2249+E2441+E2633)</f>
        <v>228955</v>
      </c>
      <c r="F2825" s="1">
        <f t="shared" si="1258"/>
        <v>626909</v>
      </c>
      <c r="G2825" s="1">
        <f t="shared" si="1217"/>
        <v>855864</v>
      </c>
      <c r="H2825" s="2">
        <f t="shared" si="1218"/>
        <v>0.26751329650505218</v>
      </c>
      <c r="I2825" s="2">
        <f t="shared" si="1219"/>
        <v>0.73248670349494782</v>
      </c>
      <c r="J2825" s="1">
        <f t="shared" ref="J2825:K2825" si="1259">SUM(J2057+J2249+J2441+J2633)</f>
        <v>162109</v>
      </c>
      <c r="K2825" s="1">
        <f t="shared" si="1259"/>
        <v>1590587</v>
      </c>
      <c r="L2825" s="1">
        <f t="shared" si="1245"/>
        <v>1752696</v>
      </c>
      <c r="M2825" s="2">
        <f t="shared" si="1246"/>
        <v>9.2491224947167106E-2</v>
      </c>
      <c r="N2825" s="2">
        <f t="shared" si="1247"/>
        <v>0.90750877505283289</v>
      </c>
    </row>
    <row r="2826" spans="1:14" x14ac:dyDescent="0.35">
      <c r="A2826" t="s">
        <v>35</v>
      </c>
      <c r="B2826" t="s">
        <v>22</v>
      </c>
      <c r="C2826">
        <v>2013</v>
      </c>
      <c r="D2826" t="s">
        <v>33</v>
      </c>
      <c r="E2826" s="1">
        <f t="shared" ref="E2826:F2826" si="1260">SUM(E2058+E2250+E2442+E2634)</f>
        <v>228013</v>
      </c>
      <c r="F2826" s="1">
        <f t="shared" si="1260"/>
        <v>627492</v>
      </c>
      <c r="G2826" s="1">
        <f t="shared" si="1217"/>
        <v>855505</v>
      </c>
      <c r="H2826" s="2">
        <f t="shared" si="1218"/>
        <v>0.26652445047077455</v>
      </c>
      <c r="I2826" s="2">
        <f t="shared" si="1219"/>
        <v>0.73347554952922545</v>
      </c>
      <c r="J2826" s="1">
        <f t="shared" ref="J2826:K2826" si="1261">SUM(J2058+J2250+J2442+J2634)</f>
        <v>168820</v>
      </c>
      <c r="K2826" s="1">
        <f t="shared" si="1261"/>
        <v>1663148</v>
      </c>
      <c r="L2826" s="1">
        <f t="shared" si="1245"/>
        <v>1831968</v>
      </c>
      <c r="M2826" s="2">
        <f t="shared" si="1246"/>
        <v>9.2152264668378489E-2</v>
      </c>
      <c r="N2826" s="2">
        <f t="shared" si="1247"/>
        <v>0.90784773533162155</v>
      </c>
    </row>
    <row r="2827" spans="1:14" x14ac:dyDescent="0.35">
      <c r="A2827" t="s">
        <v>35</v>
      </c>
      <c r="B2827" t="s">
        <v>23</v>
      </c>
      <c r="C2827">
        <v>2013</v>
      </c>
      <c r="D2827" t="s">
        <v>33</v>
      </c>
      <c r="E2827" s="1">
        <f t="shared" ref="E2827:F2827" si="1262">SUM(E2059+E2251+E2443+E2635)</f>
        <v>226316</v>
      </c>
      <c r="F2827" s="1">
        <f t="shared" si="1262"/>
        <v>633260</v>
      </c>
      <c r="G2827" s="1">
        <f t="shared" si="1217"/>
        <v>859576</v>
      </c>
      <c r="H2827" s="2">
        <f t="shared" si="1218"/>
        <v>0.26328794661554067</v>
      </c>
      <c r="I2827" s="2">
        <f t="shared" si="1219"/>
        <v>0.73671205338445933</v>
      </c>
      <c r="J2827" s="1">
        <f t="shared" ref="J2827:K2827" si="1263">SUM(J2059+J2251+J2443+J2635)</f>
        <v>245335</v>
      </c>
      <c r="K2827" s="1">
        <f t="shared" si="1263"/>
        <v>1969526</v>
      </c>
      <c r="L2827" s="1">
        <f t="shared" si="1245"/>
        <v>2214861</v>
      </c>
      <c r="M2827" s="2">
        <f t="shared" si="1246"/>
        <v>0.11076767345670901</v>
      </c>
      <c r="N2827" s="2">
        <f t="shared" si="1247"/>
        <v>0.88923232654329099</v>
      </c>
    </row>
    <row r="2828" spans="1:14" x14ac:dyDescent="0.35">
      <c r="A2828" t="s">
        <v>35</v>
      </c>
      <c r="B2828" t="s">
        <v>24</v>
      </c>
      <c r="C2828">
        <v>2013</v>
      </c>
      <c r="D2828" t="s">
        <v>33</v>
      </c>
      <c r="E2828" s="1">
        <f t="shared" ref="E2828:F2828" si="1264">SUM(E2060+E2252+E2444+E2636)</f>
        <v>226644</v>
      </c>
      <c r="F2828" s="1">
        <f t="shared" si="1264"/>
        <v>635709</v>
      </c>
      <c r="G2828" s="1">
        <f t="shared" si="1217"/>
        <v>862353</v>
      </c>
      <c r="H2828" s="2">
        <f t="shared" si="1218"/>
        <v>0.26282044591947845</v>
      </c>
      <c r="I2828" s="2">
        <f t="shared" si="1219"/>
        <v>0.7371795540805216</v>
      </c>
      <c r="J2828" s="1">
        <f t="shared" ref="J2828:K2828" si="1265">SUM(J2060+J2252+J2444+J2636)</f>
        <v>279652</v>
      </c>
      <c r="K2828" s="1">
        <f t="shared" si="1265"/>
        <v>2067929</v>
      </c>
      <c r="L2828" s="1">
        <f t="shared" si="1245"/>
        <v>2347581</v>
      </c>
      <c r="M2828" s="2">
        <f t="shared" si="1246"/>
        <v>0.119123472203941</v>
      </c>
      <c r="N2828" s="2">
        <f t="shared" si="1247"/>
        <v>0.88087652779605896</v>
      </c>
    </row>
    <row r="2829" spans="1:14" x14ac:dyDescent="0.35">
      <c r="A2829" t="s">
        <v>35</v>
      </c>
      <c r="B2829" t="s">
        <v>25</v>
      </c>
      <c r="C2829">
        <v>2013</v>
      </c>
      <c r="D2829" t="s">
        <v>33</v>
      </c>
      <c r="E2829" s="1">
        <f t="shared" ref="E2829:F2829" si="1266">SUM(E2061+E2253+E2445+E2637)</f>
        <v>225637</v>
      </c>
      <c r="F2829" s="1">
        <f t="shared" si="1266"/>
        <v>636395</v>
      </c>
      <c r="G2829" s="1">
        <f t="shared" si="1217"/>
        <v>862032</v>
      </c>
      <c r="H2829" s="2">
        <f t="shared" si="1218"/>
        <v>0.26175014384616813</v>
      </c>
      <c r="I2829" s="2">
        <f t="shared" si="1219"/>
        <v>0.73824985615383187</v>
      </c>
      <c r="J2829" s="1">
        <f t="shared" ref="J2829:K2829" si="1267">SUM(J2061+J2253+J2445+J2637)</f>
        <v>284074</v>
      </c>
      <c r="K2829" s="1">
        <f t="shared" si="1267"/>
        <v>2092917</v>
      </c>
      <c r="L2829" s="1">
        <f t="shared" si="1245"/>
        <v>2376991</v>
      </c>
      <c r="M2829" s="2">
        <f t="shared" si="1246"/>
        <v>0.1195099182117223</v>
      </c>
      <c r="N2829" s="2">
        <f t="shared" si="1247"/>
        <v>0.8804900817882777</v>
      </c>
    </row>
    <row r="2830" spans="1:14" x14ac:dyDescent="0.35">
      <c r="A2830" t="s">
        <v>35</v>
      </c>
      <c r="B2830" t="s">
        <v>26</v>
      </c>
      <c r="C2830">
        <v>2013</v>
      </c>
      <c r="D2830" t="s">
        <v>33</v>
      </c>
      <c r="E2830" s="1">
        <f t="shared" ref="E2830:F2830" si="1268">SUM(E2062+E2254+E2446+E2638)</f>
        <v>224877</v>
      </c>
      <c r="F2830" s="1">
        <f t="shared" si="1268"/>
        <v>636345</v>
      </c>
      <c r="G2830" s="1">
        <f t="shared" si="1217"/>
        <v>861222</v>
      </c>
      <c r="H2830" s="2">
        <f t="shared" si="1218"/>
        <v>0.26111385914433211</v>
      </c>
      <c r="I2830" s="2">
        <f t="shared" si="1219"/>
        <v>0.73888614085566784</v>
      </c>
      <c r="J2830" s="1">
        <f t="shared" ref="J2830:K2830" si="1269">SUM(J2062+J2254+J2446+J2638)</f>
        <v>267540</v>
      </c>
      <c r="K2830" s="1">
        <f t="shared" si="1269"/>
        <v>2079691</v>
      </c>
      <c r="L2830" s="1">
        <f t="shared" si="1245"/>
        <v>2347231</v>
      </c>
      <c r="M2830" s="2">
        <f t="shared" si="1246"/>
        <v>0.11398111221264545</v>
      </c>
      <c r="N2830" s="2">
        <f t="shared" si="1247"/>
        <v>0.88601888778735449</v>
      </c>
    </row>
    <row r="2831" spans="1:14" x14ac:dyDescent="0.35">
      <c r="A2831" t="s">
        <v>35</v>
      </c>
      <c r="B2831" t="s">
        <v>27</v>
      </c>
      <c r="C2831">
        <v>2013</v>
      </c>
      <c r="D2831" t="s">
        <v>33</v>
      </c>
      <c r="E2831" s="1">
        <f t="shared" ref="E2831:F2831" si="1270">SUM(E2063+E2255+E2447+E2639)</f>
        <v>224145</v>
      </c>
      <c r="F2831" s="1">
        <f t="shared" si="1270"/>
        <v>636483</v>
      </c>
      <c r="G2831" s="1">
        <f t="shared" si="1217"/>
        <v>860628</v>
      </c>
      <c r="H2831" s="2">
        <f t="shared" si="1218"/>
        <v>0.26044353658026465</v>
      </c>
      <c r="I2831" s="2">
        <f t="shared" si="1219"/>
        <v>0.73955646341973535</v>
      </c>
      <c r="J2831" s="1">
        <f t="shared" ref="J2831:K2831" si="1271">SUM(J2063+J2255+J2447+J2639)</f>
        <v>219185</v>
      </c>
      <c r="K2831" s="1">
        <f t="shared" si="1271"/>
        <v>1849074</v>
      </c>
      <c r="L2831" s="1">
        <f t="shared" si="1245"/>
        <v>2068259</v>
      </c>
      <c r="M2831" s="2">
        <f t="shared" si="1246"/>
        <v>0.10597560556970863</v>
      </c>
      <c r="N2831" s="2">
        <f t="shared" si="1247"/>
        <v>0.89402439443029136</v>
      </c>
    </row>
    <row r="2832" spans="1:14" x14ac:dyDescent="0.35">
      <c r="A2832" t="s">
        <v>35</v>
      </c>
      <c r="B2832" t="s">
        <v>28</v>
      </c>
      <c r="C2832">
        <v>2013</v>
      </c>
      <c r="D2832" t="s">
        <v>33</v>
      </c>
      <c r="E2832" s="1">
        <f t="shared" ref="E2832:F2832" si="1272">SUM(E2064+E2256+E2448+E2640)</f>
        <v>223694</v>
      </c>
      <c r="F2832" s="1">
        <f t="shared" si="1272"/>
        <v>636986</v>
      </c>
      <c r="G2832" s="1">
        <f t="shared" si="1217"/>
        <v>860680</v>
      </c>
      <c r="H2832" s="2">
        <f t="shared" si="1218"/>
        <v>0.25990379699772276</v>
      </c>
      <c r="I2832" s="2">
        <f t="shared" si="1219"/>
        <v>0.7400962030022773</v>
      </c>
      <c r="J2832" s="1">
        <f t="shared" ref="J2832:K2832" si="1273">SUM(J2064+J2256+J2448+J2640)</f>
        <v>170612</v>
      </c>
      <c r="K2832" s="1">
        <f t="shared" si="1273"/>
        <v>1696072</v>
      </c>
      <c r="L2832" s="1">
        <f t="shared" si="1245"/>
        <v>1866684</v>
      </c>
      <c r="M2832" s="2">
        <f t="shared" si="1246"/>
        <v>9.1398437014513431E-2</v>
      </c>
      <c r="N2832" s="2">
        <f t="shared" si="1247"/>
        <v>0.90860156298548655</v>
      </c>
    </row>
    <row r="2833" spans="1:14" x14ac:dyDescent="0.35">
      <c r="A2833" t="s">
        <v>35</v>
      </c>
      <c r="B2833" t="s">
        <v>29</v>
      </c>
      <c r="C2833">
        <v>2013</v>
      </c>
      <c r="D2833" t="s">
        <v>33</v>
      </c>
      <c r="E2833" s="1">
        <f t="shared" ref="E2833:F2833" si="1274">SUM(E2065+E2257+E2449+E2641)</f>
        <v>222043</v>
      </c>
      <c r="F2833" s="1">
        <f t="shared" si="1274"/>
        <v>632831</v>
      </c>
      <c r="G2833" s="1">
        <f t="shared" si="1217"/>
        <v>854874</v>
      </c>
      <c r="H2833" s="2">
        <f t="shared" si="1218"/>
        <v>0.25973769233828609</v>
      </c>
      <c r="I2833" s="2">
        <f t="shared" si="1219"/>
        <v>0.74026230766171386</v>
      </c>
      <c r="J2833" s="1">
        <f t="shared" ref="J2833:K2833" si="1275">SUM(J2065+J2257+J2449+J2641)</f>
        <v>212755</v>
      </c>
      <c r="K2833" s="1">
        <f t="shared" si="1275"/>
        <v>1758199</v>
      </c>
      <c r="L2833" s="1">
        <f t="shared" si="1245"/>
        <v>1970954</v>
      </c>
      <c r="M2833" s="2">
        <f t="shared" si="1246"/>
        <v>0.10794518796481298</v>
      </c>
      <c r="N2833" s="2">
        <f t="shared" si="1247"/>
        <v>0.89205481203518699</v>
      </c>
    </row>
    <row r="2834" spans="1:14" x14ac:dyDescent="0.35">
      <c r="A2834" t="s">
        <v>35</v>
      </c>
      <c r="B2834" t="s">
        <v>17</v>
      </c>
      <c r="C2834">
        <v>2014</v>
      </c>
      <c r="D2834" t="s">
        <v>33</v>
      </c>
      <c r="E2834" s="1">
        <f t="shared" ref="E2834:F2834" si="1276">SUM(E2066+E2258+E2450+E2642)</f>
        <v>213177</v>
      </c>
      <c r="F2834" s="1">
        <f t="shared" si="1276"/>
        <v>611193</v>
      </c>
      <c r="G2834" s="1">
        <f t="shared" si="1217"/>
        <v>824370</v>
      </c>
      <c r="H2834" s="2">
        <f t="shared" si="1218"/>
        <v>0.25859383529240509</v>
      </c>
      <c r="I2834" s="2">
        <f t="shared" si="1219"/>
        <v>0.74140616470759491</v>
      </c>
      <c r="J2834" s="1">
        <f t="shared" ref="J2834:K2834" si="1277">SUM(J2066+J2258+J2450+J2642)</f>
        <v>229703</v>
      </c>
      <c r="K2834" s="1">
        <f t="shared" si="1277"/>
        <v>1722278</v>
      </c>
      <c r="L2834" s="1">
        <f t="shared" si="1245"/>
        <v>1951981</v>
      </c>
      <c r="M2834" s="2">
        <f t="shared" si="1246"/>
        <v>0.11767686263339654</v>
      </c>
      <c r="N2834" s="2">
        <f t="shared" si="1247"/>
        <v>0.8823231373666035</v>
      </c>
    </row>
    <row r="2835" spans="1:14" x14ac:dyDescent="0.35">
      <c r="A2835" t="s">
        <v>35</v>
      </c>
      <c r="B2835" t="s">
        <v>19</v>
      </c>
      <c r="C2835">
        <v>2014</v>
      </c>
      <c r="D2835" t="s">
        <v>33</v>
      </c>
      <c r="E2835" s="1">
        <f t="shared" ref="E2835:F2835" si="1278">SUM(E2067+E2259+E2451+E2643)</f>
        <v>212017</v>
      </c>
      <c r="F2835" s="1">
        <f t="shared" si="1278"/>
        <v>617874</v>
      </c>
      <c r="G2835" s="1">
        <f t="shared" si="1217"/>
        <v>829891</v>
      </c>
      <c r="H2835" s="2">
        <f t="shared" si="1218"/>
        <v>0.25547571910046019</v>
      </c>
      <c r="I2835" s="2">
        <f t="shared" si="1219"/>
        <v>0.74452428089953981</v>
      </c>
      <c r="J2835" s="1">
        <f t="shared" ref="J2835:K2835" si="1279">SUM(J2067+J2259+J2451+J2643)</f>
        <v>209092</v>
      </c>
      <c r="K2835" s="1">
        <f t="shared" si="1279"/>
        <v>1627395</v>
      </c>
      <c r="L2835" s="1">
        <f t="shared" si="1245"/>
        <v>1836487</v>
      </c>
      <c r="M2835" s="2">
        <f t="shared" si="1246"/>
        <v>0.11385433166692713</v>
      </c>
      <c r="N2835" s="2">
        <f t="shared" si="1247"/>
        <v>0.88614566833307284</v>
      </c>
    </row>
    <row r="2836" spans="1:14" x14ac:dyDescent="0.35">
      <c r="A2836" t="s">
        <v>35</v>
      </c>
      <c r="B2836" t="s">
        <v>20</v>
      </c>
      <c r="C2836">
        <v>2014</v>
      </c>
      <c r="D2836" t="s">
        <v>33</v>
      </c>
      <c r="E2836" s="1">
        <f t="shared" ref="E2836:F2836" si="1280">SUM(E2068+E2260+E2452+E2644)</f>
        <v>210230</v>
      </c>
      <c r="F2836" s="1">
        <f t="shared" si="1280"/>
        <v>615302</v>
      </c>
      <c r="G2836" s="1">
        <f t="shared" si="1217"/>
        <v>825532</v>
      </c>
      <c r="H2836" s="2">
        <f t="shared" si="1218"/>
        <v>0.25466002529278092</v>
      </c>
      <c r="I2836" s="2">
        <f t="shared" si="1219"/>
        <v>0.74533997470721913</v>
      </c>
      <c r="J2836" s="1">
        <f t="shared" ref="J2836:K2836" si="1281">SUM(J2068+J2260+J2452+J2644)</f>
        <v>165484</v>
      </c>
      <c r="K2836" s="1">
        <f t="shared" si="1281"/>
        <v>1508715</v>
      </c>
      <c r="L2836" s="1">
        <f t="shared" si="1245"/>
        <v>1674199</v>
      </c>
      <c r="M2836" s="2">
        <f t="shared" si="1246"/>
        <v>9.8843685846186746E-2</v>
      </c>
      <c r="N2836" s="2">
        <f t="shared" si="1247"/>
        <v>0.90115631415381325</v>
      </c>
    </row>
    <row r="2837" spans="1:14" x14ac:dyDescent="0.35">
      <c r="A2837" t="s">
        <v>35</v>
      </c>
      <c r="B2837" t="s">
        <v>21</v>
      </c>
      <c r="C2837">
        <v>2014</v>
      </c>
      <c r="D2837" t="s">
        <v>33</v>
      </c>
      <c r="E2837" s="1">
        <f t="shared" ref="E2837:F2837" si="1282">SUM(E2069+E2261+E2453+E2645)</f>
        <v>218606</v>
      </c>
      <c r="F2837" s="1">
        <f t="shared" si="1282"/>
        <v>646137</v>
      </c>
      <c r="G2837" s="1">
        <f t="shared" si="1217"/>
        <v>864743</v>
      </c>
      <c r="H2837" s="2">
        <f t="shared" si="1218"/>
        <v>0.25279880843210062</v>
      </c>
      <c r="I2837" s="2">
        <f t="shared" si="1219"/>
        <v>0.74720119156789933</v>
      </c>
      <c r="J2837" s="1">
        <f t="shared" ref="J2837:K2837" si="1283">SUM(J2069+J2261+J2453+J2645)</f>
        <v>146826</v>
      </c>
      <c r="K2837" s="1">
        <f t="shared" si="1283"/>
        <v>1575869</v>
      </c>
      <c r="L2837" s="1">
        <f t="shared" si="1245"/>
        <v>1722695</v>
      </c>
      <c r="M2837" s="2">
        <f t="shared" si="1246"/>
        <v>8.5230409329567922E-2</v>
      </c>
      <c r="N2837" s="2">
        <f t="shared" si="1247"/>
        <v>0.91476959067043206</v>
      </c>
    </row>
    <row r="2838" spans="1:14" x14ac:dyDescent="0.35">
      <c r="A2838" t="s">
        <v>35</v>
      </c>
      <c r="B2838" t="s">
        <v>22</v>
      </c>
      <c r="C2838">
        <v>2014</v>
      </c>
      <c r="D2838" t="s">
        <v>33</v>
      </c>
      <c r="E2838" s="1">
        <f t="shared" ref="E2838:F2838" si="1284">SUM(E2070+E2262+E2454+E2646)</f>
        <v>217823</v>
      </c>
      <c r="F2838" s="1">
        <f t="shared" si="1284"/>
        <v>648688</v>
      </c>
      <c r="G2838" s="1">
        <f t="shared" si="1217"/>
        <v>866511</v>
      </c>
      <c r="H2838" s="2">
        <f t="shared" si="1218"/>
        <v>0.25137938237368018</v>
      </c>
      <c r="I2838" s="2">
        <f t="shared" si="1219"/>
        <v>0.74862061762631982</v>
      </c>
      <c r="J2838" s="1">
        <f t="shared" ref="J2838:K2838" si="1285">SUM(J2070+J2262+J2454+J2646)</f>
        <v>173020</v>
      </c>
      <c r="K2838" s="1">
        <f t="shared" si="1285"/>
        <v>1775398</v>
      </c>
      <c r="L2838" s="1">
        <f t="shared" si="1245"/>
        <v>1948418</v>
      </c>
      <c r="M2838" s="2">
        <f t="shared" si="1246"/>
        <v>8.880024717488752E-2</v>
      </c>
      <c r="N2838" s="2">
        <f t="shared" si="1247"/>
        <v>0.91119975282511245</v>
      </c>
    </row>
    <row r="2839" spans="1:14" x14ac:dyDescent="0.35">
      <c r="A2839" t="s">
        <v>35</v>
      </c>
      <c r="B2839" t="s">
        <v>23</v>
      </c>
      <c r="C2839">
        <v>2014</v>
      </c>
      <c r="D2839" t="s">
        <v>33</v>
      </c>
      <c r="E2839" s="1">
        <f t="shared" ref="E2839:F2839" si="1286">SUM(E2071+E2263+E2455+E2647)</f>
        <v>217194</v>
      </c>
      <c r="F2839" s="1">
        <f t="shared" si="1286"/>
        <v>648557</v>
      </c>
      <c r="G2839" s="1">
        <f t="shared" si="1217"/>
        <v>865751</v>
      </c>
      <c r="H2839" s="2">
        <f t="shared" si="1218"/>
        <v>0.25087351906033029</v>
      </c>
      <c r="I2839" s="2">
        <f t="shared" si="1219"/>
        <v>0.74912648093966971</v>
      </c>
      <c r="J2839" s="1">
        <f t="shared" ref="J2839:K2839" si="1287">SUM(J2071+J2263+J2455+J2647)</f>
        <v>228527</v>
      </c>
      <c r="K2839" s="1">
        <f t="shared" si="1287"/>
        <v>2006067</v>
      </c>
      <c r="L2839" s="1">
        <f t="shared" si="1245"/>
        <v>2234594</v>
      </c>
      <c r="M2839" s="2">
        <f t="shared" si="1246"/>
        <v>0.10226779450763764</v>
      </c>
      <c r="N2839" s="2">
        <f t="shared" si="1247"/>
        <v>0.89773220549236232</v>
      </c>
    </row>
    <row r="2840" spans="1:14" x14ac:dyDescent="0.35">
      <c r="A2840" t="s">
        <v>35</v>
      </c>
      <c r="B2840" t="s">
        <v>24</v>
      </c>
      <c r="C2840">
        <v>2014</v>
      </c>
      <c r="D2840" t="s">
        <v>33</v>
      </c>
      <c r="E2840" s="1">
        <f t="shared" ref="E2840:F2840" si="1288">SUM(E2072+E2264+E2456+E2648)</f>
        <v>217044</v>
      </c>
      <c r="F2840" s="1">
        <f t="shared" si="1288"/>
        <v>651698</v>
      </c>
      <c r="G2840" s="1">
        <f t="shared" si="1217"/>
        <v>868742</v>
      </c>
      <c r="H2840" s="2">
        <f t="shared" si="1218"/>
        <v>0.2498371208022635</v>
      </c>
      <c r="I2840" s="2">
        <f t="shared" si="1219"/>
        <v>0.7501628791977365</v>
      </c>
      <c r="J2840" s="1">
        <f t="shared" ref="J2840:K2840" si="1289">SUM(J2072+J2264+J2456+J2648)</f>
        <v>268603</v>
      </c>
      <c r="K2840" s="1">
        <f t="shared" si="1289"/>
        <v>2150811</v>
      </c>
      <c r="L2840" s="1">
        <f t="shared" si="1245"/>
        <v>2419414</v>
      </c>
      <c r="M2840" s="2">
        <f t="shared" si="1246"/>
        <v>0.11101985852772614</v>
      </c>
      <c r="N2840" s="2">
        <f t="shared" si="1247"/>
        <v>0.88898014147227389</v>
      </c>
    </row>
    <row r="2841" spans="1:14" x14ac:dyDescent="0.35">
      <c r="A2841" t="s">
        <v>35</v>
      </c>
      <c r="B2841" t="s">
        <v>25</v>
      </c>
      <c r="C2841">
        <v>2014</v>
      </c>
      <c r="D2841" t="s">
        <v>33</v>
      </c>
      <c r="E2841" s="1">
        <f t="shared" ref="E2841:F2841" si="1290">SUM(E2073+E2265+E2457+E2649)</f>
        <v>216266</v>
      </c>
      <c r="F2841" s="1">
        <f t="shared" si="1290"/>
        <v>653702</v>
      </c>
      <c r="G2841" s="1">
        <f t="shared" si="1217"/>
        <v>869968</v>
      </c>
      <c r="H2841" s="2">
        <f t="shared" si="1218"/>
        <v>0.24859075276332002</v>
      </c>
      <c r="I2841" s="2">
        <f t="shared" si="1219"/>
        <v>0.75140924723668001</v>
      </c>
      <c r="J2841" s="1">
        <f t="shared" ref="J2841:K2841" si="1291">SUM(J2073+J2265+J2457+J2649)</f>
        <v>277210</v>
      </c>
      <c r="K2841" s="1">
        <f t="shared" si="1291"/>
        <v>2187077</v>
      </c>
      <c r="L2841" s="1">
        <f t="shared" si="1245"/>
        <v>2464287</v>
      </c>
      <c r="M2841" s="2">
        <f t="shared" si="1246"/>
        <v>0.11249095580182016</v>
      </c>
      <c r="N2841" s="2">
        <f t="shared" si="1247"/>
        <v>0.88750904419817989</v>
      </c>
    </row>
    <row r="2842" spans="1:14" x14ac:dyDescent="0.35">
      <c r="A2842" t="s">
        <v>35</v>
      </c>
      <c r="B2842" t="s">
        <v>26</v>
      </c>
      <c r="C2842">
        <v>2014</v>
      </c>
      <c r="D2842" t="s">
        <v>33</v>
      </c>
      <c r="E2842" s="1">
        <f t="shared" ref="E2842:F2842" si="1292">SUM(E2074+E2266+E2458+E2650)</f>
        <v>212706</v>
      </c>
      <c r="F2842" s="1">
        <f t="shared" si="1292"/>
        <v>649490</v>
      </c>
      <c r="G2842" s="1">
        <f t="shared" si="1217"/>
        <v>862196</v>
      </c>
      <c r="H2842" s="2">
        <f t="shared" si="1218"/>
        <v>0.24670260590399398</v>
      </c>
      <c r="I2842" s="2">
        <f t="shared" si="1219"/>
        <v>0.75329739409600605</v>
      </c>
      <c r="J2842" s="1">
        <f t="shared" ref="J2842:K2842" si="1293">SUM(J2074+J2266+J2458+J2650)</f>
        <v>271088</v>
      </c>
      <c r="K2842" s="1">
        <f t="shared" si="1293"/>
        <v>2248388</v>
      </c>
      <c r="L2842" s="1">
        <f t="shared" si="1245"/>
        <v>2519476</v>
      </c>
      <c r="M2842" s="2">
        <f t="shared" si="1246"/>
        <v>0.10759697651416406</v>
      </c>
      <c r="N2842" s="2">
        <f t="shared" si="1247"/>
        <v>0.89240302348583589</v>
      </c>
    </row>
    <row r="2843" spans="1:14" x14ac:dyDescent="0.35">
      <c r="A2843" t="s">
        <v>35</v>
      </c>
      <c r="B2843" t="s">
        <v>27</v>
      </c>
      <c r="C2843">
        <v>2014</v>
      </c>
      <c r="D2843" t="s">
        <v>33</v>
      </c>
      <c r="E2843" s="1">
        <f t="shared" ref="E2843:F2843" si="1294">SUM(E2075+E2267+E2459+E2651)</f>
        <v>213782</v>
      </c>
      <c r="F2843" s="1">
        <f t="shared" si="1294"/>
        <v>656688</v>
      </c>
      <c r="G2843" s="1">
        <f t="shared" si="1217"/>
        <v>870470</v>
      </c>
      <c r="H2843" s="2">
        <f t="shared" si="1218"/>
        <v>0.2455937596930394</v>
      </c>
      <c r="I2843" s="2">
        <f t="shared" si="1219"/>
        <v>0.75440624030696057</v>
      </c>
      <c r="J2843" s="1">
        <f t="shared" ref="J2843:K2843" si="1295">SUM(J2075+J2267+J2459+J2651)</f>
        <v>208336</v>
      </c>
      <c r="K2843" s="1">
        <f t="shared" si="1295"/>
        <v>1989122</v>
      </c>
      <c r="L2843" s="1">
        <f t="shared" si="1245"/>
        <v>2197458</v>
      </c>
      <c r="M2843" s="2">
        <f t="shared" si="1246"/>
        <v>9.480772783825675E-2</v>
      </c>
      <c r="N2843" s="2">
        <f t="shared" si="1247"/>
        <v>0.90519227216174325</v>
      </c>
    </row>
    <row r="2844" spans="1:14" x14ac:dyDescent="0.35">
      <c r="A2844" t="s">
        <v>35</v>
      </c>
      <c r="B2844" t="s">
        <v>28</v>
      </c>
      <c r="C2844">
        <v>2014</v>
      </c>
      <c r="D2844" t="s">
        <v>33</v>
      </c>
      <c r="E2844" s="1">
        <f t="shared" ref="E2844:F2844" si="1296">SUM(E2076+E2268+E2460+E2652)</f>
        <v>212273</v>
      </c>
      <c r="F2844" s="1">
        <f t="shared" si="1296"/>
        <v>658697</v>
      </c>
      <c r="G2844" s="1">
        <f t="shared" si="1217"/>
        <v>870970</v>
      </c>
      <c r="H2844" s="2">
        <f t="shared" si="1218"/>
        <v>0.24372021998461485</v>
      </c>
      <c r="I2844" s="2">
        <f t="shared" si="1219"/>
        <v>0.75627978001538509</v>
      </c>
      <c r="J2844" s="1">
        <f t="shared" ref="J2844:K2844" si="1297">SUM(J2076+J2268+J2460+J2652)</f>
        <v>165985</v>
      </c>
      <c r="K2844" s="1">
        <f t="shared" si="1297"/>
        <v>1670959</v>
      </c>
      <c r="L2844" s="1">
        <f t="shared" si="1245"/>
        <v>1836944</v>
      </c>
      <c r="M2844" s="2">
        <f t="shared" si="1246"/>
        <v>9.0359314165265783E-2</v>
      </c>
      <c r="N2844" s="2">
        <f t="shared" si="1247"/>
        <v>0.90964068583473423</v>
      </c>
    </row>
    <row r="2845" spans="1:14" x14ac:dyDescent="0.35">
      <c r="A2845" t="s">
        <v>35</v>
      </c>
      <c r="B2845" t="s">
        <v>29</v>
      </c>
      <c r="C2845">
        <v>2014</v>
      </c>
      <c r="D2845" t="s">
        <v>33</v>
      </c>
      <c r="E2845" s="1">
        <f t="shared" ref="E2845:F2845" si="1298">SUM(E2077+E2269+E2461+E2653)</f>
        <v>210625</v>
      </c>
      <c r="F2845" s="1">
        <f t="shared" si="1298"/>
        <v>659379</v>
      </c>
      <c r="G2845" s="1">
        <f t="shared" si="1217"/>
        <v>870004</v>
      </c>
      <c r="H2845" s="2">
        <f t="shared" si="1218"/>
        <v>0.24209658806166409</v>
      </c>
      <c r="I2845" s="2">
        <f t="shared" si="1219"/>
        <v>0.75790341193833588</v>
      </c>
      <c r="J2845" s="1">
        <f t="shared" ref="J2845:K2845" si="1299">SUM(J2077+J2269+J2461+J2653)</f>
        <v>164334</v>
      </c>
      <c r="K2845" s="1">
        <f t="shared" si="1299"/>
        <v>1843601</v>
      </c>
      <c r="L2845" s="1">
        <f t="shared" si="1245"/>
        <v>2007935</v>
      </c>
      <c r="M2845" s="2">
        <f t="shared" si="1246"/>
        <v>8.184229071160172E-2</v>
      </c>
      <c r="N2845" s="2">
        <f t="shared" si="1247"/>
        <v>0.91815770928839824</v>
      </c>
    </row>
    <row r="2846" spans="1:14" x14ac:dyDescent="0.35">
      <c r="A2846" t="s">
        <v>35</v>
      </c>
      <c r="B2846" t="s">
        <v>17</v>
      </c>
      <c r="C2846">
        <v>2015</v>
      </c>
      <c r="D2846" t="s">
        <v>33</v>
      </c>
      <c r="E2846" s="1">
        <f t="shared" ref="E2846:F2846" si="1300">SUM(E2078+E2270+E2462+E2654)</f>
        <v>210030</v>
      </c>
      <c r="F2846" s="1">
        <f t="shared" si="1300"/>
        <v>661057</v>
      </c>
      <c r="G2846" s="1">
        <f t="shared" si="1217"/>
        <v>871087</v>
      </c>
      <c r="H2846" s="2">
        <f t="shared" si="1218"/>
        <v>0.24111254099762711</v>
      </c>
      <c r="I2846" s="2">
        <f t="shared" si="1219"/>
        <v>0.75888745900237287</v>
      </c>
      <c r="J2846" s="1">
        <f t="shared" ref="J2846:K2846" si="1301">SUM(J2078+J2270+J2462+J2654)</f>
        <v>231045</v>
      </c>
      <c r="K2846" s="1">
        <f t="shared" si="1301"/>
        <v>1880346</v>
      </c>
      <c r="L2846" s="1">
        <f t="shared" si="1245"/>
        <v>2111391</v>
      </c>
      <c r="M2846" s="2">
        <f t="shared" si="1246"/>
        <v>0.10942786059048276</v>
      </c>
      <c r="N2846" s="2">
        <f t="shared" si="1247"/>
        <v>0.89057213940951718</v>
      </c>
    </row>
    <row r="2847" spans="1:14" x14ac:dyDescent="0.35">
      <c r="A2847" t="s">
        <v>35</v>
      </c>
      <c r="B2847" t="s">
        <v>19</v>
      </c>
      <c r="C2847">
        <v>2015</v>
      </c>
      <c r="D2847" t="s">
        <v>33</v>
      </c>
      <c r="E2847" s="1">
        <f t="shared" ref="E2847:F2847" si="1302">SUM(E2079+E2271+E2463+E2655)</f>
        <v>208440</v>
      </c>
      <c r="F2847" s="1">
        <f t="shared" si="1302"/>
        <v>664695</v>
      </c>
      <c r="G2847" s="1">
        <f t="shared" si="1217"/>
        <v>873135</v>
      </c>
      <c r="H2847" s="2">
        <f t="shared" si="1218"/>
        <v>0.23872597021079214</v>
      </c>
      <c r="I2847" s="2">
        <f t="shared" si="1219"/>
        <v>0.76127402978920788</v>
      </c>
      <c r="J2847" s="1">
        <f t="shared" ref="J2847:K2847" si="1303">SUM(J2079+J2271+J2463+J2655)</f>
        <v>181128</v>
      </c>
      <c r="K2847" s="1">
        <f t="shared" si="1303"/>
        <v>1682054</v>
      </c>
      <c r="L2847" s="1">
        <f t="shared" si="1245"/>
        <v>1863182</v>
      </c>
      <c r="M2847" s="2">
        <f t="shared" si="1246"/>
        <v>9.721433547554667E-2</v>
      </c>
      <c r="N2847" s="2">
        <f t="shared" si="1247"/>
        <v>0.9027856645244533</v>
      </c>
    </row>
    <row r="2848" spans="1:14" x14ac:dyDescent="0.35">
      <c r="A2848" t="s">
        <v>35</v>
      </c>
      <c r="B2848" t="s">
        <v>20</v>
      </c>
      <c r="C2848">
        <v>2015</v>
      </c>
      <c r="D2848" t="s">
        <v>33</v>
      </c>
      <c r="E2848" s="1">
        <f t="shared" ref="E2848:F2848" si="1304">SUM(E2080+E2272+E2464+E2656)</f>
        <v>205628</v>
      </c>
      <c r="F2848" s="1">
        <f t="shared" si="1304"/>
        <v>665216</v>
      </c>
      <c r="G2848" s="1">
        <f t="shared" si="1217"/>
        <v>870844</v>
      </c>
      <c r="H2848" s="2">
        <f t="shared" si="1218"/>
        <v>0.23612495464170391</v>
      </c>
      <c r="I2848" s="2">
        <f t="shared" si="1219"/>
        <v>0.76387504535829609</v>
      </c>
      <c r="J2848" s="1">
        <f t="shared" ref="J2848:K2848" si="1305">SUM(J2080+J2272+J2464+J2656)</f>
        <v>172956</v>
      </c>
      <c r="K2848" s="1">
        <f t="shared" si="1305"/>
        <v>1644573</v>
      </c>
      <c r="L2848" s="1">
        <f t="shared" si="1245"/>
        <v>1817529</v>
      </c>
      <c r="M2848" s="2">
        <f t="shared" si="1246"/>
        <v>9.5159967186218206E-2</v>
      </c>
      <c r="N2848" s="2">
        <f t="shared" si="1247"/>
        <v>0.90484003281378178</v>
      </c>
    </row>
    <row r="2849" spans="1:14" x14ac:dyDescent="0.35">
      <c r="A2849" t="s">
        <v>35</v>
      </c>
      <c r="B2849" t="s">
        <v>21</v>
      </c>
      <c r="C2849">
        <v>2015</v>
      </c>
      <c r="D2849" t="s">
        <v>33</v>
      </c>
      <c r="E2849" s="1">
        <f t="shared" ref="E2849:F2849" si="1306">SUM(E2081+E2273+E2465+E2657)</f>
        <v>204161</v>
      </c>
      <c r="F2849" s="1">
        <f t="shared" si="1306"/>
        <v>671506</v>
      </c>
      <c r="G2849" s="1">
        <f t="shared" si="1217"/>
        <v>875667</v>
      </c>
      <c r="H2849" s="2">
        <f t="shared" si="1218"/>
        <v>0.23314913089108075</v>
      </c>
      <c r="I2849" s="2">
        <f t="shared" si="1219"/>
        <v>0.76685086910891931</v>
      </c>
      <c r="J2849" s="1">
        <f t="shared" ref="J2849:K2849" si="1307">SUM(J2081+J2273+J2465+J2657)</f>
        <v>142857</v>
      </c>
      <c r="K2849" s="1">
        <f t="shared" si="1307"/>
        <v>1668953</v>
      </c>
      <c r="L2849" s="1">
        <f t="shared" si="1245"/>
        <v>1811810</v>
      </c>
      <c r="M2849" s="2">
        <f t="shared" si="1246"/>
        <v>7.8847671665351227E-2</v>
      </c>
      <c r="N2849" s="2">
        <f t="shared" si="1247"/>
        <v>0.92115232833464877</v>
      </c>
    </row>
    <row r="2850" spans="1:14" x14ac:dyDescent="0.35">
      <c r="A2850" t="s">
        <v>35</v>
      </c>
      <c r="B2850" t="s">
        <v>22</v>
      </c>
      <c r="C2850">
        <v>2015</v>
      </c>
      <c r="D2850" t="s">
        <v>33</v>
      </c>
      <c r="E2850" s="1">
        <f t="shared" ref="E2850:F2850" si="1308">SUM(E2082+E2274+E2466+E2658)</f>
        <v>202209</v>
      </c>
      <c r="F2850" s="1">
        <f t="shared" si="1308"/>
        <v>674571</v>
      </c>
      <c r="G2850" s="1">
        <f t="shared" si="1217"/>
        <v>876780</v>
      </c>
      <c r="H2850" s="2">
        <f t="shared" si="1218"/>
        <v>0.23062683911585574</v>
      </c>
      <c r="I2850" s="2">
        <f t="shared" si="1219"/>
        <v>0.7693731608841442</v>
      </c>
      <c r="J2850" s="1">
        <f t="shared" ref="J2850:K2850" si="1309">SUM(J2082+J2274+J2466+J2658)</f>
        <v>160810</v>
      </c>
      <c r="K2850" s="1">
        <f t="shared" si="1309"/>
        <v>1723492</v>
      </c>
      <c r="L2850" s="1">
        <f t="shared" si="1245"/>
        <v>1884302</v>
      </c>
      <c r="M2850" s="2">
        <f t="shared" si="1246"/>
        <v>8.5341946248531281E-2</v>
      </c>
      <c r="N2850" s="2">
        <f t="shared" si="1247"/>
        <v>0.91465805375146869</v>
      </c>
    </row>
    <row r="2851" spans="1:14" x14ac:dyDescent="0.35">
      <c r="A2851" t="s">
        <v>35</v>
      </c>
      <c r="B2851" t="s">
        <v>23</v>
      </c>
      <c r="C2851">
        <v>2015</v>
      </c>
      <c r="D2851" t="s">
        <v>33</v>
      </c>
      <c r="E2851" s="1">
        <f t="shared" ref="E2851:F2851" si="1310">SUM(E2083+E2275+E2467+E2659)</f>
        <v>200518</v>
      </c>
      <c r="F2851" s="1">
        <f t="shared" si="1310"/>
        <v>677988</v>
      </c>
      <c r="G2851" s="1">
        <f t="shared" si="1217"/>
        <v>878506</v>
      </c>
      <c r="H2851" s="2">
        <f t="shared" si="1218"/>
        <v>0.22824886796447605</v>
      </c>
      <c r="I2851" s="2">
        <f t="shared" si="1219"/>
        <v>0.77175113203552392</v>
      </c>
      <c r="J2851" s="1">
        <f t="shared" ref="J2851:K2851" si="1311">SUM(J2083+J2275+J2467+J2659)</f>
        <v>208524</v>
      </c>
      <c r="K2851" s="1">
        <f t="shared" si="1311"/>
        <v>2034264</v>
      </c>
      <c r="L2851" s="1">
        <f t="shared" si="1245"/>
        <v>2242788</v>
      </c>
      <c r="M2851" s="2">
        <f t="shared" si="1246"/>
        <v>9.2975350322901676E-2</v>
      </c>
      <c r="N2851" s="2">
        <f t="shared" si="1247"/>
        <v>0.90702464967709828</v>
      </c>
    </row>
    <row r="2852" spans="1:14" x14ac:dyDescent="0.35">
      <c r="A2852" t="s">
        <v>35</v>
      </c>
      <c r="B2852" t="s">
        <v>24</v>
      </c>
      <c r="C2852">
        <v>2015</v>
      </c>
      <c r="D2852" t="s">
        <v>33</v>
      </c>
      <c r="E2852" s="1">
        <f t="shared" ref="E2852:F2852" si="1312">SUM(E2084+E2276+E2468+E2660)</f>
        <v>199078</v>
      </c>
      <c r="F2852" s="1">
        <f t="shared" si="1312"/>
        <v>683081</v>
      </c>
      <c r="G2852" s="1">
        <f t="shared" si="1217"/>
        <v>882159</v>
      </c>
      <c r="H2852" s="2">
        <f t="shared" si="1218"/>
        <v>0.22567133589296259</v>
      </c>
      <c r="I2852" s="2">
        <f t="shared" si="1219"/>
        <v>0.77432866410703738</v>
      </c>
      <c r="J2852" s="1">
        <f t="shared" ref="J2852:K2852" si="1313">SUM(J2084+J2276+J2468+J2660)</f>
        <v>237210</v>
      </c>
      <c r="K2852" s="1">
        <f t="shared" si="1313"/>
        <v>2149805</v>
      </c>
      <c r="L2852" s="1">
        <f t="shared" si="1245"/>
        <v>2387015</v>
      </c>
      <c r="M2852" s="2">
        <f t="shared" si="1246"/>
        <v>9.9375161027475734E-2</v>
      </c>
      <c r="N2852" s="2">
        <f t="shared" si="1247"/>
        <v>0.90062483897252421</v>
      </c>
    </row>
    <row r="2853" spans="1:14" x14ac:dyDescent="0.35">
      <c r="A2853" t="s">
        <v>35</v>
      </c>
      <c r="B2853" t="s">
        <v>25</v>
      </c>
      <c r="C2853">
        <v>2015</v>
      </c>
      <c r="D2853" t="s">
        <v>33</v>
      </c>
      <c r="E2853" s="1">
        <f t="shared" ref="E2853:F2853" si="1314">SUM(E2085+E2277+E2469+E2661)</f>
        <v>197521</v>
      </c>
      <c r="F2853" s="1">
        <f t="shared" si="1314"/>
        <v>684089</v>
      </c>
      <c r="G2853" s="1">
        <f t="shared" si="1217"/>
        <v>881610</v>
      </c>
      <c r="H2853" s="2">
        <f t="shared" si="1218"/>
        <v>0.22404577987999227</v>
      </c>
      <c r="I2853" s="2">
        <f t="shared" si="1219"/>
        <v>0.7759542201200077</v>
      </c>
      <c r="J2853" s="1">
        <f t="shared" ref="J2853:K2853" si="1315">SUM(J2085+J2277+J2469+J2661)</f>
        <v>255784</v>
      </c>
      <c r="K2853" s="1">
        <f t="shared" si="1315"/>
        <v>2254124</v>
      </c>
      <c r="L2853" s="1">
        <f t="shared" si="1245"/>
        <v>2509908</v>
      </c>
      <c r="M2853" s="2">
        <f t="shared" si="1246"/>
        <v>0.10190971143165407</v>
      </c>
      <c r="N2853" s="2">
        <f t="shared" si="1247"/>
        <v>0.89809028856834594</v>
      </c>
    </row>
    <row r="2854" spans="1:14" x14ac:dyDescent="0.35">
      <c r="A2854" t="s">
        <v>35</v>
      </c>
      <c r="B2854" t="s">
        <v>26</v>
      </c>
      <c r="C2854">
        <v>2015</v>
      </c>
      <c r="D2854" t="s">
        <v>33</v>
      </c>
      <c r="E2854" s="1">
        <f t="shared" ref="E2854:F2854" si="1316">SUM(E2086+E2278+E2470+E2662)</f>
        <v>194688</v>
      </c>
      <c r="F2854" s="1">
        <f t="shared" si="1316"/>
        <v>679921</v>
      </c>
      <c r="G2854" s="1">
        <f t="shared" si="1217"/>
        <v>874609</v>
      </c>
      <c r="H2854" s="2">
        <f t="shared" si="1218"/>
        <v>0.22260004184727117</v>
      </c>
      <c r="I2854" s="2">
        <f t="shared" si="1219"/>
        <v>0.77739995815272878</v>
      </c>
      <c r="J2854" s="1">
        <f t="shared" ref="J2854:K2854" si="1317">SUM(J2086+J2278+J2470+J2662)</f>
        <v>240600</v>
      </c>
      <c r="K2854" s="1">
        <f t="shared" si="1317"/>
        <v>2233060</v>
      </c>
      <c r="L2854" s="1">
        <f t="shared" si="1245"/>
        <v>2473660</v>
      </c>
      <c r="M2854" s="2">
        <f t="shared" si="1246"/>
        <v>9.7264781740417028E-2</v>
      </c>
      <c r="N2854" s="2">
        <f t="shared" si="1247"/>
        <v>0.90273521825958292</v>
      </c>
    </row>
    <row r="2855" spans="1:14" x14ac:dyDescent="0.35">
      <c r="A2855" t="s">
        <v>35</v>
      </c>
      <c r="B2855" t="s">
        <v>27</v>
      </c>
      <c r="C2855">
        <v>2015</v>
      </c>
      <c r="D2855" t="s">
        <v>33</v>
      </c>
      <c r="E2855" s="1">
        <f t="shared" ref="E2855:F2855" si="1318">SUM(E2087+E2279+E2471+E2663)</f>
        <v>193378</v>
      </c>
      <c r="F2855" s="1">
        <f t="shared" si="1318"/>
        <v>684704</v>
      </c>
      <c r="G2855" s="1">
        <f t="shared" si="1217"/>
        <v>878082</v>
      </c>
      <c r="H2855" s="2">
        <f t="shared" si="1218"/>
        <v>0.22022772360667911</v>
      </c>
      <c r="I2855" s="2">
        <f t="shared" si="1219"/>
        <v>0.77977227639332092</v>
      </c>
      <c r="J2855" s="1">
        <f t="shared" ref="J2855:K2855" si="1319">SUM(J2087+J2279+J2471+J2663)</f>
        <v>195241</v>
      </c>
      <c r="K2855" s="1">
        <f t="shared" si="1319"/>
        <v>2013807</v>
      </c>
      <c r="L2855" s="1">
        <f t="shared" si="1245"/>
        <v>2209048</v>
      </c>
      <c r="M2855" s="2">
        <f t="shared" si="1246"/>
        <v>8.8382416316893073E-2</v>
      </c>
      <c r="N2855" s="2">
        <f t="shared" si="1247"/>
        <v>0.91161758368310697</v>
      </c>
    </row>
    <row r="2856" spans="1:14" x14ac:dyDescent="0.35">
      <c r="A2856" t="s">
        <v>35</v>
      </c>
      <c r="B2856" t="s">
        <v>28</v>
      </c>
      <c r="C2856">
        <v>2015</v>
      </c>
      <c r="D2856" t="s">
        <v>33</v>
      </c>
      <c r="E2856" s="1">
        <f t="shared" ref="E2856:F2856" si="1320">SUM(E2088+E2280+E2472+E2664)</f>
        <v>191437</v>
      </c>
      <c r="F2856" s="1">
        <f t="shared" si="1320"/>
        <v>687475</v>
      </c>
      <c r="G2856" s="1">
        <f t="shared" si="1217"/>
        <v>878912</v>
      </c>
      <c r="H2856" s="2">
        <f t="shared" si="1218"/>
        <v>0.2178113394742591</v>
      </c>
      <c r="I2856" s="2">
        <f t="shared" si="1219"/>
        <v>0.78218866052574088</v>
      </c>
      <c r="J2856" s="1">
        <f t="shared" ref="J2856:K2856" si="1321">SUM(J2088+J2280+J2472+J2664)</f>
        <v>149615</v>
      </c>
      <c r="K2856" s="1">
        <f t="shared" si="1321"/>
        <v>1784952</v>
      </c>
      <c r="L2856" s="1">
        <f t="shared" si="1245"/>
        <v>1934567</v>
      </c>
      <c r="M2856" s="2">
        <f t="shared" si="1246"/>
        <v>7.7337719500022481E-2</v>
      </c>
      <c r="N2856" s="2">
        <f t="shared" si="1247"/>
        <v>0.92266228049997756</v>
      </c>
    </row>
    <row r="2857" spans="1:14" x14ac:dyDescent="0.35">
      <c r="A2857" t="s">
        <v>35</v>
      </c>
      <c r="B2857" t="s">
        <v>29</v>
      </c>
      <c r="C2857">
        <v>2015</v>
      </c>
      <c r="D2857" t="s">
        <v>33</v>
      </c>
      <c r="E2857" s="1">
        <f t="shared" ref="E2857:F2857" si="1322">SUM(E2089+E2281+E2473+E2665)</f>
        <v>188971</v>
      </c>
      <c r="F2857" s="1">
        <f t="shared" si="1322"/>
        <v>683990</v>
      </c>
      <c r="G2857" s="1">
        <f t="shared" si="1217"/>
        <v>872961</v>
      </c>
      <c r="H2857" s="2">
        <f t="shared" si="1218"/>
        <v>0.21647129711407498</v>
      </c>
      <c r="I2857" s="2">
        <f t="shared" si="1219"/>
        <v>0.78352870288592502</v>
      </c>
      <c r="J2857" s="1">
        <f t="shared" ref="J2857:K2857" si="1323">SUM(J2089+J2281+J2473+J2665)</f>
        <v>144973</v>
      </c>
      <c r="K2857" s="1">
        <f t="shared" si="1323"/>
        <v>1709637</v>
      </c>
      <c r="L2857" s="1">
        <f t="shared" si="1245"/>
        <v>1854610</v>
      </c>
      <c r="M2857" s="2">
        <f t="shared" si="1246"/>
        <v>7.8168995098699998E-2</v>
      </c>
      <c r="N2857" s="2">
        <f t="shared" si="1247"/>
        <v>0.92183100490129999</v>
      </c>
    </row>
    <row r="2858" spans="1:14" x14ac:dyDescent="0.35">
      <c r="A2858" t="s">
        <v>35</v>
      </c>
      <c r="B2858" t="s">
        <v>17</v>
      </c>
      <c r="C2858">
        <v>2016</v>
      </c>
      <c r="D2858" t="s">
        <v>33</v>
      </c>
      <c r="E2858" s="1">
        <f t="shared" ref="E2858:F2858" si="1324">SUM(E2090+E2282+E2474+E2666)</f>
        <v>188388</v>
      </c>
      <c r="F2858" s="1">
        <f t="shared" si="1324"/>
        <v>691595</v>
      </c>
      <c r="G2858" s="1">
        <f t="shared" si="1217"/>
        <v>879983</v>
      </c>
      <c r="H2858" s="2">
        <f t="shared" si="1218"/>
        <v>0.21408140839084391</v>
      </c>
      <c r="I2858" s="2">
        <f t="shared" si="1219"/>
        <v>0.78591859160915611</v>
      </c>
      <c r="J2858" s="1">
        <f t="shared" ref="J2858:K2858" si="1325">SUM(J2090+J2282+J2474+J2666)</f>
        <v>176719</v>
      </c>
      <c r="K2858" s="1">
        <f t="shared" si="1325"/>
        <v>1915308</v>
      </c>
      <c r="L2858" s="1">
        <f t="shared" si="1245"/>
        <v>2092027</v>
      </c>
      <c r="M2858" s="2">
        <f t="shared" si="1246"/>
        <v>8.4472619139236732E-2</v>
      </c>
      <c r="N2858" s="2">
        <f t="shared" si="1247"/>
        <v>0.91552738086076324</v>
      </c>
    </row>
    <row r="2859" spans="1:14" x14ac:dyDescent="0.35">
      <c r="A2859" t="s">
        <v>35</v>
      </c>
      <c r="B2859" t="s">
        <v>19</v>
      </c>
      <c r="C2859">
        <v>2016</v>
      </c>
      <c r="D2859" t="s">
        <v>33</v>
      </c>
      <c r="E2859" s="1">
        <f t="shared" ref="E2859:F2859" si="1326">SUM(E2091+E2283+E2475+E2667)</f>
        <v>186813</v>
      </c>
      <c r="F2859" s="1">
        <f t="shared" si="1326"/>
        <v>696704</v>
      </c>
      <c r="G2859" s="1">
        <f t="shared" si="1217"/>
        <v>883517</v>
      </c>
      <c r="H2859" s="2">
        <f t="shared" si="1218"/>
        <v>0.2114424510224478</v>
      </c>
      <c r="I2859" s="2">
        <f t="shared" si="1219"/>
        <v>0.78855754897755226</v>
      </c>
      <c r="J2859" s="1">
        <f t="shared" ref="J2859:K2859" si="1327">SUM(J2091+J2283+J2475+J2667)</f>
        <v>140374</v>
      </c>
      <c r="K2859" s="1">
        <f t="shared" si="1327"/>
        <v>1660473</v>
      </c>
      <c r="L2859" s="1">
        <f t="shared" si="1245"/>
        <v>1800847</v>
      </c>
      <c r="M2859" s="2">
        <f t="shared" si="1246"/>
        <v>7.7948876278773269E-2</v>
      </c>
      <c r="N2859" s="2">
        <f t="shared" si="1247"/>
        <v>0.92205112372122677</v>
      </c>
    </row>
    <row r="2860" spans="1:14" x14ac:dyDescent="0.35">
      <c r="A2860" t="s">
        <v>35</v>
      </c>
      <c r="B2860" t="s">
        <v>20</v>
      </c>
      <c r="C2860">
        <v>2016</v>
      </c>
      <c r="D2860" t="s">
        <v>33</v>
      </c>
      <c r="E2860" s="1">
        <f t="shared" ref="E2860:F2860" si="1328">SUM(E2092+E2284+E2476+E2668)</f>
        <v>184772</v>
      </c>
      <c r="F2860" s="1">
        <f t="shared" si="1328"/>
        <v>696676</v>
      </c>
      <c r="G2860" s="1">
        <f t="shared" si="1217"/>
        <v>881448</v>
      </c>
      <c r="H2860" s="2">
        <f t="shared" si="1218"/>
        <v>0.20962325627830569</v>
      </c>
      <c r="I2860" s="2">
        <f t="shared" si="1219"/>
        <v>0.79037674372169431</v>
      </c>
      <c r="J2860" s="1">
        <f t="shared" ref="J2860:K2860" si="1329">SUM(J2092+J2284+J2476+J2668)</f>
        <v>119912</v>
      </c>
      <c r="K2860" s="1">
        <f t="shared" si="1329"/>
        <v>1589493</v>
      </c>
      <c r="L2860" s="1">
        <f t="shared" si="1245"/>
        <v>1709405</v>
      </c>
      <c r="M2860" s="2">
        <f t="shared" si="1246"/>
        <v>7.0148384964358948E-2</v>
      </c>
      <c r="N2860" s="2">
        <f t="shared" si="1247"/>
        <v>0.92985161503564107</v>
      </c>
    </row>
    <row r="2861" spans="1:14" x14ac:dyDescent="0.35">
      <c r="A2861" t="s">
        <v>35</v>
      </c>
      <c r="B2861" t="s">
        <v>21</v>
      </c>
      <c r="C2861">
        <v>2016</v>
      </c>
      <c r="D2861" t="s">
        <v>33</v>
      </c>
      <c r="E2861" s="1">
        <f t="shared" ref="E2861:F2861" si="1330">SUM(E2093+E2285+E2477+E2669)</f>
        <v>183204</v>
      </c>
      <c r="F2861" s="1">
        <f t="shared" si="1330"/>
        <v>699658</v>
      </c>
      <c r="G2861" s="1">
        <f t="shared" si="1217"/>
        <v>882862</v>
      </c>
      <c r="H2861" s="2">
        <f t="shared" si="1218"/>
        <v>0.20751147971030581</v>
      </c>
      <c r="I2861" s="2">
        <f t="shared" si="1219"/>
        <v>0.79248852028969419</v>
      </c>
      <c r="J2861" s="1">
        <f t="shared" ref="J2861:K2861" si="1331">SUM(J2093+J2285+J2477+J2669)</f>
        <v>128721</v>
      </c>
      <c r="K2861" s="1">
        <f t="shared" si="1331"/>
        <v>1686071</v>
      </c>
      <c r="L2861" s="1">
        <f t="shared" si="1245"/>
        <v>1814792</v>
      </c>
      <c r="M2861" s="2">
        <f t="shared" si="1246"/>
        <v>7.0928789635396228E-2</v>
      </c>
      <c r="N2861" s="2">
        <f t="shared" si="1247"/>
        <v>0.92907121036460372</v>
      </c>
    </row>
    <row r="2862" spans="1:14" x14ac:dyDescent="0.35">
      <c r="A2862" t="s">
        <v>35</v>
      </c>
      <c r="B2862" t="s">
        <v>22</v>
      </c>
      <c r="C2862">
        <v>2016</v>
      </c>
      <c r="D2862" t="s">
        <v>33</v>
      </c>
      <c r="E2862" s="1">
        <f t="shared" ref="E2862:F2862" si="1332">SUM(E2094+E2286+E2478+E2670)</f>
        <v>182220</v>
      </c>
      <c r="F2862" s="1">
        <f t="shared" si="1332"/>
        <v>703950</v>
      </c>
      <c r="G2862" s="1">
        <f t="shared" si="1217"/>
        <v>886170</v>
      </c>
      <c r="H2862" s="2">
        <f t="shared" si="1218"/>
        <v>0.2056264599343241</v>
      </c>
      <c r="I2862" s="2">
        <f t="shared" si="1219"/>
        <v>0.79437354006567584</v>
      </c>
      <c r="J2862" s="1">
        <f t="shared" ref="J2862:K2862" si="1333">SUM(J2094+J2286+J2478+J2670)</f>
        <v>154999</v>
      </c>
      <c r="K2862" s="1">
        <f t="shared" si="1333"/>
        <v>1820362</v>
      </c>
      <c r="L2862" s="1">
        <f t="shared" si="1245"/>
        <v>1975361</v>
      </c>
      <c r="M2862" s="2">
        <f t="shared" si="1246"/>
        <v>7.8466163906242961E-2</v>
      </c>
      <c r="N2862" s="2">
        <f t="shared" si="1247"/>
        <v>0.92153383609375705</v>
      </c>
    </row>
    <row r="2863" spans="1:14" x14ac:dyDescent="0.35">
      <c r="A2863" t="s">
        <v>35</v>
      </c>
      <c r="B2863" t="s">
        <v>23</v>
      </c>
      <c r="C2863">
        <v>2016</v>
      </c>
      <c r="D2863" t="s">
        <v>33</v>
      </c>
      <c r="E2863" s="1">
        <f t="shared" ref="E2863:F2863" si="1334">SUM(E2095+E2287+E2479+E2671)</f>
        <v>180307</v>
      </c>
      <c r="F2863" s="1">
        <f t="shared" si="1334"/>
        <v>704091</v>
      </c>
      <c r="G2863" s="1">
        <f t="shared" si="1217"/>
        <v>884398</v>
      </c>
      <c r="H2863" s="2">
        <f t="shared" si="1218"/>
        <v>0.20387540451244801</v>
      </c>
      <c r="I2863" s="2">
        <f t="shared" si="1219"/>
        <v>0.79612459548755199</v>
      </c>
      <c r="J2863" s="1">
        <f t="shared" ref="J2863:K2863" si="1335">SUM(J2095+J2287+J2479+J2671)</f>
        <v>195030</v>
      </c>
      <c r="K2863" s="1">
        <f t="shared" si="1335"/>
        <v>2055383</v>
      </c>
      <c r="L2863" s="1">
        <f t="shared" si="1245"/>
        <v>2250413</v>
      </c>
      <c r="M2863" s="2">
        <f t="shared" si="1246"/>
        <v>8.6664092324386682E-2</v>
      </c>
      <c r="N2863" s="2">
        <f t="shared" si="1247"/>
        <v>0.91333590767561335</v>
      </c>
    </row>
    <row r="2864" spans="1:14" x14ac:dyDescent="0.35">
      <c r="A2864" t="s">
        <v>35</v>
      </c>
      <c r="B2864" t="s">
        <v>24</v>
      </c>
      <c r="C2864">
        <v>2016</v>
      </c>
      <c r="D2864" t="s">
        <v>33</v>
      </c>
      <c r="E2864" s="1">
        <f t="shared" ref="E2864:F2864" si="1336">SUM(E2096+E2288+E2480+E2672)</f>
        <v>179041</v>
      </c>
      <c r="F2864" s="1">
        <f t="shared" si="1336"/>
        <v>709962</v>
      </c>
      <c r="G2864" s="1">
        <f t="shared" si="1217"/>
        <v>889003</v>
      </c>
      <c r="H2864" s="2">
        <f t="shared" si="1218"/>
        <v>0.20139527088210052</v>
      </c>
      <c r="I2864" s="2">
        <f t="shared" si="1219"/>
        <v>0.79860472911789948</v>
      </c>
      <c r="J2864" s="1">
        <f t="shared" ref="J2864:K2864" si="1337">SUM(J2096+J2288+J2480+J2672)</f>
        <v>237858.22099999999</v>
      </c>
      <c r="K2864" s="1">
        <f t="shared" si="1337"/>
        <v>2312630.8950000005</v>
      </c>
      <c r="L2864" s="1">
        <f t="shared" si="1245"/>
        <v>2550489.1160000004</v>
      </c>
      <c r="M2864" s="2">
        <f t="shared" si="1246"/>
        <v>9.3259845536231623E-2</v>
      </c>
      <c r="N2864" s="2">
        <f t="shared" si="1247"/>
        <v>0.90674015446376843</v>
      </c>
    </row>
    <row r="2865" spans="1:14" x14ac:dyDescent="0.35">
      <c r="A2865" t="s">
        <v>35</v>
      </c>
      <c r="B2865" t="s">
        <v>25</v>
      </c>
      <c r="C2865">
        <v>2016</v>
      </c>
      <c r="D2865" t="s">
        <v>33</v>
      </c>
      <c r="E2865" s="1">
        <f t="shared" ref="E2865:F2865" si="1338">SUM(E2097+E2289+E2481+E2673)</f>
        <v>176960</v>
      </c>
      <c r="F2865" s="1">
        <f t="shared" si="1338"/>
        <v>712154</v>
      </c>
      <c r="G2865" s="1">
        <f t="shared" si="1217"/>
        <v>889114</v>
      </c>
      <c r="H2865" s="2">
        <f t="shared" si="1218"/>
        <v>0.19902959575487508</v>
      </c>
      <c r="I2865" s="2">
        <f t="shared" si="1219"/>
        <v>0.80097040424512489</v>
      </c>
      <c r="J2865" s="1">
        <f t="shared" ref="J2865:K2865" si="1339">SUM(J2097+J2289+J2481+J2673)</f>
        <v>237223.51200000002</v>
      </c>
      <c r="K2865" s="1">
        <f t="shared" si="1339"/>
        <v>2348941.9219999998</v>
      </c>
      <c r="L2865" s="1">
        <f t="shared" si="1245"/>
        <v>2586165.4339999999</v>
      </c>
      <c r="M2865" s="2">
        <f t="shared" si="1246"/>
        <v>9.1727895238739018E-2</v>
      </c>
      <c r="N2865" s="2">
        <f t="shared" si="1247"/>
        <v>0.90827210476126097</v>
      </c>
    </row>
    <row r="2866" spans="1:14" x14ac:dyDescent="0.35">
      <c r="A2866" t="s">
        <v>35</v>
      </c>
      <c r="B2866" t="s">
        <v>26</v>
      </c>
      <c r="C2866">
        <v>2016</v>
      </c>
      <c r="D2866" t="s">
        <v>33</v>
      </c>
      <c r="E2866" s="1">
        <f t="shared" ref="E2866:F2866" si="1340">SUM(E2098+E2290+E2482+E2674)</f>
        <v>174464</v>
      </c>
      <c r="F2866" s="1">
        <f t="shared" si="1340"/>
        <v>712101</v>
      </c>
      <c r="G2866" s="1">
        <f t="shared" si="1217"/>
        <v>886565</v>
      </c>
      <c r="H2866" s="2">
        <f t="shared" si="1218"/>
        <v>0.19678647363701476</v>
      </c>
      <c r="I2866" s="2">
        <f t="shared" si="1219"/>
        <v>0.80321352636298526</v>
      </c>
      <c r="J2866" s="1">
        <f t="shared" ref="J2866:K2866" si="1341">SUM(J2098+J2290+J2482+J2674)</f>
        <v>217357.75</v>
      </c>
      <c r="K2866" s="1">
        <f t="shared" si="1341"/>
        <v>2333159.0419999999</v>
      </c>
      <c r="L2866" s="1">
        <f t="shared" si="1245"/>
        <v>2550516.7919999999</v>
      </c>
      <c r="M2866" s="2">
        <f t="shared" si="1246"/>
        <v>8.5221062132101427E-2</v>
      </c>
      <c r="N2866" s="2">
        <f t="shared" si="1247"/>
        <v>0.91477893786789855</v>
      </c>
    </row>
    <row r="2867" spans="1:14" x14ac:dyDescent="0.35">
      <c r="A2867" t="s">
        <v>35</v>
      </c>
      <c r="B2867" t="s">
        <v>27</v>
      </c>
      <c r="C2867">
        <v>2016</v>
      </c>
      <c r="D2867" t="s">
        <v>33</v>
      </c>
      <c r="E2867" s="1">
        <f t="shared" ref="E2867:F2867" si="1342">SUM(E2099+E2291+E2483+E2675)</f>
        <v>172637</v>
      </c>
      <c r="F2867" s="1">
        <f t="shared" si="1342"/>
        <v>714744</v>
      </c>
      <c r="G2867" s="1">
        <f t="shared" si="1217"/>
        <v>887381</v>
      </c>
      <c r="H2867" s="2">
        <f t="shared" si="1218"/>
        <v>0.19454664907181921</v>
      </c>
      <c r="I2867" s="2">
        <f t="shared" si="1219"/>
        <v>0.80545335092818082</v>
      </c>
      <c r="J2867" s="1">
        <f t="shared" ref="J2867:K2867" si="1343">SUM(J2099+J2291+J2483+J2675)</f>
        <v>183547</v>
      </c>
      <c r="K2867" s="1">
        <f t="shared" si="1343"/>
        <v>2135665</v>
      </c>
      <c r="L2867" s="1">
        <f t="shared" si="1245"/>
        <v>2319212</v>
      </c>
      <c r="M2867" s="2">
        <f t="shared" si="1246"/>
        <v>7.9141967185406073E-2</v>
      </c>
      <c r="N2867" s="2">
        <f t="shared" si="1247"/>
        <v>0.92085803281459389</v>
      </c>
    </row>
    <row r="2868" spans="1:14" x14ac:dyDescent="0.35">
      <c r="A2868" t="s">
        <v>35</v>
      </c>
      <c r="B2868" t="s">
        <v>28</v>
      </c>
      <c r="C2868">
        <v>2016</v>
      </c>
      <c r="D2868" t="s">
        <v>33</v>
      </c>
      <c r="E2868" s="1">
        <f t="shared" ref="E2868:F2868" si="1344">SUM(E2100+E2292+E2484+E2676)</f>
        <v>164201</v>
      </c>
      <c r="F2868" s="1">
        <f t="shared" si="1344"/>
        <v>688843</v>
      </c>
      <c r="G2868" s="1">
        <f t="shared" si="1217"/>
        <v>853044</v>
      </c>
      <c r="H2868" s="2">
        <f t="shared" si="1218"/>
        <v>0.19248831244343786</v>
      </c>
      <c r="I2868" s="2">
        <f t="shared" si="1219"/>
        <v>0.80751168755656211</v>
      </c>
      <c r="J2868" s="1">
        <f t="shared" ref="J2868:K2868" si="1345">SUM(J2100+J2292+J2484+J2676)</f>
        <v>138213</v>
      </c>
      <c r="K2868" s="1">
        <f t="shared" si="1345"/>
        <v>1841492</v>
      </c>
      <c r="L2868" s="1">
        <f t="shared" si="1245"/>
        <v>1979705</v>
      </c>
      <c r="M2868" s="2">
        <f t="shared" si="1246"/>
        <v>6.9814947176473269E-2</v>
      </c>
      <c r="N2868" s="2">
        <f t="shared" si="1247"/>
        <v>0.9301850528235267</v>
      </c>
    </row>
    <row r="2869" spans="1:14" x14ac:dyDescent="0.35">
      <c r="A2869" t="s">
        <v>35</v>
      </c>
      <c r="B2869" t="s">
        <v>29</v>
      </c>
      <c r="C2869">
        <v>2016</v>
      </c>
      <c r="D2869" t="s">
        <v>33</v>
      </c>
      <c r="E2869" s="1">
        <f t="shared" ref="E2869:F2869" si="1346">SUM(E2101+E2293+E2485+E2677)</f>
        <v>169303</v>
      </c>
      <c r="F2869" s="1">
        <f t="shared" si="1346"/>
        <v>717829</v>
      </c>
      <c r="G2869" s="1">
        <f t="shared" si="1217"/>
        <v>887132</v>
      </c>
      <c r="H2869" s="2">
        <f t="shared" si="1218"/>
        <v>0.19084307634038677</v>
      </c>
      <c r="I2869" s="2">
        <f t="shared" si="1219"/>
        <v>0.80915692365961323</v>
      </c>
      <c r="J2869" s="1">
        <f t="shared" ref="J2869:K2869" si="1347">SUM(J2101+J2293+J2485+J2677)</f>
        <v>130681</v>
      </c>
      <c r="K2869" s="1">
        <f t="shared" si="1347"/>
        <v>1798785</v>
      </c>
      <c r="L2869" s="1">
        <f t="shared" si="1245"/>
        <v>1929466</v>
      </c>
      <c r="M2869" s="2">
        <f t="shared" si="1246"/>
        <v>6.7729102249016043E-2</v>
      </c>
      <c r="N2869" s="2">
        <f t="shared" si="1247"/>
        <v>0.93227089775098393</v>
      </c>
    </row>
    <row r="2870" spans="1:14" x14ac:dyDescent="0.35">
      <c r="A2870" t="s">
        <v>35</v>
      </c>
      <c r="B2870" t="s">
        <v>17</v>
      </c>
      <c r="C2870">
        <v>2017</v>
      </c>
      <c r="D2870" t="s">
        <v>33</v>
      </c>
      <c r="E2870" s="1">
        <f t="shared" ref="E2870:F2870" si="1348">SUM(E2102+E2294+E2486+E2678)</f>
        <v>167800</v>
      </c>
      <c r="F2870" s="1">
        <f t="shared" si="1348"/>
        <v>719863</v>
      </c>
      <c r="G2870" s="1">
        <f t="shared" si="1217"/>
        <v>887663</v>
      </c>
      <c r="H2870" s="2">
        <f t="shared" si="1218"/>
        <v>0.18903570386509294</v>
      </c>
      <c r="I2870" s="2">
        <f t="shared" si="1219"/>
        <v>0.81096429613490706</v>
      </c>
      <c r="J2870" s="1">
        <f t="shared" ref="J2870:K2870" si="1349">SUM(J2102+J2294+J2486+J2678)</f>
        <v>148752</v>
      </c>
      <c r="K2870" s="1">
        <f t="shared" si="1349"/>
        <v>1880817</v>
      </c>
      <c r="L2870" s="1">
        <f t="shared" si="1245"/>
        <v>2029569</v>
      </c>
      <c r="M2870" s="2">
        <f t="shared" si="1246"/>
        <v>7.3292408388184876E-2</v>
      </c>
      <c r="N2870" s="2">
        <f t="shared" si="1247"/>
        <v>0.92670759161181515</v>
      </c>
    </row>
    <row r="2871" spans="1:14" x14ac:dyDescent="0.35">
      <c r="A2871" t="s">
        <v>35</v>
      </c>
      <c r="B2871" t="s">
        <v>19</v>
      </c>
      <c r="C2871">
        <v>2017</v>
      </c>
      <c r="D2871" t="s">
        <v>33</v>
      </c>
      <c r="E2871" s="1">
        <f t="shared" ref="E2871:F2871" si="1350">SUM(E2103+E2295+E2487+E2679)</f>
        <v>152237</v>
      </c>
      <c r="F2871" s="1">
        <f t="shared" si="1350"/>
        <v>661143</v>
      </c>
      <c r="G2871" s="1">
        <f t="shared" ref="G2871:G2881" si="1351">SUM(E2871:F2871)</f>
        <v>813380</v>
      </c>
      <c r="H2871" s="2">
        <f t="shared" ref="H2871:H2881" si="1352">SUM(E2871)/G2871</f>
        <v>0.18716590031719491</v>
      </c>
      <c r="I2871" s="2">
        <f t="shared" ref="I2871:I2881" si="1353">SUM(F2871/G2871)</f>
        <v>0.81283409968280507</v>
      </c>
      <c r="J2871" s="1">
        <f t="shared" ref="J2871:K2871" si="1354">SUM(J2103+J2295+J2487+J2679)</f>
        <v>103500</v>
      </c>
      <c r="K2871" s="1">
        <f t="shared" si="1354"/>
        <v>1457451</v>
      </c>
      <c r="L2871" s="1">
        <f t="shared" si="1245"/>
        <v>1560951</v>
      </c>
      <c r="M2871" s="2">
        <f t="shared" si="1246"/>
        <v>6.6305732851319479E-2</v>
      </c>
      <c r="N2871" s="2">
        <f t="shared" si="1247"/>
        <v>0.93369426714868053</v>
      </c>
    </row>
    <row r="2872" spans="1:14" x14ac:dyDescent="0.35">
      <c r="A2872" t="s">
        <v>35</v>
      </c>
      <c r="B2872" t="s">
        <v>20</v>
      </c>
      <c r="C2872">
        <v>2017</v>
      </c>
      <c r="D2872" t="s">
        <v>33</v>
      </c>
      <c r="E2872" s="1">
        <f t="shared" ref="E2872:F2872" si="1355">SUM(E2104+E2296+E2488+E2680)</f>
        <v>164297</v>
      </c>
      <c r="F2872" s="1">
        <f t="shared" si="1355"/>
        <v>722929</v>
      </c>
      <c r="G2872" s="1">
        <f t="shared" si="1351"/>
        <v>887226</v>
      </c>
      <c r="H2872" s="2">
        <f t="shared" si="1352"/>
        <v>0.18518055151674995</v>
      </c>
      <c r="I2872" s="2">
        <f t="shared" si="1353"/>
        <v>0.81481944848325005</v>
      </c>
      <c r="J2872" s="1">
        <f t="shared" ref="J2872:K2872" si="1356">SUM(J2104+J2296+J2488+J2680)</f>
        <v>106382</v>
      </c>
      <c r="K2872" s="1">
        <f t="shared" si="1356"/>
        <v>1650027</v>
      </c>
      <c r="L2872" s="1">
        <f t="shared" si="1245"/>
        <v>1756409</v>
      </c>
      <c r="M2872" s="2">
        <f t="shared" si="1246"/>
        <v>6.0567897340539703E-2</v>
      </c>
      <c r="N2872" s="2">
        <f t="shared" si="1247"/>
        <v>0.93943210265946031</v>
      </c>
    </row>
    <row r="2873" spans="1:14" x14ac:dyDescent="0.35">
      <c r="A2873" t="s">
        <v>35</v>
      </c>
      <c r="B2873" t="s">
        <v>21</v>
      </c>
      <c r="C2873">
        <v>2017</v>
      </c>
      <c r="D2873" t="s">
        <v>33</v>
      </c>
      <c r="E2873" s="1">
        <f t="shared" ref="E2873:F2873" si="1357">SUM(E2105+E2297+E2489+E2681)</f>
        <v>163221</v>
      </c>
      <c r="F2873" s="1">
        <f t="shared" si="1357"/>
        <v>728280</v>
      </c>
      <c r="G2873" s="1">
        <f t="shared" si="1351"/>
        <v>891501</v>
      </c>
      <c r="H2873" s="2">
        <f t="shared" si="1352"/>
        <v>0.18308560506381932</v>
      </c>
      <c r="I2873" s="2">
        <f t="shared" si="1353"/>
        <v>0.81691439493618068</v>
      </c>
      <c r="J2873" s="1">
        <f t="shared" ref="J2873:K2873" si="1358">SUM(J2105+J2297+J2489+J2681)</f>
        <v>121903</v>
      </c>
      <c r="K2873" s="1">
        <f t="shared" si="1358"/>
        <v>1778055</v>
      </c>
      <c r="L2873" s="1">
        <f t="shared" si="1245"/>
        <v>1899958</v>
      </c>
      <c r="M2873" s="2">
        <f t="shared" si="1246"/>
        <v>6.4160891977612142E-2</v>
      </c>
      <c r="N2873" s="2">
        <f t="shared" si="1247"/>
        <v>0.9358391080223879</v>
      </c>
    </row>
    <row r="2874" spans="1:14" x14ac:dyDescent="0.35">
      <c r="A2874" t="s">
        <v>35</v>
      </c>
      <c r="B2874" t="s">
        <v>22</v>
      </c>
      <c r="C2874">
        <v>2017</v>
      </c>
      <c r="D2874" t="s">
        <v>33</v>
      </c>
      <c r="E2874" s="1">
        <f t="shared" ref="E2874:F2874" si="1359">SUM(E2106+E2298+E2490+E2682)</f>
        <v>162053</v>
      </c>
      <c r="F2874" s="1">
        <f t="shared" si="1359"/>
        <v>731262</v>
      </c>
      <c r="G2874" s="1">
        <f t="shared" si="1351"/>
        <v>893315</v>
      </c>
      <c r="H2874" s="2">
        <f t="shared" si="1352"/>
        <v>0.1814063348314984</v>
      </c>
      <c r="I2874" s="2">
        <f t="shared" si="1353"/>
        <v>0.81859366516850163</v>
      </c>
      <c r="J2874" s="1">
        <f t="shared" ref="J2874:K2874" si="1360">SUM(J2106+J2298+J2490+J2682)</f>
        <v>137130</v>
      </c>
      <c r="K2874" s="1">
        <f t="shared" si="1360"/>
        <v>1967350</v>
      </c>
      <c r="L2874" s="1">
        <f t="shared" si="1245"/>
        <v>2104480</v>
      </c>
      <c r="M2874" s="2">
        <f t="shared" si="1246"/>
        <v>6.516098988823843E-2</v>
      </c>
      <c r="N2874" s="2">
        <f t="shared" si="1247"/>
        <v>0.93483901011176163</v>
      </c>
    </row>
    <row r="2875" spans="1:14" x14ac:dyDescent="0.35">
      <c r="A2875" t="s">
        <v>35</v>
      </c>
      <c r="B2875" t="s">
        <v>23</v>
      </c>
      <c r="C2875">
        <v>2017</v>
      </c>
      <c r="D2875" t="s">
        <v>33</v>
      </c>
      <c r="E2875" s="1">
        <f t="shared" ref="E2875:F2875" si="1361">SUM(E2107+E2299+E2491+E2683)</f>
        <v>160638</v>
      </c>
      <c r="F2875" s="1">
        <f t="shared" si="1361"/>
        <v>734745</v>
      </c>
      <c r="G2875" s="1">
        <f t="shared" si="1351"/>
        <v>895383</v>
      </c>
      <c r="H2875" s="2">
        <f t="shared" si="1352"/>
        <v>0.17940702470339509</v>
      </c>
      <c r="I2875" s="2">
        <f t="shared" si="1353"/>
        <v>0.82059297529660491</v>
      </c>
      <c r="J2875" s="1">
        <f t="shared" ref="J2875:K2875" si="1362">SUM(J2107+J2299+J2491+J2683)</f>
        <v>177948</v>
      </c>
      <c r="K2875" s="1">
        <f t="shared" si="1362"/>
        <v>2271566</v>
      </c>
      <c r="L2875" s="1">
        <f t="shared" si="1245"/>
        <v>2449514</v>
      </c>
      <c r="M2875" s="2">
        <f t="shared" si="1246"/>
        <v>7.2646247378051323E-2</v>
      </c>
      <c r="N2875" s="2">
        <f t="shared" si="1247"/>
        <v>0.92735375262194863</v>
      </c>
    </row>
    <row r="2876" spans="1:14" x14ac:dyDescent="0.35">
      <c r="A2876" t="s">
        <v>35</v>
      </c>
      <c r="B2876" t="s">
        <v>24</v>
      </c>
      <c r="C2876">
        <v>2017</v>
      </c>
      <c r="D2876" t="s">
        <v>33</v>
      </c>
      <c r="E2876" s="1">
        <f t="shared" ref="E2876:F2876" si="1363">SUM(E2108+E2300+E2492+E2684)</f>
        <v>159389</v>
      </c>
      <c r="F2876" s="1">
        <f t="shared" si="1363"/>
        <v>736988</v>
      </c>
      <c r="G2876" s="1">
        <f t="shared" si="1351"/>
        <v>896377</v>
      </c>
      <c r="H2876" s="2">
        <f t="shared" si="1352"/>
        <v>0.17781469180936146</v>
      </c>
      <c r="I2876" s="2">
        <f t="shared" si="1353"/>
        <v>0.82218530819063851</v>
      </c>
      <c r="J2876" s="1">
        <f t="shared" ref="J2876:K2876" si="1364">SUM(J2108+J2300+J2492+J2684)</f>
        <v>205234</v>
      </c>
      <c r="K2876" s="1">
        <f t="shared" si="1364"/>
        <v>2347418</v>
      </c>
      <c r="L2876" s="1">
        <f t="shared" si="1245"/>
        <v>2552652</v>
      </c>
      <c r="M2876" s="2">
        <f t="shared" si="1246"/>
        <v>8.0400305251166232E-2</v>
      </c>
      <c r="N2876" s="2">
        <f t="shared" si="1247"/>
        <v>0.91959969474883374</v>
      </c>
    </row>
    <row r="2877" spans="1:14" x14ac:dyDescent="0.35">
      <c r="A2877" t="s">
        <v>35</v>
      </c>
      <c r="B2877" t="s">
        <v>25</v>
      </c>
      <c r="C2877">
        <v>2017</v>
      </c>
      <c r="D2877" t="s">
        <v>33</v>
      </c>
      <c r="E2877" s="1">
        <f t="shared" ref="E2877:F2877" si="1365">SUM(E2109+E2301+E2493+E2685)</f>
        <v>157414</v>
      </c>
      <c r="F2877" s="1">
        <f t="shared" si="1365"/>
        <v>739301</v>
      </c>
      <c r="G2877" s="1">
        <f t="shared" si="1351"/>
        <v>896715</v>
      </c>
      <c r="H2877" s="2">
        <f t="shared" si="1352"/>
        <v>0.17554518436738539</v>
      </c>
      <c r="I2877" s="2">
        <f t="shared" si="1353"/>
        <v>0.82445481563261458</v>
      </c>
      <c r="J2877" s="1">
        <f t="shared" ref="J2877:K2877" si="1366">SUM(J2109+J2301+J2493+J2685)</f>
        <v>206391</v>
      </c>
      <c r="K2877" s="1">
        <f t="shared" si="1366"/>
        <v>2378429</v>
      </c>
      <c r="L2877" s="1">
        <f t="shared" si="1245"/>
        <v>2584820</v>
      </c>
      <c r="M2877" s="2">
        <f t="shared" si="1246"/>
        <v>7.9847339466577946E-2</v>
      </c>
      <c r="N2877" s="2">
        <f t="shared" si="1247"/>
        <v>0.92015266053342204</v>
      </c>
    </row>
    <row r="2878" spans="1:14" x14ac:dyDescent="0.35">
      <c r="A2878" t="s">
        <v>35</v>
      </c>
      <c r="B2878" t="s">
        <v>26</v>
      </c>
      <c r="C2878">
        <v>2017</v>
      </c>
      <c r="D2878" t="s">
        <v>33</v>
      </c>
      <c r="E2878" s="1">
        <f t="shared" ref="E2878:F2878" si="1367">SUM(E2110+E2302+E2494+E2686)</f>
        <v>155328</v>
      </c>
      <c r="F2878" s="1">
        <f t="shared" si="1367"/>
        <v>734328</v>
      </c>
      <c r="G2878" s="1">
        <f t="shared" si="1351"/>
        <v>889656</v>
      </c>
      <c r="H2878" s="2">
        <f t="shared" si="1352"/>
        <v>0.17459332595969679</v>
      </c>
      <c r="I2878" s="2">
        <f t="shared" si="1353"/>
        <v>0.82540667404030321</v>
      </c>
      <c r="J2878" s="1">
        <f t="shared" ref="J2878:K2878" si="1368">SUM(J2110+J2302+J2494+J2686)</f>
        <v>181695</v>
      </c>
      <c r="K2878" s="1">
        <f t="shared" si="1368"/>
        <v>2174597</v>
      </c>
      <c r="L2878" s="1">
        <f t="shared" si="1245"/>
        <v>2356292</v>
      </c>
      <c r="M2878" s="2">
        <f t="shared" si="1246"/>
        <v>7.7110561848871023E-2</v>
      </c>
      <c r="N2878" s="2">
        <f t="shared" si="1247"/>
        <v>0.922889438151129</v>
      </c>
    </row>
    <row r="2879" spans="1:14" x14ac:dyDescent="0.35">
      <c r="A2879" t="s">
        <v>35</v>
      </c>
      <c r="B2879" t="s">
        <v>27</v>
      </c>
      <c r="C2879">
        <v>2017</v>
      </c>
      <c r="D2879" t="s">
        <v>33</v>
      </c>
      <c r="E2879" s="1">
        <f t="shared" ref="E2879:F2879" si="1369">SUM(E2111+E2303+E2495+E2687)</f>
        <v>153960</v>
      </c>
      <c r="F2879" s="1">
        <f t="shared" si="1369"/>
        <v>739084</v>
      </c>
      <c r="G2879" s="1">
        <f t="shared" si="1351"/>
        <v>893044</v>
      </c>
      <c r="H2879" s="2">
        <f t="shared" si="1352"/>
        <v>0.17239912031210108</v>
      </c>
      <c r="I2879" s="2">
        <f t="shared" si="1353"/>
        <v>0.82760087968789897</v>
      </c>
      <c r="J2879" s="1">
        <f t="shared" ref="J2879:K2879" si="1370">SUM(J2111+J2303+J2495+J2687)</f>
        <v>156799</v>
      </c>
      <c r="K2879" s="1">
        <f t="shared" si="1370"/>
        <v>2208074</v>
      </c>
      <c r="L2879" s="1">
        <f t="shared" si="1245"/>
        <v>2364873</v>
      </c>
      <c r="M2879" s="2">
        <f t="shared" si="1246"/>
        <v>6.6303349059336381E-2</v>
      </c>
      <c r="N2879" s="2">
        <f t="shared" si="1247"/>
        <v>0.93369665094066367</v>
      </c>
    </row>
    <row r="2880" spans="1:14" x14ac:dyDescent="0.35">
      <c r="A2880" t="s">
        <v>35</v>
      </c>
      <c r="B2880" t="s">
        <v>28</v>
      </c>
      <c r="C2880">
        <v>2017</v>
      </c>
      <c r="D2880" t="s">
        <v>33</v>
      </c>
      <c r="E2880" s="1">
        <f t="shared" ref="E2880:F2880" si="1371">SUM(E2112+E2304+E2496+E2688)</f>
        <v>152643</v>
      </c>
      <c r="F2880" s="1">
        <f t="shared" si="1371"/>
        <v>740059</v>
      </c>
      <c r="G2880" s="1">
        <f t="shared" si="1351"/>
        <v>892702</v>
      </c>
      <c r="H2880" s="2">
        <f t="shared" si="1352"/>
        <v>0.17098987120001971</v>
      </c>
      <c r="I2880" s="2">
        <f t="shared" si="1353"/>
        <v>0.82901012879998026</v>
      </c>
      <c r="J2880" s="1">
        <f t="shared" ref="J2880:K2880" si="1372">SUM(J2112+J2304+J2496+J2688)</f>
        <v>113935</v>
      </c>
      <c r="K2880" s="1">
        <f t="shared" si="1372"/>
        <v>1923641</v>
      </c>
      <c r="L2880" s="1">
        <f t="shared" si="1245"/>
        <v>2037576</v>
      </c>
      <c r="M2880" s="2">
        <f t="shared" si="1246"/>
        <v>5.5916932669014555E-2</v>
      </c>
      <c r="N2880" s="2">
        <f t="shared" si="1247"/>
        <v>0.94408306733098546</v>
      </c>
    </row>
    <row r="2881" spans="1:15" x14ac:dyDescent="0.35">
      <c r="A2881" t="s">
        <v>35</v>
      </c>
      <c r="B2881" t="s">
        <v>29</v>
      </c>
      <c r="C2881">
        <v>2017</v>
      </c>
      <c r="D2881" t="s">
        <v>33</v>
      </c>
      <c r="E2881" s="1">
        <f t="shared" ref="E2881:F2881" si="1373">SUM(E2113+E2305+E2497+E2689)</f>
        <v>151339</v>
      </c>
      <c r="F2881" s="1">
        <f t="shared" si="1373"/>
        <v>737929</v>
      </c>
      <c r="G2881" s="1">
        <f t="shared" si="1351"/>
        <v>889268</v>
      </c>
      <c r="H2881" s="2">
        <f t="shared" si="1352"/>
        <v>0.17018379161287711</v>
      </c>
      <c r="I2881" s="2">
        <f t="shared" si="1353"/>
        <v>0.82981620838712289</v>
      </c>
      <c r="J2881" s="1">
        <f t="shared" ref="J2881:K2881" si="1374">SUM(J2113+J2305+J2497+J2689)</f>
        <v>121839</v>
      </c>
      <c r="K2881" s="1">
        <f t="shared" si="1374"/>
        <v>1883900</v>
      </c>
      <c r="L2881" s="1">
        <f t="shared" si="1245"/>
        <v>2005739</v>
      </c>
      <c r="M2881" s="2">
        <f t="shared" si="1246"/>
        <v>6.0745191672495771E-2</v>
      </c>
      <c r="N2881" s="2">
        <f t="shared" si="1247"/>
        <v>0.93925480832750419</v>
      </c>
    </row>
    <row r="2882" spans="1:15" x14ac:dyDescent="0.35">
      <c r="A2882" t="s">
        <v>36</v>
      </c>
      <c r="B2882" t="s">
        <v>17</v>
      </c>
      <c r="C2882">
        <v>2002</v>
      </c>
      <c r="D2882" t="s">
        <v>18</v>
      </c>
      <c r="E2882" s="8">
        <v>141244</v>
      </c>
      <c r="F2882" s="8">
        <v>275</v>
      </c>
      <c r="G2882" s="1">
        <f>SUM(E2882:F2882)</f>
        <v>141519</v>
      </c>
      <c r="H2882" s="2">
        <f>SUM(E2882)/G2882</f>
        <v>0.99805679802712</v>
      </c>
      <c r="I2882" s="2">
        <f>SUM(F2882/G2882)</f>
        <v>1.9432019728799666E-3</v>
      </c>
      <c r="J2882" s="8">
        <f>J2884</f>
        <v>121520.446</v>
      </c>
      <c r="K2882" s="8">
        <v>2093.203</v>
      </c>
      <c r="L2882" s="1">
        <f>SUM(J2882:K2882)</f>
        <v>123613.64899999999</v>
      </c>
      <c r="M2882" s="2">
        <f>SUM(J2882)/L2882</f>
        <v>0.98306657058558322</v>
      </c>
      <c r="N2882" s="2">
        <f>SUM(K2882/L2882)</f>
        <v>1.6933429414416851E-2</v>
      </c>
      <c r="O2882" s="5">
        <f>SUM(1000*L2882)/G2882</f>
        <v>873.47740586069699</v>
      </c>
    </row>
    <row r="2883" spans="1:15" x14ac:dyDescent="0.35">
      <c r="A2883" t="s">
        <v>36</v>
      </c>
      <c r="B2883" t="s">
        <v>19</v>
      </c>
      <c r="C2883">
        <v>2002</v>
      </c>
      <c r="D2883" t="s">
        <v>18</v>
      </c>
      <c r="E2883" s="8">
        <v>142765</v>
      </c>
      <c r="F2883" s="8">
        <v>671</v>
      </c>
      <c r="G2883" s="1">
        <f t="shared" ref="G2883:G2893" si="1375">SUM(E2883:F2883)</f>
        <v>143436</v>
      </c>
      <c r="H2883" s="2">
        <f t="shared" ref="H2883:H2893" si="1376">SUM(E2883)/G2883</f>
        <v>0.99532195543657098</v>
      </c>
      <c r="I2883" s="2">
        <f t="shared" ref="I2883:I2893" si="1377">SUM(F2883/G2883)</f>
        <v>4.6780445634289859E-3</v>
      </c>
      <c r="J2883" s="8">
        <f>J2884</f>
        <v>121520.446</v>
      </c>
      <c r="K2883" s="8">
        <v>1873.152</v>
      </c>
      <c r="L2883" s="1">
        <f t="shared" ref="L2883:L2946" si="1378">SUM(J2883:K2883)</f>
        <v>123393.598</v>
      </c>
      <c r="M2883" s="2">
        <f t="shared" ref="M2883:M2946" si="1379">SUM(J2883)/L2883</f>
        <v>0.98481969866864572</v>
      </c>
      <c r="N2883" s="2">
        <f t="shared" ref="N2883:N2946" si="1380">SUM(K2883/L2883)</f>
        <v>1.5180301331354323E-2</v>
      </c>
      <c r="O2883" s="5">
        <f t="shared" ref="O2883:O2946" si="1381">SUM(1000*L2883)/G2883</f>
        <v>860.26937449454806</v>
      </c>
    </row>
    <row r="2884" spans="1:15" x14ac:dyDescent="0.35">
      <c r="A2884" t="s">
        <v>36</v>
      </c>
      <c r="B2884" t="s">
        <v>20</v>
      </c>
      <c r="C2884">
        <v>2002</v>
      </c>
      <c r="D2884" t="s">
        <v>18</v>
      </c>
      <c r="E2884" s="8">
        <v>143646</v>
      </c>
      <c r="F2884" s="8">
        <v>1024</v>
      </c>
      <c r="G2884" s="1">
        <f t="shared" si="1375"/>
        <v>144670</v>
      </c>
      <c r="H2884" s="2">
        <f t="shared" si="1376"/>
        <v>0.99292182207783231</v>
      </c>
      <c r="I2884" s="2">
        <f t="shared" si="1377"/>
        <v>7.0781779221676918E-3</v>
      </c>
      <c r="J2884" s="8">
        <v>121520.446</v>
      </c>
      <c r="K2884" s="8">
        <v>2098.6489999999999</v>
      </c>
      <c r="L2884" s="1">
        <f t="shared" si="1378"/>
        <v>123619.095</v>
      </c>
      <c r="M2884" s="2">
        <f t="shared" si="1379"/>
        <v>0.98302326189978984</v>
      </c>
      <c r="N2884" s="2">
        <f t="shared" si="1380"/>
        <v>1.6976738100210165E-2</v>
      </c>
      <c r="O2884" s="5">
        <f t="shared" si="1381"/>
        <v>854.49018455795954</v>
      </c>
    </row>
    <row r="2885" spans="1:15" x14ac:dyDescent="0.35">
      <c r="A2885" t="s">
        <v>36</v>
      </c>
      <c r="B2885" t="s">
        <v>21</v>
      </c>
      <c r="C2885">
        <v>2002</v>
      </c>
      <c r="D2885" t="s">
        <v>18</v>
      </c>
      <c r="E2885" s="8">
        <v>143562</v>
      </c>
      <c r="F2885" s="8">
        <v>1308</v>
      </c>
      <c r="G2885" s="1">
        <f t="shared" si="1375"/>
        <v>144870</v>
      </c>
      <c r="H2885" s="2">
        <f t="shared" si="1376"/>
        <v>0.99097121557258228</v>
      </c>
      <c r="I2885" s="2">
        <f t="shared" si="1377"/>
        <v>9.0287844274176843E-3</v>
      </c>
      <c r="J2885" s="8">
        <v>106271.99099999999</v>
      </c>
      <c r="K2885" s="8">
        <v>2136.5949999999998</v>
      </c>
      <c r="L2885" s="1">
        <f t="shared" si="1378"/>
        <v>108408.586</v>
      </c>
      <c r="M2885" s="2">
        <f t="shared" si="1379"/>
        <v>0.98029127508406022</v>
      </c>
      <c r="N2885" s="2">
        <f t="shared" si="1380"/>
        <v>1.9708724915939776E-2</v>
      </c>
      <c r="O2885" s="5">
        <f t="shared" si="1381"/>
        <v>748.31632498101749</v>
      </c>
    </row>
    <row r="2886" spans="1:15" x14ac:dyDescent="0.35">
      <c r="A2886" t="s">
        <v>36</v>
      </c>
      <c r="B2886" t="s">
        <v>22</v>
      </c>
      <c r="C2886">
        <v>2002</v>
      </c>
      <c r="D2886" t="s">
        <v>18</v>
      </c>
      <c r="E2886" s="8">
        <v>143867</v>
      </c>
      <c r="F2886" s="8">
        <v>1528</v>
      </c>
      <c r="G2886" s="1">
        <f t="shared" si="1375"/>
        <v>145395</v>
      </c>
      <c r="H2886" s="2">
        <f t="shared" si="1376"/>
        <v>0.98949069775439324</v>
      </c>
      <c r="I2886" s="2">
        <f t="shared" si="1377"/>
        <v>1.0509302245606795E-2</v>
      </c>
      <c r="J2886" s="8">
        <v>115866.57799999999</v>
      </c>
      <c r="K2886" s="8">
        <v>2538.8449999999998</v>
      </c>
      <c r="L2886" s="1">
        <f t="shared" si="1378"/>
        <v>118405.423</v>
      </c>
      <c r="M2886" s="2">
        <f t="shared" si="1379"/>
        <v>0.97855803445759404</v>
      </c>
      <c r="N2886" s="2">
        <f t="shared" si="1380"/>
        <v>2.144196554240594E-2</v>
      </c>
      <c r="O2886" s="5">
        <f t="shared" si="1381"/>
        <v>814.37066611644138</v>
      </c>
    </row>
    <row r="2887" spans="1:15" x14ac:dyDescent="0.35">
      <c r="A2887" t="s">
        <v>36</v>
      </c>
      <c r="B2887" t="s">
        <v>23</v>
      </c>
      <c r="C2887">
        <v>2002</v>
      </c>
      <c r="D2887" t="s">
        <v>18</v>
      </c>
      <c r="E2887" s="8">
        <v>144156</v>
      </c>
      <c r="F2887" s="8">
        <v>1882</v>
      </c>
      <c r="G2887" s="1">
        <f t="shared" si="1375"/>
        <v>146038</v>
      </c>
      <c r="H2887" s="2">
        <f t="shared" si="1376"/>
        <v>0.98711294320656262</v>
      </c>
      <c r="I2887" s="2">
        <f t="shared" si="1377"/>
        <v>1.2887056793437324E-2</v>
      </c>
      <c r="J2887" s="8">
        <v>143754.495</v>
      </c>
      <c r="K2887" s="8">
        <v>3413.9490000000001</v>
      </c>
      <c r="L2887" s="1">
        <f t="shared" si="1378"/>
        <v>147168.44399999999</v>
      </c>
      <c r="M2887" s="2">
        <f t="shared" si="1379"/>
        <v>0.97680243870758054</v>
      </c>
      <c r="N2887" s="2">
        <f t="shared" si="1380"/>
        <v>2.3197561292419455E-2</v>
      </c>
      <c r="O2887" s="5">
        <f t="shared" si="1381"/>
        <v>1007.7407524069077</v>
      </c>
    </row>
    <row r="2888" spans="1:15" x14ac:dyDescent="0.35">
      <c r="A2888" t="s">
        <v>36</v>
      </c>
      <c r="B2888" t="s">
        <v>24</v>
      </c>
      <c r="C2888">
        <v>2002</v>
      </c>
      <c r="D2888" t="s">
        <v>18</v>
      </c>
      <c r="E2888" s="8">
        <v>145234</v>
      </c>
      <c r="F2888" s="8">
        <v>2638</v>
      </c>
      <c r="G2888" s="1">
        <f t="shared" si="1375"/>
        <v>147872</v>
      </c>
      <c r="H2888" s="2">
        <f t="shared" si="1376"/>
        <v>0.98216024669984847</v>
      </c>
      <c r="I2888" s="2">
        <f t="shared" si="1377"/>
        <v>1.7839753300151483E-2</v>
      </c>
      <c r="J2888" s="8">
        <v>172818.36500000002</v>
      </c>
      <c r="K2888" s="8">
        <v>4643.42</v>
      </c>
      <c r="L2888" s="1">
        <f t="shared" si="1378"/>
        <v>177461.78500000003</v>
      </c>
      <c r="M2888" s="2">
        <f t="shared" si="1379"/>
        <v>0.97383425394937839</v>
      </c>
      <c r="N2888" s="2">
        <f t="shared" si="1380"/>
        <v>2.6165746050621542E-2</v>
      </c>
      <c r="O2888" s="5">
        <f t="shared" si="1381"/>
        <v>1200.1040426855661</v>
      </c>
    </row>
    <row r="2889" spans="1:15" x14ac:dyDescent="0.35">
      <c r="A2889" t="s">
        <v>36</v>
      </c>
      <c r="B2889" t="s">
        <v>25</v>
      </c>
      <c r="C2889">
        <v>2002</v>
      </c>
      <c r="D2889" t="s">
        <v>18</v>
      </c>
      <c r="E2889" s="8">
        <v>145338</v>
      </c>
      <c r="F2889" s="8">
        <v>3829</v>
      </c>
      <c r="G2889" s="1">
        <f t="shared" si="1375"/>
        <v>149167</v>
      </c>
      <c r="H2889" s="2">
        <f t="shared" si="1376"/>
        <v>0.97433078361836067</v>
      </c>
      <c r="I2889" s="2">
        <f t="shared" si="1377"/>
        <v>2.5669216381639371E-2</v>
      </c>
      <c r="J2889" s="8">
        <v>186448.47</v>
      </c>
      <c r="K2889" s="8">
        <v>6334.9289999999992</v>
      </c>
      <c r="L2889" s="1">
        <f t="shared" si="1378"/>
        <v>192783.399</v>
      </c>
      <c r="M2889" s="2">
        <f t="shared" si="1379"/>
        <v>0.96713965500732768</v>
      </c>
      <c r="N2889" s="2">
        <f t="shared" si="1380"/>
        <v>3.2860344992672312E-2</v>
      </c>
      <c r="O2889" s="5">
        <f t="shared" si="1381"/>
        <v>1292.3997868161189</v>
      </c>
    </row>
    <row r="2890" spans="1:15" x14ac:dyDescent="0.35">
      <c r="A2890" t="s">
        <v>36</v>
      </c>
      <c r="B2890" t="s">
        <v>26</v>
      </c>
      <c r="C2890">
        <v>2002</v>
      </c>
      <c r="D2890" t="s">
        <v>18</v>
      </c>
      <c r="E2890" s="8">
        <v>143053</v>
      </c>
      <c r="F2890" s="8">
        <v>4336</v>
      </c>
      <c r="G2890" s="1">
        <f t="shared" si="1375"/>
        <v>147389</v>
      </c>
      <c r="H2890" s="2">
        <f t="shared" si="1376"/>
        <v>0.97058125097531023</v>
      </c>
      <c r="I2890" s="2">
        <f t="shared" si="1377"/>
        <v>2.9418749024689765E-2</v>
      </c>
      <c r="J2890" s="8">
        <v>191370.853</v>
      </c>
      <c r="K2890" s="8">
        <v>7582.41</v>
      </c>
      <c r="L2890" s="1">
        <f t="shared" si="1378"/>
        <v>198953.26300000001</v>
      </c>
      <c r="M2890" s="2">
        <f t="shared" si="1379"/>
        <v>0.96188848634264423</v>
      </c>
      <c r="N2890" s="2">
        <f t="shared" si="1380"/>
        <v>3.8111513657355794E-2</v>
      </c>
      <c r="O2890" s="5">
        <f t="shared" si="1381"/>
        <v>1349.8515018081403</v>
      </c>
    </row>
    <row r="2891" spans="1:15" x14ac:dyDescent="0.35">
      <c r="A2891" t="s">
        <v>36</v>
      </c>
      <c r="B2891" t="s">
        <v>27</v>
      </c>
      <c r="C2891">
        <v>2002</v>
      </c>
      <c r="D2891" t="s">
        <v>18</v>
      </c>
      <c r="E2891" s="8">
        <v>141052</v>
      </c>
      <c r="F2891" s="8">
        <v>6007</v>
      </c>
      <c r="G2891" s="1">
        <f t="shared" si="1375"/>
        <v>147059</v>
      </c>
      <c r="H2891" s="2">
        <f t="shared" si="1376"/>
        <v>0.9591524490170612</v>
      </c>
      <c r="I2891" s="2">
        <f t="shared" si="1377"/>
        <v>4.0847550982938824E-2</v>
      </c>
      <c r="J2891" s="8">
        <v>127360.09599999999</v>
      </c>
      <c r="K2891" s="8">
        <v>6387.7280000000001</v>
      </c>
      <c r="L2891" s="1">
        <f t="shared" si="1378"/>
        <v>133747.82399999999</v>
      </c>
      <c r="M2891" s="2">
        <f t="shared" si="1379"/>
        <v>0.95224050897456092</v>
      </c>
      <c r="N2891" s="2">
        <f t="shared" si="1380"/>
        <v>4.7759491025439041E-2</v>
      </c>
      <c r="O2891" s="5">
        <f t="shared" si="1381"/>
        <v>909.48411181906579</v>
      </c>
    </row>
    <row r="2892" spans="1:15" x14ac:dyDescent="0.35">
      <c r="A2892" t="s">
        <v>36</v>
      </c>
      <c r="B2892" t="s">
        <v>28</v>
      </c>
      <c r="C2892">
        <v>2002</v>
      </c>
      <c r="D2892" t="s">
        <v>18</v>
      </c>
      <c r="E2892" s="8">
        <v>139971</v>
      </c>
      <c r="F2892" s="8">
        <v>6681</v>
      </c>
      <c r="G2892" s="1">
        <f t="shared" si="1375"/>
        <v>146652</v>
      </c>
      <c r="H2892" s="2">
        <f t="shared" si="1376"/>
        <v>0.95444317158988623</v>
      </c>
      <c r="I2892" s="2">
        <f t="shared" si="1377"/>
        <v>4.5556828410113735E-2</v>
      </c>
      <c r="J2892" s="8">
        <v>93778.212</v>
      </c>
      <c r="K2892" s="8">
        <v>5489.4759999999997</v>
      </c>
      <c r="L2892" s="1">
        <f t="shared" si="1378"/>
        <v>99267.687999999995</v>
      </c>
      <c r="M2892" s="2">
        <f t="shared" si="1379"/>
        <v>0.94470027346662899</v>
      </c>
      <c r="N2892" s="2">
        <f t="shared" si="1380"/>
        <v>5.5299726533371063E-2</v>
      </c>
      <c r="O2892" s="5">
        <f t="shared" si="1381"/>
        <v>676.89283473801925</v>
      </c>
    </row>
    <row r="2893" spans="1:15" x14ac:dyDescent="0.35">
      <c r="A2893" t="s">
        <v>36</v>
      </c>
      <c r="B2893" t="s">
        <v>29</v>
      </c>
      <c r="C2893">
        <v>2002</v>
      </c>
      <c r="D2893" t="s">
        <v>18</v>
      </c>
      <c r="E2893" s="8">
        <v>140203</v>
      </c>
      <c r="F2893" s="8">
        <v>7448</v>
      </c>
      <c r="G2893" s="1">
        <f t="shared" si="1375"/>
        <v>147651</v>
      </c>
      <c r="H2893" s="2">
        <f t="shared" si="1376"/>
        <v>0.94955672497985111</v>
      </c>
      <c r="I2893" s="2">
        <f t="shared" si="1377"/>
        <v>5.0443275020148864E-2</v>
      </c>
      <c r="J2893" s="8">
        <v>126206.62300000001</v>
      </c>
      <c r="K2893" s="8">
        <v>7721.4530000000004</v>
      </c>
      <c r="L2893" s="1">
        <f t="shared" si="1378"/>
        <v>133928.076</v>
      </c>
      <c r="M2893" s="2">
        <f t="shared" si="1379"/>
        <v>0.94234627099399237</v>
      </c>
      <c r="N2893" s="2">
        <f t="shared" si="1380"/>
        <v>5.7653729006007674E-2</v>
      </c>
      <c r="O2893" s="5">
        <f t="shared" si="1381"/>
        <v>907.05837413901702</v>
      </c>
    </row>
    <row r="2894" spans="1:15" x14ac:dyDescent="0.35">
      <c r="A2894" t="s">
        <v>36</v>
      </c>
      <c r="B2894" t="s">
        <v>17</v>
      </c>
      <c r="C2894">
        <v>2003</v>
      </c>
      <c r="D2894" t="s">
        <v>18</v>
      </c>
      <c r="E2894" s="8">
        <v>143842</v>
      </c>
      <c r="F2894" s="8">
        <f>9475</f>
        <v>9475</v>
      </c>
      <c r="G2894" s="1">
        <f>SUM(E2894:F2894)</f>
        <v>153317</v>
      </c>
      <c r="H2894" s="2">
        <f>SUM(E2894)/G2894</f>
        <v>0.93819993868912122</v>
      </c>
      <c r="I2894" s="2">
        <f>SUM(F2894/G2894)</f>
        <v>6.1800061310878771E-2</v>
      </c>
      <c r="J2894" s="8">
        <v>146633</v>
      </c>
      <c r="K2894" s="8">
        <v>11098</v>
      </c>
      <c r="L2894" s="1">
        <f t="shared" si="1378"/>
        <v>157731</v>
      </c>
      <c r="M2894" s="2">
        <f t="shared" si="1379"/>
        <v>0.92963970303871779</v>
      </c>
      <c r="N2894" s="2">
        <f t="shared" si="1380"/>
        <v>7.0360296961282182E-2</v>
      </c>
      <c r="O2894" s="5">
        <f t="shared" si="1381"/>
        <v>1028.7900232850891</v>
      </c>
    </row>
    <row r="2895" spans="1:15" x14ac:dyDescent="0.35">
      <c r="A2895" t="s">
        <v>36</v>
      </c>
      <c r="B2895" t="s">
        <v>19</v>
      </c>
      <c r="C2895">
        <v>2003</v>
      </c>
      <c r="D2895" t="s">
        <v>18</v>
      </c>
      <c r="E2895" s="8">
        <v>128415</v>
      </c>
      <c r="F2895" s="8">
        <v>9404</v>
      </c>
      <c r="G2895" s="1">
        <f t="shared" ref="G2895:G2905" si="1382">SUM(E2895:F2895)</f>
        <v>137819</v>
      </c>
      <c r="H2895" s="2">
        <f t="shared" ref="H2895:H2905" si="1383">SUM(E2895)/G2895</f>
        <v>0.93176557658958492</v>
      </c>
      <c r="I2895" s="2">
        <f t="shared" ref="I2895:I2905" si="1384">SUM(F2895/G2895)</f>
        <v>6.8234423410415107E-2</v>
      </c>
      <c r="J2895" s="8">
        <v>115217</v>
      </c>
      <c r="K2895" s="8">
        <v>9715</v>
      </c>
      <c r="L2895" s="1">
        <f t="shared" si="1378"/>
        <v>124932</v>
      </c>
      <c r="M2895" s="2">
        <f t="shared" si="1379"/>
        <v>0.92223769730733518</v>
      </c>
      <c r="N2895" s="2">
        <f t="shared" si="1380"/>
        <v>7.7762302692664806E-2</v>
      </c>
      <c r="O2895" s="5">
        <f t="shared" si="1381"/>
        <v>906.49329918226078</v>
      </c>
    </row>
    <row r="2896" spans="1:15" x14ac:dyDescent="0.35">
      <c r="A2896" t="s">
        <v>36</v>
      </c>
      <c r="B2896" t="s">
        <v>20</v>
      </c>
      <c r="C2896">
        <v>2003</v>
      </c>
      <c r="D2896" t="s">
        <v>18</v>
      </c>
      <c r="E2896" s="8">
        <v>135663</v>
      </c>
      <c r="F2896" s="8">
        <v>10971</v>
      </c>
      <c r="G2896" s="1">
        <f t="shared" si="1382"/>
        <v>146634</v>
      </c>
      <c r="H2896" s="2">
        <f t="shared" si="1383"/>
        <v>0.92518106305495318</v>
      </c>
      <c r="I2896" s="2">
        <f t="shared" si="1384"/>
        <v>7.4818936945046849E-2</v>
      </c>
      <c r="J2896" s="8">
        <v>110272</v>
      </c>
      <c r="K2896" s="8">
        <v>10003</v>
      </c>
      <c r="L2896" s="1">
        <f t="shared" si="1378"/>
        <v>120275</v>
      </c>
      <c r="M2896" s="2">
        <f t="shared" si="1379"/>
        <v>0.91683225940552904</v>
      </c>
      <c r="N2896" s="2">
        <f t="shared" si="1380"/>
        <v>8.3167740594471004E-2</v>
      </c>
      <c r="O2896" s="5">
        <f t="shared" si="1381"/>
        <v>820.23950789039372</v>
      </c>
    </row>
    <row r="2897" spans="1:15" x14ac:dyDescent="0.35">
      <c r="A2897" t="s">
        <v>36</v>
      </c>
      <c r="B2897" t="s">
        <v>21</v>
      </c>
      <c r="C2897">
        <v>2003</v>
      </c>
      <c r="D2897" t="s">
        <v>18</v>
      </c>
      <c r="E2897" s="8">
        <v>134108</v>
      </c>
      <c r="F2897" s="8">
        <v>11373</v>
      </c>
      <c r="G2897" s="1">
        <f t="shared" si="1382"/>
        <v>145481</v>
      </c>
      <c r="H2897" s="2">
        <f t="shared" si="1383"/>
        <v>0.92182484310666002</v>
      </c>
      <c r="I2897" s="2">
        <f t="shared" si="1384"/>
        <v>7.8175156893340023E-2</v>
      </c>
      <c r="J2897" s="8">
        <v>87864</v>
      </c>
      <c r="K2897" s="8">
        <v>8461</v>
      </c>
      <c r="L2897" s="1">
        <f t="shared" si="1378"/>
        <v>96325</v>
      </c>
      <c r="M2897" s="2">
        <f t="shared" si="1379"/>
        <v>0.91216195172592784</v>
      </c>
      <c r="N2897" s="2">
        <f t="shared" si="1380"/>
        <v>8.7838048274072156E-2</v>
      </c>
      <c r="O2897" s="5">
        <f t="shared" si="1381"/>
        <v>662.11395302479366</v>
      </c>
    </row>
    <row r="2898" spans="1:15" x14ac:dyDescent="0.35">
      <c r="A2898" t="s">
        <v>36</v>
      </c>
      <c r="B2898" t="s">
        <v>22</v>
      </c>
      <c r="C2898">
        <v>2003</v>
      </c>
      <c r="D2898" t="s">
        <v>18</v>
      </c>
      <c r="E2898" s="8">
        <v>133947</v>
      </c>
      <c r="F2898" s="8">
        <v>12849</v>
      </c>
      <c r="G2898" s="1">
        <f t="shared" si="1382"/>
        <v>146796</v>
      </c>
      <c r="H2898" s="2">
        <f t="shared" si="1383"/>
        <v>0.91247036703997386</v>
      </c>
      <c r="I2898" s="2">
        <f t="shared" si="1384"/>
        <v>8.7529632960026152E-2</v>
      </c>
      <c r="J2898" s="8">
        <v>111401</v>
      </c>
      <c r="K2898" s="8">
        <v>12384</v>
      </c>
      <c r="L2898" s="1">
        <f t="shared" si="1378"/>
        <v>123785</v>
      </c>
      <c r="M2898" s="2">
        <f t="shared" si="1379"/>
        <v>0.89995556812214728</v>
      </c>
      <c r="N2898" s="2">
        <f t="shared" si="1380"/>
        <v>0.10004443187785272</v>
      </c>
      <c r="O2898" s="5">
        <f t="shared" si="1381"/>
        <v>843.24504754897953</v>
      </c>
    </row>
    <row r="2899" spans="1:15" x14ac:dyDescent="0.35">
      <c r="A2899" t="s">
        <v>36</v>
      </c>
      <c r="B2899" t="s">
        <v>23</v>
      </c>
      <c r="C2899">
        <v>2003</v>
      </c>
      <c r="D2899" t="s">
        <v>18</v>
      </c>
      <c r="E2899" s="8">
        <v>131628</v>
      </c>
      <c r="F2899" s="8">
        <v>15177</v>
      </c>
      <c r="G2899" s="1">
        <f t="shared" si="1382"/>
        <v>146805</v>
      </c>
      <c r="H2899" s="2">
        <f t="shared" si="1383"/>
        <v>0.89661796260345361</v>
      </c>
      <c r="I2899" s="2">
        <f t="shared" si="1384"/>
        <v>0.10338203739654644</v>
      </c>
      <c r="J2899" s="8">
        <v>135284</v>
      </c>
      <c r="K2899" s="8">
        <v>18215</v>
      </c>
      <c r="L2899" s="1">
        <f t="shared" si="1378"/>
        <v>153499</v>
      </c>
      <c r="M2899" s="2">
        <f t="shared" si="1379"/>
        <v>0.88133473182235711</v>
      </c>
      <c r="N2899" s="2">
        <f t="shared" si="1380"/>
        <v>0.11866526817764285</v>
      </c>
      <c r="O2899" s="5">
        <f t="shared" si="1381"/>
        <v>1045.5979019788153</v>
      </c>
    </row>
    <row r="2900" spans="1:15" x14ac:dyDescent="0.35">
      <c r="A2900" t="s">
        <v>36</v>
      </c>
      <c r="B2900" t="s">
        <v>24</v>
      </c>
      <c r="C2900">
        <v>2003</v>
      </c>
      <c r="D2900" t="s">
        <v>18</v>
      </c>
      <c r="E2900" s="8">
        <v>136209</v>
      </c>
      <c r="F2900" s="8">
        <v>18474</v>
      </c>
      <c r="G2900" s="1">
        <f t="shared" si="1382"/>
        <v>154683</v>
      </c>
      <c r="H2900" s="2">
        <f t="shared" si="1383"/>
        <v>0.88056864684548397</v>
      </c>
      <c r="I2900" s="2">
        <f t="shared" si="1384"/>
        <v>0.11943135315451602</v>
      </c>
      <c r="J2900" s="8">
        <v>161694</v>
      </c>
      <c r="K2900" s="8">
        <v>27045</v>
      </c>
      <c r="L2900" s="1">
        <f t="shared" si="1378"/>
        <v>188739</v>
      </c>
      <c r="M2900" s="2">
        <f t="shared" si="1379"/>
        <v>0.85670688093080927</v>
      </c>
      <c r="N2900" s="2">
        <f t="shared" si="1380"/>
        <v>0.14329311906919079</v>
      </c>
      <c r="O2900" s="5">
        <f t="shared" si="1381"/>
        <v>1220.1664048408682</v>
      </c>
    </row>
    <row r="2901" spans="1:15" x14ac:dyDescent="0.35">
      <c r="A2901" t="s">
        <v>36</v>
      </c>
      <c r="B2901" t="s">
        <v>25</v>
      </c>
      <c r="C2901">
        <v>2003</v>
      </c>
      <c r="D2901" t="s">
        <v>18</v>
      </c>
      <c r="E2901" s="8">
        <v>127855</v>
      </c>
      <c r="F2901" s="8">
        <v>19439</v>
      </c>
      <c r="G2901" s="1">
        <f t="shared" si="1382"/>
        <v>147294</v>
      </c>
      <c r="H2901" s="2">
        <f t="shared" si="1383"/>
        <v>0.86802585305579316</v>
      </c>
      <c r="I2901" s="2">
        <f t="shared" si="1384"/>
        <v>0.13197414694420684</v>
      </c>
      <c r="J2901" s="8">
        <v>171493</v>
      </c>
      <c r="K2901" s="8">
        <v>32312</v>
      </c>
      <c r="L2901" s="1">
        <f t="shared" si="1378"/>
        <v>203805</v>
      </c>
      <c r="M2901" s="2">
        <f t="shared" si="1379"/>
        <v>0.84145629400652588</v>
      </c>
      <c r="N2901" s="2">
        <f t="shared" si="1380"/>
        <v>0.15854370599347414</v>
      </c>
      <c r="O2901" s="5">
        <f t="shared" si="1381"/>
        <v>1383.6612489307099</v>
      </c>
    </row>
    <row r="2902" spans="1:15" x14ac:dyDescent="0.35">
      <c r="A2902" t="s">
        <v>36</v>
      </c>
      <c r="B2902" t="s">
        <v>26</v>
      </c>
      <c r="C2902">
        <v>2003</v>
      </c>
      <c r="D2902" t="s">
        <v>18</v>
      </c>
      <c r="E2902" s="8">
        <v>125891</v>
      </c>
      <c r="F2902" s="8">
        <v>21158</v>
      </c>
      <c r="G2902" s="1">
        <f t="shared" si="1382"/>
        <v>147049</v>
      </c>
      <c r="H2902" s="2">
        <f t="shared" si="1383"/>
        <v>0.85611598854803506</v>
      </c>
      <c r="I2902" s="2">
        <f t="shared" si="1384"/>
        <v>0.143884011451965</v>
      </c>
      <c r="J2902" s="8">
        <v>138927</v>
      </c>
      <c r="K2902" s="8">
        <v>28942</v>
      </c>
      <c r="L2902" s="1">
        <f t="shared" si="1378"/>
        <v>167869</v>
      </c>
      <c r="M2902" s="2">
        <f t="shared" si="1379"/>
        <v>0.82759175309318578</v>
      </c>
      <c r="N2902" s="2">
        <f t="shared" si="1380"/>
        <v>0.17240824690681425</v>
      </c>
      <c r="O2902" s="5">
        <f t="shared" si="1381"/>
        <v>1141.5854579085883</v>
      </c>
    </row>
    <row r="2903" spans="1:15" x14ac:dyDescent="0.35">
      <c r="A2903" t="s">
        <v>36</v>
      </c>
      <c r="B2903" t="s">
        <v>27</v>
      </c>
      <c r="C2903">
        <v>2003</v>
      </c>
      <c r="D2903" t="s">
        <v>18</v>
      </c>
      <c r="E2903" s="8">
        <v>131180</v>
      </c>
      <c r="F2903" s="8">
        <v>25730</v>
      </c>
      <c r="G2903" s="1">
        <f t="shared" si="1382"/>
        <v>156910</v>
      </c>
      <c r="H2903" s="2">
        <f t="shared" si="1383"/>
        <v>0.83602064877955518</v>
      </c>
      <c r="I2903" s="2">
        <f t="shared" si="1384"/>
        <v>0.16397935122044485</v>
      </c>
      <c r="J2903" s="8">
        <v>94312</v>
      </c>
      <c r="K2903" s="8">
        <v>23202</v>
      </c>
      <c r="L2903" s="1">
        <f t="shared" si="1378"/>
        <v>117514</v>
      </c>
      <c r="M2903" s="2">
        <f t="shared" si="1379"/>
        <v>0.80255969501506208</v>
      </c>
      <c r="N2903" s="2">
        <f t="shared" si="1380"/>
        <v>0.19744030498493798</v>
      </c>
      <c r="O2903" s="5">
        <f t="shared" si="1381"/>
        <v>748.92613600152958</v>
      </c>
    </row>
    <row r="2904" spans="1:15" x14ac:dyDescent="0.35">
      <c r="A2904" t="s">
        <v>36</v>
      </c>
      <c r="B2904" t="s">
        <v>28</v>
      </c>
      <c r="C2904">
        <v>2003</v>
      </c>
      <c r="D2904" t="s">
        <v>18</v>
      </c>
      <c r="E2904" s="8">
        <v>95407</v>
      </c>
      <c r="F2904" s="8">
        <v>22387</v>
      </c>
      <c r="G2904" s="1">
        <f t="shared" si="1382"/>
        <v>117794</v>
      </c>
      <c r="H2904" s="2">
        <f t="shared" si="1383"/>
        <v>0.80994787510399513</v>
      </c>
      <c r="I2904" s="2">
        <f t="shared" si="1384"/>
        <v>0.1900521248960049</v>
      </c>
      <c r="J2904" s="8">
        <v>62959</v>
      </c>
      <c r="K2904" s="8">
        <v>18269</v>
      </c>
      <c r="L2904" s="1">
        <f t="shared" si="1378"/>
        <v>81228</v>
      </c>
      <c r="M2904" s="2">
        <f t="shared" si="1379"/>
        <v>0.77508987048800904</v>
      </c>
      <c r="N2904" s="2">
        <f t="shared" si="1380"/>
        <v>0.22491012951199094</v>
      </c>
      <c r="O2904" s="5">
        <f t="shared" si="1381"/>
        <v>689.57671867837075</v>
      </c>
    </row>
    <row r="2905" spans="1:15" x14ac:dyDescent="0.35">
      <c r="A2905" t="s">
        <v>36</v>
      </c>
      <c r="B2905" t="s">
        <v>29</v>
      </c>
      <c r="C2905">
        <v>2003</v>
      </c>
      <c r="D2905" t="s">
        <v>18</v>
      </c>
      <c r="E2905" s="8">
        <v>113953</v>
      </c>
      <c r="F2905" s="8">
        <v>28060</v>
      </c>
      <c r="G2905" s="1">
        <f t="shared" si="1382"/>
        <v>142013</v>
      </c>
      <c r="H2905" s="2">
        <f t="shared" si="1383"/>
        <v>0.80241245519776361</v>
      </c>
      <c r="I2905" s="2">
        <f t="shared" si="1384"/>
        <v>0.19758754480223642</v>
      </c>
      <c r="J2905" s="8">
        <v>95709</v>
      </c>
      <c r="K2905" s="8">
        <v>28730</v>
      </c>
      <c r="L2905" s="1">
        <f t="shared" si="1378"/>
        <v>124439</v>
      </c>
      <c r="M2905" s="2">
        <f t="shared" si="1379"/>
        <v>0.7691238277388921</v>
      </c>
      <c r="N2905" s="2">
        <f t="shared" si="1380"/>
        <v>0.23087617226110785</v>
      </c>
      <c r="O2905" s="5">
        <f t="shared" si="1381"/>
        <v>876.25076577496429</v>
      </c>
    </row>
    <row r="2906" spans="1:15" x14ac:dyDescent="0.35">
      <c r="A2906" t="s">
        <v>36</v>
      </c>
      <c r="B2906" t="s">
        <v>17</v>
      </c>
      <c r="C2906">
        <v>2004</v>
      </c>
      <c r="D2906" t="s">
        <v>18</v>
      </c>
      <c r="E2906" s="8">
        <v>117811</v>
      </c>
      <c r="F2906" s="8">
        <v>29517</v>
      </c>
      <c r="G2906" s="1">
        <f>SUM(E2906:F2906)</f>
        <v>147328</v>
      </c>
      <c r="H2906" s="2">
        <f>SUM(E2906)/G2906</f>
        <v>0.79965111859252824</v>
      </c>
      <c r="I2906" s="2">
        <f>SUM(F2906/G2906)</f>
        <v>0.20034888140747176</v>
      </c>
      <c r="J2906" s="8">
        <v>111163</v>
      </c>
      <c r="K2906" s="8">
        <v>33080</v>
      </c>
      <c r="L2906" s="1">
        <f t="shared" si="1378"/>
        <v>144243</v>
      </c>
      <c r="M2906" s="2">
        <f t="shared" si="1379"/>
        <v>0.77066478095990798</v>
      </c>
      <c r="N2906" s="2">
        <f t="shared" si="1380"/>
        <v>0.22933521904009208</v>
      </c>
      <c r="O2906" s="5">
        <f t="shared" si="1381"/>
        <v>979.06032797567332</v>
      </c>
    </row>
    <row r="2907" spans="1:15" x14ac:dyDescent="0.35">
      <c r="A2907" t="s">
        <v>36</v>
      </c>
      <c r="B2907" t="s">
        <v>19</v>
      </c>
      <c r="C2907">
        <v>2004</v>
      </c>
      <c r="D2907" t="s">
        <v>18</v>
      </c>
      <c r="E2907" s="8">
        <v>112109</v>
      </c>
      <c r="F2907" s="8">
        <v>28879</v>
      </c>
      <c r="G2907" s="1">
        <f t="shared" ref="G2907:G2917" si="1385">SUM(E2907:F2907)</f>
        <v>140988</v>
      </c>
      <c r="H2907" s="2">
        <f t="shared" ref="H2907:H2917" si="1386">SUM(E2907)/G2907</f>
        <v>0.79516696456436009</v>
      </c>
      <c r="I2907" s="2">
        <f t="shared" ref="I2907:I2917" si="1387">SUM(F2907/G2907)</f>
        <v>0.20483303543563991</v>
      </c>
      <c r="J2907" s="8">
        <v>96409</v>
      </c>
      <c r="K2907" s="8">
        <v>29633</v>
      </c>
      <c r="L2907" s="1">
        <f t="shared" si="1378"/>
        <v>126042</v>
      </c>
      <c r="M2907" s="2">
        <f t="shared" si="1379"/>
        <v>0.76489582837466874</v>
      </c>
      <c r="N2907" s="2">
        <f t="shared" si="1380"/>
        <v>0.23510417162533123</v>
      </c>
      <c r="O2907" s="5">
        <f t="shared" si="1381"/>
        <v>893.99097795557066</v>
      </c>
    </row>
    <row r="2908" spans="1:15" x14ac:dyDescent="0.35">
      <c r="A2908" t="s">
        <v>36</v>
      </c>
      <c r="B2908" t="s">
        <v>20</v>
      </c>
      <c r="C2908">
        <v>2004</v>
      </c>
      <c r="D2908" t="s">
        <v>18</v>
      </c>
      <c r="E2908" s="8">
        <v>127652</v>
      </c>
      <c r="F2908" s="8">
        <v>34201</v>
      </c>
      <c r="G2908" s="1">
        <f t="shared" si="1385"/>
        <v>161853</v>
      </c>
      <c r="H2908" s="2">
        <f t="shared" si="1386"/>
        <v>0.78869097267273391</v>
      </c>
      <c r="I2908" s="2">
        <f t="shared" si="1387"/>
        <v>0.21130902732726609</v>
      </c>
      <c r="J2908" s="8">
        <v>94455</v>
      </c>
      <c r="K2908" s="8">
        <v>30531</v>
      </c>
      <c r="L2908" s="1">
        <f t="shared" si="1378"/>
        <v>124986</v>
      </c>
      <c r="M2908" s="2">
        <f t="shared" si="1379"/>
        <v>0.75572464115980986</v>
      </c>
      <c r="N2908" s="2">
        <f t="shared" si="1380"/>
        <v>0.24427535884019011</v>
      </c>
      <c r="O2908" s="5">
        <f t="shared" si="1381"/>
        <v>772.21923597338321</v>
      </c>
    </row>
    <row r="2909" spans="1:15" x14ac:dyDescent="0.35">
      <c r="A2909" t="s">
        <v>36</v>
      </c>
      <c r="B2909" t="s">
        <v>21</v>
      </c>
      <c r="C2909">
        <v>2004</v>
      </c>
      <c r="D2909" t="s">
        <v>18</v>
      </c>
      <c r="E2909" s="8">
        <v>114304</v>
      </c>
      <c r="F2909" s="8">
        <v>31407</v>
      </c>
      <c r="G2909" s="1">
        <f t="shared" si="1385"/>
        <v>145711</v>
      </c>
      <c r="H2909" s="2">
        <f t="shared" si="1386"/>
        <v>0.78445690442039384</v>
      </c>
      <c r="I2909" s="2">
        <f t="shared" si="1387"/>
        <v>0.21554309557960621</v>
      </c>
      <c r="J2909" s="8">
        <v>71375</v>
      </c>
      <c r="K2909" s="8">
        <v>24280</v>
      </c>
      <c r="L2909" s="1">
        <f t="shared" si="1378"/>
        <v>95655</v>
      </c>
      <c r="M2909" s="2">
        <f t="shared" si="1379"/>
        <v>0.74617113585280437</v>
      </c>
      <c r="N2909" s="2">
        <f t="shared" si="1380"/>
        <v>0.25382886414719563</v>
      </c>
      <c r="O2909" s="5">
        <f t="shared" si="1381"/>
        <v>656.47068512329201</v>
      </c>
    </row>
    <row r="2910" spans="1:15" x14ac:dyDescent="0.35">
      <c r="A2910" t="s">
        <v>36</v>
      </c>
      <c r="B2910" t="s">
        <v>22</v>
      </c>
      <c r="C2910">
        <v>2004</v>
      </c>
      <c r="D2910" t="s">
        <v>18</v>
      </c>
      <c r="E2910" s="8">
        <v>106624</v>
      </c>
      <c r="F2910" s="8">
        <v>30727</v>
      </c>
      <c r="G2910" s="1">
        <f t="shared" si="1385"/>
        <v>137351</v>
      </c>
      <c r="H2910" s="2">
        <f t="shared" si="1386"/>
        <v>0.77628848716063226</v>
      </c>
      <c r="I2910" s="2">
        <f t="shared" si="1387"/>
        <v>0.22371151283936774</v>
      </c>
      <c r="J2910" s="8">
        <v>72914</v>
      </c>
      <c r="K2910" s="8">
        <v>26435</v>
      </c>
      <c r="L2910" s="1">
        <f t="shared" si="1378"/>
        <v>99349</v>
      </c>
      <c r="M2910" s="2">
        <f t="shared" si="1379"/>
        <v>0.73391780490996383</v>
      </c>
      <c r="N2910" s="2">
        <f t="shared" si="1380"/>
        <v>0.26608219509003611</v>
      </c>
      <c r="O2910" s="5">
        <f t="shared" si="1381"/>
        <v>723.32199983982639</v>
      </c>
    </row>
    <row r="2911" spans="1:15" x14ac:dyDescent="0.35">
      <c r="A2911" t="s">
        <v>36</v>
      </c>
      <c r="B2911" t="s">
        <v>23</v>
      </c>
      <c r="C2911">
        <v>2004</v>
      </c>
      <c r="D2911" t="s">
        <v>18</v>
      </c>
      <c r="E2911" s="8">
        <v>117515</v>
      </c>
      <c r="F2911" s="8">
        <v>35363</v>
      </c>
      <c r="G2911" s="1">
        <f t="shared" si="1385"/>
        <v>152878</v>
      </c>
      <c r="H2911" s="2">
        <f t="shared" si="1386"/>
        <v>0.76868483365821116</v>
      </c>
      <c r="I2911" s="2">
        <f t="shared" si="1387"/>
        <v>0.23131516634178886</v>
      </c>
      <c r="J2911" s="8">
        <v>118301</v>
      </c>
      <c r="K2911" s="8">
        <v>45442</v>
      </c>
      <c r="L2911" s="1">
        <f t="shared" si="1378"/>
        <v>163743</v>
      </c>
      <c r="M2911" s="2">
        <f t="shared" si="1379"/>
        <v>0.72247973959192147</v>
      </c>
      <c r="N2911" s="2">
        <f t="shared" si="1380"/>
        <v>0.27752026040807853</v>
      </c>
      <c r="O2911" s="5">
        <f t="shared" si="1381"/>
        <v>1071.0697418856867</v>
      </c>
    </row>
    <row r="2912" spans="1:15" x14ac:dyDescent="0.35">
      <c r="A2912" t="s">
        <v>36</v>
      </c>
      <c r="B2912" t="s">
        <v>24</v>
      </c>
      <c r="C2912">
        <v>2004</v>
      </c>
      <c r="D2912" t="s">
        <v>18</v>
      </c>
      <c r="E2912" s="8">
        <v>108845</v>
      </c>
      <c r="F2912" s="8">
        <v>34567</v>
      </c>
      <c r="G2912" s="1">
        <f t="shared" si="1385"/>
        <v>143412</v>
      </c>
      <c r="H2912" s="2">
        <f t="shared" si="1386"/>
        <v>0.75896717150587123</v>
      </c>
      <c r="I2912" s="2">
        <f t="shared" si="1387"/>
        <v>0.2410328284941288</v>
      </c>
      <c r="J2912" s="8">
        <v>125630</v>
      </c>
      <c r="K2912" s="8">
        <v>51058</v>
      </c>
      <c r="L2912" s="1">
        <f t="shared" si="1378"/>
        <v>176688</v>
      </c>
      <c r="M2912" s="2">
        <f t="shared" si="1379"/>
        <v>0.71102734764103959</v>
      </c>
      <c r="N2912" s="2">
        <f t="shared" si="1380"/>
        <v>0.28897265235896041</v>
      </c>
      <c r="O2912" s="5">
        <f t="shared" si="1381"/>
        <v>1232.0307924023095</v>
      </c>
    </row>
    <row r="2913" spans="1:15" x14ac:dyDescent="0.35">
      <c r="A2913" t="s">
        <v>36</v>
      </c>
      <c r="B2913" t="s">
        <v>25</v>
      </c>
      <c r="C2913">
        <v>2004</v>
      </c>
      <c r="D2913" t="s">
        <v>18</v>
      </c>
      <c r="E2913" s="8">
        <v>115046</v>
      </c>
      <c r="F2913" s="8">
        <v>39272</v>
      </c>
      <c r="G2913" s="1">
        <f t="shared" si="1385"/>
        <v>154318</v>
      </c>
      <c r="H2913" s="2">
        <f t="shared" si="1386"/>
        <v>0.74551251312225408</v>
      </c>
      <c r="I2913" s="2">
        <f t="shared" si="1387"/>
        <v>0.25448748687774597</v>
      </c>
      <c r="J2913" s="8">
        <v>126484</v>
      </c>
      <c r="K2913" s="8">
        <v>55033</v>
      </c>
      <c r="L2913" s="1">
        <f t="shared" si="1378"/>
        <v>181517</v>
      </c>
      <c r="M2913" s="2">
        <f t="shared" si="1379"/>
        <v>0.69681627616146147</v>
      </c>
      <c r="N2913" s="2">
        <f t="shared" si="1380"/>
        <v>0.30318372383853853</v>
      </c>
      <c r="O2913" s="5">
        <f t="shared" si="1381"/>
        <v>1176.2529322567684</v>
      </c>
    </row>
    <row r="2914" spans="1:15" x14ac:dyDescent="0.35">
      <c r="A2914" t="s">
        <v>36</v>
      </c>
      <c r="B2914" t="s">
        <v>26</v>
      </c>
      <c r="C2914">
        <v>2004</v>
      </c>
      <c r="D2914" t="s">
        <v>18</v>
      </c>
      <c r="E2914" s="8">
        <v>106984</v>
      </c>
      <c r="F2914" s="8">
        <v>38787</v>
      </c>
      <c r="G2914" s="1">
        <f t="shared" si="1385"/>
        <v>145771</v>
      </c>
      <c r="H2914" s="2">
        <f t="shared" si="1386"/>
        <v>0.73391826906586355</v>
      </c>
      <c r="I2914" s="2">
        <f t="shared" si="1387"/>
        <v>0.2660817309341364</v>
      </c>
      <c r="J2914" s="8">
        <v>103640</v>
      </c>
      <c r="K2914" s="8">
        <v>49025</v>
      </c>
      <c r="L2914" s="1">
        <f t="shared" si="1378"/>
        <v>152665</v>
      </c>
      <c r="M2914" s="2">
        <f t="shared" si="1379"/>
        <v>0.67887204008777391</v>
      </c>
      <c r="N2914" s="2">
        <f t="shared" si="1380"/>
        <v>0.32112795991222609</v>
      </c>
      <c r="O2914" s="5">
        <f t="shared" si="1381"/>
        <v>1047.2933573893299</v>
      </c>
    </row>
    <row r="2915" spans="1:15" x14ac:dyDescent="0.35">
      <c r="A2915" t="s">
        <v>36</v>
      </c>
      <c r="B2915" t="s">
        <v>27</v>
      </c>
      <c r="C2915">
        <v>2004</v>
      </c>
      <c r="D2915" t="s">
        <v>18</v>
      </c>
      <c r="E2915" s="8">
        <v>105114</v>
      </c>
      <c r="F2915" s="8">
        <v>39495</v>
      </c>
      <c r="G2915" s="1">
        <f t="shared" si="1385"/>
        <v>144609</v>
      </c>
      <c r="H2915" s="2">
        <f t="shared" si="1386"/>
        <v>0.72688421882455445</v>
      </c>
      <c r="I2915" s="2">
        <f t="shared" si="1387"/>
        <v>0.27311578117544549</v>
      </c>
      <c r="J2915" s="8">
        <v>78465</v>
      </c>
      <c r="K2915" s="8">
        <v>37988</v>
      </c>
      <c r="L2915" s="1">
        <f t="shared" si="1378"/>
        <v>116453</v>
      </c>
      <c r="M2915" s="2">
        <f t="shared" si="1379"/>
        <v>0.6737911432079895</v>
      </c>
      <c r="N2915" s="2">
        <f t="shared" si="1380"/>
        <v>0.3262088567920105</v>
      </c>
      <c r="O2915" s="5">
        <f t="shared" si="1381"/>
        <v>805.29565932964067</v>
      </c>
    </row>
    <row r="2916" spans="1:15" x14ac:dyDescent="0.35">
      <c r="A2916" t="s">
        <v>36</v>
      </c>
      <c r="B2916" t="s">
        <v>28</v>
      </c>
      <c r="C2916">
        <v>2004</v>
      </c>
      <c r="D2916" t="s">
        <v>18</v>
      </c>
      <c r="E2916" s="8">
        <v>99013</v>
      </c>
      <c r="F2916" s="8">
        <v>38054</v>
      </c>
      <c r="G2916" s="1">
        <f t="shared" si="1385"/>
        <v>137067</v>
      </c>
      <c r="H2916" s="2">
        <f t="shared" si="1386"/>
        <v>0.72236935221461041</v>
      </c>
      <c r="I2916" s="2">
        <f t="shared" si="1387"/>
        <v>0.27763064778538965</v>
      </c>
      <c r="J2916" s="8">
        <v>64012</v>
      </c>
      <c r="K2916" s="8">
        <v>30978</v>
      </c>
      <c r="L2916" s="1">
        <f t="shared" si="1378"/>
        <v>94990</v>
      </c>
      <c r="M2916" s="2">
        <f t="shared" si="1379"/>
        <v>0.67388146120644277</v>
      </c>
      <c r="N2916" s="2">
        <f t="shared" si="1380"/>
        <v>0.32611853879355723</v>
      </c>
      <c r="O2916" s="5">
        <f t="shared" si="1381"/>
        <v>693.01874265869981</v>
      </c>
    </row>
    <row r="2917" spans="1:15" x14ac:dyDescent="0.35">
      <c r="A2917" t="s">
        <v>36</v>
      </c>
      <c r="B2917" t="s">
        <v>29</v>
      </c>
      <c r="C2917">
        <v>2004</v>
      </c>
      <c r="D2917" t="s">
        <v>18</v>
      </c>
      <c r="E2917" s="8">
        <v>97609</v>
      </c>
      <c r="F2917" s="8">
        <v>39027</v>
      </c>
      <c r="G2917" s="1">
        <f t="shared" si="1385"/>
        <v>136636</v>
      </c>
      <c r="H2917" s="2">
        <f t="shared" si="1386"/>
        <v>0.71437249333996899</v>
      </c>
      <c r="I2917" s="2">
        <f t="shared" si="1387"/>
        <v>0.28562750666003101</v>
      </c>
      <c r="J2917" s="8">
        <v>83801</v>
      </c>
      <c r="K2917" s="8">
        <v>41081</v>
      </c>
      <c r="L2917" s="1">
        <f t="shared" si="1378"/>
        <v>124882</v>
      </c>
      <c r="M2917" s="2">
        <f t="shared" si="1379"/>
        <v>0.67104146314120527</v>
      </c>
      <c r="N2917" s="2">
        <f t="shared" si="1380"/>
        <v>0.32895853685879473</v>
      </c>
      <c r="O2917" s="5">
        <f t="shared" si="1381"/>
        <v>913.97581896425538</v>
      </c>
    </row>
    <row r="2918" spans="1:15" x14ac:dyDescent="0.35">
      <c r="A2918" t="s">
        <v>36</v>
      </c>
      <c r="B2918" t="s">
        <v>17</v>
      </c>
      <c r="C2918">
        <v>2005</v>
      </c>
      <c r="D2918" t="s">
        <v>18</v>
      </c>
      <c r="E2918" s="8">
        <v>103035</v>
      </c>
      <c r="F2918" s="8">
        <v>41882</v>
      </c>
      <c r="G2918" s="1">
        <f>SUM(E2918:F2918)</f>
        <v>144917</v>
      </c>
      <c r="H2918" s="2">
        <f>SUM(E2918)/G2918</f>
        <v>0.71099318920485521</v>
      </c>
      <c r="I2918" s="2">
        <f>SUM(F2918/G2918)</f>
        <v>0.28900681079514479</v>
      </c>
      <c r="J2918" s="8">
        <v>101646</v>
      </c>
      <c r="K2918" s="8">
        <v>50365</v>
      </c>
      <c r="L2918" s="1">
        <f t="shared" si="1378"/>
        <v>152011</v>
      </c>
      <c r="M2918" s="2">
        <f t="shared" si="1379"/>
        <v>0.66867529323535801</v>
      </c>
      <c r="N2918" s="2">
        <f t="shared" si="1380"/>
        <v>0.33132470676464204</v>
      </c>
      <c r="O2918" s="5">
        <f t="shared" si="1381"/>
        <v>1048.9521588219463</v>
      </c>
    </row>
    <row r="2919" spans="1:15" x14ac:dyDescent="0.35">
      <c r="A2919" t="s">
        <v>36</v>
      </c>
      <c r="B2919" t="s">
        <v>19</v>
      </c>
      <c r="C2919">
        <v>2005</v>
      </c>
      <c r="D2919" t="s">
        <v>18</v>
      </c>
      <c r="E2919" s="8">
        <v>93198</v>
      </c>
      <c r="F2919" s="8">
        <v>39069</v>
      </c>
      <c r="G2919" s="1">
        <f t="shared" ref="G2919:G2929" si="1388">SUM(E2919:F2919)</f>
        <v>132267</v>
      </c>
      <c r="H2919" s="2">
        <f t="shared" ref="H2919:H2929" si="1389">SUM(E2919)/G2919</f>
        <v>0.70462020004989911</v>
      </c>
      <c r="I2919" s="2">
        <f t="shared" ref="I2919:I2929" si="1390">SUM(F2919/G2919)</f>
        <v>0.29537979995010094</v>
      </c>
      <c r="J2919" s="8">
        <v>79062</v>
      </c>
      <c r="K2919" s="8">
        <v>40614</v>
      </c>
      <c r="L2919" s="1">
        <f t="shared" si="1378"/>
        <v>119676</v>
      </c>
      <c r="M2919" s="2">
        <f t="shared" si="1379"/>
        <v>0.66063371101975332</v>
      </c>
      <c r="N2919" s="2">
        <f t="shared" si="1380"/>
        <v>0.33936628898024668</v>
      </c>
      <c r="O2919" s="5">
        <f t="shared" si="1381"/>
        <v>904.80618748440656</v>
      </c>
    </row>
    <row r="2920" spans="1:15" x14ac:dyDescent="0.35">
      <c r="A2920" t="s">
        <v>36</v>
      </c>
      <c r="B2920" t="s">
        <v>20</v>
      </c>
      <c r="C2920">
        <v>2005</v>
      </c>
      <c r="D2920" t="s">
        <v>18</v>
      </c>
      <c r="E2920" s="8">
        <v>101422</v>
      </c>
      <c r="F2920" s="8">
        <v>42571</v>
      </c>
      <c r="G2920" s="1">
        <f t="shared" si="1388"/>
        <v>143993</v>
      </c>
      <c r="H2920" s="2">
        <f t="shared" si="1389"/>
        <v>0.70435368385963204</v>
      </c>
      <c r="I2920" s="2">
        <f t="shared" si="1390"/>
        <v>0.29564631614036796</v>
      </c>
      <c r="J2920" s="8">
        <v>71803</v>
      </c>
      <c r="K2920" s="8">
        <v>37037</v>
      </c>
      <c r="L2920" s="1">
        <f t="shared" si="1378"/>
        <v>108840</v>
      </c>
      <c r="M2920" s="2">
        <f t="shared" si="1379"/>
        <v>0.65971150312385152</v>
      </c>
      <c r="N2920" s="2">
        <f t="shared" si="1380"/>
        <v>0.34028849687614848</v>
      </c>
      <c r="O2920" s="5">
        <f t="shared" si="1381"/>
        <v>755.87007701763275</v>
      </c>
    </row>
    <row r="2921" spans="1:15" x14ac:dyDescent="0.35">
      <c r="A2921" t="s">
        <v>36</v>
      </c>
      <c r="B2921" t="s">
        <v>21</v>
      </c>
      <c r="C2921">
        <v>2005</v>
      </c>
      <c r="D2921" t="s">
        <v>18</v>
      </c>
      <c r="E2921" s="8">
        <v>95920</v>
      </c>
      <c r="F2921" s="8">
        <v>41268</v>
      </c>
      <c r="G2921" s="1">
        <f t="shared" si="1388"/>
        <v>137188</v>
      </c>
      <c r="H2921" s="2">
        <f t="shared" si="1389"/>
        <v>0.69918651777123364</v>
      </c>
      <c r="I2921" s="2">
        <f t="shared" si="1390"/>
        <v>0.30081348222876636</v>
      </c>
      <c r="J2921" s="8">
        <v>60159</v>
      </c>
      <c r="K2921" s="8">
        <v>32662</v>
      </c>
      <c r="L2921" s="1">
        <f t="shared" si="1378"/>
        <v>92821</v>
      </c>
      <c r="M2921" s="2">
        <f t="shared" si="1379"/>
        <v>0.64811842147789833</v>
      </c>
      <c r="N2921" s="2">
        <f t="shared" si="1380"/>
        <v>0.35188157852210167</v>
      </c>
      <c r="O2921" s="5">
        <f t="shared" si="1381"/>
        <v>676.59707846167305</v>
      </c>
    </row>
    <row r="2922" spans="1:15" x14ac:dyDescent="0.35">
      <c r="A2922" t="s">
        <v>36</v>
      </c>
      <c r="B2922" t="s">
        <v>22</v>
      </c>
      <c r="C2922">
        <v>2005</v>
      </c>
      <c r="D2922" t="s">
        <v>18</v>
      </c>
      <c r="E2922" s="8">
        <v>99550</v>
      </c>
      <c r="F2922" s="8">
        <v>42932</v>
      </c>
      <c r="G2922" s="1">
        <f t="shared" si="1388"/>
        <v>142482</v>
      </c>
      <c r="H2922" s="2">
        <f t="shared" si="1389"/>
        <v>0.6986847461433725</v>
      </c>
      <c r="I2922" s="2">
        <f t="shared" si="1390"/>
        <v>0.3013152538566275</v>
      </c>
      <c r="J2922" s="8">
        <v>62481</v>
      </c>
      <c r="K2922" s="8">
        <v>34965</v>
      </c>
      <c r="L2922" s="1">
        <f t="shared" si="1378"/>
        <v>97446</v>
      </c>
      <c r="M2922" s="2">
        <f t="shared" si="1379"/>
        <v>0.64118588756849948</v>
      </c>
      <c r="N2922" s="2">
        <f t="shared" si="1380"/>
        <v>0.35881411243150052</v>
      </c>
      <c r="O2922" s="5">
        <f t="shared" si="1381"/>
        <v>683.91796858550549</v>
      </c>
    </row>
    <row r="2923" spans="1:15" x14ac:dyDescent="0.35">
      <c r="A2923" t="s">
        <v>36</v>
      </c>
      <c r="B2923" t="s">
        <v>23</v>
      </c>
      <c r="C2923">
        <v>2005</v>
      </c>
      <c r="D2923" t="s">
        <v>18</v>
      </c>
      <c r="E2923" s="8">
        <v>102058</v>
      </c>
      <c r="F2923" s="8">
        <v>44864</v>
      </c>
      <c r="G2923" s="1">
        <f t="shared" si="1388"/>
        <v>146922</v>
      </c>
      <c r="H2923" s="2">
        <f t="shared" si="1389"/>
        <v>0.69464069370141979</v>
      </c>
      <c r="I2923" s="2">
        <f t="shared" si="1390"/>
        <v>0.30535930629858021</v>
      </c>
      <c r="J2923" s="8">
        <v>95030</v>
      </c>
      <c r="K2923" s="8">
        <v>55388</v>
      </c>
      <c r="L2923" s="1">
        <f t="shared" si="1378"/>
        <v>150418</v>
      </c>
      <c r="M2923" s="2">
        <f t="shared" si="1379"/>
        <v>0.63177279314975598</v>
      </c>
      <c r="N2923" s="2">
        <f t="shared" si="1380"/>
        <v>0.36822720685024396</v>
      </c>
      <c r="O2923" s="5">
        <f t="shared" si="1381"/>
        <v>1023.7949388110699</v>
      </c>
    </row>
    <row r="2924" spans="1:15" x14ac:dyDescent="0.35">
      <c r="A2924" t="s">
        <v>36</v>
      </c>
      <c r="B2924" t="s">
        <v>24</v>
      </c>
      <c r="C2924">
        <v>2005</v>
      </c>
      <c r="D2924" t="s">
        <v>18</v>
      </c>
      <c r="E2924" s="8">
        <v>94573</v>
      </c>
      <c r="F2924" s="8">
        <v>43628</v>
      </c>
      <c r="G2924" s="1">
        <f t="shared" si="1388"/>
        <v>138201</v>
      </c>
      <c r="H2924" s="2">
        <f t="shared" si="1389"/>
        <v>0.68431487471147101</v>
      </c>
      <c r="I2924" s="2">
        <f t="shared" si="1390"/>
        <v>0.31568512528852904</v>
      </c>
      <c r="J2924" s="8">
        <v>117457</v>
      </c>
      <c r="K2924" s="8">
        <v>70625</v>
      </c>
      <c r="L2924" s="1">
        <f t="shared" si="1378"/>
        <v>188082</v>
      </c>
      <c r="M2924" s="2">
        <f t="shared" si="1379"/>
        <v>0.62449888878255233</v>
      </c>
      <c r="N2924" s="2">
        <f t="shared" si="1380"/>
        <v>0.37550111121744773</v>
      </c>
      <c r="O2924" s="5">
        <f t="shared" si="1381"/>
        <v>1360.9308181561639</v>
      </c>
    </row>
    <row r="2925" spans="1:15" x14ac:dyDescent="0.35">
      <c r="A2925" t="s">
        <v>36</v>
      </c>
      <c r="B2925" t="s">
        <v>25</v>
      </c>
      <c r="C2925">
        <v>2005</v>
      </c>
      <c r="D2925" t="s">
        <v>18</v>
      </c>
      <c r="E2925" s="8">
        <v>110951</v>
      </c>
      <c r="F2925" s="8">
        <v>51748</v>
      </c>
      <c r="G2925" s="1">
        <f t="shared" si="1388"/>
        <v>162699</v>
      </c>
      <c r="H2925" s="2">
        <f t="shared" si="1389"/>
        <v>0.68194027006926905</v>
      </c>
      <c r="I2925" s="2">
        <f t="shared" si="1390"/>
        <v>0.31805972993073101</v>
      </c>
      <c r="J2925" s="8">
        <v>119720</v>
      </c>
      <c r="K2925" s="8">
        <v>72142</v>
      </c>
      <c r="L2925" s="1">
        <f t="shared" si="1378"/>
        <v>191862</v>
      </c>
      <c r="M2925" s="2">
        <f t="shared" si="1379"/>
        <v>0.62399015959387472</v>
      </c>
      <c r="N2925" s="2">
        <f t="shared" si="1380"/>
        <v>0.37600984040612523</v>
      </c>
      <c r="O2925" s="5">
        <f t="shared" si="1381"/>
        <v>1179.2451090664356</v>
      </c>
    </row>
    <row r="2926" spans="1:15" x14ac:dyDescent="0.35">
      <c r="A2926" t="s">
        <v>36</v>
      </c>
      <c r="B2926" t="s">
        <v>26</v>
      </c>
      <c r="C2926">
        <v>2005</v>
      </c>
      <c r="D2926" t="s">
        <v>18</v>
      </c>
      <c r="E2926" s="8">
        <v>97401</v>
      </c>
      <c r="F2926" s="8">
        <v>48342</v>
      </c>
      <c r="G2926" s="1">
        <f t="shared" si="1388"/>
        <v>145743</v>
      </c>
      <c r="H2926" s="2">
        <f t="shared" si="1389"/>
        <v>0.66830653959366826</v>
      </c>
      <c r="I2926" s="2">
        <f t="shared" si="1390"/>
        <v>0.33169346040633169</v>
      </c>
      <c r="J2926" s="8">
        <v>105871</v>
      </c>
      <c r="K2926" s="8">
        <v>68580</v>
      </c>
      <c r="L2926" s="1">
        <f t="shared" si="1378"/>
        <v>174451</v>
      </c>
      <c r="M2926" s="2">
        <f t="shared" si="1379"/>
        <v>0.60688101529942506</v>
      </c>
      <c r="N2926" s="2">
        <f t="shared" si="1380"/>
        <v>0.39311898470057494</v>
      </c>
      <c r="O2926" s="5">
        <f t="shared" si="1381"/>
        <v>1196.976870244197</v>
      </c>
    </row>
    <row r="2927" spans="1:15" x14ac:dyDescent="0.35">
      <c r="A2927" t="s">
        <v>36</v>
      </c>
      <c r="B2927" t="s">
        <v>27</v>
      </c>
      <c r="C2927">
        <v>2005</v>
      </c>
      <c r="D2927" t="s">
        <v>18</v>
      </c>
      <c r="E2927" s="8">
        <v>95196</v>
      </c>
      <c r="F2927" s="8">
        <v>49088</v>
      </c>
      <c r="G2927" s="1">
        <f t="shared" si="1388"/>
        <v>144284</v>
      </c>
      <c r="H2927" s="2">
        <f t="shared" si="1389"/>
        <v>0.65978209642094754</v>
      </c>
      <c r="I2927" s="2">
        <f t="shared" si="1390"/>
        <v>0.34021790357905241</v>
      </c>
      <c r="J2927" s="8">
        <v>82853</v>
      </c>
      <c r="K2927" s="8">
        <v>55915</v>
      </c>
      <c r="L2927" s="1">
        <f t="shared" si="1378"/>
        <v>138768</v>
      </c>
      <c r="M2927" s="2">
        <f t="shared" si="1379"/>
        <v>0.59706128213997467</v>
      </c>
      <c r="N2927" s="2">
        <f t="shared" si="1380"/>
        <v>0.40293871786002539</v>
      </c>
      <c r="O2927" s="5">
        <f t="shared" si="1381"/>
        <v>961.76984281001353</v>
      </c>
    </row>
    <row r="2928" spans="1:15" x14ac:dyDescent="0.35">
      <c r="A2928" t="s">
        <v>36</v>
      </c>
      <c r="B2928" t="s">
        <v>28</v>
      </c>
      <c r="C2928">
        <v>2005</v>
      </c>
      <c r="D2928" t="s">
        <v>18</v>
      </c>
      <c r="E2928" s="8">
        <v>90317</v>
      </c>
      <c r="F2928" s="8">
        <v>48078</v>
      </c>
      <c r="G2928" s="1">
        <f t="shared" si="1388"/>
        <v>138395</v>
      </c>
      <c r="H2928" s="2">
        <f t="shared" si="1389"/>
        <v>0.65260305646880301</v>
      </c>
      <c r="I2928" s="2">
        <f t="shared" si="1390"/>
        <v>0.34739694353119693</v>
      </c>
      <c r="J2928" s="8">
        <v>56054</v>
      </c>
      <c r="K2928" s="8">
        <v>38004</v>
      </c>
      <c r="L2928" s="1">
        <f t="shared" si="1378"/>
        <v>94058</v>
      </c>
      <c r="M2928" s="2">
        <f t="shared" si="1379"/>
        <v>0.59595143422143781</v>
      </c>
      <c r="N2928" s="2">
        <f t="shared" si="1380"/>
        <v>0.40404856577856219</v>
      </c>
      <c r="O2928" s="5">
        <f t="shared" si="1381"/>
        <v>679.63437985476355</v>
      </c>
    </row>
    <row r="2929" spans="1:15" x14ac:dyDescent="0.35">
      <c r="A2929" t="s">
        <v>36</v>
      </c>
      <c r="B2929" t="s">
        <v>29</v>
      </c>
      <c r="C2929">
        <v>2005</v>
      </c>
      <c r="D2929" t="s">
        <v>18</v>
      </c>
      <c r="E2929" s="8">
        <v>88611</v>
      </c>
      <c r="F2929" s="8">
        <v>48762</v>
      </c>
      <c r="G2929" s="1">
        <f t="shared" si="1388"/>
        <v>137373</v>
      </c>
      <c r="H2929" s="2">
        <f t="shared" si="1389"/>
        <v>0.64503941822628896</v>
      </c>
      <c r="I2929" s="2">
        <f t="shared" si="1390"/>
        <v>0.35496058177371098</v>
      </c>
      <c r="J2929" s="8">
        <v>76358</v>
      </c>
      <c r="K2929" s="8">
        <v>51749</v>
      </c>
      <c r="L2929" s="1">
        <f t="shared" si="1378"/>
        <v>128107</v>
      </c>
      <c r="M2929" s="2">
        <f t="shared" si="1379"/>
        <v>0.59604861561038824</v>
      </c>
      <c r="N2929" s="2">
        <f t="shared" si="1380"/>
        <v>0.40395138438961181</v>
      </c>
      <c r="O2929" s="5">
        <f t="shared" si="1381"/>
        <v>932.54860853297225</v>
      </c>
    </row>
    <row r="2930" spans="1:15" x14ac:dyDescent="0.35">
      <c r="A2930" t="s">
        <v>36</v>
      </c>
      <c r="B2930" t="s">
        <v>17</v>
      </c>
      <c r="C2930">
        <v>2006</v>
      </c>
      <c r="D2930" t="s">
        <v>18</v>
      </c>
      <c r="E2930" s="8">
        <v>93545</v>
      </c>
      <c r="F2930" s="8">
        <v>52722</v>
      </c>
      <c r="G2930" s="1">
        <f>SUM(E2930:F2930)</f>
        <v>146267</v>
      </c>
      <c r="H2930" s="2">
        <f>SUM(E2930)/G2930</f>
        <v>0.63954959081679397</v>
      </c>
      <c r="I2930" s="2">
        <f>SUM(F2930/G2930)</f>
        <v>0.36045040918320603</v>
      </c>
      <c r="J2930" s="8">
        <v>83298</v>
      </c>
      <c r="K2930" s="8">
        <v>57302</v>
      </c>
      <c r="L2930" s="1">
        <f t="shared" si="1378"/>
        <v>140600</v>
      </c>
      <c r="M2930" s="2">
        <f t="shared" si="1379"/>
        <v>0.59244665718349931</v>
      </c>
      <c r="N2930" s="2">
        <f t="shared" si="1380"/>
        <v>0.40755334281650069</v>
      </c>
      <c r="O2930" s="5">
        <f t="shared" si="1381"/>
        <v>961.25578565226601</v>
      </c>
    </row>
    <row r="2931" spans="1:15" x14ac:dyDescent="0.35">
      <c r="A2931" t="s">
        <v>36</v>
      </c>
      <c r="B2931" t="s">
        <v>19</v>
      </c>
      <c r="C2931">
        <v>2006</v>
      </c>
      <c r="D2931" t="s">
        <v>18</v>
      </c>
      <c r="E2931" s="8">
        <v>87616</v>
      </c>
      <c r="F2931" s="8">
        <v>50996</v>
      </c>
      <c r="G2931" s="1">
        <f t="shared" ref="G2931:G2941" si="1391">SUM(E2931:F2931)</f>
        <v>138612</v>
      </c>
      <c r="H2931" s="2">
        <f t="shared" ref="H2931:H2941" si="1392">SUM(E2931)/G2931</f>
        <v>0.63209534528035094</v>
      </c>
      <c r="I2931" s="2">
        <f t="shared" ref="I2931:I2941" si="1393">SUM(F2931/G2931)</f>
        <v>0.36790465471964912</v>
      </c>
      <c r="J2931" s="8">
        <v>63800</v>
      </c>
      <c r="K2931" s="8">
        <v>45678</v>
      </c>
      <c r="L2931" s="1">
        <f t="shared" si="1378"/>
        <v>109478</v>
      </c>
      <c r="M2931" s="2">
        <f t="shared" si="1379"/>
        <v>0.58276548712983434</v>
      </c>
      <c r="N2931" s="2">
        <f t="shared" si="1380"/>
        <v>0.41723451287016572</v>
      </c>
      <c r="O2931" s="5">
        <f t="shared" si="1381"/>
        <v>789.81617753152682</v>
      </c>
    </row>
    <row r="2932" spans="1:15" x14ac:dyDescent="0.35">
      <c r="A2932" t="s">
        <v>36</v>
      </c>
      <c r="B2932" t="s">
        <v>20</v>
      </c>
      <c r="C2932">
        <v>2006</v>
      </c>
      <c r="D2932" t="s">
        <v>18</v>
      </c>
      <c r="E2932" s="8">
        <v>100553</v>
      </c>
      <c r="F2932" s="8">
        <v>59265</v>
      </c>
      <c r="G2932" s="1">
        <f t="shared" si="1391"/>
        <v>159818</v>
      </c>
      <c r="H2932" s="2">
        <f t="shared" si="1392"/>
        <v>0.62917193307387154</v>
      </c>
      <c r="I2932" s="2">
        <f t="shared" si="1393"/>
        <v>0.37082806692612846</v>
      </c>
      <c r="J2932" s="8">
        <v>68432</v>
      </c>
      <c r="K2932" s="8">
        <v>50318</v>
      </c>
      <c r="L2932" s="1">
        <f t="shared" si="1378"/>
        <v>118750</v>
      </c>
      <c r="M2932" s="2">
        <f t="shared" si="1379"/>
        <v>0.57626947368421055</v>
      </c>
      <c r="N2932" s="2">
        <f t="shared" si="1380"/>
        <v>0.42373052631578945</v>
      </c>
      <c r="O2932" s="5">
        <f t="shared" si="1381"/>
        <v>743.03269969590406</v>
      </c>
    </row>
    <row r="2933" spans="1:15" x14ac:dyDescent="0.35">
      <c r="A2933" t="s">
        <v>36</v>
      </c>
      <c r="B2933" t="s">
        <v>21</v>
      </c>
      <c r="C2933">
        <v>2006</v>
      </c>
      <c r="D2933" t="s">
        <v>18</v>
      </c>
      <c r="E2933" s="8">
        <v>84777</v>
      </c>
      <c r="F2933" s="8">
        <v>52436</v>
      </c>
      <c r="G2933" s="1">
        <f t="shared" si="1391"/>
        <v>137213</v>
      </c>
      <c r="H2933" s="2">
        <f t="shared" si="1392"/>
        <v>0.61784962066276516</v>
      </c>
      <c r="I2933" s="2">
        <f t="shared" si="1393"/>
        <v>0.38215037933723484</v>
      </c>
      <c r="J2933" s="8">
        <v>52732</v>
      </c>
      <c r="K2933" s="8">
        <v>41852</v>
      </c>
      <c r="L2933" s="1">
        <f t="shared" si="1378"/>
        <v>94584</v>
      </c>
      <c r="M2933" s="2">
        <f t="shared" si="1379"/>
        <v>0.5575150131100397</v>
      </c>
      <c r="N2933" s="2">
        <f t="shared" si="1380"/>
        <v>0.44248498688996024</v>
      </c>
      <c r="O2933" s="5">
        <f t="shared" si="1381"/>
        <v>689.3224402935582</v>
      </c>
    </row>
    <row r="2934" spans="1:15" x14ac:dyDescent="0.35">
      <c r="A2934" t="s">
        <v>36</v>
      </c>
      <c r="B2934" t="s">
        <v>22</v>
      </c>
      <c r="C2934">
        <v>2006</v>
      </c>
      <c r="D2934" t="s">
        <v>18</v>
      </c>
      <c r="E2934" s="8">
        <v>94534</v>
      </c>
      <c r="F2934" s="8">
        <v>59579</v>
      </c>
      <c r="G2934" s="1">
        <f t="shared" si="1391"/>
        <v>154113</v>
      </c>
      <c r="H2934" s="2">
        <f t="shared" si="1392"/>
        <v>0.61340704547961555</v>
      </c>
      <c r="I2934" s="2">
        <f t="shared" si="1393"/>
        <v>0.38659295452038439</v>
      </c>
      <c r="J2934" s="8">
        <v>67179</v>
      </c>
      <c r="K2934" s="8">
        <v>56229</v>
      </c>
      <c r="L2934" s="1">
        <f t="shared" si="1378"/>
        <v>123408</v>
      </c>
      <c r="M2934" s="2">
        <f t="shared" si="1379"/>
        <v>0.54436503306106576</v>
      </c>
      <c r="N2934" s="2">
        <f t="shared" si="1380"/>
        <v>0.45563496693893429</v>
      </c>
      <c r="O2934" s="5">
        <f t="shared" si="1381"/>
        <v>800.76307644390806</v>
      </c>
    </row>
    <row r="2935" spans="1:15" x14ac:dyDescent="0.35">
      <c r="A2935" t="s">
        <v>36</v>
      </c>
      <c r="B2935" t="s">
        <v>23</v>
      </c>
      <c r="C2935">
        <v>2006</v>
      </c>
      <c r="D2935" t="s">
        <v>18</v>
      </c>
      <c r="E2935" s="8">
        <v>91853</v>
      </c>
      <c r="F2935" s="8">
        <v>61866</v>
      </c>
      <c r="G2935" s="1">
        <f t="shared" si="1391"/>
        <v>153719</v>
      </c>
      <c r="H2935" s="2">
        <f t="shared" si="1392"/>
        <v>0.59753836545905192</v>
      </c>
      <c r="I2935" s="2">
        <f t="shared" si="1393"/>
        <v>0.40246163454094808</v>
      </c>
      <c r="J2935" s="8">
        <v>95151</v>
      </c>
      <c r="K2935" s="8">
        <v>84904</v>
      </c>
      <c r="L2935" s="1">
        <f t="shared" si="1378"/>
        <v>180055</v>
      </c>
      <c r="M2935" s="2">
        <f t="shared" si="1379"/>
        <v>0.52845519424620258</v>
      </c>
      <c r="N2935" s="2">
        <f t="shared" si="1380"/>
        <v>0.47154480575379742</v>
      </c>
      <c r="O2935" s="5">
        <f t="shared" si="1381"/>
        <v>1171.3256006089032</v>
      </c>
    </row>
    <row r="2936" spans="1:15" x14ac:dyDescent="0.35">
      <c r="A2936" t="s">
        <v>36</v>
      </c>
      <c r="B2936" t="s">
        <v>24</v>
      </c>
      <c r="C2936">
        <v>2006</v>
      </c>
      <c r="D2936" t="s">
        <v>18</v>
      </c>
      <c r="E2936" s="8">
        <v>81196</v>
      </c>
      <c r="F2936" s="8">
        <v>58048</v>
      </c>
      <c r="G2936" s="1">
        <f t="shared" si="1391"/>
        <v>139244</v>
      </c>
      <c r="H2936" s="2">
        <f t="shared" si="1392"/>
        <v>0.58312027807302291</v>
      </c>
      <c r="I2936" s="2">
        <f t="shared" si="1393"/>
        <v>0.41687972192697709</v>
      </c>
      <c r="J2936" s="8">
        <v>91626</v>
      </c>
      <c r="K2936" s="8">
        <v>86446</v>
      </c>
      <c r="L2936" s="1">
        <f t="shared" si="1378"/>
        <v>178072</v>
      </c>
      <c r="M2936" s="2">
        <f t="shared" si="1379"/>
        <v>0.51454467855698816</v>
      </c>
      <c r="N2936" s="2">
        <f t="shared" si="1380"/>
        <v>0.48545532144301179</v>
      </c>
      <c r="O2936" s="5">
        <f t="shared" si="1381"/>
        <v>1278.8486397977651</v>
      </c>
    </row>
    <row r="2937" spans="1:15" x14ac:dyDescent="0.35">
      <c r="A2937" t="s">
        <v>36</v>
      </c>
      <c r="B2937" t="s">
        <v>25</v>
      </c>
      <c r="C2937">
        <v>2006</v>
      </c>
      <c r="D2937" t="s">
        <v>18</v>
      </c>
      <c r="E2937" s="8">
        <v>92849</v>
      </c>
      <c r="F2937" s="8">
        <v>69455</v>
      </c>
      <c r="G2937" s="1">
        <f t="shared" si="1391"/>
        <v>162304</v>
      </c>
      <c r="H2937" s="2">
        <f t="shared" si="1392"/>
        <v>0.57206846411671919</v>
      </c>
      <c r="I2937" s="2">
        <f t="shared" si="1393"/>
        <v>0.42793153588328076</v>
      </c>
      <c r="J2937" s="8">
        <v>112786</v>
      </c>
      <c r="K2937" s="8">
        <f>226110-112786</f>
        <v>113324</v>
      </c>
      <c r="L2937" s="1">
        <f t="shared" si="1378"/>
        <v>226110</v>
      </c>
      <c r="M2937" s="2">
        <f t="shared" si="1379"/>
        <v>0.49881031356419442</v>
      </c>
      <c r="N2937" s="2">
        <f t="shared" si="1380"/>
        <v>0.50118968643580553</v>
      </c>
      <c r="O2937" s="5">
        <f t="shared" si="1381"/>
        <v>1393.1264787066245</v>
      </c>
    </row>
    <row r="2938" spans="1:15" x14ac:dyDescent="0.35">
      <c r="A2938" t="s">
        <v>36</v>
      </c>
      <c r="B2938" t="s">
        <v>26</v>
      </c>
      <c r="C2938">
        <v>2006</v>
      </c>
      <c r="D2938" t="s">
        <v>18</v>
      </c>
      <c r="E2938" s="8">
        <v>77035</v>
      </c>
      <c r="F2938" s="8">
        <v>61522</v>
      </c>
      <c r="G2938" s="1">
        <f t="shared" si="1391"/>
        <v>138557</v>
      </c>
      <c r="H2938" s="2">
        <f t="shared" si="1392"/>
        <v>0.55598057117287469</v>
      </c>
      <c r="I2938" s="2">
        <f t="shared" si="1393"/>
        <v>0.44401942882712531</v>
      </c>
      <c r="J2938" s="8">
        <v>74507</v>
      </c>
      <c r="K2938" s="8">
        <v>79703</v>
      </c>
      <c r="L2938" s="1">
        <f t="shared" si="1378"/>
        <v>154210</v>
      </c>
      <c r="M2938" s="2">
        <f t="shared" si="1379"/>
        <v>0.48315284352506321</v>
      </c>
      <c r="N2938" s="2">
        <f t="shared" si="1380"/>
        <v>0.51684715647493673</v>
      </c>
      <c r="O2938" s="5">
        <f t="shared" si="1381"/>
        <v>1112.9715568322063</v>
      </c>
    </row>
    <row r="2939" spans="1:15" x14ac:dyDescent="0.35">
      <c r="A2939" t="s">
        <v>36</v>
      </c>
      <c r="B2939" t="s">
        <v>27</v>
      </c>
      <c r="C2939">
        <v>2006</v>
      </c>
      <c r="D2939" t="s">
        <v>18</v>
      </c>
      <c r="E2939" s="8">
        <v>84016</v>
      </c>
      <c r="F2939" s="8">
        <v>69165</v>
      </c>
      <c r="G2939" s="1">
        <f t="shared" si="1391"/>
        <v>153181</v>
      </c>
      <c r="H2939" s="2">
        <f t="shared" si="1392"/>
        <v>0.54847533310266938</v>
      </c>
      <c r="I2939" s="2">
        <f t="shared" si="1393"/>
        <v>0.45152466689733062</v>
      </c>
      <c r="J2939" s="8">
        <v>57904</v>
      </c>
      <c r="K2939" s="8">
        <v>63854</v>
      </c>
      <c r="L2939" s="1">
        <f t="shared" si="1378"/>
        <v>121758</v>
      </c>
      <c r="M2939" s="2">
        <f t="shared" si="1379"/>
        <v>0.47556628722548006</v>
      </c>
      <c r="N2939" s="2">
        <f t="shared" si="1380"/>
        <v>0.52443371277452</v>
      </c>
      <c r="O2939" s="5">
        <f t="shared" si="1381"/>
        <v>794.86359274322535</v>
      </c>
    </row>
    <row r="2940" spans="1:15" x14ac:dyDescent="0.35">
      <c r="A2940" t="s">
        <v>36</v>
      </c>
      <c r="B2940" t="s">
        <v>28</v>
      </c>
      <c r="C2940">
        <v>2006</v>
      </c>
      <c r="D2940" t="s">
        <v>18</v>
      </c>
      <c r="E2940" s="8">
        <v>73712</v>
      </c>
      <c r="F2940" s="8">
        <v>63424</v>
      </c>
      <c r="G2940" s="1">
        <f t="shared" si="1391"/>
        <v>137136</v>
      </c>
      <c r="H2940" s="2">
        <f t="shared" si="1392"/>
        <v>0.53751020884377554</v>
      </c>
      <c r="I2940" s="2">
        <f t="shared" si="1393"/>
        <v>0.46248979115622446</v>
      </c>
      <c r="J2940" s="8">
        <v>41649</v>
      </c>
      <c r="K2940" s="8">
        <v>46224</v>
      </c>
      <c r="L2940" s="1">
        <f t="shared" si="1378"/>
        <v>87873</v>
      </c>
      <c r="M2940" s="2">
        <f t="shared" si="1379"/>
        <v>0.47396811307227477</v>
      </c>
      <c r="N2940" s="2">
        <f t="shared" si="1380"/>
        <v>0.52603188692772529</v>
      </c>
      <c r="O2940" s="5">
        <f t="shared" si="1381"/>
        <v>640.77266363318165</v>
      </c>
    </row>
    <row r="2941" spans="1:15" x14ac:dyDescent="0.35">
      <c r="A2941" t="s">
        <v>36</v>
      </c>
      <c r="B2941" t="s">
        <v>29</v>
      </c>
      <c r="C2941">
        <v>2006</v>
      </c>
      <c r="D2941" t="s">
        <v>18</v>
      </c>
      <c r="E2941" s="8">
        <v>69382</v>
      </c>
      <c r="F2941" s="8">
        <v>60994</v>
      </c>
      <c r="G2941" s="1">
        <f t="shared" si="1391"/>
        <v>130376</v>
      </c>
      <c r="H2941" s="2">
        <f t="shared" si="1392"/>
        <v>0.53216849726943605</v>
      </c>
      <c r="I2941" s="2">
        <f t="shared" si="1393"/>
        <v>0.4678315027305639</v>
      </c>
      <c r="J2941" s="8">
        <v>54357</v>
      </c>
      <c r="K2941" s="8">
        <v>60843</v>
      </c>
      <c r="L2941" s="1">
        <f t="shared" si="1378"/>
        <v>115200</v>
      </c>
      <c r="M2941" s="2">
        <f t="shared" si="1379"/>
        <v>0.47184895833333335</v>
      </c>
      <c r="N2941" s="2">
        <f t="shared" si="1380"/>
        <v>0.52815104166666671</v>
      </c>
      <c r="O2941" s="5">
        <f t="shared" si="1381"/>
        <v>883.59820825918882</v>
      </c>
    </row>
    <row r="2942" spans="1:15" x14ac:dyDescent="0.35">
      <c r="A2942" t="s">
        <v>36</v>
      </c>
      <c r="B2942" t="s">
        <v>17</v>
      </c>
      <c r="C2942">
        <v>2007</v>
      </c>
      <c r="D2942" t="s">
        <v>18</v>
      </c>
      <c r="E2942" s="8">
        <v>78120</v>
      </c>
      <c r="F2942" s="8">
        <v>68138</v>
      </c>
      <c r="G2942" s="1">
        <f>SUM(E2942:F2942)</f>
        <v>146258</v>
      </c>
      <c r="H2942" s="2">
        <f>SUM(E2942)/G2942</f>
        <v>0.53412462908011871</v>
      </c>
      <c r="I2942" s="2">
        <f>SUM(F2942/G2942)</f>
        <v>0.46587537091988129</v>
      </c>
      <c r="J2942" s="8">
        <v>77596</v>
      </c>
      <c r="K2942" s="8">
        <v>84695</v>
      </c>
      <c r="L2942" s="1">
        <f t="shared" si="1378"/>
        <v>162291</v>
      </c>
      <c r="M2942" s="2">
        <f t="shared" si="1379"/>
        <v>0.47812879334035774</v>
      </c>
      <c r="N2942" s="2">
        <f t="shared" si="1380"/>
        <v>0.52187120665964226</v>
      </c>
      <c r="O2942" s="5">
        <f t="shared" si="1381"/>
        <v>1109.6213540455906</v>
      </c>
    </row>
    <row r="2943" spans="1:15" x14ac:dyDescent="0.35">
      <c r="A2943" t="s">
        <v>36</v>
      </c>
      <c r="B2943" t="s">
        <v>19</v>
      </c>
      <c r="C2943">
        <v>2007</v>
      </c>
      <c r="D2943" t="s">
        <v>18</v>
      </c>
      <c r="E2943" s="8">
        <v>72842</v>
      </c>
      <c r="F2943" s="8">
        <v>65307</v>
      </c>
      <c r="G2943" s="1">
        <f t="shared" ref="G2943:G2953" si="1394">SUM(E2943:F2943)</f>
        <v>138149</v>
      </c>
      <c r="H2943" s="2">
        <f t="shared" ref="H2943:H2953" si="1395">SUM(E2943)/G2943</f>
        <v>0.52727127956047459</v>
      </c>
      <c r="I2943" s="2">
        <f t="shared" ref="I2943:I2953" si="1396">SUM(F2943/G2943)</f>
        <v>0.47272872043952546</v>
      </c>
      <c r="J2943" s="8">
        <v>68708</v>
      </c>
      <c r="K2943" s="8">
        <v>77444</v>
      </c>
      <c r="L2943" s="1">
        <f t="shared" si="1378"/>
        <v>146152</v>
      </c>
      <c r="M2943" s="2">
        <f t="shared" si="1379"/>
        <v>0.47011330669440032</v>
      </c>
      <c r="N2943" s="2">
        <f t="shared" si="1380"/>
        <v>0.52988669330559968</v>
      </c>
      <c r="O2943" s="5">
        <f t="shared" si="1381"/>
        <v>1057.9302057922966</v>
      </c>
    </row>
    <row r="2944" spans="1:15" x14ac:dyDescent="0.35">
      <c r="A2944" t="s">
        <v>36</v>
      </c>
      <c r="B2944" t="s">
        <v>20</v>
      </c>
      <c r="C2944">
        <v>2007</v>
      </c>
      <c r="D2944" t="s">
        <v>18</v>
      </c>
      <c r="E2944" s="8">
        <v>80652</v>
      </c>
      <c r="F2944" s="8">
        <v>72150</v>
      </c>
      <c r="G2944" s="1">
        <f t="shared" si="1394"/>
        <v>152802</v>
      </c>
      <c r="H2944" s="2">
        <f t="shared" si="1395"/>
        <v>0.52782031648800409</v>
      </c>
      <c r="I2944" s="2">
        <f t="shared" si="1396"/>
        <v>0.47217968351199591</v>
      </c>
      <c r="J2944" s="8">
        <v>53280</v>
      </c>
      <c r="K2944" s="8">
        <v>60767</v>
      </c>
      <c r="L2944" s="1">
        <f t="shared" si="1378"/>
        <v>114047</v>
      </c>
      <c r="M2944" s="2">
        <f t="shared" si="1379"/>
        <v>0.46717581348040721</v>
      </c>
      <c r="N2944" s="2">
        <f t="shared" si="1380"/>
        <v>0.53282418651959285</v>
      </c>
      <c r="O2944" s="5">
        <f t="shared" si="1381"/>
        <v>746.37112079684823</v>
      </c>
    </row>
    <row r="2945" spans="1:15" x14ac:dyDescent="0.35">
      <c r="A2945" t="s">
        <v>36</v>
      </c>
      <c r="B2945" t="s">
        <v>21</v>
      </c>
      <c r="C2945">
        <v>2007</v>
      </c>
      <c r="D2945" t="s">
        <v>18</v>
      </c>
      <c r="E2945" s="8">
        <v>71689</v>
      </c>
      <c r="F2945" s="8">
        <v>67107</v>
      </c>
      <c r="G2945" s="1">
        <f t="shared" si="1394"/>
        <v>138796</v>
      </c>
      <c r="H2945" s="2">
        <f t="shared" si="1395"/>
        <v>0.51650623937289264</v>
      </c>
      <c r="I2945" s="2">
        <f t="shared" si="1396"/>
        <v>0.48349376062710742</v>
      </c>
      <c r="J2945" s="8">
        <v>41125</v>
      </c>
      <c r="K2945" s="8">
        <v>49970</v>
      </c>
      <c r="L2945" s="1">
        <f t="shared" si="1378"/>
        <v>91095</v>
      </c>
      <c r="M2945" s="2">
        <f t="shared" si="1379"/>
        <v>0.4514517811076349</v>
      </c>
      <c r="N2945" s="2">
        <f t="shared" si="1380"/>
        <v>0.54854821889236516</v>
      </c>
      <c r="O2945" s="5">
        <f t="shared" si="1381"/>
        <v>656.32294878814946</v>
      </c>
    </row>
    <row r="2946" spans="1:15" x14ac:dyDescent="0.35">
      <c r="A2946" t="s">
        <v>36</v>
      </c>
      <c r="B2946" t="s">
        <v>22</v>
      </c>
      <c r="C2946">
        <v>2007</v>
      </c>
      <c r="D2946" t="s">
        <v>18</v>
      </c>
      <c r="E2946" s="8">
        <v>77849</v>
      </c>
      <c r="F2946" s="8">
        <v>75322</v>
      </c>
      <c r="G2946" s="1">
        <f t="shared" si="1394"/>
        <v>153171</v>
      </c>
      <c r="H2946" s="2">
        <f t="shared" si="1395"/>
        <v>0.50824895051935415</v>
      </c>
      <c r="I2946" s="2">
        <f t="shared" si="1396"/>
        <v>0.4917510494806458</v>
      </c>
      <c r="J2946" s="8">
        <v>45253</v>
      </c>
      <c r="K2946" s="8">
        <v>57605</v>
      </c>
      <c r="L2946" s="1">
        <f t="shared" si="1378"/>
        <v>102858</v>
      </c>
      <c r="M2946" s="2">
        <f t="shared" si="1379"/>
        <v>0.43995605592175618</v>
      </c>
      <c r="N2946" s="2">
        <f t="shared" si="1380"/>
        <v>0.56004394407824376</v>
      </c>
      <c r="O2946" s="5">
        <f t="shared" si="1381"/>
        <v>671.52398299939284</v>
      </c>
    </row>
    <row r="2947" spans="1:15" x14ac:dyDescent="0.35">
      <c r="A2947" t="s">
        <v>36</v>
      </c>
      <c r="B2947" t="s">
        <v>23</v>
      </c>
      <c r="C2947">
        <v>2007</v>
      </c>
      <c r="D2947" t="s">
        <v>18</v>
      </c>
      <c r="E2947" s="8">
        <v>73482</v>
      </c>
      <c r="F2947" s="8">
        <v>73163</v>
      </c>
      <c r="G2947" s="1">
        <f t="shared" si="1394"/>
        <v>146645</v>
      </c>
      <c r="H2947" s="2">
        <f t="shared" si="1395"/>
        <v>0.5010876606771455</v>
      </c>
      <c r="I2947" s="2">
        <f t="shared" si="1396"/>
        <v>0.4989123393228545</v>
      </c>
      <c r="J2947" s="8">
        <v>55009</v>
      </c>
      <c r="K2947" s="8">
        <v>73639</v>
      </c>
      <c r="L2947" s="1">
        <f t="shared" ref="L2947:L3010" si="1397">SUM(J2947:K2947)</f>
        <v>128648</v>
      </c>
      <c r="M2947" s="2">
        <f t="shared" ref="M2947:M3010" si="1398">SUM(J2947)/L2947</f>
        <v>0.4275931223182638</v>
      </c>
      <c r="N2947" s="2">
        <f t="shared" ref="N2947:N3010" si="1399">SUM(K2947/L2947)</f>
        <v>0.57240687768173626</v>
      </c>
      <c r="O2947" s="5">
        <f t="shared" ref="O2947:O3010" si="1400">SUM(1000*L2947)/G2947</f>
        <v>877.27505199631764</v>
      </c>
    </row>
    <row r="2948" spans="1:15" x14ac:dyDescent="0.35">
      <c r="A2948" t="s">
        <v>36</v>
      </c>
      <c r="B2948" t="s">
        <v>24</v>
      </c>
      <c r="C2948">
        <v>2007</v>
      </c>
      <c r="D2948" t="s">
        <v>18</v>
      </c>
      <c r="E2948" s="8">
        <v>71790</v>
      </c>
      <c r="F2948" s="8">
        <v>74536</v>
      </c>
      <c r="G2948" s="1">
        <f t="shared" si="1394"/>
        <v>146326</v>
      </c>
      <c r="H2948" s="2">
        <f t="shared" si="1395"/>
        <v>0.4906168418462884</v>
      </c>
      <c r="I2948" s="2">
        <f t="shared" si="1396"/>
        <v>0.5093831581537116</v>
      </c>
      <c r="J2948" s="8">
        <v>65302</v>
      </c>
      <c r="K2948" s="8">
        <v>89422</v>
      </c>
      <c r="L2948" s="1">
        <f t="shared" si="1397"/>
        <v>154724</v>
      </c>
      <c r="M2948" s="2">
        <f t="shared" si="1398"/>
        <v>0.42205475556474753</v>
      </c>
      <c r="N2948" s="2">
        <f t="shared" si="1399"/>
        <v>0.57794524443525241</v>
      </c>
      <c r="O2948" s="5">
        <f t="shared" si="1400"/>
        <v>1057.3923977967006</v>
      </c>
    </row>
    <row r="2949" spans="1:15" x14ac:dyDescent="0.35">
      <c r="A2949" t="s">
        <v>36</v>
      </c>
      <c r="B2949" t="s">
        <v>25</v>
      </c>
      <c r="C2949">
        <v>2007</v>
      </c>
      <c r="D2949" t="s">
        <v>18</v>
      </c>
      <c r="E2949" s="8">
        <v>79087</v>
      </c>
      <c r="F2949" s="8">
        <v>83054</v>
      </c>
      <c r="G2949" s="1">
        <f t="shared" si="1394"/>
        <v>162141</v>
      </c>
      <c r="H2949" s="2">
        <f t="shared" si="1395"/>
        <v>0.48776682023670753</v>
      </c>
      <c r="I2949" s="2">
        <f t="shared" si="1396"/>
        <v>0.51223317976329241</v>
      </c>
      <c r="J2949" s="8">
        <v>75052</v>
      </c>
      <c r="K2949" s="8">
        <v>103779</v>
      </c>
      <c r="L2949" s="1">
        <f t="shared" si="1397"/>
        <v>178831</v>
      </c>
      <c r="M2949" s="2">
        <f t="shared" si="1398"/>
        <v>0.41968115147821128</v>
      </c>
      <c r="N2949" s="2">
        <f t="shared" si="1399"/>
        <v>0.58031884852178872</v>
      </c>
      <c r="O2949" s="5">
        <f t="shared" si="1400"/>
        <v>1102.9350996971771</v>
      </c>
    </row>
    <row r="2950" spans="1:15" x14ac:dyDescent="0.35">
      <c r="A2950" t="s">
        <v>36</v>
      </c>
      <c r="B2950" t="s">
        <v>26</v>
      </c>
      <c r="C2950">
        <v>2007</v>
      </c>
      <c r="D2950" t="s">
        <v>18</v>
      </c>
      <c r="E2950" s="8">
        <v>62628</v>
      </c>
      <c r="F2950" s="8">
        <v>68438</v>
      </c>
      <c r="G2950" s="1">
        <f t="shared" si="1394"/>
        <v>131066</v>
      </c>
      <c r="H2950" s="2">
        <f t="shared" si="1395"/>
        <v>0.47783559428074407</v>
      </c>
      <c r="I2950" s="2">
        <f t="shared" si="1396"/>
        <v>0.52216440571925593</v>
      </c>
      <c r="J2950" s="8">
        <v>60829</v>
      </c>
      <c r="K2950" s="8">
        <v>87982</v>
      </c>
      <c r="L2950" s="1">
        <f t="shared" si="1397"/>
        <v>148811</v>
      </c>
      <c r="M2950" s="2">
        <f t="shared" si="1398"/>
        <v>0.40876682503309569</v>
      </c>
      <c r="N2950" s="2">
        <f t="shared" si="1399"/>
        <v>0.59123317496690431</v>
      </c>
      <c r="O2950" s="5">
        <f t="shared" si="1400"/>
        <v>1135.3898036103947</v>
      </c>
    </row>
    <row r="2951" spans="1:15" x14ac:dyDescent="0.35">
      <c r="A2951" t="s">
        <v>36</v>
      </c>
      <c r="B2951" t="s">
        <v>27</v>
      </c>
      <c r="C2951">
        <v>2007</v>
      </c>
      <c r="D2951" t="s">
        <v>18</v>
      </c>
      <c r="E2951" s="8">
        <v>69253</v>
      </c>
      <c r="F2951" s="8">
        <v>78195</v>
      </c>
      <c r="G2951" s="1">
        <f t="shared" si="1394"/>
        <v>147448</v>
      </c>
      <c r="H2951" s="2">
        <f t="shared" si="1395"/>
        <v>0.46967744560794317</v>
      </c>
      <c r="I2951" s="2">
        <f t="shared" si="1396"/>
        <v>0.53032255439205689</v>
      </c>
      <c r="J2951" s="8">
        <v>57313</v>
      </c>
      <c r="K2951" s="8">
        <v>84652</v>
      </c>
      <c r="L2951" s="1">
        <f t="shared" si="1397"/>
        <v>141965</v>
      </c>
      <c r="M2951" s="2">
        <f t="shared" si="1398"/>
        <v>0.40371218258021341</v>
      </c>
      <c r="N2951" s="2">
        <f t="shared" si="1399"/>
        <v>0.59628781741978654</v>
      </c>
      <c r="O2951" s="5">
        <f t="shared" si="1400"/>
        <v>962.81400900656502</v>
      </c>
    </row>
    <row r="2952" spans="1:15" x14ac:dyDescent="0.35">
      <c r="A2952" t="s">
        <v>36</v>
      </c>
      <c r="B2952" t="s">
        <v>28</v>
      </c>
      <c r="C2952">
        <v>2007</v>
      </c>
      <c r="D2952" t="s">
        <v>18</v>
      </c>
      <c r="E2952" s="8">
        <v>68509</v>
      </c>
      <c r="F2952" s="8">
        <v>78921</v>
      </c>
      <c r="G2952" s="1">
        <f t="shared" si="1394"/>
        <v>147430</v>
      </c>
      <c r="H2952" s="2">
        <f t="shared" si="1395"/>
        <v>0.46468832666350135</v>
      </c>
      <c r="I2952" s="2">
        <f t="shared" si="1396"/>
        <v>0.53531167333649865</v>
      </c>
      <c r="J2952" s="8">
        <v>41118</v>
      </c>
      <c r="K2952" s="8">
        <v>60612</v>
      </c>
      <c r="L2952" s="1">
        <f t="shared" si="1397"/>
        <v>101730</v>
      </c>
      <c r="M2952" s="2">
        <f t="shared" si="1398"/>
        <v>0.40418755529342376</v>
      </c>
      <c r="N2952" s="2">
        <f t="shared" si="1399"/>
        <v>0.59581244470657624</v>
      </c>
      <c r="O2952" s="5">
        <f t="shared" si="1400"/>
        <v>690.02238350403582</v>
      </c>
    </row>
    <row r="2953" spans="1:15" x14ac:dyDescent="0.35">
      <c r="A2953" t="s">
        <v>36</v>
      </c>
      <c r="B2953" t="s">
        <v>29</v>
      </c>
      <c r="C2953">
        <v>2007</v>
      </c>
      <c r="D2953" t="s">
        <v>18</v>
      </c>
      <c r="E2953" s="8">
        <v>67750</v>
      </c>
      <c r="F2953" s="8">
        <v>79971</v>
      </c>
      <c r="G2953" s="1">
        <f t="shared" si="1394"/>
        <v>147721</v>
      </c>
      <c r="H2953" s="2">
        <f t="shared" si="1395"/>
        <v>0.458634858957088</v>
      </c>
      <c r="I2953" s="2">
        <f t="shared" si="1396"/>
        <v>0.541365141042912</v>
      </c>
      <c r="J2953" s="8">
        <v>51989</v>
      </c>
      <c r="K2953" s="8">
        <v>76091</v>
      </c>
      <c r="L2953" s="1">
        <f t="shared" si="1397"/>
        <v>128080</v>
      </c>
      <c r="M2953" s="2">
        <f t="shared" si="1398"/>
        <v>0.40591036851967521</v>
      </c>
      <c r="N2953" s="2">
        <f t="shared" si="1399"/>
        <v>0.59408963148032479</v>
      </c>
      <c r="O2953" s="5">
        <f t="shared" si="1400"/>
        <v>867.03989277083144</v>
      </c>
    </row>
    <row r="2954" spans="1:15" x14ac:dyDescent="0.35">
      <c r="A2954" t="s">
        <v>36</v>
      </c>
      <c r="B2954" t="s">
        <v>17</v>
      </c>
      <c r="C2954">
        <v>2008</v>
      </c>
      <c r="D2954" t="s">
        <v>18</v>
      </c>
      <c r="E2954" s="8">
        <v>66935</v>
      </c>
      <c r="F2954" s="8">
        <v>80224</v>
      </c>
      <c r="G2954" s="1">
        <f>SUM(E2954:F2954)</f>
        <v>147159</v>
      </c>
      <c r="H2954" s="2">
        <f>SUM(E2954)/G2954</f>
        <v>0.45484815743515516</v>
      </c>
      <c r="I2954" s="2">
        <f>SUM(F2954/G2954)</f>
        <v>0.54515184256484484</v>
      </c>
      <c r="J2954" s="8">
        <v>65582</v>
      </c>
      <c r="K2954" s="8">
        <v>97330</v>
      </c>
      <c r="L2954" s="1">
        <f t="shared" si="1397"/>
        <v>162912</v>
      </c>
      <c r="M2954" s="2">
        <f t="shared" si="1398"/>
        <v>0.40256089176978982</v>
      </c>
      <c r="N2954" s="2">
        <f t="shared" si="1399"/>
        <v>0.59743910823021018</v>
      </c>
      <c r="O2954" s="5">
        <f t="shared" si="1400"/>
        <v>1107.0474792571301</v>
      </c>
    </row>
    <row r="2955" spans="1:15" x14ac:dyDescent="0.35">
      <c r="A2955" t="s">
        <v>36</v>
      </c>
      <c r="B2955" t="s">
        <v>19</v>
      </c>
      <c r="C2955">
        <v>2008</v>
      </c>
      <c r="D2955" t="s">
        <v>18</v>
      </c>
      <c r="E2955" s="8">
        <v>66594</v>
      </c>
      <c r="F2955" s="8">
        <v>80892</v>
      </c>
      <c r="G2955" s="1">
        <f t="shared" ref="G2955:G2965" si="1401">SUM(E2955:F2955)</f>
        <v>147486</v>
      </c>
      <c r="H2955" s="2">
        <f t="shared" ref="H2955:H2965" si="1402">SUM(E2955)/G2955</f>
        <v>0.45152760261990971</v>
      </c>
      <c r="I2955" s="2">
        <f t="shared" ref="I2955:I2965" si="1403">SUM(F2955/G2955)</f>
        <v>0.54847239738009035</v>
      </c>
      <c r="J2955" s="8">
        <v>53507</v>
      </c>
      <c r="K2955" s="8">
        <v>81161</v>
      </c>
      <c r="L2955" s="1">
        <f t="shared" si="1397"/>
        <v>134668</v>
      </c>
      <c r="M2955" s="2">
        <f t="shared" si="1398"/>
        <v>0.39732527400718803</v>
      </c>
      <c r="N2955" s="2">
        <f t="shared" si="1399"/>
        <v>0.60267472599281191</v>
      </c>
      <c r="O2955" s="5">
        <f t="shared" si="1400"/>
        <v>913.09005600531577</v>
      </c>
    </row>
    <row r="2956" spans="1:15" x14ac:dyDescent="0.35">
      <c r="A2956" t="s">
        <v>36</v>
      </c>
      <c r="B2956" t="s">
        <v>20</v>
      </c>
      <c r="C2956">
        <v>2008</v>
      </c>
      <c r="D2956" t="s">
        <v>18</v>
      </c>
      <c r="E2956" s="8">
        <v>66131</v>
      </c>
      <c r="F2956" s="8">
        <v>81991</v>
      </c>
      <c r="G2956" s="1">
        <f t="shared" si="1401"/>
        <v>148122</v>
      </c>
      <c r="H2956" s="2">
        <f t="shared" si="1402"/>
        <v>0.44646305072845355</v>
      </c>
      <c r="I2956" s="2">
        <f t="shared" si="1403"/>
        <v>0.5535369492715464</v>
      </c>
      <c r="J2956" s="8">
        <v>43697</v>
      </c>
      <c r="K2956" s="8">
        <v>67777</v>
      </c>
      <c r="L2956" s="1">
        <f t="shared" si="1397"/>
        <v>111474</v>
      </c>
      <c r="M2956" s="2">
        <f t="shared" si="1398"/>
        <v>0.39199275167303588</v>
      </c>
      <c r="N2956" s="2">
        <f t="shared" si="1399"/>
        <v>0.60800724832696418</v>
      </c>
      <c r="O2956" s="5">
        <f t="shared" si="1400"/>
        <v>752.58233078138289</v>
      </c>
    </row>
    <row r="2957" spans="1:15" x14ac:dyDescent="0.35">
      <c r="A2957" t="s">
        <v>36</v>
      </c>
      <c r="B2957" t="s">
        <v>21</v>
      </c>
      <c r="C2957">
        <v>2008</v>
      </c>
      <c r="D2957" t="s">
        <v>18</v>
      </c>
      <c r="E2957" s="8">
        <v>65201</v>
      </c>
      <c r="F2957" s="8">
        <v>83015</v>
      </c>
      <c r="G2957" s="1">
        <f t="shared" si="1401"/>
        <v>148216</v>
      </c>
      <c r="H2957" s="2">
        <f t="shared" si="1402"/>
        <v>0.43990527338478974</v>
      </c>
      <c r="I2957" s="2">
        <f t="shared" si="1403"/>
        <v>0.5600947266152102</v>
      </c>
      <c r="J2957" s="8">
        <v>37074</v>
      </c>
      <c r="K2957" s="8">
        <v>59904</v>
      </c>
      <c r="L2957" s="1">
        <f t="shared" si="1397"/>
        <v>96978</v>
      </c>
      <c r="M2957" s="2">
        <f t="shared" si="1398"/>
        <v>0.38229289117119347</v>
      </c>
      <c r="N2957" s="2">
        <f t="shared" si="1399"/>
        <v>0.61770710882880653</v>
      </c>
      <c r="O2957" s="5">
        <f t="shared" si="1400"/>
        <v>654.30182976196897</v>
      </c>
    </row>
    <row r="2958" spans="1:15" x14ac:dyDescent="0.35">
      <c r="A2958" t="s">
        <v>36</v>
      </c>
      <c r="B2958" t="s">
        <v>22</v>
      </c>
      <c r="C2958">
        <v>2008</v>
      </c>
      <c r="D2958" t="s">
        <v>18</v>
      </c>
      <c r="E2958" s="8">
        <v>64167</v>
      </c>
      <c r="F2958" s="8">
        <v>84817</v>
      </c>
      <c r="G2958" s="1">
        <f t="shared" si="1401"/>
        <v>148984</v>
      </c>
      <c r="H2958" s="2">
        <f t="shared" si="1402"/>
        <v>0.43069725608118992</v>
      </c>
      <c r="I2958" s="2">
        <f t="shared" si="1403"/>
        <v>0.56930274391881008</v>
      </c>
      <c r="J2958" s="8">
        <v>37837</v>
      </c>
      <c r="K2958" s="8">
        <v>64671</v>
      </c>
      <c r="L2958" s="1">
        <f t="shared" si="1397"/>
        <v>102508</v>
      </c>
      <c r="M2958" s="2">
        <f t="shared" si="1398"/>
        <v>0.36911265462207826</v>
      </c>
      <c r="N2958" s="2">
        <f t="shared" si="1399"/>
        <v>0.63088734537792168</v>
      </c>
      <c r="O2958" s="5">
        <f t="shared" si="1400"/>
        <v>688.04703860817267</v>
      </c>
    </row>
    <row r="2959" spans="1:15" x14ac:dyDescent="0.35">
      <c r="A2959" t="s">
        <v>36</v>
      </c>
      <c r="B2959" t="s">
        <v>23</v>
      </c>
      <c r="C2959">
        <v>2008</v>
      </c>
      <c r="D2959" t="s">
        <v>18</v>
      </c>
      <c r="E2959" s="8">
        <v>62847</v>
      </c>
      <c r="F2959" s="8">
        <v>85063</v>
      </c>
      <c r="G2959" s="1">
        <f t="shared" si="1401"/>
        <v>147910</v>
      </c>
      <c r="H2959" s="2">
        <f t="shared" si="1402"/>
        <v>0.42490027719559192</v>
      </c>
      <c r="I2959" s="2">
        <f t="shared" si="1403"/>
        <v>0.57509972280440813</v>
      </c>
      <c r="J2959" s="8">
        <v>60347</v>
      </c>
      <c r="K2959" s="8">
        <v>107283</v>
      </c>
      <c r="L2959" s="1">
        <f t="shared" si="1397"/>
        <v>167630</v>
      </c>
      <c r="M2959" s="2">
        <f t="shared" si="1398"/>
        <v>0.3600011931038597</v>
      </c>
      <c r="N2959" s="2">
        <f t="shared" si="1399"/>
        <v>0.6399988068961403</v>
      </c>
      <c r="O2959" s="5">
        <f t="shared" si="1400"/>
        <v>1133.3243188425395</v>
      </c>
    </row>
    <row r="2960" spans="1:15" x14ac:dyDescent="0.35">
      <c r="A2960" t="s">
        <v>36</v>
      </c>
      <c r="B2960" t="s">
        <v>24</v>
      </c>
      <c r="C2960">
        <v>2008</v>
      </c>
      <c r="D2960" t="s">
        <v>18</v>
      </c>
      <c r="E2960" s="8">
        <v>62266</v>
      </c>
      <c r="F2960" s="8">
        <v>86309</v>
      </c>
      <c r="G2960" s="1">
        <f t="shared" si="1401"/>
        <v>148575</v>
      </c>
      <c r="H2960" s="2">
        <f t="shared" si="1402"/>
        <v>0.419088002692243</v>
      </c>
      <c r="I2960" s="2">
        <f t="shared" si="1403"/>
        <v>0.580911997307757</v>
      </c>
      <c r="J2960" s="8">
        <v>65253</v>
      </c>
      <c r="K2960" s="8">
        <v>117376</v>
      </c>
      <c r="L2960" s="1">
        <f t="shared" si="1397"/>
        <v>182629</v>
      </c>
      <c r="M2960" s="2">
        <f t="shared" si="1398"/>
        <v>0.35729812899375235</v>
      </c>
      <c r="N2960" s="2">
        <f t="shared" si="1399"/>
        <v>0.64270187100624765</v>
      </c>
      <c r="O2960" s="5">
        <f t="shared" si="1400"/>
        <v>1229.2041056705368</v>
      </c>
    </row>
    <row r="2961" spans="1:15" x14ac:dyDescent="0.35">
      <c r="A2961" t="s">
        <v>36</v>
      </c>
      <c r="B2961" t="s">
        <v>25</v>
      </c>
      <c r="C2961">
        <v>2008</v>
      </c>
      <c r="D2961" t="s">
        <v>18</v>
      </c>
      <c r="E2961" s="8">
        <v>61694</v>
      </c>
      <c r="F2961" s="8">
        <v>87326</v>
      </c>
      <c r="G2961" s="1">
        <f t="shared" si="1401"/>
        <v>149020</v>
      </c>
      <c r="H2961" s="2">
        <f t="shared" si="1402"/>
        <v>0.41399812105757616</v>
      </c>
      <c r="I2961" s="2">
        <f t="shared" si="1403"/>
        <v>0.58600187894242384</v>
      </c>
      <c r="J2961" s="8">
        <v>67200</v>
      </c>
      <c r="K2961" s="8">
        <v>122637</v>
      </c>
      <c r="L2961" s="1">
        <f t="shared" si="1397"/>
        <v>189837</v>
      </c>
      <c r="M2961" s="2">
        <f t="shared" si="1398"/>
        <v>0.35398789487823762</v>
      </c>
      <c r="N2961" s="2">
        <f t="shared" si="1399"/>
        <v>0.64601210512176233</v>
      </c>
      <c r="O2961" s="5">
        <f t="shared" si="1400"/>
        <v>1273.9028318346532</v>
      </c>
    </row>
    <row r="2962" spans="1:15" x14ac:dyDescent="0.35">
      <c r="A2962" t="s">
        <v>36</v>
      </c>
      <c r="B2962" t="s">
        <v>26</v>
      </c>
      <c r="C2962">
        <v>2008</v>
      </c>
      <c r="D2962" t="s">
        <v>18</v>
      </c>
      <c r="E2962" s="8">
        <v>61225</v>
      </c>
      <c r="F2962" s="8">
        <v>87775</v>
      </c>
      <c r="G2962" s="1">
        <f t="shared" si="1401"/>
        <v>149000</v>
      </c>
      <c r="H2962" s="2">
        <f t="shared" si="1402"/>
        <v>0.4109060402684564</v>
      </c>
      <c r="I2962" s="2">
        <f t="shared" si="1403"/>
        <v>0.58909395973154366</v>
      </c>
      <c r="J2962" s="8">
        <v>55291</v>
      </c>
      <c r="K2962" s="8">
        <v>102198</v>
      </c>
      <c r="L2962" s="1">
        <f t="shared" si="1397"/>
        <v>157489</v>
      </c>
      <c r="M2962" s="2">
        <f t="shared" si="1398"/>
        <v>0.35107848802138564</v>
      </c>
      <c r="N2962" s="2">
        <f t="shared" si="1399"/>
        <v>0.64892151197861436</v>
      </c>
      <c r="O2962" s="5">
        <f t="shared" si="1400"/>
        <v>1056.9731543624162</v>
      </c>
    </row>
    <row r="2963" spans="1:15" x14ac:dyDescent="0.35">
      <c r="A2963" t="s">
        <v>36</v>
      </c>
      <c r="B2963" t="s">
        <v>27</v>
      </c>
      <c r="C2963">
        <v>2008</v>
      </c>
      <c r="D2963" t="s">
        <v>18</v>
      </c>
      <c r="E2963" s="8">
        <v>60356</v>
      </c>
      <c r="F2963" s="8">
        <v>87321</v>
      </c>
      <c r="G2963" s="1">
        <f t="shared" si="1401"/>
        <v>147677</v>
      </c>
      <c r="H2963" s="2">
        <f t="shared" si="1402"/>
        <v>0.40870277700657515</v>
      </c>
      <c r="I2963" s="2">
        <f t="shared" si="1403"/>
        <v>0.5912972229934248</v>
      </c>
      <c r="J2963" s="8">
        <v>40397</v>
      </c>
      <c r="K2963" s="8">
        <v>76047.97</v>
      </c>
      <c r="L2963" s="1">
        <f t="shared" si="1397"/>
        <v>116444.97</v>
      </c>
      <c r="M2963" s="2">
        <f t="shared" si="1398"/>
        <v>0.34691923575573941</v>
      </c>
      <c r="N2963" s="2">
        <f t="shared" si="1399"/>
        <v>0.65308076424426065</v>
      </c>
      <c r="O2963" s="5">
        <f t="shared" si="1400"/>
        <v>788.51121027648173</v>
      </c>
    </row>
    <row r="2964" spans="1:15" x14ac:dyDescent="0.35">
      <c r="A2964" t="s">
        <v>36</v>
      </c>
      <c r="B2964" t="s">
        <v>28</v>
      </c>
      <c r="C2964">
        <v>2008</v>
      </c>
      <c r="D2964" t="s">
        <v>18</v>
      </c>
      <c r="E2964" s="8">
        <v>60193</v>
      </c>
      <c r="F2964" s="8">
        <v>90639</v>
      </c>
      <c r="G2964" s="1">
        <f t="shared" si="1401"/>
        <v>150832</v>
      </c>
      <c r="H2964" s="2">
        <f t="shared" si="1402"/>
        <v>0.39907314097804181</v>
      </c>
      <c r="I2964" s="2">
        <f t="shared" si="1403"/>
        <v>0.60092685902195819</v>
      </c>
      <c r="J2964" s="8">
        <v>32443</v>
      </c>
      <c r="K2964" s="8">
        <v>60136</v>
      </c>
      <c r="L2964" s="1">
        <f t="shared" si="1397"/>
        <v>92579</v>
      </c>
      <c r="M2964" s="2">
        <f t="shared" si="1398"/>
        <v>0.35043584398189653</v>
      </c>
      <c r="N2964" s="2">
        <f t="shared" si="1399"/>
        <v>0.64956415601810347</v>
      </c>
      <c r="O2964" s="5">
        <f t="shared" si="1400"/>
        <v>613.7888511721651</v>
      </c>
    </row>
    <row r="2965" spans="1:15" x14ac:dyDescent="0.35">
      <c r="A2965" t="s">
        <v>36</v>
      </c>
      <c r="B2965" t="s">
        <v>29</v>
      </c>
      <c r="C2965">
        <v>2008</v>
      </c>
      <c r="D2965" t="s">
        <v>18</v>
      </c>
      <c r="E2965" s="8">
        <v>59648</v>
      </c>
      <c r="F2965" s="8">
        <v>88745</v>
      </c>
      <c r="G2965" s="1">
        <f t="shared" si="1401"/>
        <v>148393</v>
      </c>
      <c r="H2965" s="2">
        <f t="shared" si="1402"/>
        <v>0.40195966117000126</v>
      </c>
      <c r="I2965" s="2">
        <f t="shared" si="1403"/>
        <v>0.59804033882999874</v>
      </c>
      <c r="J2965" s="8">
        <v>44375</v>
      </c>
      <c r="K2965" s="8">
        <v>81420.429999999993</v>
      </c>
      <c r="L2965" s="1">
        <f t="shared" si="1397"/>
        <v>125795.43</v>
      </c>
      <c r="M2965" s="2">
        <f t="shared" si="1398"/>
        <v>0.35275526304890409</v>
      </c>
      <c r="N2965" s="2">
        <f t="shared" si="1399"/>
        <v>0.64724473695109586</v>
      </c>
      <c r="O2965" s="5">
        <f t="shared" si="1400"/>
        <v>847.71808643264842</v>
      </c>
    </row>
    <row r="2966" spans="1:15" x14ac:dyDescent="0.35">
      <c r="A2966" t="s">
        <v>36</v>
      </c>
      <c r="B2966" t="s">
        <v>17</v>
      </c>
      <c r="C2966">
        <v>2009</v>
      </c>
      <c r="D2966" t="s">
        <v>18</v>
      </c>
      <c r="E2966" s="3">
        <v>59465</v>
      </c>
      <c r="F2966" s="3">
        <v>87651</v>
      </c>
      <c r="G2966" s="1">
        <f>SUM(E2966:F2966)</f>
        <v>147116</v>
      </c>
      <c r="H2966" s="2">
        <f>SUM(E2966)/G2966</f>
        <v>0.40420484515620325</v>
      </c>
      <c r="I2966" s="2">
        <f>SUM(F2966/G2966)</f>
        <v>0.59579515484379675</v>
      </c>
      <c r="J2966" s="3">
        <v>54253</v>
      </c>
      <c r="K2966" s="3">
        <v>100667</v>
      </c>
      <c r="L2966" s="1">
        <f t="shared" si="1397"/>
        <v>154920</v>
      </c>
      <c r="M2966" s="2">
        <f t="shared" si="1398"/>
        <v>0.35020010327911177</v>
      </c>
      <c r="N2966" s="2">
        <f t="shared" si="1399"/>
        <v>0.64979989672088823</v>
      </c>
      <c r="O2966" s="5">
        <f t="shared" si="1400"/>
        <v>1053.0465754914489</v>
      </c>
    </row>
    <row r="2967" spans="1:15" x14ac:dyDescent="0.35">
      <c r="A2967" t="s">
        <v>36</v>
      </c>
      <c r="B2967" t="s">
        <v>19</v>
      </c>
      <c r="C2967">
        <v>2009</v>
      </c>
      <c r="D2967" t="s">
        <v>18</v>
      </c>
      <c r="E2967" s="3">
        <v>59126</v>
      </c>
      <c r="F2967" s="3">
        <v>88150</v>
      </c>
      <c r="G2967" s="1">
        <f t="shared" ref="G2967:G2977" si="1404">SUM(E2967:F2967)</f>
        <v>147276</v>
      </c>
      <c r="H2967" s="2">
        <f t="shared" ref="H2967:H2977" si="1405">SUM(E2967)/G2967</f>
        <v>0.40146391808577092</v>
      </c>
      <c r="I2967" s="2">
        <f t="shared" ref="I2967:I2977" si="1406">SUM(F2967/G2967)</f>
        <v>0.59853608191422902</v>
      </c>
      <c r="J2967" s="3">
        <v>43909</v>
      </c>
      <c r="K2967" s="3">
        <v>82403</v>
      </c>
      <c r="L2967" s="1">
        <f t="shared" si="1397"/>
        <v>126312</v>
      </c>
      <c r="M2967" s="2">
        <f t="shared" si="1398"/>
        <v>0.34762334536702766</v>
      </c>
      <c r="N2967" s="2">
        <f t="shared" si="1399"/>
        <v>0.65237665463297234</v>
      </c>
      <c r="O2967" s="5">
        <f t="shared" si="1400"/>
        <v>857.65501507373915</v>
      </c>
    </row>
    <row r="2968" spans="1:15" x14ac:dyDescent="0.35">
      <c r="A2968" t="s">
        <v>36</v>
      </c>
      <c r="B2968" t="s">
        <v>20</v>
      </c>
      <c r="C2968">
        <v>2009</v>
      </c>
      <c r="D2968" t="s">
        <v>18</v>
      </c>
      <c r="E2968" s="3">
        <v>59042</v>
      </c>
      <c r="F2968" s="3">
        <v>88475</v>
      </c>
      <c r="G2968" s="1">
        <f t="shared" si="1404"/>
        <v>147517</v>
      </c>
      <c r="H2968" s="2">
        <f t="shared" si="1405"/>
        <v>0.40023861656622628</v>
      </c>
      <c r="I2968" s="2">
        <f t="shared" si="1406"/>
        <v>0.59976138343377372</v>
      </c>
      <c r="J2968" s="3">
        <v>35800</v>
      </c>
      <c r="K2968" s="3">
        <v>68005</v>
      </c>
      <c r="L2968" s="1">
        <f t="shared" si="1397"/>
        <v>103805</v>
      </c>
      <c r="M2968" s="2">
        <f t="shared" si="1398"/>
        <v>0.34487741438273684</v>
      </c>
      <c r="N2968" s="2">
        <f t="shared" si="1399"/>
        <v>0.65512258561726311</v>
      </c>
      <c r="O2968" s="5">
        <f t="shared" si="1400"/>
        <v>703.68160957720124</v>
      </c>
    </row>
    <row r="2969" spans="1:15" x14ac:dyDescent="0.35">
      <c r="A2969" t="s">
        <v>36</v>
      </c>
      <c r="B2969" t="s">
        <v>21</v>
      </c>
      <c r="C2969">
        <v>2009</v>
      </c>
      <c r="D2969" t="s">
        <v>18</v>
      </c>
      <c r="E2969" s="3">
        <v>58540</v>
      </c>
      <c r="F2969" s="3">
        <v>89029</v>
      </c>
      <c r="G2969" s="1">
        <f t="shared" si="1404"/>
        <v>147569</v>
      </c>
      <c r="H2969" s="2">
        <f t="shared" si="1405"/>
        <v>0.3966957829896523</v>
      </c>
      <c r="I2969" s="2">
        <f t="shared" si="1406"/>
        <v>0.60330421701034775</v>
      </c>
      <c r="J2969" s="3">
        <v>37226</v>
      </c>
      <c r="K2969" s="3">
        <v>65377</v>
      </c>
      <c r="L2969" s="1">
        <f t="shared" si="1397"/>
        <v>102603</v>
      </c>
      <c r="M2969" s="2">
        <f t="shared" si="1398"/>
        <v>0.36281590206914027</v>
      </c>
      <c r="N2969" s="2">
        <f t="shared" si="1399"/>
        <v>0.63718409793085973</v>
      </c>
      <c r="O2969" s="5">
        <f t="shared" si="1400"/>
        <v>695.28830580948568</v>
      </c>
    </row>
    <row r="2970" spans="1:15" x14ac:dyDescent="0.35">
      <c r="A2970" t="s">
        <v>36</v>
      </c>
      <c r="B2970" t="s">
        <v>22</v>
      </c>
      <c r="C2970">
        <v>2009</v>
      </c>
      <c r="D2970" t="s">
        <v>18</v>
      </c>
      <c r="E2970" s="3">
        <v>58378</v>
      </c>
      <c r="F2970" s="3">
        <v>89812</v>
      </c>
      <c r="G2970" s="1">
        <f t="shared" si="1404"/>
        <v>148190</v>
      </c>
      <c r="H2970" s="2">
        <f t="shared" si="1405"/>
        <v>0.39394021189014106</v>
      </c>
      <c r="I2970" s="2">
        <f t="shared" si="1406"/>
        <v>0.60605978810985894</v>
      </c>
      <c r="J2970" s="3">
        <v>36305</v>
      </c>
      <c r="K2970" s="3">
        <v>72536</v>
      </c>
      <c r="L2970" s="1">
        <f t="shared" si="1397"/>
        <v>108841</v>
      </c>
      <c r="M2970" s="2">
        <f t="shared" si="1398"/>
        <v>0.3335599636166518</v>
      </c>
      <c r="N2970" s="2">
        <f t="shared" si="1399"/>
        <v>0.66644003638334814</v>
      </c>
      <c r="O2970" s="5">
        <f t="shared" si="1400"/>
        <v>734.46926243336259</v>
      </c>
    </row>
    <row r="2971" spans="1:15" x14ac:dyDescent="0.35">
      <c r="A2971" t="s">
        <v>36</v>
      </c>
      <c r="B2971" t="s">
        <v>23</v>
      </c>
      <c r="C2971">
        <v>2009</v>
      </c>
      <c r="D2971" t="s">
        <v>18</v>
      </c>
      <c r="E2971" s="3">
        <v>57740</v>
      </c>
      <c r="F2971" s="3">
        <v>90245</v>
      </c>
      <c r="G2971" s="1">
        <f t="shared" si="1404"/>
        <v>147985</v>
      </c>
      <c r="H2971" s="2">
        <f t="shared" si="1405"/>
        <v>0.39017467986620263</v>
      </c>
      <c r="I2971" s="2">
        <f t="shared" si="1406"/>
        <v>0.60982532013379731</v>
      </c>
      <c r="J2971" s="3">
        <v>46791</v>
      </c>
      <c r="K2971" s="3">
        <v>96030</v>
      </c>
      <c r="L2971" s="1">
        <f t="shared" si="1397"/>
        <v>142821</v>
      </c>
      <c r="M2971" s="2">
        <f t="shared" si="1398"/>
        <v>0.32761988783162138</v>
      </c>
      <c r="N2971" s="2">
        <f t="shared" si="1399"/>
        <v>0.67238011216837856</v>
      </c>
      <c r="O2971" s="5">
        <f t="shared" si="1400"/>
        <v>965.10457140926451</v>
      </c>
    </row>
    <row r="2972" spans="1:15" x14ac:dyDescent="0.35">
      <c r="A2972" t="s">
        <v>36</v>
      </c>
      <c r="B2972" t="s">
        <v>24</v>
      </c>
      <c r="C2972">
        <v>2009</v>
      </c>
      <c r="D2972" t="s">
        <v>18</v>
      </c>
      <c r="E2972" s="3">
        <v>57388</v>
      </c>
      <c r="F2972" s="3">
        <v>90757</v>
      </c>
      <c r="G2972" s="1">
        <f t="shared" si="1404"/>
        <v>148145</v>
      </c>
      <c r="H2972" s="2">
        <f t="shared" si="1405"/>
        <v>0.38737723176617506</v>
      </c>
      <c r="I2972" s="2">
        <f t="shared" si="1406"/>
        <v>0.612622768233825</v>
      </c>
      <c r="J2972" s="3">
        <v>64798</v>
      </c>
      <c r="K2972" s="3">
        <v>132833</v>
      </c>
      <c r="L2972" s="1">
        <f t="shared" si="1397"/>
        <v>197631</v>
      </c>
      <c r="M2972" s="2">
        <f t="shared" si="1398"/>
        <v>0.32787366354468683</v>
      </c>
      <c r="N2972" s="2">
        <f t="shared" si="1399"/>
        <v>0.67212633645531317</v>
      </c>
      <c r="O2972" s="5">
        <f t="shared" si="1400"/>
        <v>1334.0375982989638</v>
      </c>
    </row>
    <row r="2973" spans="1:15" x14ac:dyDescent="0.35">
      <c r="A2973" t="s">
        <v>36</v>
      </c>
      <c r="B2973" t="s">
        <v>25</v>
      </c>
      <c r="C2973">
        <v>2009</v>
      </c>
      <c r="D2973" t="s">
        <v>18</v>
      </c>
      <c r="E2973" s="3">
        <v>57053</v>
      </c>
      <c r="F2973" s="3">
        <v>92309</v>
      </c>
      <c r="G2973" s="1">
        <f t="shared" si="1404"/>
        <v>149362</v>
      </c>
      <c r="H2973" s="2">
        <f t="shared" si="1405"/>
        <v>0.38197801314926155</v>
      </c>
      <c r="I2973" s="2">
        <f t="shared" si="1406"/>
        <v>0.6180219868507385</v>
      </c>
      <c r="J2973" s="3">
        <v>62545</v>
      </c>
      <c r="K2973" s="3">
        <v>130935</v>
      </c>
      <c r="L2973" s="1">
        <f t="shared" si="1397"/>
        <v>193480</v>
      </c>
      <c r="M2973" s="2">
        <f t="shared" si="1398"/>
        <v>0.3232633863965268</v>
      </c>
      <c r="N2973" s="2">
        <f t="shared" si="1399"/>
        <v>0.67673661360347326</v>
      </c>
      <c r="O2973" s="5">
        <f t="shared" si="1400"/>
        <v>1295.376334007311</v>
      </c>
    </row>
    <row r="2974" spans="1:15" x14ac:dyDescent="0.35">
      <c r="A2974" t="s">
        <v>36</v>
      </c>
      <c r="B2974" t="s">
        <v>26</v>
      </c>
      <c r="C2974">
        <v>2009</v>
      </c>
      <c r="D2974" t="s">
        <v>18</v>
      </c>
      <c r="E2974" s="3">
        <v>56296</v>
      </c>
      <c r="F2974" s="3">
        <v>92174</v>
      </c>
      <c r="G2974" s="1">
        <f t="shared" si="1404"/>
        <v>148470</v>
      </c>
      <c r="H2974" s="2">
        <f t="shared" si="1405"/>
        <v>0.37917424395500776</v>
      </c>
      <c r="I2974" s="2">
        <f t="shared" si="1406"/>
        <v>0.62082575604499224</v>
      </c>
      <c r="J2974" s="3">
        <v>55995</v>
      </c>
      <c r="K2974" s="3">
        <v>120213</v>
      </c>
      <c r="L2974" s="1">
        <f t="shared" si="1397"/>
        <v>176208</v>
      </c>
      <c r="M2974" s="2">
        <f t="shared" si="1398"/>
        <v>0.31777785344592752</v>
      </c>
      <c r="N2974" s="2">
        <f t="shared" si="1399"/>
        <v>0.68222214655407243</v>
      </c>
      <c r="O2974" s="5">
        <f t="shared" si="1400"/>
        <v>1186.825621337644</v>
      </c>
    </row>
    <row r="2975" spans="1:15" x14ac:dyDescent="0.35">
      <c r="A2975" t="s">
        <v>36</v>
      </c>
      <c r="B2975" t="s">
        <v>27</v>
      </c>
      <c r="C2975">
        <v>2009</v>
      </c>
      <c r="D2975" t="s">
        <v>18</v>
      </c>
      <c r="E2975" s="3">
        <v>55690</v>
      </c>
      <c r="F2975" s="3">
        <v>92176</v>
      </c>
      <c r="G2975" s="1">
        <f t="shared" si="1404"/>
        <v>147866</v>
      </c>
      <c r="H2975" s="2">
        <f t="shared" si="1405"/>
        <v>0.37662478189712306</v>
      </c>
      <c r="I2975" s="2">
        <f t="shared" si="1406"/>
        <v>0.62337521810287688</v>
      </c>
      <c r="J2975" s="3">
        <v>36395</v>
      </c>
      <c r="K2975" s="3">
        <v>79041</v>
      </c>
      <c r="L2975" s="1">
        <f t="shared" si="1397"/>
        <v>115436</v>
      </c>
      <c r="M2975" s="2">
        <f t="shared" si="1398"/>
        <v>0.31528292733635954</v>
      </c>
      <c r="N2975" s="2">
        <f t="shared" si="1399"/>
        <v>0.68471707266364046</v>
      </c>
      <c r="O2975" s="5">
        <f t="shared" si="1400"/>
        <v>780.6798046880283</v>
      </c>
    </row>
    <row r="2976" spans="1:15" x14ac:dyDescent="0.35">
      <c r="A2976" t="s">
        <v>36</v>
      </c>
      <c r="B2976" t="s">
        <v>28</v>
      </c>
      <c r="C2976">
        <v>2009</v>
      </c>
      <c r="D2976" t="s">
        <v>18</v>
      </c>
      <c r="E2976" s="3">
        <v>54831</v>
      </c>
      <c r="F2976" s="3">
        <v>92736</v>
      </c>
      <c r="G2976" s="1">
        <f t="shared" si="1404"/>
        <v>147567</v>
      </c>
      <c r="H2976" s="2">
        <f t="shared" si="1405"/>
        <v>0.3715668137185143</v>
      </c>
      <c r="I2976" s="2">
        <f t="shared" si="1406"/>
        <v>0.6284331862814857</v>
      </c>
      <c r="J2976" s="3">
        <v>29619</v>
      </c>
      <c r="K2976" s="3">
        <v>63648</v>
      </c>
      <c r="L2976" s="1">
        <f t="shared" si="1397"/>
        <v>93267</v>
      </c>
      <c r="M2976" s="2">
        <f t="shared" si="1398"/>
        <v>0.31757213162211717</v>
      </c>
      <c r="N2976" s="2">
        <f t="shared" si="1399"/>
        <v>0.68242786837788283</v>
      </c>
      <c r="O2976" s="5">
        <f t="shared" si="1400"/>
        <v>632.03155176970461</v>
      </c>
    </row>
    <row r="2977" spans="1:15" x14ac:dyDescent="0.35">
      <c r="A2977" t="s">
        <v>36</v>
      </c>
      <c r="B2977" t="s">
        <v>29</v>
      </c>
      <c r="C2977">
        <v>2009</v>
      </c>
      <c r="D2977" t="s">
        <v>18</v>
      </c>
      <c r="E2977" s="3">
        <v>54335</v>
      </c>
      <c r="F2977" s="3">
        <v>92965</v>
      </c>
      <c r="G2977" s="1">
        <f t="shared" si="1404"/>
        <v>147300</v>
      </c>
      <c r="H2977" s="2">
        <f t="shared" si="1405"/>
        <v>0.36887304820095046</v>
      </c>
      <c r="I2977" s="2">
        <f t="shared" si="1406"/>
        <v>0.63112695179904954</v>
      </c>
      <c r="J2977" s="3">
        <v>43196</v>
      </c>
      <c r="K2977" s="3">
        <v>92764</v>
      </c>
      <c r="L2977" s="1">
        <f t="shared" si="1397"/>
        <v>135960</v>
      </c>
      <c r="M2977" s="2">
        <f t="shared" si="1398"/>
        <v>0.31771109149749927</v>
      </c>
      <c r="N2977" s="2">
        <f t="shared" si="1399"/>
        <v>0.68228890850250079</v>
      </c>
      <c r="O2977" s="5">
        <f t="shared" si="1400"/>
        <v>923.01425661914459</v>
      </c>
    </row>
    <row r="2978" spans="1:15" x14ac:dyDescent="0.35">
      <c r="A2978" t="s">
        <v>36</v>
      </c>
      <c r="B2978" t="s">
        <v>17</v>
      </c>
      <c r="C2978">
        <v>2010</v>
      </c>
      <c r="D2978" t="s">
        <v>18</v>
      </c>
      <c r="E2978" s="3">
        <v>48872</v>
      </c>
      <c r="F2978" s="3">
        <v>85484</v>
      </c>
      <c r="G2978" s="1">
        <f>SUM(E2978:F2978)</f>
        <v>134356</v>
      </c>
      <c r="H2978" s="2">
        <f>SUM(E2978)/G2978</f>
        <v>0.36375003721456428</v>
      </c>
      <c r="I2978" s="2">
        <f>SUM(F2978/G2978)</f>
        <v>0.63624996278543566</v>
      </c>
      <c r="J2978" s="3">
        <v>53605</v>
      </c>
      <c r="K2978" s="3">
        <v>117084</v>
      </c>
      <c r="L2978" s="1">
        <f t="shared" si="1397"/>
        <v>170689</v>
      </c>
      <c r="M2978" s="2">
        <f t="shared" si="1398"/>
        <v>0.3140507003966278</v>
      </c>
      <c r="N2978" s="2">
        <f t="shared" si="1399"/>
        <v>0.68594929960337225</v>
      </c>
      <c r="O2978" s="5">
        <f t="shared" si="1400"/>
        <v>1270.4233528833845</v>
      </c>
    </row>
    <row r="2979" spans="1:15" x14ac:dyDescent="0.35">
      <c r="A2979" t="s">
        <v>36</v>
      </c>
      <c r="B2979" t="s">
        <v>19</v>
      </c>
      <c r="C2979">
        <v>2010</v>
      </c>
      <c r="D2979" t="s">
        <v>18</v>
      </c>
      <c r="E2979" s="3">
        <v>53568</v>
      </c>
      <c r="F2979" s="3">
        <v>94414</v>
      </c>
      <c r="G2979" s="1">
        <f t="shared" ref="G2979:G2989" si="1407">SUM(E2979:F2979)</f>
        <v>147982</v>
      </c>
      <c r="H2979" s="2">
        <f t="shared" ref="H2979:H2989" si="1408">SUM(E2979)/G2979</f>
        <v>0.36198997175332137</v>
      </c>
      <c r="I2979" s="2">
        <f t="shared" ref="I2979:I2989" si="1409">SUM(F2979/G2979)</f>
        <v>0.63801002824667863</v>
      </c>
      <c r="J2979" s="3">
        <v>47975</v>
      </c>
      <c r="K2979" s="3">
        <v>106354</v>
      </c>
      <c r="L2979" s="1">
        <f t="shared" si="1397"/>
        <v>154329</v>
      </c>
      <c r="M2979" s="2">
        <f t="shared" si="1398"/>
        <v>0.3108618600522261</v>
      </c>
      <c r="N2979" s="2">
        <f t="shared" si="1399"/>
        <v>0.68913813994777395</v>
      </c>
      <c r="O2979" s="5">
        <f t="shared" si="1400"/>
        <v>1042.89035152924</v>
      </c>
    </row>
    <row r="2980" spans="1:15" x14ac:dyDescent="0.35">
      <c r="A2980" t="s">
        <v>36</v>
      </c>
      <c r="B2980" t="s">
        <v>20</v>
      </c>
      <c r="C2980">
        <v>2010</v>
      </c>
      <c r="D2980" t="s">
        <v>18</v>
      </c>
      <c r="E2980" s="3">
        <v>53137</v>
      </c>
      <c r="F2980" s="3">
        <v>94995</v>
      </c>
      <c r="G2980" s="1">
        <f t="shared" si="1407"/>
        <v>148132</v>
      </c>
      <c r="H2980" s="2">
        <f t="shared" si="1408"/>
        <v>0.35871384980962923</v>
      </c>
      <c r="I2980" s="2">
        <f t="shared" si="1409"/>
        <v>0.64128615019037072</v>
      </c>
      <c r="J2980" s="3">
        <v>40258</v>
      </c>
      <c r="K2980" s="3">
        <v>88932</v>
      </c>
      <c r="L2980" s="1">
        <f t="shared" si="1397"/>
        <v>129190</v>
      </c>
      <c r="M2980" s="2">
        <f t="shared" si="1398"/>
        <v>0.31161854632711511</v>
      </c>
      <c r="N2980" s="2">
        <f t="shared" si="1399"/>
        <v>0.68838145367288495</v>
      </c>
      <c r="O2980" s="5">
        <f t="shared" si="1400"/>
        <v>872.12756190424761</v>
      </c>
    </row>
    <row r="2981" spans="1:15" x14ac:dyDescent="0.35">
      <c r="A2981" t="s">
        <v>36</v>
      </c>
      <c r="B2981" t="s">
        <v>21</v>
      </c>
      <c r="C2981">
        <v>2010</v>
      </c>
      <c r="D2981" t="s">
        <v>18</v>
      </c>
      <c r="E2981" s="3">
        <v>52818</v>
      </c>
      <c r="F2981" s="13">
        <v>95342</v>
      </c>
      <c r="G2981" s="1">
        <f t="shared" si="1407"/>
        <v>148160</v>
      </c>
      <c r="H2981" s="2">
        <f t="shared" si="1408"/>
        <v>0.3564929805615551</v>
      </c>
      <c r="I2981" s="2">
        <f t="shared" si="1409"/>
        <v>0.6435070194384449</v>
      </c>
      <c r="J2981" s="3">
        <v>31231</v>
      </c>
      <c r="K2981" s="3">
        <v>71018</v>
      </c>
      <c r="L2981" s="1">
        <f t="shared" si="1397"/>
        <v>102249</v>
      </c>
      <c r="M2981" s="2">
        <f t="shared" si="1398"/>
        <v>0.30544064000625926</v>
      </c>
      <c r="N2981" s="2">
        <f t="shared" si="1399"/>
        <v>0.69455935999374074</v>
      </c>
      <c r="O2981" s="5">
        <f t="shared" si="1400"/>
        <v>690.12553995680344</v>
      </c>
    </row>
    <row r="2982" spans="1:15" x14ac:dyDescent="0.35">
      <c r="A2982" t="s">
        <v>36</v>
      </c>
      <c r="B2982" t="s">
        <v>22</v>
      </c>
      <c r="C2982">
        <v>2010</v>
      </c>
      <c r="D2982" t="s">
        <v>18</v>
      </c>
      <c r="E2982" s="3">
        <v>52798</v>
      </c>
      <c r="F2982" s="13">
        <v>95789</v>
      </c>
      <c r="G2982" s="1">
        <f t="shared" si="1407"/>
        <v>148587</v>
      </c>
      <c r="H2982" s="2">
        <f t="shared" si="1408"/>
        <v>0.35533391211882603</v>
      </c>
      <c r="I2982" s="2">
        <f t="shared" si="1409"/>
        <v>0.64466608788117397</v>
      </c>
      <c r="J2982" s="3">
        <v>28850</v>
      </c>
      <c r="K2982" s="3">
        <v>67475</v>
      </c>
      <c r="L2982" s="1">
        <f t="shared" si="1397"/>
        <v>96325</v>
      </c>
      <c r="M2982" s="2">
        <f t="shared" si="1398"/>
        <v>0.29950687775759149</v>
      </c>
      <c r="N2982" s="2">
        <f t="shared" si="1399"/>
        <v>0.70049312224240856</v>
      </c>
      <c r="O2982" s="5">
        <f t="shared" si="1400"/>
        <v>648.27340211458602</v>
      </c>
    </row>
    <row r="2983" spans="1:15" x14ac:dyDescent="0.35">
      <c r="A2983" t="s">
        <v>36</v>
      </c>
      <c r="B2983" t="s">
        <v>23</v>
      </c>
      <c r="C2983">
        <v>2010</v>
      </c>
      <c r="D2983" t="s">
        <v>18</v>
      </c>
      <c r="E2983" s="3">
        <v>52550</v>
      </c>
      <c r="F2983" s="13">
        <v>95824</v>
      </c>
      <c r="G2983" s="1">
        <f t="shared" si="1407"/>
        <v>148374</v>
      </c>
      <c r="H2983" s="2">
        <f t="shared" si="1408"/>
        <v>0.35417256392629437</v>
      </c>
      <c r="I2983" s="2">
        <f t="shared" si="1409"/>
        <v>0.64582743607370563</v>
      </c>
      <c r="J2983" s="3">
        <v>46959</v>
      </c>
      <c r="K2983" s="3">
        <v>110767</v>
      </c>
      <c r="L2983" s="1">
        <f t="shared" si="1397"/>
        <v>157726</v>
      </c>
      <c r="M2983" s="2">
        <f t="shared" si="1398"/>
        <v>0.29772516896389944</v>
      </c>
      <c r="N2983" s="2">
        <f t="shared" si="1399"/>
        <v>0.70227483103610056</v>
      </c>
      <c r="O2983" s="5">
        <f t="shared" si="1400"/>
        <v>1063.0299109008317</v>
      </c>
    </row>
    <row r="2984" spans="1:15" x14ac:dyDescent="0.35">
      <c r="A2984" t="s">
        <v>36</v>
      </c>
      <c r="B2984" t="s">
        <v>24</v>
      </c>
      <c r="C2984">
        <v>2010</v>
      </c>
      <c r="D2984" t="s">
        <v>18</v>
      </c>
      <c r="E2984" s="3">
        <v>52250</v>
      </c>
      <c r="F2984" s="3">
        <v>96079</v>
      </c>
      <c r="G2984" s="1">
        <f t="shared" si="1407"/>
        <v>148329</v>
      </c>
      <c r="H2984" s="2">
        <f t="shared" si="1408"/>
        <v>0.35225748167924009</v>
      </c>
      <c r="I2984" s="2">
        <f t="shared" si="1409"/>
        <v>0.64774251832075991</v>
      </c>
      <c r="J2984" s="3">
        <v>55792</v>
      </c>
      <c r="K2984" s="3">
        <v>131953</v>
      </c>
      <c r="L2984" s="1">
        <f t="shared" si="1397"/>
        <v>187745</v>
      </c>
      <c r="M2984" s="2">
        <f t="shared" si="1398"/>
        <v>0.2971690324642467</v>
      </c>
      <c r="N2984" s="2">
        <f t="shared" si="1399"/>
        <v>0.70283096753575325</v>
      </c>
      <c r="O2984" s="5">
        <f t="shared" si="1400"/>
        <v>1265.7336057008406</v>
      </c>
    </row>
    <row r="2985" spans="1:15" x14ac:dyDescent="0.35">
      <c r="A2985" t="s">
        <v>36</v>
      </c>
      <c r="B2985" t="s">
        <v>25</v>
      </c>
      <c r="C2985">
        <v>2010</v>
      </c>
      <c r="D2985" t="s">
        <v>18</v>
      </c>
      <c r="E2985" s="3">
        <v>48720</v>
      </c>
      <c r="F2985" s="3">
        <v>90123</v>
      </c>
      <c r="G2985" s="1">
        <f t="shared" si="1407"/>
        <v>138843</v>
      </c>
      <c r="H2985" s="2">
        <f t="shared" si="1408"/>
        <v>0.35089993733929692</v>
      </c>
      <c r="I2985" s="2">
        <f t="shared" si="1409"/>
        <v>0.64910006266070308</v>
      </c>
      <c r="J2985" s="3">
        <v>53441</v>
      </c>
      <c r="K2985" s="3">
        <v>125713</v>
      </c>
      <c r="L2985" s="1">
        <f t="shared" si="1397"/>
        <v>179154</v>
      </c>
      <c r="M2985" s="2">
        <f t="shared" si="1398"/>
        <v>0.29829643770164216</v>
      </c>
      <c r="N2985" s="2">
        <f t="shared" si="1399"/>
        <v>0.70170356229835784</v>
      </c>
      <c r="O2985" s="5">
        <f t="shared" si="1400"/>
        <v>1290.3351267258702</v>
      </c>
    </row>
    <row r="2986" spans="1:15" x14ac:dyDescent="0.35">
      <c r="A2986" t="s">
        <v>36</v>
      </c>
      <c r="B2986" t="s">
        <v>26</v>
      </c>
      <c r="C2986">
        <v>2010</v>
      </c>
      <c r="D2986" t="s">
        <v>18</v>
      </c>
      <c r="E2986" s="3">
        <v>51501</v>
      </c>
      <c r="F2986" s="3">
        <v>96866</v>
      </c>
      <c r="G2986" s="1">
        <f t="shared" si="1407"/>
        <v>148367</v>
      </c>
      <c r="H2986" s="2">
        <f t="shared" si="1408"/>
        <v>0.34711896850377777</v>
      </c>
      <c r="I2986" s="2">
        <f t="shared" si="1409"/>
        <v>0.65288103149622223</v>
      </c>
      <c r="J2986" s="3">
        <v>57224</v>
      </c>
      <c r="K2986" s="3">
        <v>137839</v>
      </c>
      <c r="L2986" s="1">
        <f t="shared" si="1397"/>
        <v>195063</v>
      </c>
      <c r="M2986" s="2">
        <f t="shared" si="1398"/>
        <v>0.29336163188303266</v>
      </c>
      <c r="N2986" s="2">
        <f t="shared" si="1399"/>
        <v>0.70663836811696734</v>
      </c>
      <c r="O2986" s="5">
        <f t="shared" si="1400"/>
        <v>1314.7330605862489</v>
      </c>
    </row>
    <row r="2987" spans="1:15" x14ac:dyDescent="0.35">
      <c r="A2987" t="s">
        <v>36</v>
      </c>
      <c r="B2987" t="s">
        <v>27</v>
      </c>
      <c r="C2987">
        <v>2010</v>
      </c>
      <c r="D2987" t="s">
        <v>18</v>
      </c>
      <c r="E2987" s="3">
        <v>48945</v>
      </c>
      <c r="F2987" s="3">
        <v>92779</v>
      </c>
      <c r="G2987" s="1">
        <f t="shared" si="1407"/>
        <v>141724</v>
      </c>
      <c r="H2987" s="2">
        <f t="shared" si="1408"/>
        <v>0.34535435070983039</v>
      </c>
      <c r="I2987" s="2">
        <f t="shared" si="1409"/>
        <v>0.65464564929016966</v>
      </c>
      <c r="J2987" s="3">
        <v>36540</v>
      </c>
      <c r="K2987" s="3">
        <v>89110</v>
      </c>
      <c r="L2987" s="1">
        <f t="shared" si="1397"/>
        <v>125650</v>
      </c>
      <c r="M2987" s="2">
        <f t="shared" si="1398"/>
        <v>0.29080779944289692</v>
      </c>
      <c r="N2987" s="2">
        <f t="shared" si="1399"/>
        <v>0.70919220055710308</v>
      </c>
      <c r="O2987" s="5">
        <f t="shared" si="1400"/>
        <v>886.58237136970445</v>
      </c>
    </row>
    <row r="2988" spans="1:15" x14ac:dyDescent="0.35">
      <c r="A2988" t="s">
        <v>36</v>
      </c>
      <c r="B2988" t="s">
        <v>28</v>
      </c>
      <c r="C2988">
        <v>2010</v>
      </c>
      <c r="D2988" t="s">
        <v>18</v>
      </c>
      <c r="E2988" s="3">
        <v>47977</v>
      </c>
      <c r="F2988" s="3">
        <v>91767</v>
      </c>
      <c r="G2988" s="1">
        <f t="shared" si="1407"/>
        <v>139744</v>
      </c>
      <c r="H2988" s="2">
        <f t="shared" si="1408"/>
        <v>0.3433206434623311</v>
      </c>
      <c r="I2988" s="2">
        <f t="shared" si="1409"/>
        <v>0.65667935653766885</v>
      </c>
      <c r="J2988" s="3">
        <v>26152</v>
      </c>
      <c r="K2988" s="3">
        <v>63447</v>
      </c>
      <c r="L2988" s="1">
        <f t="shared" si="1397"/>
        <v>89599</v>
      </c>
      <c r="M2988" s="2">
        <f t="shared" si="1398"/>
        <v>0.29187825756983893</v>
      </c>
      <c r="N2988" s="2">
        <f t="shared" si="1399"/>
        <v>0.70812174243016102</v>
      </c>
      <c r="O2988" s="5">
        <f t="shared" si="1400"/>
        <v>641.16527364323338</v>
      </c>
    </row>
    <row r="2989" spans="1:15" x14ac:dyDescent="0.35">
      <c r="A2989" t="s">
        <v>36</v>
      </c>
      <c r="B2989" t="s">
        <v>29</v>
      </c>
      <c r="C2989">
        <v>2010</v>
      </c>
      <c r="D2989" t="s">
        <v>18</v>
      </c>
      <c r="E2989" s="3">
        <v>49761</v>
      </c>
      <c r="F2989" s="3">
        <v>96654</v>
      </c>
      <c r="G2989" s="1">
        <f t="shared" si="1407"/>
        <v>146415</v>
      </c>
      <c r="H2989" s="2">
        <f t="shared" si="1408"/>
        <v>0.33986271898371068</v>
      </c>
      <c r="I2989" s="2">
        <f t="shared" si="1409"/>
        <v>0.66013728101628932</v>
      </c>
      <c r="J2989" s="3">
        <v>37335</v>
      </c>
      <c r="K2989" s="3">
        <v>88728</v>
      </c>
      <c r="L2989" s="1">
        <f t="shared" si="1397"/>
        <v>126063</v>
      </c>
      <c r="M2989" s="2">
        <f t="shared" si="1398"/>
        <v>0.29616144308797981</v>
      </c>
      <c r="N2989" s="2">
        <f t="shared" si="1399"/>
        <v>0.70383855691202013</v>
      </c>
      <c r="O2989" s="5">
        <f t="shared" si="1400"/>
        <v>860.99784858108796</v>
      </c>
    </row>
    <row r="2990" spans="1:15" x14ac:dyDescent="0.35">
      <c r="A2990" t="s">
        <v>36</v>
      </c>
      <c r="B2990" t="s">
        <v>17</v>
      </c>
      <c r="C2990">
        <v>2011</v>
      </c>
      <c r="D2990" t="s">
        <v>18</v>
      </c>
      <c r="E2990" s="3">
        <v>44858</v>
      </c>
      <c r="F2990" s="3">
        <v>86606</v>
      </c>
      <c r="G2990" s="1">
        <f>SUM(E2990:F2990)</f>
        <v>131464</v>
      </c>
      <c r="H2990" s="2">
        <f>SUM(E2990)/G2990</f>
        <v>0.34121888882127427</v>
      </c>
      <c r="I2990" s="2">
        <f>SUM(F2990/G2990)</f>
        <v>0.65878111117872573</v>
      </c>
      <c r="J2990" s="3">
        <v>41837</v>
      </c>
      <c r="K2990" s="3">
        <v>99399</v>
      </c>
      <c r="L2990" s="1">
        <f t="shared" si="1397"/>
        <v>141236</v>
      </c>
      <c r="M2990" s="2">
        <f t="shared" si="1398"/>
        <v>0.29622051035146846</v>
      </c>
      <c r="N2990" s="2">
        <f t="shared" si="1399"/>
        <v>0.70377948964853154</v>
      </c>
      <c r="O2990" s="5">
        <f t="shared" si="1400"/>
        <v>1074.3321365544939</v>
      </c>
    </row>
    <row r="2991" spans="1:15" x14ac:dyDescent="0.35">
      <c r="A2991" t="s">
        <v>36</v>
      </c>
      <c r="B2991" t="s">
        <v>19</v>
      </c>
      <c r="C2991">
        <v>2011</v>
      </c>
      <c r="D2991" t="s">
        <v>18</v>
      </c>
      <c r="E2991" s="3">
        <v>49461</v>
      </c>
      <c r="F2991" s="3">
        <v>98420</v>
      </c>
      <c r="G2991" s="1">
        <f t="shared" ref="G2991:G3001" si="1410">SUM(E2991:F2991)</f>
        <v>147881</v>
      </c>
      <c r="H2991" s="2">
        <f t="shared" ref="H2991:H3001" si="1411">SUM(E2991)/G2991</f>
        <v>0.33446487378365036</v>
      </c>
      <c r="I2991" s="2">
        <f t="shared" ref="I2991:I3001" si="1412">SUM(F2991/G2991)</f>
        <v>0.66553512621634958</v>
      </c>
      <c r="J2991" s="3">
        <v>47159</v>
      </c>
      <c r="K2991" s="3">
        <v>116302</v>
      </c>
      <c r="L2991" s="1">
        <f t="shared" si="1397"/>
        <v>163461</v>
      </c>
      <c r="M2991" s="2">
        <f t="shared" si="1398"/>
        <v>0.28850306801010639</v>
      </c>
      <c r="N2991" s="2">
        <f t="shared" si="1399"/>
        <v>0.71149693198989361</v>
      </c>
      <c r="O2991" s="5">
        <f t="shared" si="1400"/>
        <v>1105.3549813701557</v>
      </c>
    </row>
    <row r="2992" spans="1:15" x14ac:dyDescent="0.35">
      <c r="A2992" t="s">
        <v>36</v>
      </c>
      <c r="B2992" t="s">
        <v>20</v>
      </c>
      <c r="C2992">
        <v>2011</v>
      </c>
      <c r="D2992" t="s">
        <v>18</v>
      </c>
      <c r="E2992" s="3">
        <v>49397</v>
      </c>
      <c r="F2992" s="3">
        <v>98569</v>
      </c>
      <c r="G2992" s="1">
        <f t="shared" si="1410"/>
        <v>147966</v>
      </c>
      <c r="H2992" s="2">
        <f t="shared" si="1411"/>
        <v>0.33384020653393348</v>
      </c>
      <c r="I2992" s="2">
        <f t="shared" si="1412"/>
        <v>0.66615979346606657</v>
      </c>
      <c r="J2992" s="3">
        <v>30420</v>
      </c>
      <c r="K2992" s="3">
        <v>75220</v>
      </c>
      <c r="L2992" s="1">
        <f t="shared" si="1397"/>
        <v>105640</v>
      </c>
      <c r="M2992" s="2">
        <f t="shared" si="1398"/>
        <v>0.28795910639909128</v>
      </c>
      <c r="N2992" s="2">
        <f t="shared" si="1399"/>
        <v>0.71204089360090872</v>
      </c>
      <c r="O2992" s="5">
        <f t="shared" si="1400"/>
        <v>713.94779881864747</v>
      </c>
    </row>
    <row r="2993" spans="1:15" x14ac:dyDescent="0.35">
      <c r="A2993" t="s">
        <v>36</v>
      </c>
      <c r="B2993" t="s">
        <v>21</v>
      </c>
      <c r="C2993">
        <v>2011</v>
      </c>
      <c r="D2993" t="s">
        <v>18</v>
      </c>
      <c r="E2993" s="3">
        <v>47113</v>
      </c>
      <c r="F2993" s="3">
        <v>94743</v>
      </c>
      <c r="G2993" s="1">
        <f t="shared" si="1410"/>
        <v>141856</v>
      </c>
      <c r="H2993" s="2">
        <f t="shared" si="1411"/>
        <v>0.3321184863523573</v>
      </c>
      <c r="I2993" s="2">
        <f t="shared" si="1412"/>
        <v>0.6678815136476427</v>
      </c>
      <c r="J2993" s="3">
        <v>28265</v>
      </c>
      <c r="K2993" s="3">
        <v>72426</v>
      </c>
      <c r="L2993" s="1">
        <f t="shared" si="1397"/>
        <v>100691</v>
      </c>
      <c r="M2993" s="2">
        <f t="shared" si="1398"/>
        <v>0.28071029188308788</v>
      </c>
      <c r="N2993" s="2">
        <f t="shared" si="1399"/>
        <v>0.71928970811691217</v>
      </c>
      <c r="O2993" s="5">
        <f t="shared" si="1400"/>
        <v>709.81135799684182</v>
      </c>
    </row>
    <row r="2994" spans="1:15" x14ac:dyDescent="0.35">
      <c r="A2994" t="s">
        <v>36</v>
      </c>
      <c r="B2994" t="s">
        <v>22</v>
      </c>
      <c r="C2994">
        <v>2011</v>
      </c>
      <c r="D2994" t="s">
        <v>18</v>
      </c>
      <c r="E2994" s="3">
        <v>44593</v>
      </c>
      <c r="F2994" s="3">
        <v>90543</v>
      </c>
      <c r="G2994" s="1">
        <f t="shared" si="1410"/>
        <v>135136</v>
      </c>
      <c r="H2994" s="2">
        <f t="shared" si="1411"/>
        <v>0.32998608808903623</v>
      </c>
      <c r="I2994" s="2">
        <f t="shared" si="1412"/>
        <v>0.67001391191096382</v>
      </c>
      <c r="J2994" s="3">
        <v>31688</v>
      </c>
      <c r="K2994" s="3">
        <v>81791</v>
      </c>
      <c r="L2994" s="1">
        <f t="shared" si="1397"/>
        <v>113479</v>
      </c>
      <c r="M2994" s="2">
        <f t="shared" si="1398"/>
        <v>0.27924109306567735</v>
      </c>
      <c r="N2994" s="2">
        <f t="shared" si="1399"/>
        <v>0.72075890693432265</v>
      </c>
      <c r="O2994" s="5">
        <f t="shared" si="1400"/>
        <v>839.73922566895567</v>
      </c>
    </row>
    <row r="2995" spans="1:15" x14ac:dyDescent="0.35">
      <c r="A2995" t="s">
        <v>36</v>
      </c>
      <c r="B2995" t="s">
        <v>23</v>
      </c>
      <c r="C2995">
        <v>2011</v>
      </c>
      <c r="D2995" t="s">
        <v>18</v>
      </c>
      <c r="E2995" s="3">
        <v>49190</v>
      </c>
      <c r="F2995" s="3">
        <v>99624</v>
      </c>
      <c r="G2995" s="1">
        <f t="shared" si="1410"/>
        <v>148814</v>
      </c>
      <c r="H2995" s="2">
        <f t="shared" si="1411"/>
        <v>0.33054685715053689</v>
      </c>
      <c r="I2995" s="2">
        <f t="shared" si="1412"/>
        <v>0.66945314284946311</v>
      </c>
      <c r="J2995" s="3">
        <v>53554</v>
      </c>
      <c r="K2995" s="3">
        <v>137639</v>
      </c>
      <c r="L2995" s="1">
        <f t="shared" si="1397"/>
        <v>191193</v>
      </c>
      <c r="M2995" s="2">
        <f t="shared" si="1398"/>
        <v>0.2801043971275099</v>
      </c>
      <c r="N2995" s="2">
        <f t="shared" si="1399"/>
        <v>0.7198956028724901</v>
      </c>
      <c r="O2995" s="5">
        <f t="shared" si="1400"/>
        <v>1284.7783138683189</v>
      </c>
    </row>
    <row r="2996" spans="1:15" x14ac:dyDescent="0.35">
      <c r="A2996" t="s">
        <v>36</v>
      </c>
      <c r="B2996" t="s">
        <v>24</v>
      </c>
      <c r="C2996">
        <v>2011</v>
      </c>
      <c r="D2996" t="s">
        <v>18</v>
      </c>
      <c r="E2996" s="3">
        <v>47019</v>
      </c>
      <c r="F2996" s="3">
        <v>95249</v>
      </c>
      <c r="G2996" s="1">
        <f t="shared" si="1410"/>
        <v>142268</v>
      </c>
      <c r="H2996" s="2">
        <f t="shared" si="1411"/>
        <v>0.33049596536114939</v>
      </c>
      <c r="I2996" s="2">
        <f t="shared" si="1412"/>
        <v>0.66950403463885066</v>
      </c>
      <c r="J2996" s="3">
        <v>64385</v>
      </c>
      <c r="K2996" s="3">
        <v>163621</v>
      </c>
      <c r="L2996" s="1">
        <f t="shared" si="1397"/>
        <v>228006</v>
      </c>
      <c r="M2996" s="2">
        <f t="shared" si="1398"/>
        <v>0.28238291974772595</v>
      </c>
      <c r="N2996" s="2">
        <f t="shared" si="1399"/>
        <v>0.71761708025227411</v>
      </c>
      <c r="O2996" s="5">
        <f t="shared" si="1400"/>
        <v>1602.651334101836</v>
      </c>
    </row>
    <row r="2997" spans="1:15" x14ac:dyDescent="0.35">
      <c r="A2997" t="s">
        <v>36</v>
      </c>
      <c r="B2997" t="s">
        <v>25</v>
      </c>
      <c r="C2997">
        <v>2011</v>
      </c>
      <c r="D2997" t="s">
        <v>18</v>
      </c>
      <c r="E2997" s="3">
        <v>49085</v>
      </c>
      <c r="F2997" s="3">
        <v>99610</v>
      </c>
      <c r="G2997" s="1">
        <f t="shared" si="1410"/>
        <v>148695</v>
      </c>
      <c r="H2997" s="2">
        <f t="shared" si="1411"/>
        <v>0.33010524899963012</v>
      </c>
      <c r="I2997" s="2">
        <f t="shared" si="1412"/>
        <v>0.66989475100036988</v>
      </c>
      <c r="J2997" s="3">
        <v>68320</v>
      </c>
      <c r="K2997" s="3">
        <v>173435</v>
      </c>
      <c r="L2997" s="1">
        <f t="shared" si="1397"/>
        <v>241755</v>
      </c>
      <c r="M2997" s="2">
        <f t="shared" si="1398"/>
        <v>0.2826001530475068</v>
      </c>
      <c r="N2997" s="2">
        <f t="shared" si="1399"/>
        <v>0.71739984695249326</v>
      </c>
      <c r="O2997" s="5">
        <f t="shared" si="1400"/>
        <v>1625.8448501967114</v>
      </c>
    </row>
    <row r="2998" spans="1:15" x14ac:dyDescent="0.35">
      <c r="A2998" t="s">
        <v>36</v>
      </c>
      <c r="B2998" t="s">
        <v>26</v>
      </c>
      <c r="C2998">
        <v>2011</v>
      </c>
      <c r="D2998" t="s">
        <v>18</v>
      </c>
      <c r="E2998" s="3">
        <v>46572</v>
      </c>
      <c r="F2998" s="3">
        <v>95459</v>
      </c>
      <c r="G2998" s="1">
        <f t="shared" si="1410"/>
        <v>142031</v>
      </c>
      <c r="H2998" s="2">
        <f t="shared" si="1411"/>
        <v>0.32790024712914784</v>
      </c>
      <c r="I2998" s="2">
        <f t="shared" si="1412"/>
        <v>0.67209975287085211</v>
      </c>
      <c r="J2998" s="3">
        <v>55697</v>
      </c>
      <c r="K2998" s="3">
        <v>142347</v>
      </c>
      <c r="L2998" s="1">
        <f t="shared" si="1397"/>
        <v>198044</v>
      </c>
      <c r="M2998" s="2">
        <f t="shared" si="1398"/>
        <v>0.2812354830239745</v>
      </c>
      <c r="N2998" s="2">
        <f t="shared" si="1399"/>
        <v>0.7187645169760255</v>
      </c>
      <c r="O2998" s="5">
        <f t="shared" si="1400"/>
        <v>1394.3716512592321</v>
      </c>
    </row>
    <row r="2999" spans="1:15" x14ac:dyDescent="0.35">
      <c r="A2999" t="s">
        <v>36</v>
      </c>
      <c r="B2999" t="s">
        <v>27</v>
      </c>
      <c r="C2999">
        <v>2011</v>
      </c>
      <c r="D2999" t="s">
        <v>18</v>
      </c>
      <c r="E2999" s="3">
        <v>45722</v>
      </c>
      <c r="F2999" s="3">
        <v>93998</v>
      </c>
      <c r="G2999" s="1">
        <f t="shared" si="1410"/>
        <v>139720</v>
      </c>
      <c r="H2999" s="2">
        <f t="shared" si="1411"/>
        <v>0.32724019467506443</v>
      </c>
      <c r="I2999" s="2">
        <f t="shared" si="1412"/>
        <v>0.67275980532493562</v>
      </c>
      <c r="J2999" s="3">
        <v>35483</v>
      </c>
      <c r="K2999" s="3">
        <v>91766</v>
      </c>
      <c r="L2999" s="1">
        <f t="shared" si="1397"/>
        <v>127249</v>
      </c>
      <c r="M2999" s="2">
        <f t="shared" si="1398"/>
        <v>0.27884698504506911</v>
      </c>
      <c r="N2999" s="2">
        <f t="shared" si="1399"/>
        <v>0.72115301495493089</v>
      </c>
      <c r="O2999" s="5">
        <f t="shared" si="1400"/>
        <v>910.74291440022898</v>
      </c>
    </row>
    <row r="3000" spans="1:15" x14ac:dyDescent="0.35">
      <c r="A3000" t="s">
        <v>36</v>
      </c>
      <c r="B3000" t="s">
        <v>28</v>
      </c>
      <c r="C3000">
        <v>2011</v>
      </c>
      <c r="D3000" t="s">
        <v>18</v>
      </c>
      <c r="E3000" s="3">
        <v>47720</v>
      </c>
      <c r="F3000" s="3">
        <v>98077</v>
      </c>
      <c r="G3000" s="1">
        <f t="shared" si="1410"/>
        <v>145797</v>
      </c>
      <c r="H3000" s="2">
        <f t="shared" si="1411"/>
        <v>0.32730440269690048</v>
      </c>
      <c r="I3000" s="2">
        <f t="shared" si="1412"/>
        <v>0.67269559730309947</v>
      </c>
      <c r="J3000" s="3">
        <v>28333</v>
      </c>
      <c r="K3000" s="3">
        <v>72317</v>
      </c>
      <c r="L3000" s="1">
        <f t="shared" si="1397"/>
        <v>100650</v>
      </c>
      <c r="M3000" s="2">
        <f t="shared" si="1398"/>
        <v>0.28150024838549431</v>
      </c>
      <c r="N3000" s="2">
        <f t="shared" si="1399"/>
        <v>0.71849975161450574</v>
      </c>
      <c r="O3000" s="5">
        <f t="shared" si="1400"/>
        <v>690.34342270417085</v>
      </c>
    </row>
    <row r="3001" spans="1:15" x14ac:dyDescent="0.35">
      <c r="A3001" t="s">
        <v>36</v>
      </c>
      <c r="B3001" t="s">
        <v>29</v>
      </c>
      <c r="C3001">
        <v>2011</v>
      </c>
      <c r="D3001" t="s">
        <v>18</v>
      </c>
      <c r="E3001" s="3">
        <v>42806</v>
      </c>
      <c r="F3001" s="3">
        <v>88580</v>
      </c>
      <c r="G3001" s="1">
        <f t="shared" si="1410"/>
        <v>131386</v>
      </c>
      <c r="H3001" s="2">
        <f t="shared" si="1411"/>
        <v>0.32580335804423605</v>
      </c>
      <c r="I3001" s="2">
        <f t="shared" si="1412"/>
        <v>0.6741966419557639</v>
      </c>
      <c r="J3001" s="3">
        <v>35971</v>
      </c>
      <c r="K3001" s="3">
        <v>90048</v>
      </c>
      <c r="L3001" s="1">
        <f t="shared" si="1397"/>
        <v>126019</v>
      </c>
      <c r="M3001" s="2">
        <f t="shared" si="1398"/>
        <v>0.28544108428094178</v>
      </c>
      <c r="N3001" s="2">
        <f t="shared" si="1399"/>
        <v>0.71455891571905827</v>
      </c>
      <c r="O3001" s="5">
        <f t="shared" si="1400"/>
        <v>959.15089887811484</v>
      </c>
    </row>
    <row r="3002" spans="1:15" x14ac:dyDescent="0.35">
      <c r="A3002" t="s">
        <v>36</v>
      </c>
      <c r="B3002" t="s">
        <v>17</v>
      </c>
      <c r="C3002">
        <v>2012</v>
      </c>
      <c r="D3002" t="s">
        <v>18</v>
      </c>
      <c r="E3002" s="3">
        <v>42342</v>
      </c>
      <c r="F3002" s="3">
        <v>87559</v>
      </c>
      <c r="G3002" s="1">
        <f>SUM(E3002:F3002)</f>
        <v>129901</v>
      </c>
      <c r="H3002" s="2">
        <f>SUM(E3002)/G3002</f>
        <v>0.32595592027775</v>
      </c>
      <c r="I3002" s="2">
        <f>SUM(F3002/G3002)</f>
        <v>0.67404407972225</v>
      </c>
      <c r="J3002" s="3">
        <v>42236</v>
      </c>
      <c r="K3002" s="3">
        <v>104806</v>
      </c>
      <c r="L3002" s="1">
        <f t="shared" si="1397"/>
        <v>147042</v>
      </c>
      <c r="M3002" s="2">
        <f t="shared" si="1398"/>
        <v>0.28723765998830264</v>
      </c>
      <c r="N3002" s="2">
        <f t="shared" si="1399"/>
        <v>0.71276234001169736</v>
      </c>
      <c r="O3002" s="5">
        <f t="shared" si="1400"/>
        <v>1131.9543344547001</v>
      </c>
    </row>
    <row r="3003" spans="1:15" x14ac:dyDescent="0.35">
      <c r="A3003" t="s">
        <v>36</v>
      </c>
      <c r="B3003" t="s">
        <v>19</v>
      </c>
      <c r="C3003">
        <v>2012</v>
      </c>
      <c r="D3003" t="s">
        <v>18</v>
      </c>
      <c r="E3003" s="3">
        <v>45801</v>
      </c>
      <c r="F3003" s="3">
        <v>95451</v>
      </c>
      <c r="G3003" s="1">
        <f t="shared" ref="G3003:G3013" si="1413">SUM(E3003:F3003)</f>
        <v>141252</v>
      </c>
      <c r="H3003" s="2">
        <f t="shared" ref="H3003:H3013" si="1414">SUM(E3003)/G3003</f>
        <v>0.3242502761022853</v>
      </c>
      <c r="I3003" s="2">
        <f t="shared" ref="I3003:I3013" si="1415">SUM(F3003/G3003)</f>
        <v>0.6757497238977147</v>
      </c>
      <c r="J3003" s="3">
        <v>35091</v>
      </c>
      <c r="K3003" s="3">
        <v>87693</v>
      </c>
      <c r="L3003" s="1">
        <f t="shared" si="1397"/>
        <v>122784</v>
      </c>
      <c r="M3003" s="2">
        <f t="shared" si="1398"/>
        <v>0.28579456606724002</v>
      </c>
      <c r="N3003" s="2">
        <f t="shared" si="1399"/>
        <v>0.71420543393275993</v>
      </c>
      <c r="O3003" s="5">
        <f t="shared" si="1400"/>
        <v>869.25494860249762</v>
      </c>
    </row>
    <row r="3004" spans="1:15" x14ac:dyDescent="0.35">
      <c r="A3004" t="s">
        <v>36</v>
      </c>
      <c r="B3004" t="s">
        <v>20</v>
      </c>
      <c r="C3004">
        <v>2012</v>
      </c>
      <c r="D3004" t="s">
        <v>18</v>
      </c>
      <c r="E3004" s="3">
        <v>48188</v>
      </c>
      <c r="F3004" s="3">
        <v>100813</v>
      </c>
      <c r="G3004" s="1">
        <f t="shared" si="1413"/>
        <v>149001</v>
      </c>
      <c r="H3004" s="2">
        <f t="shared" si="1414"/>
        <v>0.32340722545486272</v>
      </c>
      <c r="I3004" s="2">
        <f t="shared" si="1415"/>
        <v>0.67659277454513733</v>
      </c>
      <c r="J3004" s="3">
        <v>31983</v>
      </c>
      <c r="K3004" s="3">
        <v>80412</v>
      </c>
      <c r="L3004" s="1">
        <f t="shared" si="1397"/>
        <v>112395</v>
      </c>
      <c r="M3004" s="2">
        <f t="shared" si="1398"/>
        <v>0.28455892166021618</v>
      </c>
      <c r="N3004" s="2">
        <f t="shared" si="1399"/>
        <v>0.71544107833978376</v>
      </c>
      <c r="O3004" s="5">
        <f t="shared" si="1400"/>
        <v>754.32379648458732</v>
      </c>
    </row>
    <row r="3005" spans="1:15" x14ac:dyDescent="0.35">
      <c r="A3005" t="s">
        <v>36</v>
      </c>
      <c r="B3005" t="s">
        <v>21</v>
      </c>
      <c r="C3005">
        <v>2012</v>
      </c>
      <c r="D3005" t="s">
        <v>18</v>
      </c>
      <c r="E3005" s="3">
        <v>48247</v>
      </c>
      <c r="F3005" s="3">
        <v>100641</v>
      </c>
      <c r="G3005" s="1">
        <f t="shared" si="1413"/>
        <v>148888</v>
      </c>
      <c r="H3005" s="2">
        <f t="shared" si="1414"/>
        <v>0.32404894954596741</v>
      </c>
      <c r="I3005" s="2">
        <f t="shared" si="1415"/>
        <v>0.67595105045403259</v>
      </c>
      <c r="J3005" s="3">
        <v>29498</v>
      </c>
      <c r="K3005" s="3">
        <v>76749</v>
      </c>
      <c r="L3005" s="1">
        <f t="shared" si="1397"/>
        <v>106247</v>
      </c>
      <c r="M3005" s="2">
        <f t="shared" si="1398"/>
        <v>0.27763607443033683</v>
      </c>
      <c r="N3005" s="2">
        <f t="shared" si="1399"/>
        <v>0.72236392556966311</v>
      </c>
      <c r="O3005" s="5">
        <f t="shared" si="1400"/>
        <v>713.6035140508302</v>
      </c>
    </row>
    <row r="3006" spans="1:15" x14ac:dyDescent="0.35">
      <c r="A3006" t="s">
        <v>36</v>
      </c>
      <c r="B3006" t="s">
        <v>22</v>
      </c>
      <c r="C3006">
        <v>2012</v>
      </c>
      <c r="D3006" t="s">
        <v>18</v>
      </c>
      <c r="E3006" s="3">
        <v>48332</v>
      </c>
      <c r="F3006" s="3">
        <v>100875</v>
      </c>
      <c r="G3006" s="1">
        <f t="shared" si="1413"/>
        <v>149207</v>
      </c>
      <c r="H3006" s="2">
        <f t="shared" si="1414"/>
        <v>0.32392582117460977</v>
      </c>
      <c r="I3006" s="2">
        <f t="shared" si="1415"/>
        <v>0.67607417882539023</v>
      </c>
      <c r="J3006" s="3">
        <v>34915</v>
      </c>
      <c r="K3006" s="3">
        <v>91542</v>
      </c>
      <c r="L3006" s="1">
        <f t="shared" si="1397"/>
        <v>126457</v>
      </c>
      <c r="M3006" s="2">
        <f t="shared" si="1398"/>
        <v>0.27610175790980335</v>
      </c>
      <c r="N3006" s="2">
        <f t="shared" si="1399"/>
        <v>0.72389824209019671</v>
      </c>
      <c r="O3006" s="5">
        <f t="shared" si="1400"/>
        <v>847.52726078535193</v>
      </c>
    </row>
    <row r="3007" spans="1:15" x14ac:dyDescent="0.35">
      <c r="A3007" t="s">
        <v>36</v>
      </c>
      <c r="B3007" t="s">
        <v>23</v>
      </c>
      <c r="C3007">
        <v>2012</v>
      </c>
      <c r="D3007" t="s">
        <v>18</v>
      </c>
      <c r="E3007" s="3">
        <v>47965</v>
      </c>
      <c r="F3007" s="3">
        <v>99413</v>
      </c>
      <c r="G3007" s="1">
        <f t="shared" si="1413"/>
        <v>147378</v>
      </c>
      <c r="H3007" s="2">
        <f t="shared" si="1414"/>
        <v>0.32545563109826431</v>
      </c>
      <c r="I3007" s="2">
        <f t="shared" si="1415"/>
        <v>0.67454436890173564</v>
      </c>
      <c r="J3007" s="3">
        <v>46822</v>
      </c>
      <c r="K3007" s="3">
        <v>120975</v>
      </c>
      <c r="L3007" s="1">
        <f t="shared" si="1397"/>
        <v>167797</v>
      </c>
      <c r="M3007" s="2">
        <f t="shared" si="1398"/>
        <v>0.27903955374649131</v>
      </c>
      <c r="N3007" s="2">
        <f t="shared" si="1399"/>
        <v>0.72096044625350875</v>
      </c>
      <c r="O3007" s="5">
        <f t="shared" si="1400"/>
        <v>1138.5484943478673</v>
      </c>
    </row>
    <row r="3008" spans="1:15" x14ac:dyDescent="0.35">
      <c r="A3008" t="s">
        <v>36</v>
      </c>
      <c r="B3008" t="s">
        <v>24</v>
      </c>
      <c r="C3008">
        <v>2012</v>
      </c>
      <c r="D3008" t="s">
        <v>18</v>
      </c>
      <c r="E3008" s="3">
        <v>48237</v>
      </c>
      <c r="F3008" s="3">
        <v>101419</v>
      </c>
      <c r="G3008" s="1">
        <f t="shared" si="1413"/>
        <v>149656</v>
      </c>
      <c r="H3008" s="2">
        <f t="shared" si="1414"/>
        <v>0.32231918533169401</v>
      </c>
      <c r="I3008" s="2">
        <f t="shared" si="1415"/>
        <v>0.67768081466830599</v>
      </c>
      <c r="J3008" s="3">
        <v>57544</v>
      </c>
      <c r="K3008" s="3">
        <v>148657</v>
      </c>
      <c r="L3008" s="1">
        <f t="shared" si="1397"/>
        <v>206201</v>
      </c>
      <c r="M3008" s="2">
        <f t="shared" si="1398"/>
        <v>0.279067511796742</v>
      </c>
      <c r="N3008" s="2">
        <f t="shared" si="1399"/>
        <v>0.72093248820325795</v>
      </c>
      <c r="O3008" s="5">
        <f t="shared" si="1400"/>
        <v>1377.8331640562355</v>
      </c>
    </row>
    <row r="3009" spans="1:15" x14ac:dyDescent="0.35">
      <c r="A3009" t="s">
        <v>36</v>
      </c>
      <c r="B3009" t="s">
        <v>25</v>
      </c>
      <c r="C3009">
        <v>2012</v>
      </c>
      <c r="D3009" t="s">
        <v>18</v>
      </c>
      <c r="E3009" s="3">
        <v>48235</v>
      </c>
      <c r="F3009" s="3">
        <v>101621</v>
      </c>
      <c r="G3009" s="1">
        <f t="shared" si="1413"/>
        <v>149856</v>
      </c>
      <c r="H3009" s="2">
        <f t="shared" si="1414"/>
        <v>0.32187566730728168</v>
      </c>
      <c r="I3009" s="2">
        <f t="shared" si="1415"/>
        <v>0.67812433269271832</v>
      </c>
      <c r="J3009" s="3">
        <v>60265</v>
      </c>
      <c r="K3009" s="3">
        <v>154861</v>
      </c>
      <c r="L3009" s="1">
        <f t="shared" si="1397"/>
        <v>215126</v>
      </c>
      <c r="M3009" s="2">
        <f t="shared" si="1398"/>
        <v>0.28013815159487926</v>
      </c>
      <c r="N3009" s="2">
        <f t="shared" si="1399"/>
        <v>0.71986184840512069</v>
      </c>
      <c r="O3009" s="5">
        <f t="shared" si="1400"/>
        <v>1435.5514627375615</v>
      </c>
    </row>
    <row r="3010" spans="1:15" x14ac:dyDescent="0.35">
      <c r="A3010" t="s">
        <v>36</v>
      </c>
      <c r="B3010" t="s">
        <v>26</v>
      </c>
      <c r="C3010">
        <v>2012</v>
      </c>
      <c r="D3010" t="s">
        <v>18</v>
      </c>
      <c r="E3010" s="3">
        <v>47939</v>
      </c>
      <c r="F3010" s="3">
        <v>101482</v>
      </c>
      <c r="G3010" s="1">
        <f t="shared" si="1413"/>
        <v>149421</v>
      </c>
      <c r="H3010" s="2">
        <f t="shared" si="1414"/>
        <v>0.32083174386465091</v>
      </c>
      <c r="I3010" s="2">
        <f t="shared" si="1415"/>
        <v>0.67916825613534915</v>
      </c>
      <c r="J3010" s="3">
        <v>52563</v>
      </c>
      <c r="K3010" s="3">
        <v>136385</v>
      </c>
      <c r="L3010" s="1">
        <f t="shared" si="1397"/>
        <v>188948</v>
      </c>
      <c r="M3010" s="2">
        <f t="shared" si="1398"/>
        <v>0.27818764951203506</v>
      </c>
      <c r="N3010" s="2">
        <f t="shared" si="1399"/>
        <v>0.72181235048796499</v>
      </c>
      <c r="O3010" s="5">
        <f t="shared" si="1400"/>
        <v>1264.5344362572864</v>
      </c>
    </row>
    <row r="3011" spans="1:15" x14ac:dyDescent="0.35">
      <c r="A3011" t="s">
        <v>36</v>
      </c>
      <c r="B3011" t="s">
        <v>27</v>
      </c>
      <c r="C3011">
        <v>2012</v>
      </c>
      <c r="D3011" t="s">
        <v>18</v>
      </c>
      <c r="E3011" s="3">
        <v>48062</v>
      </c>
      <c r="F3011" s="3">
        <v>101486</v>
      </c>
      <c r="G3011" s="1">
        <f t="shared" si="1413"/>
        <v>149548</v>
      </c>
      <c r="H3011" s="2">
        <f t="shared" si="1414"/>
        <v>0.32138176371466015</v>
      </c>
      <c r="I3011" s="2">
        <f t="shared" si="1415"/>
        <v>0.67861823628533979</v>
      </c>
      <c r="J3011" s="3">
        <v>34937</v>
      </c>
      <c r="K3011" s="3">
        <v>91639</v>
      </c>
      <c r="L3011" s="1">
        <f t="shared" ref="L3011:L3074" si="1416">SUM(J3011:K3011)</f>
        <v>126576</v>
      </c>
      <c r="M3011" s="2">
        <f t="shared" ref="M3011:M3074" si="1417">SUM(J3011)/L3011</f>
        <v>0.27601599039312352</v>
      </c>
      <c r="N3011" s="2">
        <f t="shared" ref="N3011:N3074" si="1418">SUM(K3011/L3011)</f>
        <v>0.72398400960687648</v>
      </c>
      <c r="O3011" s="5">
        <f t="shared" ref="O3011:O3073" si="1419">SUM(1000*L3011)/G3011</f>
        <v>846.39045657581516</v>
      </c>
    </row>
    <row r="3012" spans="1:15" x14ac:dyDescent="0.35">
      <c r="A3012" t="s">
        <v>36</v>
      </c>
      <c r="B3012" t="s">
        <v>28</v>
      </c>
      <c r="C3012">
        <v>2012</v>
      </c>
      <c r="D3012" t="s">
        <v>18</v>
      </c>
      <c r="E3012" s="3">
        <v>47919</v>
      </c>
      <c r="F3012" s="3">
        <v>102066</v>
      </c>
      <c r="G3012" s="1">
        <f t="shared" si="1413"/>
        <v>149985</v>
      </c>
      <c r="H3012" s="2">
        <f t="shared" si="1414"/>
        <v>0.31949194919491947</v>
      </c>
      <c r="I3012" s="2">
        <f t="shared" si="1415"/>
        <v>0.68050805080508048</v>
      </c>
      <c r="J3012" s="3">
        <v>28744</v>
      </c>
      <c r="K3012" s="3">
        <v>74928</v>
      </c>
      <c r="L3012" s="1">
        <f t="shared" si="1416"/>
        <v>103672</v>
      </c>
      <c r="M3012" s="2">
        <f t="shared" si="1417"/>
        <v>0.27725904776603133</v>
      </c>
      <c r="N3012" s="2">
        <f t="shared" si="1418"/>
        <v>0.72274095223396873</v>
      </c>
      <c r="O3012" s="5">
        <f t="shared" si="1419"/>
        <v>691.21578824549124</v>
      </c>
    </row>
    <row r="3013" spans="1:15" x14ac:dyDescent="0.35">
      <c r="A3013" t="s">
        <v>36</v>
      </c>
      <c r="B3013" t="s">
        <v>29</v>
      </c>
      <c r="C3013">
        <v>2012</v>
      </c>
      <c r="D3013" t="s">
        <v>18</v>
      </c>
      <c r="E3013" s="3">
        <v>47303</v>
      </c>
      <c r="F3013" s="3">
        <v>102015</v>
      </c>
      <c r="G3013" s="1">
        <f t="shared" si="1413"/>
        <v>149318</v>
      </c>
      <c r="H3013" s="2">
        <f t="shared" si="1414"/>
        <v>0.3167936886376726</v>
      </c>
      <c r="I3013" s="2">
        <f t="shared" si="1415"/>
        <v>0.68320631136232735</v>
      </c>
      <c r="J3013" s="3">
        <v>33141</v>
      </c>
      <c r="K3013" s="3">
        <v>85816</v>
      </c>
      <c r="L3013" s="1">
        <f t="shared" si="1416"/>
        <v>118957</v>
      </c>
      <c r="M3013" s="2">
        <f t="shared" si="1417"/>
        <v>0.27859646763116086</v>
      </c>
      <c r="N3013" s="2">
        <f t="shared" si="1418"/>
        <v>0.72140353236883914</v>
      </c>
      <c r="O3013" s="5">
        <f t="shared" si="1419"/>
        <v>796.66885439129908</v>
      </c>
    </row>
    <row r="3014" spans="1:15" x14ac:dyDescent="0.35">
      <c r="A3014" t="s">
        <v>36</v>
      </c>
      <c r="B3014" t="s">
        <v>17</v>
      </c>
      <c r="C3014">
        <v>2013</v>
      </c>
      <c r="D3014" t="s">
        <v>18</v>
      </c>
      <c r="E3014" s="3">
        <v>47367</v>
      </c>
      <c r="F3014" s="3">
        <v>102309</v>
      </c>
      <c r="G3014" s="1">
        <f>SUM(E3014:F3014)</f>
        <v>149676</v>
      </c>
      <c r="H3014" s="2">
        <f>SUM(E3014)/G3014</f>
        <v>0.31646356129239156</v>
      </c>
      <c r="I3014" s="2">
        <f>SUM(F3014/G3014)</f>
        <v>0.68353643870760838</v>
      </c>
      <c r="J3014" s="3">
        <v>49572</v>
      </c>
      <c r="K3014" s="3">
        <v>127698</v>
      </c>
      <c r="L3014" s="1">
        <f t="shared" si="1416"/>
        <v>177270</v>
      </c>
      <c r="M3014" s="2">
        <f t="shared" si="1417"/>
        <v>0.27964122524961921</v>
      </c>
      <c r="N3014" s="2">
        <f t="shared" si="1418"/>
        <v>0.72035877475038079</v>
      </c>
      <c r="O3014" s="5">
        <f t="shared" si="1419"/>
        <v>1184.358213741682</v>
      </c>
    </row>
    <row r="3015" spans="1:15" x14ac:dyDescent="0.35">
      <c r="A3015" t="s">
        <v>36</v>
      </c>
      <c r="B3015" t="s">
        <v>19</v>
      </c>
      <c r="C3015">
        <v>2013</v>
      </c>
      <c r="D3015" t="s">
        <v>18</v>
      </c>
      <c r="E3015" s="3">
        <v>47210</v>
      </c>
      <c r="F3015" s="3">
        <v>102453</v>
      </c>
      <c r="G3015" s="1">
        <f t="shared" ref="G3015:G3025" si="1420">SUM(E3015:F3015)</f>
        <v>149663</v>
      </c>
      <c r="H3015" s="2">
        <f t="shared" ref="H3015:H3025" si="1421">SUM(E3015)/G3015</f>
        <v>0.31544202641935548</v>
      </c>
      <c r="I3015" s="2">
        <f t="shared" ref="I3015:I3025" si="1422">SUM(F3015/G3015)</f>
        <v>0.68455797358064452</v>
      </c>
      <c r="J3015" s="3">
        <v>35472</v>
      </c>
      <c r="K3015" s="3">
        <v>92148</v>
      </c>
      <c r="L3015" s="1">
        <f t="shared" si="1416"/>
        <v>127620</v>
      </c>
      <c r="M3015" s="2">
        <f t="shared" si="1417"/>
        <v>0.27795016455101079</v>
      </c>
      <c r="N3015" s="2">
        <f t="shared" si="1418"/>
        <v>0.72204983544898915</v>
      </c>
      <c r="O3015" s="5">
        <f t="shared" si="1419"/>
        <v>852.71576809231408</v>
      </c>
    </row>
    <row r="3016" spans="1:15" x14ac:dyDescent="0.35">
      <c r="A3016" t="s">
        <v>36</v>
      </c>
      <c r="B3016" t="s">
        <v>20</v>
      </c>
      <c r="C3016">
        <v>2013</v>
      </c>
      <c r="D3016" t="s">
        <v>18</v>
      </c>
      <c r="E3016" s="3">
        <v>46739</v>
      </c>
      <c r="F3016" s="3">
        <v>102718</v>
      </c>
      <c r="G3016" s="1">
        <f t="shared" si="1420"/>
        <v>149457</v>
      </c>
      <c r="H3016" s="2">
        <f t="shared" si="1421"/>
        <v>0.31272539927872228</v>
      </c>
      <c r="I3016" s="2">
        <f t="shared" si="1422"/>
        <v>0.68727460072127766</v>
      </c>
      <c r="J3016" s="3">
        <v>32597</v>
      </c>
      <c r="K3016" s="3">
        <v>85847</v>
      </c>
      <c r="L3016" s="1">
        <f t="shared" si="1416"/>
        <v>118444</v>
      </c>
      <c r="M3016" s="2">
        <f t="shared" si="1417"/>
        <v>0.27521022592955319</v>
      </c>
      <c r="N3016" s="2">
        <f t="shared" si="1418"/>
        <v>0.72478977407044676</v>
      </c>
      <c r="O3016" s="5">
        <f t="shared" si="1419"/>
        <v>792.4955003780351</v>
      </c>
    </row>
    <row r="3017" spans="1:15" x14ac:dyDescent="0.35">
      <c r="A3017" t="s">
        <v>36</v>
      </c>
      <c r="B3017" t="s">
        <v>21</v>
      </c>
      <c r="C3017">
        <v>2013</v>
      </c>
      <c r="D3017" t="s">
        <v>18</v>
      </c>
      <c r="E3017" s="3">
        <v>46759</v>
      </c>
      <c r="F3017" s="3">
        <v>104055</v>
      </c>
      <c r="G3017" s="1">
        <f t="shared" si="1420"/>
        <v>150814</v>
      </c>
      <c r="H3017" s="2">
        <f t="shared" si="1421"/>
        <v>0.31004416035646559</v>
      </c>
      <c r="I3017" s="2">
        <f t="shared" si="1422"/>
        <v>0.68995583964353446</v>
      </c>
      <c r="J3017" s="3">
        <v>29749</v>
      </c>
      <c r="K3017" s="3">
        <v>80447</v>
      </c>
      <c r="L3017" s="1">
        <f t="shared" si="1416"/>
        <v>110196</v>
      </c>
      <c r="M3017" s="2">
        <f t="shared" si="1417"/>
        <v>0.26996442702094448</v>
      </c>
      <c r="N3017" s="2">
        <f t="shared" si="1418"/>
        <v>0.73003557297905552</v>
      </c>
      <c r="O3017" s="5">
        <f t="shared" si="1419"/>
        <v>730.6748710331932</v>
      </c>
    </row>
    <row r="3018" spans="1:15" x14ac:dyDescent="0.35">
      <c r="A3018" t="s">
        <v>36</v>
      </c>
      <c r="B3018" t="s">
        <v>22</v>
      </c>
      <c r="C3018">
        <v>2013</v>
      </c>
      <c r="D3018" t="s">
        <v>18</v>
      </c>
      <c r="E3018" s="3">
        <v>46843</v>
      </c>
      <c r="F3018" s="3">
        <v>103870</v>
      </c>
      <c r="G3018" s="1">
        <f t="shared" si="1420"/>
        <v>150713</v>
      </c>
      <c r="H3018" s="2">
        <f t="shared" si="1421"/>
        <v>0.31080928652471917</v>
      </c>
      <c r="I3018" s="2">
        <f t="shared" si="1422"/>
        <v>0.68919071347528083</v>
      </c>
      <c r="J3018" s="3">
        <v>30231</v>
      </c>
      <c r="K3018" s="3">
        <v>82957</v>
      </c>
      <c r="L3018" s="1">
        <f t="shared" si="1416"/>
        <v>113188</v>
      </c>
      <c r="M3018" s="2">
        <f t="shared" si="1417"/>
        <v>0.26708661695586106</v>
      </c>
      <c r="N3018" s="2">
        <f t="shared" si="1418"/>
        <v>0.732913383044139</v>
      </c>
      <c r="O3018" s="5">
        <f t="shared" si="1419"/>
        <v>751.0168333189572</v>
      </c>
    </row>
    <row r="3019" spans="1:15" x14ac:dyDescent="0.35">
      <c r="A3019" t="s">
        <v>36</v>
      </c>
      <c r="B3019" t="s">
        <v>23</v>
      </c>
      <c r="C3019">
        <v>2013</v>
      </c>
      <c r="D3019" t="s">
        <v>18</v>
      </c>
      <c r="E3019" s="3">
        <v>46478</v>
      </c>
      <c r="F3019" s="3">
        <v>103893</v>
      </c>
      <c r="G3019" s="1">
        <f t="shared" si="1420"/>
        <v>150371</v>
      </c>
      <c r="H3019" s="2">
        <f t="shared" si="1421"/>
        <v>0.30908885356883975</v>
      </c>
      <c r="I3019" s="2">
        <f t="shared" si="1422"/>
        <v>0.69091114643116025</v>
      </c>
      <c r="J3019" s="3">
        <v>43839</v>
      </c>
      <c r="K3019" s="3">
        <v>120025</v>
      </c>
      <c r="L3019" s="1">
        <f t="shared" si="1416"/>
        <v>163864</v>
      </c>
      <c r="M3019" s="2">
        <f t="shared" si="1417"/>
        <v>0.26753283210467216</v>
      </c>
      <c r="N3019" s="2">
        <f t="shared" si="1418"/>
        <v>0.73246716789532784</v>
      </c>
      <c r="O3019" s="5">
        <f t="shared" si="1419"/>
        <v>1089.7313976764137</v>
      </c>
    </row>
    <row r="3020" spans="1:15" x14ac:dyDescent="0.35">
      <c r="A3020" t="s">
        <v>36</v>
      </c>
      <c r="B3020" t="s">
        <v>24</v>
      </c>
      <c r="C3020">
        <v>2013</v>
      </c>
      <c r="D3020" t="s">
        <v>18</v>
      </c>
      <c r="E3020" s="3">
        <v>46337</v>
      </c>
      <c r="F3020" s="3">
        <v>104734</v>
      </c>
      <c r="G3020" s="1">
        <f t="shared" si="1420"/>
        <v>151071</v>
      </c>
      <c r="H3020" s="2">
        <f t="shared" si="1421"/>
        <v>0.30672332876594449</v>
      </c>
      <c r="I3020" s="2">
        <f t="shared" si="1422"/>
        <v>0.69327667123405556</v>
      </c>
      <c r="J3020" s="3">
        <v>51829</v>
      </c>
      <c r="K3020" s="3">
        <v>141855</v>
      </c>
      <c r="L3020" s="1">
        <f t="shared" si="1416"/>
        <v>193684</v>
      </c>
      <c r="M3020" s="2">
        <f t="shared" si="1417"/>
        <v>0.26759567129964273</v>
      </c>
      <c r="N3020" s="2">
        <f t="shared" si="1418"/>
        <v>0.73240432870035732</v>
      </c>
      <c r="O3020" s="5">
        <f t="shared" si="1419"/>
        <v>1282.0726678184431</v>
      </c>
    </row>
    <row r="3021" spans="1:15" x14ac:dyDescent="0.35">
      <c r="A3021" t="s">
        <v>36</v>
      </c>
      <c r="B3021" t="s">
        <v>25</v>
      </c>
      <c r="C3021">
        <v>2013</v>
      </c>
      <c r="D3021" t="s">
        <v>18</v>
      </c>
      <c r="E3021" s="3">
        <v>46270</v>
      </c>
      <c r="F3021" s="3">
        <v>105032</v>
      </c>
      <c r="G3021" s="1">
        <f t="shared" si="1420"/>
        <v>151302</v>
      </c>
      <c r="H3021" s="2">
        <f t="shared" si="1421"/>
        <v>0.30581221662634994</v>
      </c>
      <c r="I3021" s="2">
        <f t="shared" si="1422"/>
        <v>0.69418778337365006</v>
      </c>
      <c r="J3021" s="3">
        <v>53068</v>
      </c>
      <c r="K3021" s="3">
        <v>145650</v>
      </c>
      <c r="L3021" s="1">
        <f t="shared" si="1416"/>
        <v>198718</v>
      </c>
      <c r="M3021" s="2">
        <f t="shared" si="1417"/>
        <v>0.26705180205114787</v>
      </c>
      <c r="N3021" s="2">
        <f t="shared" si="1418"/>
        <v>0.73294819794885213</v>
      </c>
      <c r="O3021" s="5">
        <f t="shared" si="1419"/>
        <v>1313.3864720889346</v>
      </c>
    </row>
    <row r="3022" spans="1:15" x14ac:dyDescent="0.35">
      <c r="A3022" t="s">
        <v>36</v>
      </c>
      <c r="B3022" t="s">
        <v>26</v>
      </c>
      <c r="C3022">
        <v>2013</v>
      </c>
      <c r="D3022" t="s">
        <v>18</v>
      </c>
      <c r="E3022" s="3">
        <v>45753</v>
      </c>
      <c r="F3022" s="3">
        <v>104999</v>
      </c>
      <c r="G3022" s="1">
        <f t="shared" si="1420"/>
        <v>150752</v>
      </c>
      <c r="H3022" s="2">
        <f t="shared" si="1421"/>
        <v>0.30349846104860961</v>
      </c>
      <c r="I3022" s="2">
        <f t="shared" si="1422"/>
        <v>0.69650153895139033</v>
      </c>
      <c r="J3022" s="3">
        <v>51673</v>
      </c>
      <c r="K3022" s="3">
        <v>144115</v>
      </c>
      <c r="L3022" s="1">
        <f t="shared" si="1416"/>
        <v>195788</v>
      </c>
      <c r="M3022" s="2">
        <f t="shared" si="1417"/>
        <v>0.26392322307802318</v>
      </c>
      <c r="N3022" s="2">
        <f t="shared" si="1418"/>
        <v>0.73607677692197682</v>
      </c>
      <c r="O3022" s="5">
        <f t="shared" si="1419"/>
        <v>1298.7423052430481</v>
      </c>
    </row>
    <row r="3023" spans="1:15" x14ac:dyDescent="0.35">
      <c r="A3023" t="s">
        <v>36</v>
      </c>
      <c r="B3023" t="s">
        <v>27</v>
      </c>
      <c r="C3023">
        <v>2013</v>
      </c>
      <c r="D3023" t="s">
        <v>18</v>
      </c>
      <c r="E3023" s="3">
        <v>45234</v>
      </c>
      <c r="F3023" s="3">
        <v>105124</v>
      </c>
      <c r="G3023" s="1">
        <f t="shared" si="1420"/>
        <v>150358</v>
      </c>
      <c r="H3023" s="2">
        <f t="shared" si="1421"/>
        <v>0.30084199044946064</v>
      </c>
      <c r="I3023" s="2">
        <f t="shared" si="1422"/>
        <v>0.69915800955053942</v>
      </c>
      <c r="J3023" s="3">
        <v>35328</v>
      </c>
      <c r="K3023" s="3">
        <v>101033</v>
      </c>
      <c r="L3023" s="1">
        <f t="shared" si="1416"/>
        <v>136361</v>
      </c>
      <c r="M3023" s="2">
        <f t="shared" si="1417"/>
        <v>0.25907700882217055</v>
      </c>
      <c r="N3023" s="2">
        <f t="shared" si="1418"/>
        <v>0.74092299117782945</v>
      </c>
      <c r="O3023" s="5">
        <f t="shared" si="1419"/>
        <v>906.90884422511601</v>
      </c>
    </row>
    <row r="3024" spans="1:15" x14ac:dyDescent="0.35">
      <c r="A3024" t="s">
        <v>36</v>
      </c>
      <c r="B3024" t="s">
        <v>28</v>
      </c>
      <c r="C3024">
        <v>2013</v>
      </c>
      <c r="D3024" t="s">
        <v>18</v>
      </c>
      <c r="E3024" s="3">
        <v>44930</v>
      </c>
      <c r="F3024" s="3">
        <v>105409</v>
      </c>
      <c r="G3024" s="1">
        <f t="shared" si="1420"/>
        <v>150339</v>
      </c>
      <c r="H3024" s="2">
        <f t="shared" si="1421"/>
        <v>0.2988579144466838</v>
      </c>
      <c r="I3024" s="2">
        <f t="shared" si="1422"/>
        <v>0.70114208555331614</v>
      </c>
      <c r="J3024" s="3">
        <v>25956</v>
      </c>
      <c r="K3024" s="3">
        <v>74250</v>
      </c>
      <c r="L3024" s="1">
        <f t="shared" si="1416"/>
        <v>100206</v>
      </c>
      <c r="M3024" s="2">
        <f t="shared" si="1417"/>
        <v>0.25902640560445483</v>
      </c>
      <c r="N3024" s="2">
        <f t="shared" si="1418"/>
        <v>0.74097359439554522</v>
      </c>
      <c r="O3024" s="5">
        <f t="shared" si="1419"/>
        <v>666.53363398718898</v>
      </c>
    </row>
    <row r="3025" spans="1:15" x14ac:dyDescent="0.35">
      <c r="A3025" t="s">
        <v>36</v>
      </c>
      <c r="B3025" t="s">
        <v>29</v>
      </c>
      <c r="C3025">
        <v>2013</v>
      </c>
      <c r="D3025" t="s">
        <v>18</v>
      </c>
      <c r="E3025" s="3">
        <v>44390</v>
      </c>
      <c r="F3025" s="3">
        <v>104913</v>
      </c>
      <c r="G3025" s="1">
        <f t="shared" si="1420"/>
        <v>149303</v>
      </c>
      <c r="H3025" s="2">
        <f t="shared" si="1421"/>
        <v>0.29731485636591359</v>
      </c>
      <c r="I3025" s="2">
        <f t="shared" si="1422"/>
        <v>0.70268514363408641</v>
      </c>
      <c r="J3025" s="3">
        <v>42365</v>
      </c>
      <c r="K3025" s="3">
        <v>120281</v>
      </c>
      <c r="L3025" s="1">
        <f t="shared" si="1416"/>
        <v>162646</v>
      </c>
      <c r="M3025" s="2">
        <f t="shared" si="1417"/>
        <v>0.26047366673634764</v>
      </c>
      <c r="N3025" s="2">
        <f t="shared" si="1418"/>
        <v>0.73952633326365236</v>
      </c>
      <c r="O3025" s="5">
        <f t="shared" si="1419"/>
        <v>1089.3685994253296</v>
      </c>
    </row>
    <row r="3026" spans="1:15" x14ac:dyDescent="0.35">
      <c r="A3026" t="s">
        <v>36</v>
      </c>
      <c r="B3026" t="s">
        <v>17</v>
      </c>
      <c r="C3026">
        <v>2014</v>
      </c>
      <c r="D3026" t="s">
        <v>18</v>
      </c>
      <c r="E3026" s="3">
        <v>42797</v>
      </c>
      <c r="F3026" s="3">
        <v>101059</v>
      </c>
      <c r="G3026" s="1">
        <f>SUM(E3026:F3026)</f>
        <v>143856</v>
      </c>
      <c r="H3026" s="2">
        <f>SUM(E3026)/G3026</f>
        <v>0.29749888777666555</v>
      </c>
      <c r="I3026" s="2">
        <f>SUM(F3026/G3026)</f>
        <v>0.70250111222333445</v>
      </c>
      <c r="J3026" s="3">
        <v>47546</v>
      </c>
      <c r="K3026" s="3">
        <v>134087</v>
      </c>
      <c r="L3026" s="1">
        <f t="shared" si="1416"/>
        <v>181633</v>
      </c>
      <c r="M3026" s="2">
        <f t="shared" si="1417"/>
        <v>0.26176961235017865</v>
      </c>
      <c r="N3026" s="2">
        <f t="shared" si="1418"/>
        <v>0.7382303876498213</v>
      </c>
      <c r="O3026" s="5">
        <f t="shared" si="1419"/>
        <v>1262.6028806584361</v>
      </c>
    </row>
    <row r="3027" spans="1:15" x14ac:dyDescent="0.35">
      <c r="A3027" t="s">
        <v>36</v>
      </c>
      <c r="B3027" t="s">
        <v>19</v>
      </c>
      <c r="C3027">
        <v>2014</v>
      </c>
      <c r="D3027" t="s">
        <v>18</v>
      </c>
      <c r="E3027" s="3">
        <v>43271</v>
      </c>
      <c r="F3027" s="3">
        <v>103883</v>
      </c>
      <c r="G3027" s="1">
        <f t="shared" ref="G3027:G3037" si="1423">SUM(E3027:F3027)</f>
        <v>147154</v>
      </c>
      <c r="H3027" s="2">
        <f t="shared" ref="H3027:H3037" si="1424">SUM(E3027)/G3027</f>
        <v>0.29405248922897104</v>
      </c>
      <c r="I3027" s="2">
        <f t="shared" ref="I3027:I3037" si="1425">SUM(F3027/G3027)</f>
        <v>0.70594751077102902</v>
      </c>
      <c r="J3027" s="3">
        <v>42368</v>
      </c>
      <c r="K3027" s="3">
        <v>123672</v>
      </c>
      <c r="L3027" s="1">
        <f t="shared" si="1416"/>
        <v>166040</v>
      </c>
      <c r="M3027" s="2">
        <f t="shared" si="1417"/>
        <v>0.25516742953505178</v>
      </c>
      <c r="N3027" s="2">
        <f t="shared" si="1418"/>
        <v>0.74483257046494822</v>
      </c>
      <c r="O3027" s="5">
        <f t="shared" si="1419"/>
        <v>1128.3417372276663</v>
      </c>
    </row>
    <row r="3028" spans="1:15" x14ac:dyDescent="0.35">
      <c r="A3028" t="s">
        <v>36</v>
      </c>
      <c r="B3028" t="s">
        <v>20</v>
      </c>
      <c r="C3028">
        <v>2014</v>
      </c>
      <c r="D3028" t="s">
        <v>18</v>
      </c>
      <c r="E3028" s="3">
        <v>41916</v>
      </c>
      <c r="F3028" s="3">
        <v>101248</v>
      </c>
      <c r="G3028" s="1">
        <f t="shared" si="1423"/>
        <v>143164</v>
      </c>
      <c r="H3028" s="2">
        <f t="shared" si="1424"/>
        <v>0.29278310189712498</v>
      </c>
      <c r="I3028" s="2">
        <f t="shared" si="1425"/>
        <v>0.70721689810287502</v>
      </c>
      <c r="J3028" s="3">
        <v>31566</v>
      </c>
      <c r="K3028" s="3">
        <v>93069</v>
      </c>
      <c r="L3028" s="1">
        <f t="shared" si="1416"/>
        <v>124635</v>
      </c>
      <c r="M3028" s="2">
        <f t="shared" si="1417"/>
        <v>0.25326754122036343</v>
      </c>
      <c r="N3028" s="2">
        <f t="shared" si="1418"/>
        <v>0.74673245877963657</v>
      </c>
      <c r="O3028" s="5">
        <f t="shared" si="1419"/>
        <v>870.57500488949734</v>
      </c>
    </row>
    <row r="3029" spans="1:15" x14ac:dyDescent="0.35">
      <c r="A3029" t="s">
        <v>36</v>
      </c>
      <c r="B3029" t="s">
        <v>21</v>
      </c>
      <c r="C3029">
        <v>2014</v>
      </c>
      <c r="D3029" t="s">
        <v>18</v>
      </c>
      <c r="E3029" s="3">
        <v>43841</v>
      </c>
      <c r="F3029" s="3">
        <v>106886</v>
      </c>
      <c r="G3029" s="1">
        <f t="shared" si="1423"/>
        <v>150727</v>
      </c>
      <c r="H3029" s="2">
        <f t="shared" si="1424"/>
        <v>0.29086361434912128</v>
      </c>
      <c r="I3029" s="2">
        <f t="shared" si="1425"/>
        <v>0.70913638565087878</v>
      </c>
      <c r="J3029" s="3">
        <v>26380</v>
      </c>
      <c r="K3029" s="3">
        <v>78276</v>
      </c>
      <c r="L3029" s="1">
        <f t="shared" si="1416"/>
        <v>104656</v>
      </c>
      <c r="M3029" s="2">
        <f t="shared" si="1417"/>
        <v>0.25206390460174283</v>
      </c>
      <c r="N3029" s="2">
        <f t="shared" si="1418"/>
        <v>0.74793609539825712</v>
      </c>
      <c r="O3029" s="5">
        <f t="shared" si="1419"/>
        <v>694.34142522573927</v>
      </c>
    </row>
    <row r="3030" spans="1:15" x14ac:dyDescent="0.35">
      <c r="A3030" t="s">
        <v>36</v>
      </c>
      <c r="B3030" t="s">
        <v>22</v>
      </c>
      <c r="C3030">
        <v>2014</v>
      </c>
      <c r="D3030" t="s">
        <v>18</v>
      </c>
      <c r="E3030" s="3">
        <v>43698</v>
      </c>
      <c r="F3030" s="3">
        <v>107571</v>
      </c>
      <c r="G3030" s="1">
        <f t="shared" si="1423"/>
        <v>151269</v>
      </c>
      <c r="H3030" s="2">
        <f t="shared" si="1424"/>
        <v>0.28887610812526032</v>
      </c>
      <c r="I3030" s="2">
        <f t="shared" si="1425"/>
        <v>0.71112389187473968</v>
      </c>
      <c r="J3030" s="3">
        <v>29984</v>
      </c>
      <c r="K3030" s="3">
        <v>90934</v>
      </c>
      <c r="L3030" s="1">
        <f t="shared" si="1416"/>
        <v>120918</v>
      </c>
      <c r="M3030" s="2">
        <f t="shared" si="1417"/>
        <v>0.24796969847334557</v>
      </c>
      <c r="N3030" s="2">
        <f t="shared" si="1418"/>
        <v>0.7520303015266544</v>
      </c>
      <c r="O3030" s="5">
        <f t="shared" si="1419"/>
        <v>799.35743609067288</v>
      </c>
    </row>
    <row r="3031" spans="1:15" x14ac:dyDescent="0.35">
      <c r="A3031" t="s">
        <v>36</v>
      </c>
      <c r="B3031" t="s">
        <v>23</v>
      </c>
      <c r="C3031">
        <v>2014</v>
      </c>
      <c r="D3031" t="s">
        <v>18</v>
      </c>
      <c r="E3031" s="3">
        <v>43548</v>
      </c>
      <c r="F3031" s="3">
        <v>107335</v>
      </c>
      <c r="G3031" s="1">
        <f t="shared" si="1423"/>
        <v>150883</v>
      </c>
      <c r="H3031" s="2">
        <f t="shared" si="1424"/>
        <v>0.2886209844714116</v>
      </c>
      <c r="I3031" s="2">
        <f t="shared" si="1425"/>
        <v>0.7113790155285884</v>
      </c>
      <c r="J3031" s="3">
        <v>39048</v>
      </c>
      <c r="K3031" s="3">
        <v>117889</v>
      </c>
      <c r="L3031" s="1">
        <f t="shared" si="1416"/>
        <v>156937</v>
      </c>
      <c r="M3031" s="2">
        <f t="shared" si="1417"/>
        <v>0.24881321804290893</v>
      </c>
      <c r="N3031" s="2">
        <f t="shared" si="1418"/>
        <v>0.7511867819570911</v>
      </c>
      <c r="O3031" s="5">
        <f t="shared" si="1419"/>
        <v>1040.1238045372904</v>
      </c>
    </row>
    <row r="3032" spans="1:15" x14ac:dyDescent="0.35">
      <c r="A3032" t="s">
        <v>36</v>
      </c>
      <c r="B3032" t="s">
        <v>24</v>
      </c>
      <c r="C3032">
        <v>2014</v>
      </c>
      <c r="D3032" t="s">
        <v>18</v>
      </c>
      <c r="E3032" s="3">
        <v>43059</v>
      </c>
      <c r="F3032" s="3">
        <v>108092</v>
      </c>
      <c r="G3032" s="1">
        <f t="shared" si="1423"/>
        <v>151151</v>
      </c>
      <c r="H3032" s="2">
        <f t="shared" si="1424"/>
        <v>0.28487406633101997</v>
      </c>
      <c r="I3032" s="2">
        <f t="shared" si="1425"/>
        <v>0.71512593366898003</v>
      </c>
      <c r="J3032" s="3">
        <v>46172</v>
      </c>
      <c r="K3032" s="3">
        <v>140240</v>
      </c>
      <c r="L3032" s="1">
        <f t="shared" si="1416"/>
        <v>186412</v>
      </c>
      <c r="M3032" s="2">
        <f t="shared" si="1417"/>
        <v>0.24768791708688281</v>
      </c>
      <c r="N3032" s="2">
        <f t="shared" si="1418"/>
        <v>0.75231208291311713</v>
      </c>
      <c r="O3032" s="5">
        <f t="shared" si="1419"/>
        <v>1233.2832730183723</v>
      </c>
    </row>
    <row r="3033" spans="1:15" x14ac:dyDescent="0.35">
      <c r="A3033" t="s">
        <v>36</v>
      </c>
      <c r="B3033" t="s">
        <v>25</v>
      </c>
      <c r="C3033">
        <v>2014</v>
      </c>
      <c r="D3033" t="s">
        <v>18</v>
      </c>
      <c r="E3033" s="3">
        <v>42618</v>
      </c>
      <c r="F3033" s="3">
        <v>108234</v>
      </c>
      <c r="G3033" s="1">
        <f t="shared" si="1423"/>
        <v>150852</v>
      </c>
      <c r="H3033" s="2">
        <f t="shared" si="1424"/>
        <v>0.28251531302203486</v>
      </c>
      <c r="I3033" s="2">
        <f t="shared" si="1425"/>
        <v>0.71748468697796519</v>
      </c>
      <c r="J3033" s="3">
        <v>47462</v>
      </c>
      <c r="K3033" s="3">
        <v>145906</v>
      </c>
      <c r="L3033" s="1">
        <f t="shared" si="1416"/>
        <v>193368</v>
      </c>
      <c r="M3033" s="2">
        <f t="shared" si="1417"/>
        <v>0.245449091886972</v>
      </c>
      <c r="N3033" s="2">
        <f t="shared" si="1418"/>
        <v>0.75455090811302805</v>
      </c>
      <c r="O3033" s="5">
        <f t="shared" si="1419"/>
        <v>1281.8391536075094</v>
      </c>
    </row>
    <row r="3034" spans="1:15" x14ac:dyDescent="0.35">
      <c r="A3034" t="s">
        <v>36</v>
      </c>
      <c r="B3034" t="s">
        <v>26</v>
      </c>
      <c r="C3034">
        <v>2014</v>
      </c>
      <c r="D3034" t="s">
        <v>18</v>
      </c>
      <c r="E3034" s="3">
        <v>42383</v>
      </c>
      <c r="F3034" s="3">
        <v>106383</v>
      </c>
      <c r="G3034" s="1">
        <f t="shared" si="1423"/>
        <v>148766</v>
      </c>
      <c r="H3034" s="2">
        <f t="shared" si="1424"/>
        <v>0.28489708669991798</v>
      </c>
      <c r="I3034" s="2">
        <f t="shared" si="1425"/>
        <v>0.71510291330008202</v>
      </c>
      <c r="J3034" s="3">
        <v>46665</v>
      </c>
      <c r="K3034" s="3">
        <v>142168</v>
      </c>
      <c r="L3034" s="1">
        <f t="shared" si="1416"/>
        <v>188833</v>
      </c>
      <c r="M3034" s="2">
        <f t="shared" si="1417"/>
        <v>0.24712311937002537</v>
      </c>
      <c r="N3034" s="2">
        <f t="shared" si="1418"/>
        <v>0.7528768806299746</v>
      </c>
      <c r="O3034" s="5">
        <f t="shared" si="1419"/>
        <v>1269.3290133498247</v>
      </c>
    </row>
    <row r="3035" spans="1:15" x14ac:dyDescent="0.35">
      <c r="A3035" t="s">
        <v>36</v>
      </c>
      <c r="B3035" t="s">
        <v>27</v>
      </c>
      <c r="C3035">
        <v>2014</v>
      </c>
      <c r="D3035" t="s">
        <v>18</v>
      </c>
      <c r="E3035" s="3">
        <v>42089</v>
      </c>
      <c r="F3035" s="3">
        <v>110048</v>
      </c>
      <c r="G3035" s="1">
        <f t="shared" si="1423"/>
        <v>152137</v>
      </c>
      <c r="H3035" s="2">
        <f t="shared" si="1424"/>
        <v>0.27665196500522554</v>
      </c>
      <c r="I3035" s="2">
        <f t="shared" si="1425"/>
        <v>0.7233480349947744</v>
      </c>
      <c r="J3035" s="3">
        <v>31988</v>
      </c>
      <c r="K3035" s="3">
        <v>104210</v>
      </c>
      <c r="L3035" s="1">
        <f t="shared" si="1416"/>
        <v>136198</v>
      </c>
      <c r="M3035" s="2">
        <f t="shared" si="1417"/>
        <v>0.23486394807559582</v>
      </c>
      <c r="N3035" s="2">
        <f t="shared" si="1418"/>
        <v>0.76513605192440415</v>
      </c>
      <c r="O3035" s="5">
        <f t="shared" si="1419"/>
        <v>895.23258641881989</v>
      </c>
    </row>
    <row r="3036" spans="1:15" x14ac:dyDescent="0.35">
      <c r="A3036" t="s">
        <v>36</v>
      </c>
      <c r="B3036" t="s">
        <v>28</v>
      </c>
      <c r="C3036">
        <v>2014</v>
      </c>
      <c r="D3036" t="s">
        <v>18</v>
      </c>
      <c r="E3036" s="3">
        <v>41663</v>
      </c>
      <c r="F3036" s="3">
        <v>110151</v>
      </c>
      <c r="G3036" s="1">
        <f t="shared" si="1423"/>
        <v>151814</v>
      </c>
      <c r="H3036" s="2">
        <f t="shared" si="1424"/>
        <v>0.27443450538158537</v>
      </c>
      <c r="I3036" s="2">
        <f t="shared" si="1425"/>
        <v>0.72556549461841469</v>
      </c>
      <c r="J3036" s="3">
        <v>26666</v>
      </c>
      <c r="K3036" s="3">
        <v>86405</v>
      </c>
      <c r="L3036" s="1">
        <f t="shared" si="1416"/>
        <v>113071</v>
      </c>
      <c r="M3036" s="2">
        <f t="shared" si="1417"/>
        <v>0.23583412192339326</v>
      </c>
      <c r="N3036" s="2">
        <f t="shared" si="1418"/>
        <v>0.76416587807660674</v>
      </c>
      <c r="O3036" s="5">
        <f t="shared" si="1419"/>
        <v>744.79955735307681</v>
      </c>
    </row>
    <row r="3037" spans="1:15" x14ac:dyDescent="0.35">
      <c r="A3037" t="s">
        <v>36</v>
      </c>
      <c r="B3037" t="s">
        <v>29</v>
      </c>
      <c r="C3037">
        <v>2014</v>
      </c>
      <c r="D3037" t="s">
        <v>18</v>
      </c>
      <c r="E3037" s="3">
        <v>41491</v>
      </c>
      <c r="F3037" s="3">
        <v>109605</v>
      </c>
      <c r="G3037" s="1">
        <f t="shared" si="1423"/>
        <v>151096</v>
      </c>
      <c r="H3037" s="2">
        <f t="shared" si="1424"/>
        <v>0.27460025414306138</v>
      </c>
      <c r="I3037" s="2">
        <f t="shared" si="1425"/>
        <v>0.72539974585693867</v>
      </c>
      <c r="J3037" s="3">
        <v>33784</v>
      </c>
      <c r="K3037" s="3">
        <v>106959</v>
      </c>
      <c r="L3037" s="1">
        <f t="shared" si="1416"/>
        <v>140743</v>
      </c>
      <c r="M3037" s="2">
        <f t="shared" si="1417"/>
        <v>0.24004035724689682</v>
      </c>
      <c r="N3037" s="2">
        <f t="shared" si="1418"/>
        <v>0.75995964275310313</v>
      </c>
      <c r="O3037" s="5">
        <f t="shared" si="1419"/>
        <v>931.48064806480647</v>
      </c>
    </row>
    <row r="3038" spans="1:15" x14ac:dyDescent="0.35">
      <c r="A3038" t="s">
        <v>36</v>
      </c>
      <c r="B3038" t="s">
        <v>17</v>
      </c>
      <c r="C3038">
        <v>2015</v>
      </c>
      <c r="D3038" t="s">
        <v>18</v>
      </c>
      <c r="E3038" s="3">
        <v>41439</v>
      </c>
      <c r="F3038" s="3">
        <v>109775</v>
      </c>
      <c r="G3038" s="1">
        <f>SUM(E3038:F3038)</f>
        <v>151214</v>
      </c>
      <c r="H3038" s="2">
        <f>SUM(E3038)/G3038</f>
        <v>0.27404208605023345</v>
      </c>
      <c r="I3038" s="2">
        <f>SUM(F3038/G3038)</f>
        <v>0.72595791394976661</v>
      </c>
      <c r="J3038" s="3">
        <v>45451</v>
      </c>
      <c r="K3038" s="3">
        <v>144036</v>
      </c>
      <c r="L3038" s="1">
        <f t="shared" si="1416"/>
        <v>189487</v>
      </c>
      <c r="M3038" s="2">
        <f t="shared" si="1417"/>
        <v>0.23986342070960012</v>
      </c>
      <c r="N3038" s="2">
        <f t="shared" si="1418"/>
        <v>0.76013657929039991</v>
      </c>
      <c r="O3038" s="5">
        <f t="shared" si="1419"/>
        <v>1253.1048712420807</v>
      </c>
    </row>
    <row r="3039" spans="1:15" x14ac:dyDescent="0.35">
      <c r="A3039" t="s">
        <v>36</v>
      </c>
      <c r="B3039" t="s">
        <v>19</v>
      </c>
      <c r="C3039">
        <v>2015</v>
      </c>
      <c r="D3039" t="s">
        <v>18</v>
      </c>
      <c r="E3039" s="3">
        <v>41066</v>
      </c>
      <c r="F3039" s="3">
        <v>110249</v>
      </c>
      <c r="G3039" s="1">
        <f t="shared" ref="G3039:G3049" si="1426">SUM(E3039:F3039)</f>
        <v>151315</v>
      </c>
      <c r="H3039" s="2">
        <f t="shared" ref="H3039:H3049" si="1427">SUM(E3039)/G3039</f>
        <v>0.27139411162145194</v>
      </c>
      <c r="I3039" s="2">
        <f t="shared" ref="I3039:I3049" si="1428">SUM(F3039/G3039)</f>
        <v>0.72860588837854812</v>
      </c>
      <c r="J3039" s="3">
        <v>34957</v>
      </c>
      <c r="K3039" s="3">
        <v>112511</v>
      </c>
      <c r="L3039" s="1">
        <f t="shared" si="1416"/>
        <v>147468</v>
      </c>
      <c r="M3039" s="2">
        <f t="shared" si="1417"/>
        <v>0.23704803754034773</v>
      </c>
      <c r="N3039" s="2">
        <f t="shared" si="1418"/>
        <v>0.76295196245965224</v>
      </c>
      <c r="O3039" s="5">
        <f t="shared" si="1419"/>
        <v>974.57621518025314</v>
      </c>
    </row>
    <row r="3040" spans="1:15" x14ac:dyDescent="0.35">
      <c r="A3040" t="s">
        <v>36</v>
      </c>
      <c r="B3040" t="s">
        <v>20</v>
      </c>
      <c r="C3040">
        <v>2015</v>
      </c>
      <c r="D3040" t="s">
        <v>18</v>
      </c>
      <c r="E3040" s="3">
        <v>40357</v>
      </c>
      <c r="F3040" s="3">
        <v>110209</v>
      </c>
      <c r="G3040" s="1">
        <f t="shared" si="1426"/>
        <v>150566</v>
      </c>
      <c r="H3040" s="2">
        <f t="shared" si="1427"/>
        <v>0.26803528020934342</v>
      </c>
      <c r="I3040" s="2">
        <f t="shared" si="1428"/>
        <v>0.73196471979065658</v>
      </c>
      <c r="J3040" s="3">
        <v>35563</v>
      </c>
      <c r="K3040" s="3">
        <v>116726</v>
      </c>
      <c r="L3040" s="1">
        <f t="shared" si="1416"/>
        <v>152289</v>
      </c>
      <c r="M3040" s="2">
        <f t="shared" si="1417"/>
        <v>0.23352310409812921</v>
      </c>
      <c r="N3040" s="2">
        <f t="shared" si="1418"/>
        <v>0.76647689590187074</v>
      </c>
      <c r="O3040" s="5">
        <f t="shared" si="1419"/>
        <v>1011.443486577315</v>
      </c>
    </row>
    <row r="3041" spans="1:15" x14ac:dyDescent="0.35">
      <c r="A3041" t="s">
        <v>36</v>
      </c>
      <c r="B3041" t="s">
        <v>21</v>
      </c>
      <c r="C3041">
        <v>2015</v>
      </c>
      <c r="D3041" t="s">
        <v>18</v>
      </c>
      <c r="E3041" s="3">
        <v>40074</v>
      </c>
      <c r="F3041" s="3">
        <v>111331</v>
      </c>
      <c r="G3041" s="1">
        <f t="shared" si="1426"/>
        <v>151405</v>
      </c>
      <c r="H3041" s="2">
        <f t="shared" si="1427"/>
        <v>0.26468082295829065</v>
      </c>
      <c r="I3041" s="2">
        <f t="shared" si="1428"/>
        <v>0.73531917704170935</v>
      </c>
      <c r="J3041" s="3">
        <v>24252</v>
      </c>
      <c r="K3041" s="3">
        <v>81350</v>
      </c>
      <c r="L3041" s="1">
        <f t="shared" si="1416"/>
        <v>105602</v>
      </c>
      <c r="M3041" s="2">
        <f t="shared" si="1417"/>
        <v>0.22965474138747372</v>
      </c>
      <c r="N3041" s="2">
        <f t="shared" si="1418"/>
        <v>0.77034525861252623</v>
      </c>
      <c r="O3041" s="5">
        <f t="shared" si="1419"/>
        <v>697.4802681549487</v>
      </c>
    </row>
    <row r="3042" spans="1:15" x14ac:dyDescent="0.35">
      <c r="A3042" t="s">
        <v>36</v>
      </c>
      <c r="B3042" t="s">
        <v>22</v>
      </c>
      <c r="C3042">
        <v>2015</v>
      </c>
      <c r="D3042" t="s">
        <v>18</v>
      </c>
      <c r="E3042" s="3">
        <v>39805</v>
      </c>
      <c r="F3042" s="3">
        <v>111617</v>
      </c>
      <c r="G3042" s="1">
        <f t="shared" si="1426"/>
        <v>151422</v>
      </c>
      <c r="H3042" s="2">
        <f t="shared" si="1427"/>
        <v>0.26287461531349476</v>
      </c>
      <c r="I3042" s="2">
        <f t="shared" si="1428"/>
        <v>0.73712538468650524</v>
      </c>
      <c r="J3042" s="3">
        <v>23500</v>
      </c>
      <c r="K3042" s="3">
        <v>80959</v>
      </c>
      <c r="L3042" s="1">
        <f t="shared" si="1416"/>
        <v>104459</v>
      </c>
      <c r="M3042" s="2">
        <f t="shared" si="1417"/>
        <v>0.22496864798629126</v>
      </c>
      <c r="N3042" s="2">
        <f t="shared" si="1418"/>
        <v>0.77503135201370876</v>
      </c>
      <c r="O3042" s="5">
        <f t="shared" si="1419"/>
        <v>689.85352194529196</v>
      </c>
    </row>
    <row r="3043" spans="1:15" x14ac:dyDescent="0.35">
      <c r="A3043" t="s">
        <v>36</v>
      </c>
      <c r="B3043" t="s">
        <v>23</v>
      </c>
      <c r="C3043">
        <v>2015</v>
      </c>
      <c r="D3043" t="s">
        <v>18</v>
      </c>
      <c r="E3043" s="3">
        <v>39490</v>
      </c>
      <c r="F3043" s="3">
        <v>112084</v>
      </c>
      <c r="G3043" s="1">
        <f t="shared" si="1426"/>
        <v>151574</v>
      </c>
      <c r="H3043" s="2">
        <f t="shared" si="1427"/>
        <v>0.2605328090569623</v>
      </c>
      <c r="I3043" s="2">
        <f t="shared" si="1428"/>
        <v>0.7394671909430377</v>
      </c>
      <c r="J3043" s="3">
        <v>31751</v>
      </c>
      <c r="K3043" s="3">
        <v>109890</v>
      </c>
      <c r="L3043" s="1">
        <f t="shared" si="1416"/>
        <v>141641</v>
      </c>
      <c r="M3043" s="2">
        <f t="shared" si="1417"/>
        <v>0.22416531936374354</v>
      </c>
      <c r="N3043" s="2">
        <f t="shared" si="1418"/>
        <v>0.77583468063625649</v>
      </c>
      <c r="O3043" s="5">
        <f t="shared" si="1419"/>
        <v>934.46765276366659</v>
      </c>
    </row>
    <row r="3044" spans="1:15" x14ac:dyDescent="0.35">
      <c r="A3044" t="s">
        <v>36</v>
      </c>
      <c r="B3044" t="s">
        <v>24</v>
      </c>
      <c r="C3044">
        <v>2015</v>
      </c>
      <c r="D3044" t="s">
        <v>18</v>
      </c>
      <c r="E3044" s="3">
        <v>39077</v>
      </c>
      <c r="F3044" s="3">
        <v>112647</v>
      </c>
      <c r="G3044" s="1">
        <f t="shared" si="1426"/>
        <v>151724</v>
      </c>
      <c r="H3044" s="2">
        <f t="shared" si="1427"/>
        <v>0.25755318868471699</v>
      </c>
      <c r="I3044" s="2">
        <f t="shared" si="1428"/>
        <v>0.74244681131528301</v>
      </c>
      <c r="J3044" s="3">
        <v>41771</v>
      </c>
      <c r="K3044" s="3">
        <v>143852</v>
      </c>
      <c r="L3044" s="1">
        <f t="shared" si="1416"/>
        <v>185623</v>
      </c>
      <c r="M3044" s="2">
        <f t="shared" si="1417"/>
        <v>0.2250313808094902</v>
      </c>
      <c r="N3044" s="2">
        <f t="shared" si="1418"/>
        <v>0.77496861919050974</v>
      </c>
      <c r="O3044" s="5">
        <f t="shared" si="1419"/>
        <v>1223.4254303867549</v>
      </c>
    </row>
    <row r="3045" spans="1:15" x14ac:dyDescent="0.35">
      <c r="A3045" t="s">
        <v>36</v>
      </c>
      <c r="B3045" t="s">
        <v>25</v>
      </c>
      <c r="C3045">
        <v>2015</v>
      </c>
      <c r="D3045" t="s">
        <v>18</v>
      </c>
      <c r="E3045" s="3">
        <v>38881</v>
      </c>
      <c r="F3045" s="3">
        <v>112806</v>
      </c>
      <c r="G3045" s="1">
        <f t="shared" si="1426"/>
        <v>151687</v>
      </c>
      <c r="H3045" s="2">
        <f t="shared" si="1427"/>
        <v>0.25632387745818691</v>
      </c>
      <c r="I3045" s="2">
        <f t="shared" si="1428"/>
        <v>0.74367612254181303</v>
      </c>
      <c r="J3045" s="3">
        <v>47818</v>
      </c>
      <c r="K3045" s="3">
        <v>165106</v>
      </c>
      <c r="L3045" s="1">
        <f t="shared" si="1416"/>
        <v>212924</v>
      </c>
      <c r="M3045" s="2">
        <f t="shared" si="1417"/>
        <v>0.22457778362232533</v>
      </c>
      <c r="N3045" s="2">
        <f t="shared" si="1418"/>
        <v>0.77542221637767461</v>
      </c>
      <c r="O3045" s="5">
        <f t="shared" si="1419"/>
        <v>1403.7063162960569</v>
      </c>
    </row>
    <row r="3046" spans="1:15" x14ac:dyDescent="0.35">
      <c r="A3046" t="s">
        <v>36</v>
      </c>
      <c r="B3046" t="s">
        <v>26</v>
      </c>
      <c r="C3046">
        <v>2015</v>
      </c>
      <c r="D3046" t="s">
        <v>18</v>
      </c>
      <c r="E3046" s="3">
        <v>38149</v>
      </c>
      <c r="F3046" s="3">
        <v>112701</v>
      </c>
      <c r="G3046" s="1">
        <f t="shared" si="1426"/>
        <v>150850</v>
      </c>
      <c r="H3046" s="2">
        <f t="shared" si="1427"/>
        <v>0.25289360291680479</v>
      </c>
      <c r="I3046" s="2">
        <f t="shared" si="1428"/>
        <v>0.74710639708319526</v>
      </c>
      <c r="J3046" s="3">
        <v>43927</v>
      </c>
      <c r="K3046" s="3">
        <v>154661</v>
      </c>
      <c r="L3046" s="1">
        <f t="shared" si="1416"/>
        <v>198588</v>
      </c>
      <c r="M3046" s="2">
        <f t="shared" si="1417"/>
        <v>0.22119664833726108</v>
      </c>
      <c r="N3046" s="2">
        <f t="shared" si="1418"/>
        <v>0.77880335166273895</v>
      </c>
      <c r="O3046" s="5">
        <f t="shared" si="1419"/>
        <v>1316.4600596619159</v>
      </c>
    </row>
    <row r="3047" spans="1:15" x14ac:dyDescent="0.35">
      <c r="A3047" t="s">
        <v>36</v>
      </c>
      <c r="B3047" t="s">
        <v>27</v>
      </c>
      <c r="C3047">
        <v>2015</v>
      </c>
      <c r="D3047" t="s">
        <v>18</v>
      </c>
      <c r="E3047" s="3">
        <v>37876</v>
      </c>
      <c r="F3047" s="3">
        <v>113836</v>
      </c>
      <c r="G3047" s="1">
        <f t="shared" si="1426"/>
        <v>151712</v>
      </c>
      <c r="H3047" s="2">
        <f t="shared" si="1427"/>
        <v>0.24965724530689729</v>
      </c>
      <c r="I3047" s="2">
        <f t="shared" si="1428"/>
        <v>0.75034275469310274</v>
      </c>
      <c r="J3047" s="3">
        <v>32273</v>
      </c>
      <c r="K3047" s="3">
        <v>116533</v>
      </c>
      <c r="L3047" s="1">
        <f t="shared" si="1416"/>
        <v>148806</v>
      </c>
      <c r="M3047" s="2">
        <f t="shared" si="1417"/>
        <v>0.21687969571119445</v>
      </c>
      <c r="N3047" s="2">
        <f t="shared" si="1418"/>
        <v>0.78312030428880552</v>
      </c>
      <c r="O3047" s="5">
        <f t="shared" si="1419"/>
        <v>980.84528580468259</v>
      </c>
    </row>
    <row r="3048" spans="1:15" x14ac:dyDescent="0.35">
      <c r="A3048" t="s">
        <v>36</v>
      </c>
      <c r="B3048" t="s">
        <v>28</v>
      </c>
      <c r="C3048">
        <v>2015</v>
      </c>
      <c r="D3048" t="s">
        <v>18</v>
      </c>
      <c r="E3048" s="3">
        <v>37409</v>
      </c>
      <c r="F3048" s="3">
        <v>113661</v>
      </c>
      <c r="G3048" s="1">
        <f t="shared" si="1426"/>
        <v>151070</v>
      </c>
      <c r="H3048" s="2">
        <f t="shared" si="1427"/>
        <v>0.24762692791421195</v>
      </c>
      <c r="I3048" s="2">
        <f t="shared" si="1428"/>
        <v>0.75237307208578807</v>
      </c>
      <c r="J3048" s="3">
        <v>21644</v>
      </c>
      <c r="K3048" s="3">
        <v>79155</v>
      </c>
      <c r="L3048" s="1">
        <f t="shared" si="1416"/>
        <v>100799</v>
      </c>
      <c r="M3048" s="2">
        <f t="shared" si="1417"/>
        <v>0.21472435242413118</v>
      </c>
      <c r="N3048" s="2">
        <f t="shared" si="1418"/>
        <v>0.78527564757586876</v>
      </c>
      <c r="O3048" s="5">
        <f t="shared" si="1419"/>
        <v>667.23373270669231</v>
      </c>
    </row>
    <row r="3049" spans="1:15" x14ac:dyDescent="0.35">
      <c r="A3049" t="s">
        <v>36</v>
      </c>
      <c r="B3049" t="s">
        <v>29</v>
      </c>
      <c r="C3049">
        <v>2015</v>
      </c>
      <c r="D3049" t="s">
        <v>18</v>
      </c>
      <c r="E3049" s="3">
        <v>36999</v>
      </c>
      <c r="F3049" s="3">
        <v>113029</v>
      </c>
      <c r="G3049" s="1">
        <f t="shared" si="1426"/>
        <v>150028</v>
      </c>
      <c r="H3049" s="2">
        <f t="shared" si="1427"/>
        <v>0.24661396539312661</v>
      </c>
      <c r="I3049" s="2">
        <f t="shared" si="1428"/>
        <v>0.75338603460687337</v>
      </c>
      <c r="J3049" s="3">
        <v>29356</v>
      </c>
      <c r="K3049" s="3">
        <v>105778</v>
      </c>
      <c r="L3049" s="1">
        <f t="shared" si="1416"/>
        <v>135134</v>
      </c>
      <c r="M3049" s="2">
        <f t="shared" si="1417"/>
        <v>0.2172362247842882</v>
      </c>
      <c r="N3049" s="2">
        <f t="shared" si="1418"/>
        <v>0.78276377521571183</v>
      </c>
      <c r="O3049" s="5">
        <f t="shared" si="1419"/>
        <v>900.72519796304687</v>
      </c>
    </row>
    <row r="3050" spans="1:15" x14ac:dyDescent="0.35">
      <c r="A3050" t="s">
        <v>36</v>
      </c>
      <c r="B3050" t="s">
        <v>17</v>
      </c>
      <c r="C3050">
        <v>2016</v>
      </c>
      <c r="D3050" t="s">
        <v>18</v>
      </c>
      <c r="E3050" s="3">
        <v>36863</v>
      </c>
      <c r="F3050" s="3">
        <v>114227</v>
      </c>
      <c r="G3050" s="1">
        <f>SUM(E3050:F3050)</f>
        <v>151090</v>
      </c>
      <c r="H3050" s="2">
        <f>SUM(E3050)/G3050</f>
        <v>0.24398040902773183</v>
      </c>
      <c r="I3050" s="2">
        <f>SUM(F3050/G3050)</f>
        <v>0.75601959097226823</v>
      </c>
      <c r="J3050" s="3">
        <v>37151</v>
      </c>
      <c r="K3050" s="3">
        <v>134827</v>
      </c>
      <c r="L3050" s="1">
        <f t="shared" si="1416"/>
        <v>171978</v>
      </c>
      <c r="M3050" s="2">
        <f t="shared" si="1417"/>
        <v>0.21602181674400214</v>
      </c>
      <c r="N3050" s="2">
        <f t="shared" si="1418"/>
        <v>0.78397818325599788</v>
      </c>
      <c r="O3050" s="5">
        <f t="shared" si="1419"/>
        <v>1138.2487259249453</v>
      </c>
    </row>
    <row r="3051" spans="1:15" x14ac:dyDescent="0.35">
      <c r="A3051" t="s">
        <v>36</v>
      </c>
      <c r="B3051" t="s">
        <v>19</v>
      </c>
      <c r="C3051">
        <v>2016</v>
      </c>
      <c r="D3051" t="s">
        <v>18</v>
      </c>
      <c r="E3051" s="3">
        <v>36676</v>
      </c>
      <c r="F3051" s="3">
        <v>114610</v>
      </c>
      <c r="G3051" s="1">
        <f t="shared" ref="G3051:G3061" si="1429">SUM(E3051:F3051)</f>
        <v>151286</v>
      </c>
      <c r="H3051" s="2">
        <f t="shared" ref="H3051:H3061" si="1430">SUM(E3051)/G3051</f>
        <v>0.2424282484830057</v>
      </c>
      <c r="I3051" s="2">
        <f t="shared" ref="I3051:I3061" si="1431">SUM(F3051/G3051)</f>
        <v>0.7575717515169943</v>
      </c>
      <c r="J3051" s="3">
        <v>29192</v>
      </c>
      <c r="K3051" s="3">
        <v>107124</v>
      </c>
      <c r="L3051" s="1">
        <f t="shared" si="1416"/>
        <v>136316</v>
      </c>
      <c r="M3051" s="2">
        <f t="shared" si="1417"/>
        <v>0.21414947621702515</v>
      </c>
      <c r="N3051" s="2">
        <f t="shared" si="1418"/>
        <v>0.78585052378297482</v>
      </c>
      <c r="O3051" s="5">
        <f t="shared" si="1419"/>
        <v>901.04834551776105</v>
      </c>
    </row>
    <row r="3052" spans="1:15" x14ac:dyDescent="0.35">
      <c r="A3052" t="s">
        <v>36</v>
      </c>
      <c r="B3052" t="s">
        <v>20</v>
      </c>
      <c r="C3052">
        <v>2016</v>
      </c>
      <c r="D3052" t="s">
        <v>18</v>
      </c>
      <c r="E3052" s="3">
        <v>36290</v>
      </c>
      <c r="F3052" s="3">
        <v>114454</v>
      </c>
      <c r="G3052" s="1">
        <f t="shared" si="1429"/>
        <v>150744</v>
      </c>
      <c r="H3052" s="2">
        <f t="shared" si="1430"/>
        <v>0.24073926657114048</v>
      </c>
      <c r="I3052" s="2">
        <f t="shared" si="1431"/>
        <v>0.75926073342885947</v>
      </c>
      <c r="J3052" s="3">
        <v>21925</v>
      </c>
      <c r="K3052" s="3">
        <v>81610</v>
      </c>
      <c r="L3052" s="1">
        <f t="shared" si="1416"/>
        <v>103535</v>
      </c>
      <c r="M3052" s="2">
        <f t="shared" si="1417"/>
        <v>0.21176413773120201</v>
      </c>
      <c r="N3052" s="2">
        <f t="shared" si="1418"/>
        <v>0.78823586226879794</v>
      </c>
      <c r="O3052" s="5">
        <f t="shared" si="1419"/>
        <v>686.82667303507935</v>
      </c>
    </row>
    <row r="3053" spans="1:15" x14ac:dyDescent="0.35">
      <c r="A3053" t="s">
        <v>36</v>
      </c>
      <c r="B3053" t="s">
        <v>21</v>
      </c>
      <c r="C3053">
        <v>2016</v>
      </c>
      <c r="D3053" t="s">
        <v>18</v>
      </c>
      <c r="E3053" s="3">
        <v>35830</v>
      </c>
      <c r="F3053" s="3">
        <v>115401</v>
      </c>
      <c r="G3053" s="1">
        <f t="shared" si="1429"/>
        <v>151231</v>
      </c>
      <c r="H3053" s="2">
        <f t="shared" si="1430"/>
        <v>0.23692232412666714</v>
      </c>
      <c r="I3053" s="2">
        <f t="shared" si="1431"/>
        <v>0.76307767587333286</v>
      </c>
      <c r="J3053" s="3">
        <v>20492</v>
      </c>
      <c r="K3053" s="3">
        <v>78547</v>
      </c>
      <c r="L3053" s="1">
        <f t="shared" si="1416"/>
        <v>99039</v>
      </c>
      <c r="M3053" s="2">
        <f t="shared" si="1417"/>
        <v>0.20690838962428942</v>
      </c>
      <c r="N3053" s="2">
        <f t="shared" si="1418"/>
        <v>0.79309161037571063</v>
      </c>
      <c r="O3053" s="5">
        <f t="shared" si="1419"/>
        <v>654.8855724024836</v>
      </c>
    </row>
    <row r="3054" spans="1:15" x14ac:dyDescent="0.35">
      <c r="A3054" t="s">
        <v>36</v>
      </c>
      <c r="B3054" t="s">
        <v>22</v>
      </c>
      <c r="C3054">
        <v>2016</v>
      </c>
      <c r="D3054" t="s">
        <v>18</v>
      </c>
      <c r="E3054" s="3">
        <v>35591</v>
      </c>
      <c r="F3054" s="3">
        <v>116360</v>
      </c>
      <c r="G3054" s="1">
        <f t="shared" si="1429"/>
        <v>151951</v>
      </c>
      <c r="H3054" s="2">
        <f t="shared" si="1430"/>
        <v>0.23422682312061124</v>
      </c>
      <c r="I3054" s="2">
        <f t="shared" si="1431"/>
        <v>0.76577317687938873</v>
      </c>
      <c r="J3054" s="3">
        <v>21072</v>
      </c>
      <c r="K3054" s="3">
        <v>83214</v>
      </c>
      <c r="L3054" s="1">
        <f t="shared" si="1416"/>
        <v>104286</v>
      </c>
      <c r="M3054" s="2">
        <f t="shared" si="1417"/>
        <v>0.20205972038432771</v>
      </c>
      <c r="N3054" s="2">
        <f t="shared" si="1418"/>
        <v>0.79794027961567227</v>
      </c>
      <c r="O3054" s="5">
        <f t="shared" si="1419"/>
        <v>686.31335101447178</v>
      </c>
    </row>
    <row r="3055" spans="1:15" x14ac:dyDescent="0.35">
      <c r="A3055" t="s">
        <v>36</v>
      </c>
      <c r="B3055" t="s">
        <v>23</v>
      </c>
      <c r="C3055">
        <v>2016</v>
      </c>
      <c r="D3055" t="s">
        <v>18</v>
      </c>
      <c r="E3055" s="3">
        <v>35109</v>
      </c>
      <c r="F3055" s="3">
        <v>115873</v>
      </c>
      <c r="G3055" s="1">
        <f t="shared" si="1429"/>
        <v>150982</v>
      </c>
      <c r="H3055" s="2">
        <f t="shared" si="1430"/>
        <v>0.23253765349511862</v>
      </c>
      <c r="I3055" s="2">
        <f t="shared" si="1431"/>
        <v>0.76746234650488143</v>
      </c>
      <c r="J3055" s="3">
        <v>29251</v>
      </c>
      <c r="K3055" s="3">
        <v>116024</v>
      </c>
      <c r="L3055" s="1">
        <f t="shared" si="1416"/>
        <v>145275</v>
      </c>
      <c r="M3055" s="2">
        <f t="shared" si="1417"/>
        <v>0.20134916537601102</v>
      </c>
      <c r="N3055" s="2">
        <f t="shared" si="1418"/>
        <v>0.798650834623989</v>
      </c>
      <c r="O3055" s="5">
        <f t="shared" si="1419"/>
        <v>962.20079214740827</v>
      </c>
    </row>
    <row r="3056" spans="1:15" x14ac:dyDescent="0.35">
      <c r="A3056" t="s">
        <v>36</v>
      </c>
      <c r="B3056" t="s">
        <v>24</v>
      </c>
      <c r="C3056">
        <v>2016</v>
      </c>
      <c r="D3056" t="s">
        <v>18</v>
      </c>
      <c r="E3056" s="12">
        <v>34964</v>
      </c>
      <c r="F3056" s="12">
        <v>116922</v>
      </c>
      <c r="G3056" s="1">
        <f t="shared" si="1429"/>
        <v>151886</v>
      </c>
      <c r="H3056" s="2">
        <f t="shared" si="1430"/>
        <v>0.23019896501323361</v>
      </c>
      <c r="I3056" s="2">
        <f t="shared" si="1431"/>
        <v>0.76980103498676644</v>
      </c>
      <c r="J3056" s="12">
        <v>41632.021000000001</v>
      </c>
      <c r="K3056" s="12">
        <v>164752.30700000003</v>
      </c>
      <c r="L3056" s="1">
        <f t="shared" si="1416"/>
        <v>206384.32800000004</v>
      </c>
      <c r="M3056" s="2">
        <f t="shared" si="1417"/>
        <v>0.20172084481143351</v>
      </c>
      <c r="N3056" s="2">
        <f t="shared" si="1418"/>
        <v>0.7982791551885664</v>
      </c>
      <c r="O3056" s="5">
        <f t="shared" si="1419"/>
        <v>1358.8107396336727</v>
      </c>
    </row>
    <row r="3057" spans="1:15" x14ac:dyDescent="0.35">
      <c r="A3057" t="s">
        <v>36</v>
      </c>
      <c r="B3057" t="s">
        <v>25</v>
      </c>
      <c r="C3057">
        <v>2016</v>
      </c>
      <c r="D3057" t="s">
        <v>18</v>
      </c>
      <c r="E3057" s="12">
        <v>34418</v>
      </c>
      <c r="F3057" s="12">
        <v>117432</v>
      </c>
      <c r="G3057" s="1">
        <f t="shared" si="1429"/>
        <v>151850</v>
      </c>
      <c r="H3057" s="2">
        <f t="shared" si="1430"/>
        <v>0.22665788607178136</v>
      </c>
      <c r="I3057" s="2">
        <f t="shared" si="1431"/>
        <v>0.77334211392821861</v>
      </c>
      <c r="J3057" s="12">
        <v>43438.588000000003</v>
      </c>
      <c r="K3057" s="12">
        <v>174233.12199999994</v>
      </c>
      <c r="L3057" s="1">
        <f t="shared" si="1416"/>
        <v>217671.70999999996</v>
      </c>
      <c r="M3057" s="2">
        <f t="shared" si="1417"/>
        <v>0.19956009901332614</v>
      </c>
      <c r="N3057" s="2">
        <f t="shared" si="1418"/>
        <v>0.80043990098667384</v>
      </c>
      <c r="O3057" s="5">
        <f t="shared" si="1419"/>
        <v>1433.4653276259464</v>
      </c>
    </row>
    <row r="3058" spans="1:15" x14ac:dyDescent="0.35">
      <c r="A3058" t="s">
        <v>36</v>
      </c>
      <c r="B3058" t="s">
        <v>26</v>
      </c>
      <c r="C3058">
        <v>2016</v>
      </c>
      <c r="D3058" t="s">
        <v>18</v>
      </c>
      <c r="E3058" s="12">
        <v>33904</v>
      </c>
      <c r="F3058" s="12">
        <v>117202</v>
      </c>
      <c r="G3058" s="1">
        <f t="shared" si="1429"/>
        <v>151106</v>
      </c>
      <c r="H3058" s="2">
        <f t="shared" si="1430"/>
        <v>0.2243722949452702</v>
      </c>
      <c r="I3058" s="2">
        <f t="shared" si="1431"/>
        <v>0.77562770505472978</v>
      </c>
      <c r="J3058" s="12">
        <v>34353.230000000003</v>
      </c>
      <c r="K3058" s="12">
        <v>141630.12099999998</v>
      </c>
      <c r="L3058" s="1">
        <f t="shared" si="1416"/>
        <v>175983.351</v>
      </c>
      <c r="M3058" s="2">
        <f t="shared" si="1417"/>
        <v>0.19520727276070565</v>
      </c>
      <c r="N3058" s="2">
        <f t="shared" si="1418"/>
        <v>0.80479272723929429</v>
      </c>
      <c r="O3058" s="5">
        <f t="shared" si="1419"/>
        <v>1164.6350972165235</v>
      </c>
    </row>
    <row r="3059" spans="1:15" x14ac:dyDescent="0.35">
      <c r="A3059" t="s">
        <v>36</v>
      </c>
      <c r="B3059" t="s">
        <v>27</v>
      </c>
      <c r="C3059">
        <v>2016</v>
      </c>
      <c r="D3059" t="s">
        <v>18</v>
      </c>
      <c r="E3059" s="12">
        <v>33503</v>
      </c>
      <c r="F3059" s="12">
        <v>117571</v>
      </c>
      <c r="G3059" s="1">
        <f t="shared" si="1429"/>
        <v>151074</v>
      </c>
      <c r="H3059" s="2">
        <f t="shared" si="1430"/>
        <v>0.22176549240769425</v>
      </c>
      <c r="I3059" s="2">
        <f t="shared" si="1431"/>
        <v>0.77823450759230572</v>
      </c>
      <c r="J3059" s="3">
        <v>26303</v>
      </c>
      <c r="K3059" s="3">
        <v>111116</v>
      </c>
      <c r="L3059" s="1">
        <f t="shared" si="1416"/>
        <v>137419</v>
      </c>
      <c r="M3059" s="2">
        <f t="shared" si="1417"/>
        <v>0.1914073017559435</v>
      </c>
      <c r="N3059" s="2">
        <f t="shared" si="1418"/>
        <v>0.80859269824405655</v>
      </c>
      <c r="O3059" s="5">
        <f t="shared" si="1419"/>
        <v>909.61383163218022</v>
      </c>
    </row>
    <row r="3060" spans="1:15" x14ac:dyDescent="0.35">
      <c r="A3060" t="s">
        <v>36</v>
      </c>
      <c r="B3060" t="s">
        <v>28</v>
      </c>
      <c r="C3060">
        <v>2016</v>
      </c>
      <c r="D3060" t="s">
        <v>18</v>
      </c>
      <c r="E3060" s="12">
        <v>31523</v>
      </c>
      <c r="F3060" s="12">
        <v>112466</v>
      </c>
      <c r="G3060" s="1">
        <f t="shared" si="1429"/>
        <v>143989</v>
      </c>
      <c r="H3060" s="2">
        <f t="shared" si="1430"/>
        <v>0.21892644577016299</v>
      </c>
      <c r="I3060" s="2">
        <f t="shared" si="1431"/>
        <v>0.78107355422983704</v>
      </c>
      <c r="J3060" s="3">
        <v>19528</v>
      </c>
      <c r="K3060" s="3">
        <v>83738</v>
      </c>
      <c r="L3060" s="1">
        <f t="shared" si="1416"/>
        <v>103266</v>
      </c>
      <c r="M3060" s="2">
        <f t="shared" si="1417"/>
        <v>0.18910386768152151</v>
      </c>
      <c r="N3060" s="2">
        <f t="shared" si="1418"/>
        <v>0.81089613231847846</v>
      </c>
      <c r="O3060" s="5">
        <f t="shared" si="1419"/>
        <v>717.17978456687661</v>
      </c>
    </row>
    <row r="3061" spans="1:15" x14ac:dyDescent="0.35">
      <c r="A3061" t="s">
        <v>36</v>
      </c>
      <c r="B3061" t="s">
        <v>29</v>
      </c>
      <c r="C3061">
        <v>2016</v>
      </c>
      <c r="D3061" t="s">
        <v>18</v>
      </c>
      <c r="E3061" s="12">
        <v>32890</v>
      </c>
      <c r="F3061" s="12">
        <v>118215</v>
      </c>
      <c r="G3061" s="1">
        <f t="shared" si="1429"/>
        <v>151105</v>
      </c>
      <c r="H3061" s="2">
        <f t="shared" si="1430"/>
        <v>0.21766321432116739</v>
      </c>
      <c r="I3061" s="2">
        <f t="shared" si="1431"/>
        <v>0.78233678567883258</v>
      </c>
      <c r="J3061" s="3">
        <v>25387</v>
      </c>
      <c r="K3061" s="3">
        <v>106309</v>
      </c>
      <c r="L3061" s="1">
        <f t="shared" si="1416"/>
        <v>131696</v>
      </c>
      <c r="M3061" s="2">
        <f t="shared" si="1417"/>
        <v>0.19276971206414772</v>
      </c>
      <c r="N3061" s="2">
        <f t="shared" si="1418"/>
        <v>0.80723028793585228</v>
      </c>
      <c r="O3061" s="5">
        <f t="shared" si="1419"/>
        <v>871.55289368320041</v>
      </c>
    </row>
    <row r="3062" spans="1:15" x14ac:dyDescent="0.35">
      <c r="A3062" t="s">
        <v>36</v>
      </c>
      <c r="B3062" t="s">
        <v>17</v>
      </c>
      <c r="C3062">
        <v>2017</v>
      </c>
      <c r="D3062" t="s">
        <v>18</v>
      </c>
      <c r="E3062" s="12">
        <v>32684</v>
      </c>
      <c r="F3062" s="12">
        <v>118568</v>
      </c>
      <c r="G3062" s="1">
        <f>SUM(E3062:F3062)</f>
        <v>151252</v>
      </c>
      <c r="H3062" s="2">
        <f>SUM(E3062)/G3062</f>
        <v>0.21608970459894744</v>
      </c>
      <c r="I3062" s="2">
        <f>SUM(F3062/G3062)</f>
        <v>0.7839102954010525</v>
      </c>
      <c r="J3062" s="3">
        <v>32271</v>
      </c>
      <c r="K3062" s="3">
        <v>137720</v>
      </c>
      <c r="L3062" s="1">
        <f t="shared" si="1416"/>
        <v>169991</v>
      </c>
      <c r="M3062" s="2">
        <f t="shared" si="1417"/>
        <v>0.18983946208916944</v>
      </c>
      <c r="N3062" s="2">
        <f t="shared" si="1418"/>
        <v>0.81016053791083054</v>
      </c>
      <c r="O3062" s="5">
        <f t="shared" si="1419"/>
        <v>1123.8925766270859</v>
      </c>
    </row>
    <row r="3063" spans="1:15" x14ac:dyDescent="0.35">
      <c r="A3063" t="s">
        <v>36</v>
      </c>
      <c r="B3063" t="s">
        <v>19</v>
      </c>
      <c r="C3063">
        <v>2017</v>
      </c>
      <c r="D3063" t="s">
        <v>18</v>
      </c>
      <c r="E3063" s="12">
        <v>29372</v>
      </c>
      <c r="F3063" s="12">
        <v>109071</v>
      </c>
      <c r="G3063" s="1">
        <f t="shared" ref="G3063:G3126" si="1432">SUM(E3063:F3063)</f>
        <v>138443</v>
      </c>
      <c r="H3063" s="2">
        <f t="shared" ref="H3063:H3126" si="1433">SUM(E3063)/G3063</f>
        <v>0.21215951691309781</v>
      </c>
      <c r="I3063" s="2">
        <f t="shared" ref="I3063:I3126" si="1434">SUM(F3063/G3063)</f>
        <v>0.78784048308690224</v>
      </c>
      <c r="J3063" s="3">
        <v>22611</v>
      </c>
      <c r="K3063" s="3">
        <v>98175</v>
      </c>
      <c r="L3063" s="1">
        <f t="shared" si="1416"/>
        <v>120786</v>
      </c>
      <c r="M3063" s="2">
        <f t="shared" si="1417"/>
        <v>0.18719884754855695</v>
      </c>
      <c r="N3063" s="2">
        <f t="shared" si="1418"/>
        <v>0.81280115245144302</v>
      </c>
      <c r="O3063" s="5">
        <f t="shared" si="1419"/>
        <v>872.46014605288815</v>
      </c>
    </row>
    <row r="3064" spans="1:15" x14ac:dyDescent="0.35">
      <c r="A3064" t="s">
        <v>36</v>
      </c>
      <c r="B3064" t="s">
        <v>20</v>
      </c>
      <c r="C3064">
        <v>2017</v>
      </c>
      <c r="D3064" t="s">
        <v>18</v>
      </c>
      <c r="E3064" s="12">
        <v>31966</v>
      </c>
      <c r="F3064" s="12">
        <v>118944</v>
      </c>
      <c r="G3064" s="1">
        <f t="shared" si="1432"/>
        <v>150910</v>
      </c>
      <c r="H3064" s="2">
        <f t="shared" si="1433"/>
        <v>0.21182161553243656</v>
      </c>
      <c r="I3064" s="2">
        <f t="shared" si="1434"/>
        <v>0.7881783844675635</v>
      </c>
      <c r="J3064" s="3">
        <v>19168</v>
      </c>
      <c r="K3064" s="3">
        <v>84062</v>
      </c>
      <c r="L3064" s="1">
        <f t="shared" si="1416"/>
        <v>103230</v>
      </c>
      <c r="M3064" s="2">
        <f t="shared" si="1417"/>
        <v>0.18568245665019859</v>
      </c>
      <c r="N3064" s="2">
        <f t="shared" si="1418"/>
        <v>0.81431754334980144</v>
      </c>
      <c r="O3064" s="5">
        <f t="shared" si="1419"/>
        <v>684.05009608375849</v>
      </c>
    </row>
    <row r="3065" spans="1:15" x14ac:dyDescent="0.35">
      <c r="A3065" t="s">
        <v>36</v>
      </c>
      <c r="B3065" t="s">
        <v>21</v>
      </c>
      <c r="C3065">
        <v>2017</v>
      </c>
      <c r="D3065" t="s">
        <v>18</v>
      </c>
      <c r="E3065" s="12">
        <v>31742</v>
      </c>
      <c r="F3065" s="12">
        <v>119645</v>
      </c>
      <c r="G3065" s="1">
        <f t="shared" si="1432"/>
        <v>151387</v>
      </c>
      <c r="H3065" s="2">
        <f t="shared" si="1433"/>
        <v>0.20967454272823954</v>
      </c>
      <c r="I3065" s="2">
        <f t="shared" si="1434"/>
        <v>0.7903254572717604</v>
      </c>
      <c r="J3065" s="3">
        <v>18312</v>
      </c>
      <c r="K3065" s="3">
        <v>82761</v>
      </c>
      <c r="L3065" s="1">
        <f t="shared" si="1416"/>
        <v>101073</v>
      </c>
      <c r="M3065" s="2">
        <f t="shared" si="1417"/>
        <v>0.18117598171618532</v>
      </c>
      <c r="N3065" s="2">
        <f t="shared" si="1418"/>
        <v>0.81882401828381468</v>
      </c>
      <c r="O3065" s="5">
        <f t="shared" si="1419"/>
        <v>667.64649540581422</v>
      </c>
    </row>
    <row r="3066" spans="1:15" x14ac:dyDescent="0.35">
      <c r="A3066" t="s">
        <v>36</v>
      </c>
      <c r="B3066" t="s">
        <v>22</v>
      </c>
      <c r="C3066">
        <v>2017</v>
      </c>
      <c r="D3066" t="s">
        <v>18</v>
      </c>
      <c r="E3066" s="12">
        <v>31519</v>
      </c>
      <c r="F3066" s="12">
        <v>120470</v>
      </c>
      <c r="G3066" s="1">
        <f t="shared" si="1432"/>
        <v>151989</v>
      </c>
      <c r="H3066" s="2">
        <f t="shared" si="1433"/>
        <v>0.20737684964043451</v>
      </c>
      <c r="I3066" s="2">
        <f t="shared" si="1434"/>
        <v>0.79262315035956554</v>
      </c>
      <c r="J3066" s="3">
        <v>19569</v>
      </c>
      <c r="K3066" s="3">
        <v>89886</v>
      </c>
      <c r="L3066" s="1">
        <f t="shared" si="1416"/>
        <v>109455</v>
      </c>
      <c r="M3066" s="2">
        <f t="shared" si="1417"/>
        <v>0.17878580238454159</v>
      </c>
      <c r="N3066" s="2">
        <f t="shared" si="1418"/>
        <v>0.82121419761545844</v>
      </c>
      <c r="O3066" s="5">
        <f t="shared" si="1419"/>
        <v>720.15080038687006</v>
      </c>
    </row>
    <row r="3067" spans="1:15" x14ac:dyDescent="0.35">
      <c r="A3067" t="s">
        <v>36</v>
      </c>
      <c r="B3067" t="s">
        <v>23</v>
      </c>
      <c r="C3067">
        <v>2017</v>
      </c>
      <c r="D3067" t="s">
        <v>18</v>
      </c>
      <c r="E3067" s="12">
        <v>31248</v>
      </c>
      <c r="F3067" s="12">
        <v>120845</v>
      </c>
      <c r="G3067" s="1">
        <f t="shared" si="1432"/>
        <v>152093</v>
      </c>
      <c r="H3067" s="2">
        <f t="shared" si="1433"/>
        <v>0.2054532424240432</v>
      </c>
      <c r="I3067" s="2">
        <f t="shared" si="1434"/>
        <v>0.79454675757595683</v>
      </c>
      <c r="J3067" s="3">
        <v>27101</v>
      </c>
      <c r="K3067" s="3">
        <v>124285</v>
      </c>
      <c r="L3067" s="1">
        <f t="shared" si="1416"/>
        <v>151386</v>
      </c>
      <c r="M3067" s="2">
        <f t="shared" si="1417"/>
        <v>0.17901919596263854</v>
      </c>
      <c r="N3067" s="2">
        <f t="shared" si="1418"/>
        <v>0.8209808040373614</v>
      </c>
      <c r="O3067" s="5">
        <f t="shared" si="1419"/>
        <v>995.35152834121232</v>
      </c>
    </row>
    <row r="3068" spans="1:15" x14ac:dyDescent="0.35">
      <c r="A3068" t="s">
        <v>36</v>
      </c>
      <c r="B3068" t="s">
        <v>24</v>
      </c>
      <c r="C3068">
        <v>2017</v>
      </c>
      <c r="D3068" t="s">
        <v>18</v>
      </c>
      <c r="E3068" s="12">
        <v>30926</v>
      </c>
      <c r="F3068" s="12">
        <v>121382</v>
      </c>
      <c r="G3068" s="1">
        <f t="shared" si="1432"/>
        <v>152308</v>
      </c>
      <c r="H3068" s="2">
        <f t="shared" si="1433"/>
        <v>0.20304908474932373</v>
      </c>
      <c r="I3068" s="2">
        <f t="shared" si="1434"/>
        <v>0.7969509152506763</v>
      </c>
      <c r="J3068" s="3">
        <v>35732</v>
      </c>
      <c r="K3068" s="3">
        <v>163953</v>
      </c>
      <c r="L3068" s="1">
        <f t="shared" si="1416"/>
        <v>199685</v>
      </c>
      <c r="M3068" s="2">
        <f t="shared" si="1417"/>
        <v>0.17894183338758546</v>
      </c>
      <c r="N3068" s="2">
        <f t="shared" si="1418"/>
        <v>0.8210581666124146</v>
      </c>
      <c r="O3068" s="5">
        <f t="shared" si="1419"/>
        <v>1311.0604827060956</v>
      </c>
    </row>
    <row r="3069" spans="1:15" x14ac:dyDescent="0.35">
      <c r="A3069" t="s">
        <v>36</v>
      </c>
      <c r="B3069" t="s">
        <v>25</v>
      </c>
      <c r="C3069">
        <v>2017</v>
      </c>
      <c r="D3069" t="s">
        <v>18</v>
      </c>
      <c r="E3069" s="12">
        <v>30647</v>
      </c>
      <c r="F3069" s="12">
        <v>121732</v>
      </c>
      <c r="G3069" s="1">
        <f t="shared" si="1432"/>
        <v>152379</v>
      </c>
      <c r="H3069" s="2">
        <f t="shared" si="1433"/>
        <v>0.20112351439502818</v>
      </c>
      <c r="I3069" s="2">
        <f t="shared" si="1434"/>
        <v>0.79887648560497182</v>
      </c>
      <c r="J3069" s="3">
        <v>35572</v>
      </c>
      <c r="K3069" s="3">
        <v>165362</v>
      </c>
      <c r="L3069" s="1">
        <f t="shared" si="1416"/>
        <v>200934</v>
      </c>
      <c r="M3069" s="2">
        <f t="shared" si="1417"/>
        <v>0.17703325470054843</v>
      </c>
      <c r="N3069" s="2">
        <f t="shared" si="1418"/>
        <v>0.82296674529945157</v>
      </c>
      <c r="O3069" s="5">
        <f t="shared" si="1419"/>
        <v>1318.6462701553364</v>
      </c>
    </row>
    <row r="3070" spans="1:15" x14ac:dyDescent="0.35">
      <c r="A3070" t="s">
        <v>36</v>
      </c>
      <c r="B3070" t="s">
        <v>26</v>
      </c>
      <c r="C3070">
        <v>2017</v>
      </c>
      <c r="D3070" t="s">
        <v>18</v>
      </c>
      <c r="E3070" s="12">
        <v>30177</v>
      </c>
      <c r="F3070" s="12">
        <v>121166</v>
      </c>
      <c r="G3070" s="1">
        <f t="shared" si="1432"/>
        <v>151343</v>
      </c>
      <c r="H3070" s="2">
        <f t="shared" si="1433"/>
        <v>0.19939475231758325</v>
      </c>
      <c r="I3070" s="2">
        <f t="shared" si="1434"/>
        <v>0.80060524768241681</v>
      </c>
      <c r="J3070" s="3">
        <v>29719</v>
      </c>
      <c r="K3070" s="3">
        <v>141041</v>
      </c>
      <c r="L3070" s="1">
        <f t="shared" si="1416"/>
        <v>170760</v>
      </c>
      <c r="M3070" s="2">
        <f t="shared" si="1417"/>
        <v>0.17403958772546263</v>
      </c>
      <c r="N3070" s="2">
        <f t="shared" si="1418"/>
        <v>0.82596041227453731</v>
      </c>
      <c r="O3070" s="5">
        <f t="shared" si="1419"/>
        <v>1128.2979721559636</v>
      </c>
    </row>
    <row r="3071" spans="1:15" x14ac:dyDescent="0.35">
      <c r="A3071" t="s">
        <v>36</v>
      </c>
      <c r="B3071" t="s">
        <v>27</v>
      </c>
      <c r="C3071">
        <v>2017</v>
      </c>
      <c r="D3071" t="s">
        <v>18</v>
      </c>
      <c r="E3071" s="12">
        <v>29990</v>
      </c>
      <c r="F3071" s="12">
        <v>121651</v>
      </c>
      <c r="G3071" s="1">
        <f t="shared" si="1432"/>
        <v>151641</v>
      </c>
      <c r="H3071" s="2">
        <f t="shared" si="1433"/>
        <v>0.19776973246021853</v>
      </c>
      <c r="I3071" s="2">
        <f t="shared" si="1434"/>
        <v>0.80223026753978144</v>
      </c>
      <c r="J3071" s="3">
        <v>24046</v>
      </c>
      <c r="K3071" s="3">
        <v>116402</v>
      </c>
      <c r="L3071" s="1">
        <f t="shared" si="1416"/>
        <v>140448</v>
      </c>
      <c r="M3071" s="2">
        <f t="shared" si="1417"/>
        <v>0.17120927318295739</v>
      </c>
      <c r="N3071" s="2">
        <f t="shared" si="1418"/>
        <v>0.82879072681704258</v>
      </c>
      <c r="O3071" s="5">
        <f t="shared" si="1419"/>
        <v>926.18750865531092</v>
      </c>
    </row>
    <row r="3072" spans="1:15" x14ac:dyDescent="0.35">
      <c r="A3072" t="s">
        <v>36</v>
      </c>
      <c r="B3072" t="s">
        <v>28</v>
      </c>
      <c r="C3072">
        <v>2017</v>
      </c>
      <c r="D3072" t="s">
        <v>18</v>
      </c>
      <c r="E3072" s="12">
        <v>29870</v>
      </c>
      <c r="F3072" s="12">
        <v>121980</v>
      </c>
      <c r="G3072" s="1">
        <f t="shared" si="1432"/>
        <v>151850</v>
      </c>
      <c r="H3072" s="2">
        <f t="shared" si="1433"/>
        <v>0.19670727691801121</v>
      </c>
      <c r="I3072" s="2">
        <f t="shared" si="1434"/>
        <v>0.80329272308198885</v>
      </c>
      <c r="J3072" s="3">
        <v>18212</v>
      </c>
      <c r="K3072" s="3">
        <v>88295</v>
      </c>
      <c r="L3072" s="1">
        <f t="shared" si="1416"/>
        <v>106507</v>
      </c>
      <c r="M3072" s="2">
        <f t="shared" si="1417"/>
        <v>0.17099345582919431</v>
      </c>
      <c r="N3072" s="2">
        <f t="shared" si="1418"/>
        <v>0.82900654417080566</v>
      </c>
      <c r="O3072" s="5">
        <f t="shared" si="1419"/>
        <v>701.39611458676325</v>
      </c>
    </row>
    <row r="3073" spans="1:16" x14ac:dyDescent="0.35">
      <c r="A3073" t="s">
        <v>36</v>
      </c>
      <c r="B3073" t="s">
        <v>29</v>
      </c>
      <c r="C3073">
        <v>2017</v>
      </c>
      <c r="D3073" t="s">
        <v>18</v>
      </c>
      <c r="E3073" s="12">
        <v>29595</v>
      </c>
      <c r="F3073" s="12">
        <v>122104</v>
      </c>
      <c r="G3073" s="1">
        <f t="shared" si="1432"/>
        <v>151699</v>
      </c>
      <c r="H3073" s="2">
        <f t="shared" si="1433"/>
        <v>0.19509027745733326</v>
      </c>
      <c r="I3073" s="2">
        <f t="shared" si="1434"/>
        <v>0.80490972254266668</v>
      </c>
      <c r="J3073" s="3">
        <v>22273</v>
      </c>
      <c r="K3073" s="3">
        <v>106859</v>
      </c>
      <c r="L3073" s="1">
        <f t="shared" si="1416"/>
        <v>129132</v>
      </c>
      <c r="M3073" s="2">
        <f t="shared" si="1417"/>
        <v>0.17248242108849859</v>
      </c>
      <c r="N3073" s="2">
        <f t="shared" si="1418"/>
        <v>0.82751757891150146</v>
      </c>
      <c r="O3073" s="5">
        <f t="shared" si="1419"/>
        <v>851.238307437755</v>
      </c>
    </row>
    <row r="3074" spans="1:16" x14ac:dyDescent="0.35">
      <c r="A3074" t="s">
        <v>36</v>
      </c>
      <c r="B3074" t="s">
        <v>17</v>
      </c>
      <c r="C3074">
        <v>2002</v>
      </c>
      <c r="D3074" t="s">
        <v>30</v>
      </c>
      <c r="E3074" s="8">
        <v>36913</v>
      </c>
      <c r="F3074" s="8">
        <v>1544</v>
      </c>
      <c r="G3074" s="1">
        <f t="shared" si="1432"/>
        <v>38457</v>
      </c>
      <c r="H3074" s="2">
        <f t="shared" si="1433"/>
        <v>0.95985126244896901</v>
      </c>
      <c r="I3074" s="2">
        <f t="shared" si="1434"/>
        <v>4.0148737551031023E-2</v>
      </c>
      <c r="J3074" s="8">
        <f>J3075</f>
        <v>105430.91499999999</v>
      </c>
      <c r="K3074" s="8">
        <v>5868.55</v>
      </c>
      <c r="L3074" s="1">
        <f t="shared" si="1416"/>
        <v>111299.465</v>
      </c>
      <c r="M3074" s="2">
        <f t="shared" si="1417"/>
        <v>0.94727243298069763</v>
      </c>
      <c r="N3074" s="2">
        <f t="shared" si="1418"/>
        <v>5.2727567019302389E-2</v>
      </c>
      <c r="P3074" s="5">
        <f>SUM(1000*L3074)/G3074</f>
        <v>2894.1275970564525</v>
      </c>
    </row>
    <row r="3075" spans="1:16" x14ac:dyDescent="0.35">
      <c r="A3075" t="s">
        <v>36</v>
      </c>
      <c r="B3075" t="s">
        <v>19</v>
      </c>
      <c r="C3075">
        <v>2002</v>
      </c>
      <c r="D3075" t="s">
        <v>30</v>
      </c>
      <c r="E3075" s="8">
        <v>37182</v>
      </c>
      <c r="F3075" s="8">
        <v>2093</v>
      </c>
      <c r="G3075" s="1">
        <f t="shared" si="1432"/>
        <v>39275</v>
      </c>
      <c r="H3075" s="2">
        <f t="shared" si="1433"/>
        <v>0.94670910248249518</v>
      </c>
      <c r="I3075" s="2">
        <f t="shared" si="1434"/>
        <v>5.3290897517504772E-2</v>
      </c>
      <c r="J3075" s="8">
        <v>105430.91499999999</v>
      </c>
      <c r="K3075" s="8">
        <v>21448.521999999997</v>
      </c>
      <c r="L3075" s="1">
        <f t="shared" ref="L3075:L3138" si="1435">SUM(J3075:K3075)</f>
        <v>126879.43699999999</v>
      </c>
      <c r="M3075" s="2">
        <f t="shared" ref="M3075:M3138" si="1436">SUM(J3075)/L3075</f>
        <v>0.83095352164905967</v>
      </c>
      <c r="N3075" s="2">
        <f t="shared" ref="N3075:N3138" si="1437">SUM(K3075/L3075)</f>
        <v>0.16904647835094033</v>
      </c>
      <c r="P3075" s="5">
        <f>SUM(1000*L3075)/G3075</f>
        <v>3230.5394525779752</v>
      </c>
    </row>
    <row r="3076" spans="1:16" x14ac:dyDescent="0.35">
      <c r="A3076" t="s">
        <v>36</v>
      </c>
      <c r="B3076" t="s">
        <v>20</v>
      </c>
      <c r="C3076">
        <v>2002</v>
      </c>
      <c r="D3076" t="s">
        <v>30</v>
      </c>
      <c r="E3076" s="8">
        <v>36889</v>
      </c>
      <c r="F3076" s="8">
        <v>2711</v>
      </c>
      <c r="G3076" s="1">
        <f t="shared" si="1432"/>
        <v>39600</v>
      </c>
      <c r="H3076" s="2">
        <f t="shared" si="1433"/>
        <v>0.93154040404040406</v>
      </c>
      <c r="I3076" s="2">
        <f t="shared" si="1434"/>
        <v>6.8459595959595956E-2</v>
      </c>
      <c r="J3076" s="8">
        <v>109030.75800000002</v>
      </c>
      <c r="K3076" s="8">
        <v>28599.502999999997</v>
      </c>
      <c r="L3076" s="1">
        <f t="shared" si="1435"/>
        <v>137630.261</v>
      </c>
      <c r="M3076" s="2">
        <f t="shared" si="1436"/>
        <v>0.79220047399314319</v>
      </c>
      <c r="N3076" s="2">
        <f t="shared" si="1437"/>
        <v>0.20779952600685686</v>
      </c>
      <c r="P3076" s="5">
        <f t="shared" ref="P3076:P3139" si="1438">SUM(1000*L3076)/G3076</f>
        <v>3475.5116414141412</v>
      </c>
    </row>
    <row r="3077" spans="1:16" x14ac:dyDescent="0.35">
      <c r="A3077" t="s">
        <v>36</v>
      </c>
      <c r="B3077" t="s">
        <v>21</v>
      </c>
      <c r="C3077">
        <v>2002</v>
      </c>
      <c r="D3077" t="s">
        <v>30</v>
      </c>
      <c r="E3077" s="8">
        <v>36476</v>
      </c>
      <c r="F3077" s="8">
        <v>3036</v>
      </c>
      <c r="G3077" s="1">
        <f t="shared" si="1432"/>
        <v>39512</v>
      </c>
      <c r="H3077" s="2">
        <f t="shared" si="1433"/>
        <v>0.92316258351893099</v>
      </c>
      <c r="I3077" s="2">
        <f t="shared" si="1434"/>
        <v>7.6837416481069037E-2</v>
      </c>
      <c r="J3077" s="8">
        <v>114522.49100000001</v>
      </c>
      <c r="K3077" s="8">
        <v>30824.667999999994</v>
      </c>
      <c r="L3077" s="1">
        <f t="shared" si="1435"/>
        <v>145347.15900000001</v>
      </c>
      <c r="M3077" s="2">
        <f t="shared" si="1436"/>
        <v>0.78792383551163869</v>
      </c>
      <c r="N3077" s="2">
        <f t="shared" si="1437"/>
        <v>0.21207616448836122</v>
      </c>
      <c r="P3077" s="5">
        <f t="shared" si="1438"/>
        <v>3678.5573749746914</v>
      </c>
    </row>
    <row r="3078" spans="1:16" x14ac:dyDescent="0.35">
      <c r="A3078" t="s">
        <v>36</v>
      </c>
      <c r="B3078" t="s">
        <v>22</v>
      </c>
      <c r="C3078">
        <v>2002</v>
      </c>
      <c r="D3078" t="s">
        <v>30</v>
      </c>
      <c r="E3078" s="8">
        <v>36332</v>
      </c>
      <c r="F3078" s="8">
        <v>3208</v>
      </c>
      <c r="G3078" s="1">
        <f t="shared" si="1432"/>
        <v>39540</v>
      </c>
      <c r="H3078" s="2">
        <f t="shared" si="1433"/>
        <v>0.91886697015680319</v>
      </c>
      <c r="I3078" s="2">
        <f t="shared" si="1434"/>
        <v>8.1133029843196758E-2</v>
      </c>
      <c r="J3078" s="8">
        <v>106895.38100000001</v>
      </c>
      <c r="K3078" s="8">
        <v>51474.491000000002</v>
      </c>
      <c r="L3078" s="1">
        <f t="shared" si="1435"/>
        <v>158369.872</v>
      </c>
      <c r="M3078" s="2">
        <f t="shared" si="1436"/>
        <v>0.67497295824044112</v>
      </c>
      <c r="N3078" s="2">
        <f t="shared" si="1437"/>
        <v>0.32502704175955893</v>
      </c>
      <c r="P3078" s="5">
        <f t="shared" si="1438"/>
        <v>4005.3078401618613</v>
      </c>
    </row>
    <row r="3079" spans="1:16" x14ac:dyDescent="0.35">
      <c r="A3079" t="s">
        <v>36</v>
      </c>
      <c r="B3079" t="s">
        <v>23</v>
      </c>
      <c r="C3079">
        <v>2002</v>
      </c>
      <c r="D3079" t="s">
        <v>30</v>
      </c>
      <c r="E3079" s="8">
        <v>36405</v>
      </c>
      <c r="F3079" s="8">
        <v>3310</v>
      </c>
      <c r="G3079" s="1">
        <f t="shared" si="1432"/>
        <v>39715</v>
      </c>
      <c r="H3079" s="2">
        <f t="shared" si="1433"/>
        <v>0.91665617524864662</v>
      </c>
      <c r="I3079" s="2">
        <f t="shared" si="1434"/>
        <v>8.3343824751353393E-2</v>
      </c>
      <c r="J3079" s="8">
        <v>113094.463</v>
      </c>
      <c r="K3079" s="8">
        <v>34476.044000000002</v>
      </c>
      <c r="L3079" s="1">
        <f t="shared" si="1435"/>
        <v>147570.50700000001</v>
      </c>
      <c r="M3079" s="2">
        <f t="shared" si="1436"/>
        <v>0.76637578401760176</v>
      </c>
      <c r="N3079" s="2">
        <f t="shared" si="1437"/>
        <v>0.23362421598239816</v>
      </c>
      <c r="P3079" s="5">
        <f t="shared" si="1438"/>
        <v>3715.7373032859123</v>
      </c>
    </row>
    <row r="3080" spans="1:16" x14ac:dyDescent="0.35">
      <c r="A3080" t="s">
        <v>36</v>
      </c>
      <c r="B3080" t="s">
        <v>24</v>
      </c>
      <c r="C3080">
        <v>2002</v>
      </c>
      <c r="D3080" t="s">
        <v>30</v>
      </c>
      <c r="E3080" s="8">
        <v>36644</v>
      </c>
      <c r="F3080" s="8">
        <v>3501</v>
      </c>
      <c r="G3080" s="1">
        <f t="shared" si="1432"/>
        <v>40145</v>
      </c>
      <c r="H3080" s="2">
        <f t="shared" si="1433"/>
        <v>0.91279113214597085</v>
      </c>
      <c r="I3080" s="2">
        <f t="shared" si="1434"/>
        <v>8.7208867854029148E-2</v>
      </c>
      <c r="J3080" s="8">
        <v>106980.03199999999</v>
      </c>
      <c r="K3080" s="8">
        <v>67179.436999999991</v>
      </c>
      <c r="L3080" s="1">
        <f t="shared" si="1435"/>
        <v>174159.46899999998</v>
      </c>
      <c r="M3080" s="2">
        <f t="shared" si="1436"/>
        <v>0.61426480348306534</v>
      </c>
      <c r="N3080" s="2">
        <f t="shared" si="1437"/>
        <v>0.38573519651693472</v>
      </c>
      <c r="P3080" s="5">
        <f t="shared" si="1438"/>
        <v>4338.2605305766592</v>
      </c>
    </row>
    <row r="3081" spans="1:16" x14ac:dyDescent="0.35">
      <c r="A3081" t="s">
        <v>36</v>
      </c>
      <c r="B3081" t="s">
        <v>25</v>
      </c>
      <c r="C3081">
        <v>2002</v>
      </c>
      <c r="D3081" t="s">
        <v>30</v>
      </c>
      <c r="E3081" s="8">
        <v>36655</v>
      </c>
      <c r="F3081" s="8">
        <v>3708</v>
      </c>
      <c r="G3081" s="1">
        <f t="shared" si="1432"/>
        <v>40363</v>
      </c>
      <c r="H3081" s="2">
        <f t="shared" si="1433"/>
        <v>0.90813368679235928</v>
      </c>
      <c r="I3081" s="2">
        <f t="shared" si="1434"/>
        <v>9.186631320764066E-2</v>
      </c>
      <c r="J3081" s="8">
        <v>122063.587</v>
      </c>
      <c r="K3081" s="8">
        <v>61181.765999999996</v>
      </c>
      <c r="L3081" s="1">
        <f t="shared" si="1435"/>
        <v>183245.353</v>
      </c>
      <c r="M3081" s="2">
        <f t="shared" si="1436"/>
        <v>0.66612105028387814</v>
      </c>
      <c r="N3081" s="2">
        <f t="shared" si="1437"/>
        <v>0.33387894971612181</v>
      </c>
      <c r="P3081" s="5">
        <f t="shared" si="1438"/>
        <v>4539.9339246339468</v>
      </c>
    </row>
    <row r="3082" spans="1:16" x14ac:dyDescent="0.35">
      <c r="A3082" t="s">
        <v>36</v>
      </c>
      <c r="B3082" t="s">
        <v>26</v>
      </c>
      <c r="C3082">
        <v>2002</v>
      </c>
      <c r="D3082" t="s">
        <v>30</v>
      </c>
      <c r="E3082" s="8">
        <v>36478</v>
      </c>
      <c r="F3082" s="8">
        <v>3800</v>
      </c>
      <c r="G3082" s="1">
        <f t="shared" si="1432"/>
        <v>40278</v>
      </c>
      <c r="H3082" s="2">
        <f t="shared" si="1433"/>
        <v>0.90565569293410797</v>
      </c>
      <c r="I3082" s="2">
        <f t="shared" si="1434"/>
        <v>9.4344307065892044E-2</v>
      </c>
      <c r="J3082" s="8">
        <v>114261.38800000001</v>
      </c>
      <c r="K3082" s="8">
        <v>70705.395000000004</v>
      </c>
      <c r="L3082" s="1">
        <f t="shared" si="1435"/>
        <v>184966.783</v>
      </c>
      <c r="M3082" s="2">
        <f t="shared" si="1436"/>
        <v>0.61774004038335906</v>
      </c>
      <c r="N3082" s="2">
        <f t="shared" si="1437"/>
        <v>0.38225995961664105</v>
      </c>
      <c r="P3082" s="5">
        <f t="shared" si="1438"/>
        <v>4592.2534137742687</v>
      </c>
    </row>
    <row r="3083" spans="1:16" x14ac:dyDescent="0.35">
      <c r="A3083" t="s">
        <v>36</v>
      </c>
      <c r="B3083" t="s">
        <v>27</v>
      </c>
      <c r="C3083">
        <v>2002</v>
      </c>
      <c r="D3083" t="s">
        <v>30</v>
      </c>
      <c r="E3083" s="8">
        <v>36105</v>
      </c>
      <c r="F3083" s="8">
        <v>4199</v>
      </c>
      <c r="G3083" s="1">
        <f t="shared" si="1432"/>
        <v>40304</v>
      </c>
      <c r="H3083" s="2">
        <f t="shared" si="1433"/>
        <v>0.89581679237792777</v>
      </c>
      <c r="I3083" s="2">
        <f t="shared" si="1434"/>
        <v>0.10418320762207225</v>
      </c>
      <c r="J3083" s="8">
        <v>81929.521999999983</v>
      </c>
      <c r="K3083" s="8">
        <v>65506.336000000003</v>
      </c>
      <c r="L3083" s="1">
        <f t="shared" si="1435"/>
        <v>147435.85799999998</v>
      </c>
      <c r="M3083" s="2">
        <f t="shared" si="1436"/>
        <v>0.55569603698443559</v>
      </c>
      <c r="N3083" s="2">
        <f t="shared" si="1437"/>
        <v>0.44430396301556446</v>
      </c>
      <c r="P3083" s="5">
        <f t="shared" si="1438"/>
        <v>3658.094928543072</v>
      </c>
    </row>
    <row r="3084" spans="1:16" x14ac:dyDescent="0.35">
      <c r="A3084" t="s">
        <v>36</v>
      </c>
      <c r="B3084" t="s">
        <v>28</v>
      </c>
      <c r="C3084">
        <v>2002</v>
      </c>
      <c r="D3084" t="s">
        <v>30</v>
      </c>
      <c r="E3084" s="8">
        <v>35720</v>
      </c>
      <c r="F3084" s="8">
        <v>4298</v>
      </c>
      <c r="G3084" s="1">
        <f t="shared" si="1432"/>
        <v>40018</v>
      </c>
      <c r="H3084" s="2">
        <f t="shared" si="1433"/>
        <v>0.89259833075116202</v>
      </c>
      <c r="I3084" s="2">
        <f t="shared" si="1434"/>
        <v>0.10740166924883802</v>
      </c>
      <c r="J3084" s="8">
        <v>74659.324999999997</v>
      </c>
      <c r="K3084" s="8">
        <v>53460.288</v>
      </c>
      <c r="L3084" s="1">
        <f t="shared" si="1435"/>
        <v>128119.613</v>
      </c>
      <c r="M3084" s="2">
        <f t="shared" si="1436"/>
        <v>0.58273142770108122</v>
      </c>
      <c r="N3084" s="2">
        <f t="shared" si="1437"/>
        <v>0.41726857229891884</v>
      </c>
      <c r="P3084" s="5">
        <f t="shared" si="1438"/>
        <v>3201.5496276675494</v>
      </c>
    </row>
    <row r="3085" spans="1:16" x14ac:dyDescent="0.35">
      <c r="A3085" t="s">
        <v>36</v>
      </c>
      <c r="B3085" t="s">
        <v>29</v>
      </c>
      <c r="C3085">
        <v>2002</v>
      </c>
      <c r="D3085" t="s">
        <v>30</v>
      </c>
      <c r="E3085" s="8">
        <v>34065</v>
      </c>
      <c r="F3085" s="8">
        <v>4539</v>
      </c>
      <c r="G3085" s="1">
        <f t="shared" si="1432"/>
        <v>38604</v>
      </c>
      <c r="H3085" s="2">
        <f t="shared" si="1433"/>
        <v>0.88242151072427732</v>
      </c>
      <c r="I3085" s="2">
        <f t="shared" si="1434"/>
        <v>0.11757848927572272</v>
      </c>
      <c r="J3085" s="8">
        <v>87613.736999999994</v>
      </c>
      <c r="K3085" s="8">
        <v>61497.255999999994</v>
      </c>
      <c r="L3085" s="1">
        <f t="shared" si="1435"/>
        <v>149110.99299999999</v>
      </c>
      <c r="M3085" s="2">
        <f t="shared" si="1436"/>
        <v>0.58757396243749782</v>
      </c>
      <c r="N3085" s="2">
        <f t="shared" si="1437"/>
        <v>0.41242603756250218</v>
      </c>
      <c r="P3085" s="5">
        <f t="shared" si="1438"/>
        <v>3862.5788260283907</v>
      </c>
    </row>
    <row r="3086" spans="1:16" x14ac:dyDescent="0.35">
      <c r="A3086" t="s">
        <v>36</v>
      </c>
      <c r="B3086" t="s">
        <v>17</v>
      </c>
      <c r="C3086">
        <v>2003</v>
      </c>
      <c r="D3086" t="s">
        <v>30</v>
      </c>
      <c r="E3086" s="8">
        <f>22194+13435</f>
        <v>35629</v>
      </c>
      <c r="F3086" s="8">
        <f>2297+3174</f>
        <v>5471</v>
      </c>
      <c r="G3086" s="1">
        <f t="shared" si="1432"/>
        <v>41100</v>
      </c>
      <c r="H3086" s="2">
        <f t="shared" si="1433"/>
        <v>0.86688564476885643</v>
      </c>
      <c r="I3086" s="2">
        <f t="shared" si="1434"/>
        <v>0.13311435523114354</v>
      </c>
      <c r="J3086" s="8">
        <f>7992+80912</f>
        <v>88904</v>
      </c>
      <c r="K3086" s="8">
        <f>1133+62887</f>
        <v>64020</v>
      </c>
      <c r="L3086" s="1">
        <f t="shared" si="1435"/>
        <v>152924</v>
      </c>
      <c r="M3086" s="2">
        <f t="shared" si="1436"/>
        <v>0.58136067589129237</v>
      </c>
      <c r="N3086" s="2">
        <f t="shared" si="1437"/>
        <v>0.41863932410870758</v>
      </c>
      <c r="P3086" s="5">
        <f t="shared" si="1438"/>
        <v>3720.778588807786</v>
      </c>
    </row>
    <row r="3087" spans="1:16" x14ac:dyDescent="0.35">
      <c r="A3087" t="s">
        <v>36</v>
      </c>
      <c r="B3087" t="s">
        <v>19</v>
      </c>
      <c r="C3087">
        <v>2003</v>
      </c>
      <c r="D3087" t="s">
        <v>30</v>
      </c>
      <c r="E3087" s="8">
        <f>19724+11899</f>
        <v>31623</v>
      </c>
      <c r="F3087" s="8">
        <f>2174+2878</f>
        <v>5052</v>
      </c>
      <c r="G3087" s="1">
        <f t="shared" si="1432"/>
        <v>36675</v>
      </c>
      <c r="H3087" s="2">
        <f t="shared" si="1433"/>
        <v>0.86224948875255625</v>
      </c>
      <c r="I3087" s="2">
        <f t="shared" si="1434"/>
        <v>0.13775051124744375</v>
      </c>
      <c r="J3087" s="8">
        <f>6464+60350</f>
        <v>66814</v>
      </c>
      <c r="K3087" s="8">
        <f>940+55272</f>
        <v>56212</v>
      </c>
      <c r="L3087" s="1">
        <f t="shared" si="1435"/>
        <v>123026</v>
      </c>
      <c r="M3087" s="2">
        <f t="shared" si="1436"/>
        <v>0.54308845284736562</v>
      </c>
      <c r="N3087" s="2">
        <f t="shared" si="1437"/>
        <v>0.45691154715263438</v>
      </c>
      <c r="P3087" s="5">
        <f t="shared" si="1438"/>
        <v>3354.492160872529</v>
      </c>
    </row>
    <row r="3088" spans="1:16" x14ac:dyDescent="0.35">
      <c r="A3088" t="s">
        <v>36</v>
      </c>
      <c r="B3088" t="s">
        <v>20</v>
      </c>
      <c r="C3088">
        <v>2003</v>
      </c>
      <c r="D3088" t="s">
        <v>30</v>
      </c>
      <c r="E3088" s="8">
        <f>20816+12600</f>
        <v>33416</v>
      </c>
      <c r="F3088" s="8">
        <f>2431+3168</f>
        <v>5599</v>
      </c>
      <c r="G3088" s="1">
        <f t="shared" si="1432"/>
        <v>39015</v>
      </c>
      <c r="H3088" s="2">
        <f t="shared" si="1433"/>
        <v>0.85649109316929384</v>
      </c>
      <c r="I3088" s="2">
        <f t="shared" si="1434"/>
        <v>0.14350890683070613</v>
      </c>
      <c r="J3088" s="8">
        <f>62064+6573</f>
        <v>68637</v>
      </c>
      <c r="K3088" s="8">
        <f>1040+59107</f>
        <v>60147</v>
      </c>
      <c r="L3088" s="1">
        <f t="shared" si="1435"/>
        <v>128784</v>
      </c>
      <c r="M3088" s="2">
        <f t="shared" si="1436"/>
        <v>0.53296216921356687</v>
      </c>
      <c r="N3088" s="2">
        <f t="shared" si="1437"/>
        <v>0.46703783078643307</v>
      </c>
      <c r="P3088" s="5">
        <f t="shared" si="1438"/>
        <v>3300.8842752787391</v>
      </c>
    </row>
    <row r="3089" spans="1:16" x14ac:dyDescent="0.35">
      <c r="A3089" t="s">
        <v>36</v>
      </c>
      <c r="B3089" t="s">
        <v>21</v>
      </c>
      <c r="C3089">
        <v>2003</v>
      </c>
      <c r="D3089" t="s">
        <v>30</v>
      </c>
      <c r="E3089" s="8">
        <f>20610+12577</f>
        <v>33187</v>
      </c>
      <c r="F3089" s="8">
        <f>2508+3085</f>
        <v>5593</v>
      </c>
      <c r="G3089" s="1">
        <f t="shared" si="1432"/>
        <v>38780</v>
      </c>
      <c r="H3089" s="2">
        <f t="shared" si="1433"/>
        <v>0.8557761732851985</v>
      </c>
      <c r="I3089" s="2">
        <f t="shared" si="1434"/>
        <v>0.14422382671480144</v>
      </c>
      <c r="J3089" s="8">
        <f>6032+62472</f>
        <v>68504</v>
      </c>
      <c r="K3089" s="8">
        <f>58653+952</f>
        <v>59605</v>
      </c>
      <c r="L3089" s="1">
        <f t="shared" si="1435"/>
        <v>128109</v>
      </c>
      <c r="M3089" s="2">
        <f t="shared" si="1436"/>
        <v>0.53473214216019171</v>
      </c>
      <c r="N3089" s="2">
        <f t="shared" si="1437"/>
        <v>0.46526785783980829</v>
      </c>
      <c r="P3089" s="5">
        <f t="shared" si="1438"/>
        <v>3303.4811758638475</v>
      </c>
    </row>
    <row r="3090" spans="1:16" x14ac:dyDescent="0.35">
      <c r="A3090" t="s">
        <v>36</v>
      </c>
      <c r="B3090" t="s">
        <v>22</v>
      </c>
      <c r="C3090">
        <v>2003</v>
      </c>
      <c r="D3090" t="s">
        <v>30</v>
      </c>
      <c r="E3090" s="8">
        <f>20597+12523</f>
        <v>33120</v>
      </c>
      <c r="F3090" s="8">
        <f>3191+2610</f>
        <v>5801</v>
      </c>
      <c r="G3090" s="1">
        <f t="shared" si="1432"/>
        <v>38921</v>
      </c>
      <c r="H3090" s="2">
        <f t="shared" si="1433"/>
        <v>0.85095449757200481</v>
      </c>
      <c r="I3090" s="2">
        <f t="shared" si="1434"/>
        <v>0.14904550242799516</v>
      </c>
      <c r="J3090" s="8">
        <f>6903+72856</f>
        <v>79759</v>
      </c>
      <c r="K3090" s="8">
        <f>1064+69182</f>
        <v>70246</v>
      </c>
      <c r="L3090" s="1">
        <f t="shared" si="1435"/>
        <v>150005</v>
      </c>
      <c r="M3090" s="2">
        <f t="shared" si="1436"/>
        <v>0.5317089430352322</v>
      </c>
      <c r="N3090" s="2">
        <f t="shared" si="1437"/>
        <v>0.46829105696476786</v>
      </c>
      <c r="P3090" s="5">
        <f t="shared" si="1438"/>
        <v>3854.0890521826263</v>
      </c>
    </row>
    <row r="3091" spans="1:16" x14ac:dyDescent="0.35">
      <c r="A3091" t="s">
        <v>36</v>
      </c>
      <c r="B3091" t="s">
        <v>23</v>
      </c>
      <c r="C3091">
        <v>2003</v>
      </c>
      <c r="D3091" t="s">
        <v>30</v>
      </c>
      <c r="E3091" s="8">
        <f>20391+12400</f>
        <v>32791</v>
      </c>
      <c r="F3091" s="8">
        <f>2781+3384</f>
        <v>6165</v>
      </c>
      <c r="G3091" s="1">
        <f t="shared" si="1432"/>
        <v>38956</v>
      </c>
      <c r="H3091" s="2">
        <f t="shared" si="1433"/>
        <v>0.84174453229284318</v>
      </c>
      <c r="I3091" s="2">
        <f t="shared" si="1434"/>
        <v>0.15825546770715679</v>
      </c>
      <c r="J3091" s="8">
        <f>7328+76016</f>
        <v>83344</v>
      </c>
      <c r="K3091" s="8">
        <f>76370+1177</f>
        <v>77547</v>
      </c>
      <c r="L3091" s="1">
        <f t="shared" si="1435"/>
        <v>160891</v>
      </c>
      <c r="M3091" s="2">
        <f t="shared" si="1436"/>
        <v>0.51801530228539816</v>
      </c>
      <c r="N3091" s="2">
        <f t="shared" si="1437"/>
        <v>0.48198469771460178</v>
      </c>
      <c r="P3091" s="5">
        <f t="shared" si="1438"/>
        <v>4130.0698223636928</v>
      </c>
    </row>
    <row r="3092" spans="1:16" x14ac:dyDescent="0.35">
      <c r="A3092" t="s">
        <v>36</v>
      </c>
      <c r="B3092" t="s">
        <v>24</v>
      </c>
      <c r="C3092">
        <v>2003</v>
      </c>
      <c r="D3092" t="s">
        <v>30</v>
      </c>
      <c r="E3092" s="8">
        <v>34072</v>
      </c>
      <c r="F3092" s="8">
        <f>3025+3681</f>
        <v>6706</v>
      </c>
      <c r="G3092" s="1">
        <f t="shared" si="1432"/>
        <v>40778</v>
      </c>
      <c r="H3092" s="2">
        <f t="shared" si="1433"/>
        <v>0.83554858011672961</v>
      </c>
      <c r="I3092" s="2">
        <f t="shared" si="1434"/>
        <v>0.16445141988327039</v>
      </c>
      <c r="J3092" s="8">
        <v>91527</v>
      </c>
      <c r="K3092" s="8">
        <v>82560</v>
      </c>
      <c r="L3092" s="1">
        <f t="shared" si="1435"/>
        <v>174087</v>
      </c>
      <c r="M3092" s="2">
        <f t="shared" si="1436"/>
        <v>0.52575436419721178</v>
      </c>
      <c r="N3092" s="2">
        <f t="shared" si="1437"/>
        <v>0.47424563580278828</v>
      </c>
      <c r="P3092" s="5">
        <f t="shared" si="1438"/>
        <v>4269.1402226690861</v>
      </c>
    </row>
    <row r="3093" spans="1:16" x14ac:dyDescent="0.35">
      <c r="A3093" t="s">
        <v>36</v>
      </c>
      <c r="B3093" t="s">
        <v>25</v>
      </c>
      <c r="C3093">
        <v>2003</v>
      </c>
      <c r="D3093" t="s">
        <v>30</v>
      </c>
      <c r="E3093" s="8">
        <v>32180</v>
      </c>
      <c r="F3093" s="8">
        <v>6589</v>
      </c>
      <c r="G3093" s="1">
        <f t="shared" si="1432"/>
        <v>38769</v>
      </c>
      <c r="H3093" s="2">
        <f t="shared" si="1433"/>
        <v>0.83004462328148776</v>
      </c>
      <c r="I3093" s="2">
        <f t="shared" si="1434"/>
        <v>0.16995537671851221</v>
      </c>
      <c r="J3093" s="8">
        <f>8884+81891</f>
        <v>90775</v>
      </c>
      <c r="K3093" s="8">
        <v>88043</v>
      </c>
      <c r="L3093" s="1">
        <f t="shared" si="1435"/>
        <v>178818</v>
      </c>
      <c r="M3093" s="2">
        <f t="shared" si="1436"/>
        <v>0.50763905199700254</v>
      </c>
      <c r="N3093" s="2">
        <f t="shared" si="1437"/>
        <v>0.49236094800299746</v>
      </c>
      <c r="P3093" s="5">
        <f t="shared" si="1438"/>
        <v>4612.3965023601331</v>
      </c>
    </row>
    <row r="3094" spans="1:16" x14ac:dyDescent="0.35">
      <c r="A3094" t="s">
        <v>36</v>
      </c>
      <c r="B3094" t="s">
        <v>26</v>
      </c>
      <c r="C3094">
        <v>2003</v>
      </c>
      <c r="D3094" t="s">
        <v>30</v>
      </c>
      <c r="E3094" s="8">
        <v>31997</v>
      </c>
      <c r="F3094" s="8">
        <f>2848+4068</f>
        <v>6916</v>
      </c>
      <c r="G3094" s="1">
        <f t="shared" si="1432"/>
        <v>38913</v>
      </c>
      <c r="H3094" s="2">
        <f t="shared" si="1433"/>
        <v>0.82227019248066202</v>
      </c>
      <c r="I3094" s="2">
        <f t="shared" si="1434"/>
        <v>0.17772980751933801</v>
      </c>
      <c r="J3094" s="8">
        <f>8425+70093</f>
        <v>78518</v>
      </c>
      <c r="K3094" s="8">
        <v>92858</v>
      </c>
      <c r="L3094" s="1">
        <f t="shared" si="1435"/>
        <v>171376</v>
      </c>
      <c r="M3094" s="2">
        <f t="shared" si="1436"/>
        <v>0.45816216973205115</v>
      </c>
      <c r="N3094" s="2">
        <f t="shared" si="1437"/>
        <v>0.54183783026794885</v>
      </c>
      <c r="P3094" s="5">
        <f t="shared" si="1438"/>
        <v>4404.0808984144114</v>
      </c>
    </row>
    <row r="3095" spans="1:16" x14ac:dyDescent="0.35">
      <c r="A3095" t="s">
        <v>36</v>
      </c>
      <c r="B3095" t="s">
        <v>27</v>
      </c>
      <c r="C3095">
        <v>2003</v>
      </c>
      <c r="D3095" t="s">
        <v>30</v>
      </c>
      <c r="E3095" s="8">
        <f>22045+12327</f>
        <v>34372</v>
      </c>
      <c r="F3095" s="8">
        <f>3195+4805</f>
        <v>8000</v>
      </c>
      <c r="G3095" s="1">
        <f t="shared" si="1432"/>
        <v>42372</v>
      </c>
      <c r="H3095" s="2">
        <f t="shared" si="1433"/>
        <v>0.81119607287831585</v>
      </c>
      <c r="I3095" s="2">
        <f t="shared" si="1434"/>
        <v>0.18880392712168412</v>
      </c>
      <c r="J3095" s="8">
        <f>6854+57858</f>
        <v>64712</v>
      </c>
      <c r="K3095" s="8">
        <f>1424+84593</f>
        <v>86017</v>
      </c>
      <c r="L3095" s="1">
        <f t="shared" si="1435"/>
        <v>150729</v>
      </c>
      <c r="M3095" s="2">
        <f t="shared" si="1436"/>
        <v>0.42932680506073817</v>
      </c>
      <c r="N3095" s="2">
        <f t="shared" si="1437"/>
        <v>0.57067319493926183</v>
      </c>
      <c r="P3095" s="5">
        <f t="shared" si="1438"/>
        <v>3557.2783913905409</v>
      </c>
    </row>
    <row r="3096" spans="1:16" x14ac:dyDescent="0.35">
      <c r="A3096" t="s">
        <v>36</v>
      </c>
      <c r="B3096" t="s">
        <v>28</v>
      </c>
      <c r="C3096">
        <v>2003</v>
      </c>
      <c r="D3096" t="s">
        <v>30</v>
      </c>
      <c r="E3096" s="8">
        <f>17332+9546</f>
        <v>26878</v>
      </c>
      <c r="F3096" s="8">
        <f>2602+3897</f>
        <v>6499</v>
      </c>
      <c r="G3096" s="1">
        <f t="shared" si="1432"/>
        <v>33377</v>
      </c>
      <c r="H3096" s="2">
        <f t="shared" si="1433"/>
        <v>0.80528507654971981</v>
      </c>
      <c r="I3096" s="2">
        <f t="shared" si="1434"/>
        <v>0.19471492345028013</v>
      </c>
      <c r="J3096" s="8">
        <f>5480+44275</f>
        <v>49755</v>
      </c>
      <c r="K3096" s="8">
        <f>1157+65620</f>
        <v>66777</v>
      </c>
      <c r="L3096" s="1">
        <f t="shared" si="1435"/>
        <v>116532</v>
      </c>
      <c r="M3096" s="2">
        <f t="shared" si="1436"/>
        <v>0.42696426732571313</v>
      </c>
      <c r="N3096" s="2">
        <f t="shared" si="1437"/>
        <v>0.57303573267428687</v>
      </c>
      <c r="P3096" s="5">
        <f t="shared" si="1438"/>
        <v>3491.3862839680019</v>
      </c>
    </row>
    <row r="3097" spans="1:16" x14ac:dyDescent="0.35">
      <c r="A3097" t="s">
        <v>36</v>
      </c>
      <c r="B3097" t="s">
        <v>29</v>
      </c>
      <c r="C3097">
        <v>2003</v>
      </c>
      <c r="D3097" t="s">
        <v>30</v>
      </c>
      <c r="E3097" s="8">
        <f>20043+10814</f>
        <v>30857</v>
      </c>
      <c r="F3097" s="8">
        <f>3221+4836</f>
        <v>8057</v>
      </c>
      <c r="G3097" s="1">
        <f t="shared" si="1432"/>
        <v>38914</v>
      </c>
      <c r="H3097" s="2">
        <f t="shared" si="1433"/>
        <v>0.79295369275839034</v>
      </c>
      <c r="I3097" s="2">
        <f t="shared" si="1434"/>
        <v>0.20704630724160972</v>
      </c>
      <c r="J3097" s="8">
        <f>7423+54142</f>
        <v>61565</v>
      </c>
      <c r="K3097" s="8">
        <f>1642+78051</f>
        <v>79693</v>
      </c>
      <c r="L3097" s="1">
        <f t="shared" si="1435"/>
        <v>141258</v>
      </c>
      <c r="M3097" s="2">
        <f t="shared" si="1436"/>
        <v>0.43583372269181214</v>
      </c>
      <c r="N3097" s="2">
        <f t="shared" si="1437"/>
        <v>0.5641662773081878</v>
      </c>
      <c r="P3097" s="5">
        <f t="shared" si="1438"/>
        <v>3630.0046255846223</v>
      </c>
    </row>
    <row r="3098" spans="1:16" x14ac:dyDescent="0.35">
      <c r="A3098" t="s">
        <v>36</v>
      </c>
      <c r="B3098" t="s">
        <v>17</v>
      </c>
      <c r="C3098">
        <v>2004</v>
      </c>
      <c r="D3098" t="s">
        <v>30</v>
      </c>
      <c r="E3098" s="8">
        <f>20390+10127</f>
        <v>30517</v>
      </c>
      <c r="F3098" s="8">
        <f>3574+5042</f>
        <v>8616</v>
      </c>
      <c r="G3098" s="1">
        <f t="shared" si="1432"/>
        <v>39133</v>
      </c>
      <c r="H3098" s="2">
        <f t="shared" si="1433"/>
        <v>0.77982776684639565</v>
      </c>
      <c r="I3098" s="2">
        <f t="shared" si="1434"/>
        <v>0.22017223315360437</v>
      </c>
      <c r="J3098" s="8">
        <f>8039+54318</f>
        <v>62357</v>
      </c>
      <c r="K3098" s="8">
        <f>1886+83162</f>
        <v>85048</v>
      </c>
      <c r="L3098" s="1">
        <f t="shared" si="1435"/>
        <v>147405</v>
      </c>
      <c r="M3098" s="2">
        <f t="shared" si="1436"/>
        <v>0.42303178318238865</v>
      </c>
      <c r="N3098" s="2">
        <f t="shared" si="1437"/>
        <v>0.57696821681761135</v>
      </c>
      <c r="P3098" s="5">
        <f t="shared" si="1438"/>
        <v>3766.7697339841056</v>
      </c>
    </row>
    <row r="3099" spans="1:16" x14ac:dyDescent="0.35">
      <c r="A3099" t="s">
        <v>36</v>
      </c>
      <c r="B3099" t="s">
        <v>19</v>
      </c>
      <c r="C3099">
        <v>2004</v>
      </c>
      <c r="D3099" t="s">
        <v>30</v>
      </c>
      <c r="E3099" s="8">
        <f>18898+9210</f>
        <v>28108</v>
      </c>
      <c r="F3099" s="8">
        <f>3394+4797</f>
        <v>8191</v>
      </c>
      <c r="G3099" s="1">
        <f t="shared" si="1432"/>
        <v>36299</v>
      </c>
      <c r="H3099" s="2">
        <f t="shared" si="1433"/>
        <v>0.77434640072729277</v>
      </c>
      <c r="I3099" s="2">
        <f t="shared" si="1434"/>
        <v>0.22565359927270723</v>
      </c>
      <c r="J3099" s="8">
        <f>6674+42363</f>
        <v>49037</v>
      </c>
      <c r="K3099" s="8">
        <f>1775+73983</f>
        <v>75758</v>
      </c>
      <c r="L3099" s="1">
        <f t="shared" si="1435"/>
        <v>124795</v>
      </c>
      <c r="M3099" s="2">
        <f t="shared" si="1436"/>
        <v>0.39294042229255982</v>
      </c>
      <c r="N3099" s="2">
        <f t="shared" si="1437"/>
        <v>0.60705957770744023</v>
      </c>
      <c r="P3099" s="5">
        <f t="shared" si="1438"/>
        <v>3437.9734978925039</v>
      </c>
    </row>
    <row r="3100" spans="1:16" x14ac:dyDescent="0.35">
      <c r="A3100" t="s">
        <v>36</v>
      </c>
      <c r="B3100" t="s">
        <v>20</v>
      </c>
      <c r="C3100">
        <v>2004</v>
      </c>
      <c r="D3100" t="s">
        <v>30</v>
      </c>
      <c r="E3100" s="8">
        <f>22432+11078</f>
        <v>33510</v>
      </c>
      <c r="F3100" s="8">
        <f>4310+6008</f>
        <v>10318</v>
      </c>
      <c r="G3100" s="1">
        <f t="shared" si="1432"/>
        <v>43828</v>
      </c>
      <c r="H3100" s="2">
        <f t="shared" si="1433"/>
        <v>0.76457972072647618</v>
      </c>
      <c r="I3100" s="2">
        <f t="shared" si="1434"/>
        <v>0.23542027927352377</v>
      </c>
      <c r="J3100" s="8">
        <f>7330+44776</f>
        <v>52106</v>
      </c>
      <c r="K3100" s="8">
        <f>2198+85535</f>
        <v>87733</v>
      </c>
      <c r="L3100" s="1">
        <f t="shared" si="1435"/>
        <v>139839</v>
      </c>
      <c r="M3100" s="2">
        <f t="shared" si="1436"/>
        <v>0.37261422063944966</v>
      </c>
      <c r="N3100" s="2">
        <f t="shared" si="1437"/>
        <v>0.6273857793605504</v>
      </c>
      <c r="P3100" s="5">
        <f t="shared" si="1438"/>
        <v>3190.6315597335038</v>
      </c>
    </row>
    <row r="3101" spans="1:16" x14ac:dyDescent="0.35">
      <c r="A3101" t="s">
        <v>36</v>
      </c>
      <c r="B3101" t="s">
        <v>21</v>
      </c>
      <c r="C3101">
        <v>2004</v>
      </c>
      <c r="D3101" t="s">
        <v>30</v>
      </c>
      <c r="E3101" s="8">
        <f>19879+9677</f>
        <v>29556</v>
      </c>
      <c r="F3101" s="8">
        <f>3785+5332</f>
        <v>9117</v>
      </c>
      <c r="G3101" s="1">
        <f t="shared" si="1432"/>
        <v>38673</v>
      </c>
      <c r="H3101" s="2">
        <f t="shared" si="1433"/>
        <v>0.76425413078892246</v>
      </c>
      <c r="I3101" s="2">
        <f t="shared" si="1434"/>
        <v>0.23574586921107749</v>
      </c>
      <c r="J3101" s="8">
        <f>6310+40043</f>
        <v>46353</v>
      </c>
      <c r="K3101" s="8">
        <f>1938+82424</f>
        <v>84362</v>
      </c>
      <c r="L3101" s="1">
        <f t="shared" si="1435"/>
        <v>130715</v>
      </c>
      <c r="M3101" s="2">
        <f t="shared" si="1436"/>
        <v>0.3546111769881039</v>
      </c>
      <c r="N3101" s="2">
        <f t="shared" si="1437"/>
        <v>0.64538882301189615</v>
      </c>
      <c r="P3101" s="5">
        <f t="shared" si="1438"/>
        <v>3380.006723036744</v>
      </c>
    </row>
    <row r="3102" spans="1:16" x14ac:dyDescent="0.35">
      <c r="A3102" t="s">
        <v>36</v>
      </c>
      <c r="B3102" t="s">
        <v>22</v>
      </c>
      <c r="C3102">
        <v>2004</v>
      </c>
      <c r="D3102" t="s">
        <v>30</v>
      </c>
      <c r="E3102" s="8">
        <f>18852+9114</f>
        <v>27966</v>
      </c>
      <c r="F3102" s="8">
        <f>3659+5168</f>
        <v>8827</v>
      </c>
      <c r="G3102" s="1">
        <f t="shared" si="1432"/>
        <v>36793</v>
      </c>
      <c r="H3102" s="2">
        <f t="shared" si="1433"/>
        <v>0.76009023455548608</v>
      </c>
      <c r="I3102" s="2">
        <f t="shared" si="1434"/>
        <v>0.23990976544451389</v>
      </c>
      <c r="J3102" s="8">
        <f>6169+37502</f>
        <v>43671</v>
      </c>
      <c r="K3102" s="8">
        <f>1676+85931</f>
        <v>87607</v>
      </c>
      <c r="L3102" s="1">
        <f t="shared" si="1435"/>
        <v>131278</v>
      </c>
      <c r="M3102" s="2">
        <f t="shared" si="1436"/>
        <v>0.33266046100641389</v>
      </c>
      <c r="N3102" s="2">
        <f t="shared" si="1437"/>
        <v>0.66733953899358611</v>
      </c>
      <c r="P3102" s="5">
        <f t="shared" si="1438"/>
        <v>3568.0156551517953</v>
      </c>
    </row>
    <row r="3103" spans="1:16" x14ac:dyDescent="0.35">
      <c r="A3103" t="s">
        <v>36</v>
      </c>
      <c r="B3103" t="s">
        <v>23</v>
      </c>
      <c r="C3103">
        <v>2004</v>
      </c>
      <c r="D3103" t="s">
        <v>30</v>
      </c>
      <c r="E3103" s="8">
        <f>20497+9921</f>
        <v>30418</v>
      </c>
      <c r="F3103" s="8">
        <f>4295+6028</f>
        <v>10323</v>
      </c>
      <c r="G3103" s="1">
        <f t="shared" si="1432"/>
        <v>40741</v>
      </c>
      <c r="H3103" s="2">
        <f t="shared" si="1433"/>
        <v>0.74661888515254904</v>
      </c>
      <c r="I3103" s="2">
        <f t="shared" si="1434"/>
        <v>0.25338111484745096</v>
      </c>
      <c r="J3103" s="8">
        <f>8004+49447</f>
        <v>57451</v>
      </c>
      <c r="K3103" s="8">
        <f>2461+112585</f>
        <v>115046</v>
      </c>
      <c r="L3103" s="1">
        <f t="shared" si="1435"/>
        <v>172497</v>
      </c>
      <c r="M3103" s="2">
        <f t="shared" si="1436"/>
        <v>0.33305506762436449</v>
      </c>
      <c r="N3103" s="2">
        <f t="shared" si="1437"/>
        <v>0.66694493237563557</v>
      </c>
      <c r="P3103" s="5">
        <f t="shared" si="1438"/>
        <v>4233.9903291524506</v>
      </c>
    </row>
    <row r="3104" spans="1:16" x14ac:dyDescent="0.35">
      <c r="A3104" t="s">
        <v>36</v>
      </c>
      <c r="B3104" t="s">
        <v>24</v>
      </c>
      <c r="C3104">
        <v>2004</v>
      </c>
      <c r="D3104" t="s">
        <v>30</v>
      </c>
      <c r="E3104" s="8">
        <f>19249+9128</f>
        <v>28377</v>
      </c>
      <c r="F3104" s="8">
        <f>4103+5829</f>
        <v>9932</v>
      </c>
      <c r="G3104" s="1">
        <f t="shared" si="1432"/>
        <v>38309</v>
      </c>
      <c r="H3104" s="2">
        <f t="shared" si="1433"/>
        <v>0.7407397739434598</v>
      </c>
      <c r="I3104" s="2">
        <f t="shared" si="1434"/>
        <v>0.25926022605654025</v>
      </c>
      <c r="J3104" s="8">
        <f>7847+47456</f>
        <v>55303</v>
      </c>
      <c r="K3104" s="8">
        <f>2260+112040</f>
        <v>114300</v>
      </c>
      <c r="L3104" s="1">
        <f t="shared" si="1435"/>
        <v>169603</v>
      </c>
      <c r="M3104" s="2">
        <f t="shared" si="1436"/>
        <v>0.3260732416289806</v>
      </c>
      <c r="N3104" s="2">
        <f t="shared" si="1437"/>
        <v>0.67392675837101934</v>
      </c>
      <c r="P3104" s="5">
        <f t="shared" si="1438"/>
        <v>4427.2364196402932</v>
      </c>
    </row>
    <row r="3105" spans="1:16" x14ac:dyDescent="0.35">
      <c r="A3105" t="s">
        <v>36</v>
      </c>
      <c r="B3105" t="s">
        <v>25</v>
      </c>
      <c r="C3105">
        <v>2004</v>
      </c>
      <c r="D3105" t="s">
        <v>30</v>
      </c>
      <c r="E3105" s="8">
        <f>20213+9525</f>
        <v>29738</v>
      </c>
      <c r="F3105" s="8">
        <f>4491+6496</f>
        <v>10987</v>
      </c>
      <c r="G3105" s="1">
        <f t="shared" si="1432"/>
        <v>40725</v>
      </c>
      <c r="H3105" s="2">
        <f t="shared" si="1433"/>
        <v>0.73021485573971767</v>
      </c>
      <c r="I3105" s="2">
        <f t="shared" si="1434"/>
        <v>0.26978514426028238</v>
      </c>
      <c r="J3105" s="8">
        <f>7820+45537</f>
        <v>53357</v>
      </c>
      <c r="K3105" s="8">
        <f>2491+119297</f>
        <v>121788</v>
      </c>
      <c r="L3105" s="1">
        <f t="shared" si="1435"/>
        <v>175145</v>
      </c>
      <c r="M3105" s="2">
        <f t="shared" si="1436"/>
        <v>0.30464472294384654</v>
      </c>
      <c r="N3105" s="2">
        <f t="shared" si="1437"/>
        <v>0.69535527705615352</v>
      </c>
      <c r="P3105" s="5">
        <f t="shared" si="1438"/>
        <v>4300.6752608962552</v>
      </c>
    </row>
    <row r="3106" spans="1:16" x14ac:dyDescent="0.35">
      <c r="A3106" t="s">
        <v>36</v>
      </c>
      <c r="B3106" t="s">
        <v>26</v>
      </c>
      <c r="C3106">
        <v>2004</v>
      </c>
      <c r="D3106" t="s">
        <v>30</v>
      </c>
      <c r="E3106" s="8">
        <f>18747+8717</f>
        <v>27464</v>
      </c>
      <c r="F3106" s="8">
        <f>4448+6447</f>
        <v>10895</v>
      </c>
      <c r="G3106" s="1">
        <f t="shared" si="1432"/>
        <v>38359</v>
      </c>
      <c r="H3106" s="2">
        <f t="shared" si="1433"/>
        <v>0.71597278344065274</v>
      </c>
      <c r="I3106" s="2">
        <f t="shared" si="1434"/>
        <v>0.28402721655934721</v>
      </c>
      <c r="J3106" s="8">
        <f>6743+39958</f>
        <v>46701</v>
      </c>
      <c r="K3106" s="8">
        <f>2527+116929</f>
        <v>119456</v>
      </c>
      <c r="L3106" s="1">
        <f t="shared" si="1435"/>
        <v>166157</v>
      </c>
      <c r="M3106" s="2">
        <f t="shared" si="1436"/>
        <v>0.28106549829378241</v>
      </c>
      <c r="N3106" s="2">
        <f t="shared" si="1437"/>
        <v>0.71893450170621764</v>
      </c>
      <c r="P3106" s="5">
        <f t="shared" si="1438"/>
        <v>4331.6301259156917</v>
      </c>
    </row>
    <row r="3107" spans="1:16" x14ac:dyDescent="0.35">
      <c r="A3107" t="s">
        <v>36</v>
      </c>
      <c r="B3107" t="s">
        <v>27</v>
      </c>
      <c r="C3107">
        <v>2004</v>
      </c>
      <c r="D3107" t="s">
        <v>30</v>
      </c>
      <c r="E3107" s="8">
        <f>18606+8264</f>
        <v>26870</v>
      </c>
      <c r="F3107" s="8">
        <f>4772+6817</f>
        <v>11589</v>
      </c>
      <c r="G3107" s="1">
        <f t="shared" si="1432"/>
        <v>38459</v>
      </c>
      <c r="H3107" s="2">
        <f t="shared" si="1433"/>
        <v>0.69866611196338957</v>
      </c>
      <c r="I3107" s="2">
        <f t="shared" si="1434"/>
        <v>0.30133388803661043</v>
      </c>
      <c r="J3107" s="8">
        <f>6032+31288</f>
        <v>37320</v>
      </c>
      <c r="K3107" s="8">
        <f>2869+109990</f>
        <v>112859</v>
      </c>
      <c r="L3107" s="1">
        <f t="shared" si="1435"/>
        <v>150179</v>
      </c>
      <c r="M3107" s="2">
        <f t="shared" si="1436"/>
        <v>0.2485034525466277</v>
      </c>
      <c r="N3107" s="2">
        <f t="shared" si="1437"/>
        <v>0.75149654745337235</v>
      </c>
      <c r="P3107" s="5">
        <f t="shared" si="1438"/>
        <v>3904.9117241737954</v>
      </c>
    </row>
    <row r="3108" spans="1:16" x14ac:dyDescent="0.35">
      <c r="A3108" t="s">
        <v>36</v>
      </c>
      <c r="B3108" t="s">
        <v>28</v>
      </c>
      <c r="C3108">
        <v>2004</v>
      </c>
      <c r="D3108" t="s">
        <v>30</v>
      </c>
      <c r="E3108" s="8">
        <f>17708+7692</f>
        <v>25400</v>
      </c>
      <c r="F3108" s="8">
        <f>4718+6680</f>
        <v>11398</v>
      </c>
      <c r="G3108" s="1">
        <f t="shared" si="1432"/>
        <v>36798</v>
      </c>
      <c r="H3108" s="2">
        <f t="shared" si="1433"/>
        <v>0.69025490515788901</v>
      </c>
      <c r="I3108" s="2">
        <f t="shared" si="1434"/>
        <v>0.30974509484211099</v>
      </c>
      <c r="J3108" s="8">
        <f>5339+26388</f>
        <v>31727</v>
      </c>
      <c r="K3108" s="8">
        <f>2702+92125</f>
        <v>94827</v>
      </c>
      <c r="L3108" s="1">
        <f t="shared" si="1435"/>
        <v>126554</v>
      </c>
      <c r="M3108" s="2">
        <f t="shared" si="1436"/>
        <v>0.25069930622501069</v>
      </c>
      <c r="N3108" s="2">
        <f t="shared" si="1437"/>
        <v>0.74930069377498931</v>
      </c>
      <c r="P3108" s="5">
        <f t="shared" si="1438"/>
        <v>3439.1543018642319</v>
      </c>
    </row>
    <row r="3109" spans="1:16" x14ac:dyDescent="0.35">
      <c r="A3109" t="s">
        <v>36</v>
      </c>
      <c r="B3109" t="s">
        <v>29</v>
      </c>
      <c r="C3109">
        <v>2004</v>
      </c>
      <c r="D3109" t="s">
        <v>30</v>
      </c>
      <c r="E3109" s="8">
        <f>17554+7520</f>
        <v>25074</v>
      </c>
      <c r="F3109" s="8">
        <f>4843+6791</f>
        <v>11634</v>
      </c>
      <c r="G3109" s="1">
        <f t="shared" si="1432"/>
        <v>36708</v>
      </c>
      <c r="H3109" s="2">
        <f t="shared" si="1433"/>
        <v>0.68306636155606404</v>
      </c>
      <c r="I3109" s="2">
        <f t="shared" si="1434"/>
        <v>0.31693363844393591</v>
      </c>
      <c r="J3109" s="8">
        <f>6147+28790</f>
        <v>34937</v>
      </c>
      <c r="K3109" s="8">
        <f>3364+96608</f>
        <v>99972</v>
      </c>
      <c r="L3109" s="1">
        <f t="shared" si="1435"/>
        <v>134909</v>
      </c>
      <c r="M3109" s="2">
        <f t="shared" si="1436"/>
        <v>0.25896715563824502</v>
      </c>
      <c r="N3109" s="2">
        <f t="shared" si="1437"/>
        <v>0.74103284436175498</v>
      </c>
      <c r="P3109" s="5">
        <f t="shared" si="1438"/>
        <v>3675.1934183284297</v>
      </c>
    </row>
    <row r="3110" spans="1:16" x14ac:dyDescent="0.35">
      <c r="A3110" t="s">
        <v>36</v>
      </c>
      <c r="B3110" t="s">
        <v>17</v>
      </c>
      <c r="C3110">
        <v>2005</v>
      </c>
      <c r="D3110" t="s">
        <v>30</v>
      </c>
      <c r="E3110" s="8">
        <f>18347+7778</f>
        <v>26125</v>
      </c>
      <c r="F3110" s="8">
        <f>5216+7351</f>
        <v>12567</v>
      </c>
      <c r="G3110" s="1">
        <f t="shared" si="1432"/>
        <v>38692</v>
      </c>
      <c r="H3110" s="2">
        <f t="shared" si="1433"/>
        <v>0.67520417657396881</v>
      </c>
      <c r="I3110" s="2">
        <f t="shared" si="1434"/>
        <v>0.32479582342603119</v>
      </c>
      <c r="J3110" s="8">
        <f>36688+7085</f>
        <v>43773</v>
      </c>
      <c r="K3110" s="8">
        <f>106227+3181</f>
        <v>109408</v>
      </c>
      <c r="L3110" s="1">
        <f t="shared" si="1435"/>
        <v>153181</v>
      </c>
      <c r="M3110" s="2">
        <f t="shared" si="1436"/>
        <v>0.28575998328774455</v>
      </c>
      <c r="N3110" s="2">
        <f t="shared" si="1437"/>
        <v>0.71424001671225545</v>
      </c>
      <c r="P3110" s="5">
        <f t="shared" si="1438"/>
        <v>3958.9837692546262</v>
      </c>
    </row>
    <row r="3111" spans="1:16" x14ac:dyDescent="0.35">
      <c r="A3111" t="s">
        <v>36</v>
      </c>
      <c r="B3111" t="s">
        <v>19</v>
      </c>
      <c r="C3111">
        <v>2005</v>
      </c>
      <c r="D3111" t="s">
        <v>30</v>
      </c>
      <c r="E3111" s="8">
        <f>16508+6558</f>
        <v>23066</v>
      </c>
      <c r="F3111" s="8">
        <f>4127+6538</f>
        <v>10665</v>
      </c>
      <c r="G3111" s="1">
        <f t="shared" si="1432"/>
        <v>33731</v>
      </c>
      <c r="H3111" s="2">
        <f t="shared" si="1433"/>
        <v>0.68382200349826572</v>
      </c>
      <c r="I3111" s="2">
        <f t="shared" si="1434"/>
        <v>0.31617799650173428</v>
      </c>
      <c r="J3111" s="8">
        <f>25020+5419</f>
        <v>30439</v>
      </c>
      <c r="K3111" s="8">
        <f>2634+92196</f>
        <v>94830</v>
      </c>
      <c r="L3111" s="1">
        <f t="shared" si="1435"/>
        <v>125269</v>
      </c>
      <c r="M3111" s="2">
        <f t="shared" si="1436"/>
        <v>0.24298908748373499</v>
      </c>
      <c r="N3111" s="2">
        <f t="shared" si="1437"/>
        <v>0.75701091251626496</v>
      </c>
      <c r="P3111" s="5">
        <f t="shared" si="1438"/>
        <v>3713.7647861018054</v>
      </c>
    </row>
    <row r="3112" spans="1:16" x14ac:dyDescent="0.35">
      <c r="A3112" t="s">
        <v>36</v>
      </c>
      <c r="B3112" t="s">
        <v>20</v>
      </c>
      <c r="C3112">
        <v>2005</v>
      </c>
      <c r="D3112" t="s">
        <v>30</v>
      </c>
      <c r="E3112" s="8">
        <f>18322+7863</f>
        <v>26185</v>
      </c>
      <c r="F3112" s="8">
        <f>5714+7770</f>
        <v>13484</v>
      </c>
      <c r="G3112" s="1">
        <f t="shared" si="1432"/>
        <v>39669</v>
      </c>
      <c r="H3112" s="2">
        <f t="shared" si="1433"/>
        <v>0.66008722176006451</v>
      </c>
      <c r="I3112" s="2">
        <f t="shared" si="1434"/>
        <v>0.33991277823993549</v>
      </c>
      <c r="J3112" s="8">
        <f>5691+25008</f>
        <v>30699</v>
      </c>
      <c r="K3112" s="8">
        <f>2891+96525</f>
        <v>99416</v>
      </c>
      <c r="L3112" s="1">
        <f t="shared" si="1435"/>
        <v>130115</v>
      </c>
      <c r="M3112" s="2">
        <f t="shared" si="1436"/>
        <v>0.23593743995696115</v>
      </c>
      <c r="N3112" s="2">
        <f t="shared" si="1437"/>
        <v>0.76406256004303885</v>
      </c>
      <c r="P3112" s="5">
        <f t="shared" si="1438"/>
        <v>3280.0171418487989</v>
      </c>
    </row>
    <row r="3113" spans="1:16" x14ac:dyDescent="0.35">
      <c r="A3113" t="s">
        <v>36</v>
      </c>
      <c r="B3113" t="s">
        <v>21</v>
      </c>
      <c r="C3113">
        <v>2005</v>
      </c>
      <c r="D3113" t="s">
        <v>30</v>
      </c>
      <c r="E3113" s="8">
        <f>17185+7112</f>
        <v>24297</v>
      </c>
      <c r="F3113" s="8">
        <f>5283+7223</f>
        <v>12506</v>
      </c>
      <c r="G3113" s="1">
        <f t="shared" si="1432"/>
        <v>36803</v>
      </c>
      <c r="H3113" s="2">
        <f t="shared" si="1433"/>
        <v>0.66019074531967503</v>
      </c>
      <c r="I3113" s="2">
        <f t="shared" si="1434"/>
        <v>0.33980925468032497</v>
      </c>
      <c r="J3113" s="8">
        <f>5168+21411</f>
        <v>26579</v>
      </c>
      <c r="K3113" s="8">
        <f>2647+97622</f>
        <v>100269</v>
      </c>
      <c r="L3113" s="1">
        <f t="shared" si="1435"/>
        <v>126848</v>
      </c>
      <c r="M3113" s="2">
        <f t="shared" si="1436"/>
        <v>0.20953424571140261</v>
      </c>
      <c r="N3113" s="2">
        <f t="shared" si="1437"/>
        <v>0.79046575428859733</v>
      </c>
      <c r="P3113" s="5">
        <f t="shared" si="1438"/>
        <v>3446.6755427546668</v>
      </c>
    </row>
    <row r="3114" spans="1:16" x14ac:dyDescent="0.35">
      <c r="A3114" t="s">
        <v>36</v>
      </c>
      <c r="B3114" t="s">
        <v>22</v>
      </c>
      <c r="C3114">
        <v>2005</v>
      </c>
      <c r="D3114" t="s">
        <v>30</v>
      </c>
      <c r="E3114" s="8">
        <f>17621+7257</f>
        <v>24878</v>
      </c>
      <c r="F3114" s="8">
        <f>5443+7604</f>
        <v>13047</v>
      </c>
      <c r="G3114" s="1">
        <f t="shared" si="1432"/>
        <v>37925</v>
      </c>
      <c r="H3114" s="2">
        <f t="shared" si="1433"/>
        <v>0.65597890573500328</v>
      </c>
      <c r="I3114" s="2">
        <f t="shared" si="1434"/>
        <v>0.34402109426499672</v>
      </c>
      <c r="J3114" s="8">
        <f>5291+22500</f>
        <v>27791</v>
      </c>
      <c r="K3114" s="8">
        <f>2813+103479</f>
        <v>106292</v>
      </c>
      <c r="L3114" s="1">
        <f t="shared" si="1435"/>
        <v>134083</v>
      </c>
      <c r="M3114" s="2">
        <f t="shared" si="1436"/>
        <v>0.20726714050252457</v>
      </c>
      <c r="N3114" s="2">
        <f t="shared" si="1437"/>
        <v>0.79273285949747541</v>
      </c>
      <c r="P3114" s="5">
        <f t="shared" si="1438"/>
        <v>3535.4779169413314</v>
      </c>
    </row>
    <row r="3115" spans="1:16" x14ac:dyDescent="0.35">
      <c r="A3115" t="s">
        <v>36</v>
      </c>
      <c r="B3115" t="s">
        <v>23</v>
      </c>
      <c r="C3115">
        <v>2005</v>
      </c>
      <c r="D3115" t="s">
        <v>30</v>
      </c>
      <c r="E3115" s="8">
        <f>18429+6707</f>
        <v>25136</v>
      </c>
      <c r="F3115" s="8">
        <f>5980+7647</f>
        <v>13627</v>
      </c>
      <c r="G3115" s="1">
        <f t="shared" si="1432"/>
        <v>38763</v>
      </c>
      <c r="H3115" s="2">
        <f t="shared" si="1433"/>
        <v>0.64845342207775458</v>
      </c>
      <c r="I3115" s="2">
        <f t="shared" si="1434"/>
        <v>0.35154657792224542</v>
      </c>
      <c r="J3115" s="8">
        <f>6484+27629</f>
        <v>34113</v>
      </c>
      <c r="K3115" s="8">
        <f>3273+124683</f>
        <v>127956</v>
      </c>
      <c r="L3115" s="1">
        <f t="shared" si="1435"/>
        <v>162069</v>
      </c>
      <c r="M3115" s="2">
        <f t="shared" si="1436"/>
        <v>0.21048442330118652</v>
      </c>
      <c r="N3115" s="2">
        <f t="shared" si="1437"/>
        <v>0.78951557669881345</v>
      </c>
      <c r="P3115" s="5">
        <f t="shared" si="1438"/>
        <v>4181.0231406237908</v>
      </c>
    </row>
    <row r="3116" spans="1:16" x14ac:dyDescent="0.35">
      <c r="A3116" t="s">
        <v>36</v>
      </c>
      <c r="B3116" t="s">
        <v>24</v>
      </c>
      <c r="C3116">
        <v>2005</v>
      </c>
      <c r="D3116" t="s">
        <v>30</v>
      </c>
      <c r="E3116" s="8">
        <f>18039+5593</f>
        <v>23632</v>
      </c>
      <c r="F3116" s="8">
        <f>6002+7108</f>
        <v>13110</v>
      </c>
      <c r="G3116" s="1">
        <f t="shared" si="1432"/>
        <v>36742</v>
      </c>
      <c r="H3116" s="2">
        <f t="shared" si="1433"/>
        <v>0.64318763268194434</v>
      </c>
      <c r="I3116" s="2">
        <f t="shared" si="1434"/>
        <v>0.35681236731805566</v>
      </c>
      <c r="J3116" s="8">
        <f>7483+29683</f>
        <v>37166</v>
      </c>
      <c r="K3116" s="8">
        <f>3619+133195</f>
        <v>136814</v>
      </c>
      <c r="L3116" s="1">
        <f t="shared" si="1435"/>
        <v>173980</v>
      </c>
      <c r="M3116" s="2">
        <f t="shared" si="1436"/>
        <v>0.2136222554316588</v>
      </c>
      <c r="N3116" s="2">
        <f t="shared" si="1437"/>
        <v>0.7863777445683412</v>
      </c>
      <c r="P3116" s="5">
        <f t="shared" si="1438"/>
        <v>4735.1804474443416</v>
      </c>
    </row>
    <row r="3117" spans="1:16" x14ac:dyDescent="0.35">
      <c r="A3117" t="s">
        <v>36</v>
      </c>
      <c r="B3117" t="s">
        <v>25</v>
      </c>
      <c r="C3117">
        <v>2005</v>
      </c>
      <c r="D3117" t="s">
        <v>30</v>
      </c>
      <c r="E3117" s="8">
        <f>20539+6148</f>
        <v>26687</v>
      </c>
      <c r="F3117" s="8">
        <f>7342+8196</f>
        <v>15538</v>
      </c>
      <c r="G3117" s="1">
        <f t="shared" si="1432"/>
        <v>42225</v>
      </c>
      <c r="H3117" s="2">
        <f t="shared" si="1433"/>
        <v>0.63201894612196563</v>
      </c>
      <c r="I3117" s="2">
        <f t="shared" si="1434"/>
        <v>0.36798105387803431</v>
      </c>
      <c r="J3117" s="8">
        <f>8158+28578</f>
        <v>36736</v>
      </c>
      <c r="K3117" s="8">
        <f>142642+4367</f>
        <v>147009</v>
      </c>
      <c r="L3117" s="1">
        <f t="shared" si="1435"/>
        <v>183745</v>
      </c>
      <c r="M3117" s="2">
        <f t="shared" si="1436"/>
        <v>0.19992924977550411</v>
      </c>
      <c r="N3117" s="2">
        <f t="shared" si="1437"/>
        <v>0.80007075022449592</v>
      </c>
      <c r="P3117" s="5">
        <f t="shared" si="1438"/>
        <v>4351.5689757252812</v>
      </c>
    </row>
    <row r="3118" spans="1:16" x14ac:dyDescent="0.35">
      <c r="A3118" t="s">
        <v>36</v>
      </c>
      <c r="B3118" t="s">
        <v>26</v>
      </c>
      <c r="C3118">
        <v>2005</v>
      </c>
      <c r="D3118" t="s">
        <v>30</v>
      </c>
      <c r="E3118" s="8">
        <f>19275+4974</f>
        <v>24249</v>
      </c>
      <c r="F3118" s="8">
        <f>7080+7180</f>
        <v>14260</v>
      </c>
      <c r="G3118" s="1">
        <f t="shared" si="1432"/>
        <v>38509</v>
      </c>
      <c r="H3118" s="2">
        <f t="shared" si="1433"/>
        <v>0.62969695395881486</v>
      </c>
      <c r="I3118" s="2">
        <f t="shared" si="1434"/>
        <v>0.37030304604118519</v>
      </c>
      <c r="J3118" s="8">
        <f>8329+24679</f>
        <v>33008</v>
      </c>
      <c r="K3118" s="8">
        <f>4869+139363</f>
        <v>144232</v>
      </c>
      <c r="L3118" s="1">
        <f t="shared" si="1435"/>
        <v>177240</v>
      </c>
      <c r="M3118" s="2">
        <f t="shared" si="1436"/>
        <v>0.18623335590160234</v>
      </c>
      <c r="N3118" s="2">
        <f t="shared" si="1437"/>
        <v>0.81376664409839761</v>
      </c>
      <c r="P3118" s="5">
        <f t="shared" si="1438"/>
        <v>4602.560440416526</v>
      </c>
    </row>
    <row r="3119" spans="1:16" x14ac:dyDescent="0.35">
      <c r="A3119" t="s">
        <v>36</v>
      </c>
      <c r="B3119" t="s">
        <v>27</v>
      </c>
      <c r="C3119">
        <v>2005</v>
      </c>
      <c r="D3119" t="s">
        <v>30</v>
      </c>
      <c r="E3119" s="8">
        <f>19338+4510</f>
        <v>23848</v>
      </c>
      <c r="F3119" s="8">
        <f>7301+7004</f>
        <v>14305</v>
      </c>
      <c r="G3119" s="1">
        <f t="shared" si="1432"/>
        <v>38153</v>
      </c>
      <c r="H3119" s="2">
        <f t="shared" si="1433"/>
        <v>0.62506224936440125</v>
      </c>
      <c r="I3119" s="2">
        <f t="shared" si="1434"/>
        <v>0.37493775063559875</v>
      </c>
      <c r="J3119" s="8">
        <f>7519+20455</f>
        <v>27974</v>
      </c>
      <c r="K3119" s="8">
        <f>4537+124144</f>
        <v>128681</v>
      </c>
      <c r="L3119" s="1">
        <f t="shared" si="1435"/>
        <v>156655</v>
      </c>
      <c r="M3119" s="2">
        <f t="shared" si="1436"/>
        <v>0.17857074462991926</v>
      </c>
      <c r="N3119" s="2">
        <f t="shared" si="1437"/>
        <v>0.82142925537008071</v>
      </c>
      <c r="P3119" s="5">
        <f t="shared" si="1438"/>
        <v>4105.9680759049088</v>
      </c>
    </row>
    <row r="3120" spans="1:16" x14ac:dyDescent="0.35">
      <c r="A3120" t="s">
        <v>36</v>
      </c>
      <c r="B3120" t="s">
        <v>28</v>
      </c>
      <c r="C3120">
        <v>2005</v>
      </c>
      <c r="D3120" t="s">
        <v>30</v>
      </c>
      <c r="E3120" s="8">
        <f>18535+4418</f>
        <v>22953</v>
      </c>
      <c r="F3120" s="8">
        <f>7095+6876</f>
        <v>13971</v>
      </c>
      <c r="G3120" s="1">
        <f t="shared" si="1432"/>
        <v>36924</v>
      </c>
      <c r="H3120" s="2">
        <f t="shared" si="1433"/>
        <v>0.62162820929476759</v>
      </c>
      <c r="I3120" s="2">
        <f t="shared" si="1434"/>
        <v>0.37837179070523236</v>
      </c>
      <c r="J3120" s="8">
        <f>6153+18363</f>
        <v>24516</v>
      </c>
      <c r="K3120" s="8">
        <f>3916+105111</f>
        <v>109027</v>
      </c>
      <c r="L3120" s="1">
        <f t="shared" si="1435"/>
        <v>133543</v>
      </c>
      <c r="M3120" s="2">
        <f t="shared" si="1436"/>
        <v>0.1835813183768524</v>
      </c>
      <c r="N3120" s="2">
        <f t="shared" si="1437"/>
        <v>0.81641868162314757</v>
      </c>
      <c r="P3120" s="5">
        <f t="shared" si="1438"/>
        <v>3616.699165854187</v>
      </c>
    </row>
    <row r="3121" spans="1:16" x14ac:dyDescent="0.35">
      <c r="A3121" t="s">
        <v>36</v>
      </c>
      <c r="B3121" t="s">
        <v>29</v>
      </c>
      <c r="C3121">
        <v>2005</v>
      </c>
      <c r="D3121" t="s">
        <v>30</v>
      </c>
      <c r="E3121" s="8">
        <f>18359+4449</f>
        <v>22808</v>
      </c>
      <c r="F3121" s="8">
        <f>7017+6907</f>
        <v>13924</v>
      </c>
      <c r="G3121" s="1">
        <f t="shared" si="1432"/>
        <v>36732</v>
      </c>
      <c r="H3121" s="2">
        <f t="shared" si="1433"/>
        <v>0.62092997930959382</v>
      </c>
      <c r="I3121" s="2">
        <f t="shared" si="1434"/>
        <v>0.37907002069040618</v>
      </c>
      <c r="J3121" s="8">
        <f>7277+21651</f>
        <v>28928</v>
      </c>
      <c r="K3121" s="8">
        <f>4330+111007</f>
        <v>115337</v>
      </c>
      <c r="L3121" s="1">
        <f t="shared" si="1435"/>
        <v>144265</v>
      </c>
      <c r="M3121" s="2">
        <f t="shared" si="1436"/>
        <v>0.2005198766159498</v>
      </c>
      <c r="N3121" s="2">
        <f t="shared" si="1437"/>
        <v>0.79948012338405017</v>
      </c>
      <c r="P3121" s="5">
        <f t="shared" si="1438"/>
        <v>3927.5019056953065</v>
      </c>
    </row>
    <row r="3122" spans="1:16" x14ac:dyDescent="0.35">
      <c r="A3122" t="s">
        <v>36</v>
      </c>
      <c r="B3122" t="s">
        <v>17</v>
      </c>
      <c r="C3122">
        <v>2006</v>
      </c>
      <c r="D3122" t="s">
        <v>30</v>
      </c>
      <c r="E3122" s="8">
        <f>19019+4745</f>
        <v>23764</v>
      </c>
      <c r="F3122" s="8">
        <f>7514+7375</f>
        <v>14889</v>
      </c>
      <c r="G3122" s="1">
        <f t="shared" si="1432"/>
        <v>38653</v>
      </c>
      <c r="H3122" s="2">
        <f t="shared" si="1433"/>
        <v>0.61480350813649653</v>
      </c>
      <c r="I3122" s="2">
        <f t="shared" si="1434"/>
        <v>0.38519649186350347</v>
      </c>
      <c r="J3122" s="8">
        <f>7757+24846</f>
        <v>32603</v>
      </c>
      <c r="K3122" s="8">
        <f>4917+119606</f>
        <v>124523</v>
      </c>
      <c r="L3122" s="1">
        <f t="shared" si="1435"/>
        <v>157126</v>
      </c>
      <c r="M3122" s="2">
        <f t="shared" si="1436"/>
        <v>0.20749589501419244</v>
      </c>
      <c r="N3122" s="2">
        <f t="shared" si="1437"/>
        <v>0.79250410498580759</v>
      </c>
      <c r="P3122" s="5">
        <f t="shared" si="1438"/>
        <v>4065.0402297363721</v>
      </c>
    </row>
    <row r="3123" spans="1:16" x14ac:dyDescent="0.35">
      <c r="A3123" t="s">
        <v>36</v>
      </c>
      <c r="B3123" t="s">
        <v>19</v>
      </c>
      <c r="C3123">
        <v>2006</v>
      </c>
      <c r="D3123" t="s">
        <v>30</v>
      </c>
      <c r="E3123" s="8">
        <f>17573+4377</f>
        <v>21950</v>
      </c>
      <c r="F3123" s="8">
        <f>7011+6821</f>
        <v>13832</v>
      </c>
      <c r="G3123" s="1">
        <f t="shared" si="1432"/>
        <v>35782</v>
      </c>
      <c r="H3123" s="2">
        <f t="shared" si="1433"/>
        <v>0.61343692359286794</v>
      </c>
      <c r="I3123" s="2">
        <f t="shared" si="1434"/>
        <v>0.38656307640713206</v>
      </c>
      <c r="J3123" s="8">
        <f>5979+17618</f>
        <v>23597</v>
      </c>
      <c r="K3123" s="8">
        <f>3945+97962</f>
        <v>101907</v>
      </c>
      <c r="L3123" s="1">
        <f t="shared" si="1435"/>
        <v>125504</v>
      </c>
      <c r="M3123" s="2">
        <f t="shared" si="1436"/>
        <v>0.18801791177970423</v>
      </c>
      <c r="N3123" s="2">
        <f t="shared" si="1437"/>
        <v>0.81198208822029572</v>
      </c>
      <c r="P3123" s="5">
        <f t="shared" si="1438"/>
        <v>3507.461852327986</v>
      </c>
    </row>
    <row r="3124" spans="1:16" x14ac:dyDescent="0.35">
      <c r="A3124" t="s">
        <v>36</v>
      </c>
      <c r="B3124" t="s">
        <v>20</v>
      </c>
      <c r="C3124">
        <v>2006</v>
      </c>
      <c r="D3124" t="s">
        <v>30</v>
      </c>
      <c r="E3124" s="8">
        <f>20836+5350</f>
        <v>26186</v>
      </c>
      <c r="F3124" s="8">
        <f>8681+8484</f>
        <v>17165</v>
      </c>
      <c r="G3124" s="1">
        <f t="shared" si="1432"/>
        <v>43351</v>
      </c>
      <c r="H3124" s="2">
        <f t="shared" si="1433"/>
        <v>0.60404604276717955</v>
      </c>
      <c r="I3124" s="2">
        <f t="shared" si="1434"/>
        <v>0.39595395723282045</v>
      </c>
      <c r="J3124" s="8">
        <f>6794+19360</f>
        <v>26154</v>
      </c>
      <c r="K3124" s="8">
        <f>116595+4719</f>
        <v>121314</v>
      </c>
      <c r="L3124" s="1">
        <f t="shared" si="1435"/>
        <v>147468</v>
      </c>
      <c r="M3124" s="2">
        <f t="shared" si="1436"/>
        <v>0.17735373097892423</v>
      </c>
      <c r="N3124" s="2">
        <f t="shared" si="1437"/>
        <v>0.82264626902107574</v>
      </c>
      <c r="P3124" s="5">
        <f t="shared" si="1438"/>
        <v>3401.7208368895758</v>
      </c>
    </row>
    <row r="3125" spans="1:16" x14ac:dyDescent="0.35">
      <c r="A3125" t="s">
        <v>36</v>
      </c>
      <c r="B3125" t="s">
        <v>21</v>
      </c>
      <c r="C3125">
        <v>2006</v>
      </c>
      <c r="D3125" t="s">
        <v>30</v>
      </c>
      <c r="E3125" s="8">
        <f>17610+4403</f>
        <v>22013</v>
      </c>
      <c r="F3125" s="8">
        <f>7195+7547</f>
        <v>14742</v>
      </c>
      <c r="G3125" s="1">
        <f t="shared" si="1432"/>
        <v>36755</v>
      </c>
      <c r="H3125" s="2">
        <f t="shared" si="1433"/>
        <v>0.59891171269215071</v>
      </c>
      <c r="I3125" s="2">
        <f t="shared" si="1434"/>
        <v>0.40108828730784929</v>
      </c>
      <c r="J3125" s="8">
        <f>5519+15647</f>
        <v>21166</v>
      </c>
      <c r="K3125" s="8">
        <f>4020+103064</f>
        <v>107084</v>
      </c>
      <c r="L3125" s="1">
        <f t="shared" si="1435"/>
        <v>128250</v>
      </c>
      <c r="M3125" s="2">
        <f t="shared" si="1436"/>
        <v>0.16503703703703704</v>
      </c>
      <c r="N3125" s="2">
        <f t="shared" si="1437"/>
        <v>0.83496296296296302</v>
      </c>
      <c r="P3125" s="5">
        <f t="shared" si="1438"/>
        <v>3489.3211807917291</v>
      </c>
    </row>
    <row r="3126" spans="1:16" x14ac:dyDescent="0.35">
      <c r="A3126" t="s">
        <v>36</v>
      </c>
      <c r="B3126" t="s">
        <v>22</v>
      </c>
      <c r="C3126">
        <v>2006</v>
      </c>
      <c r="D3126" t="s">
        <v>30</v>
      </c>
      <c r="E3126" s="8">
        <f>19070+4913</f>
        <v>23983</v>
      </c>
      <c r="F3126" s="8">
        <f>8493+8138</f>
        <v>16631</v>
      </c>
      <c r="G3126" s="1">
        <f t="shared" si="1432"/>
        <v>40614</v>
      </c>
      <c r="H3126" s="2">
        <f t="shared" si="1433"/>
        <v>0.59051066134830354</v>
      </c>
      <c r="I3126" s="2">
        <f t="shared" si="1434"/>
        <v>0.40948933865169646</v>
      </c>
      <c r="J3126" s="8">
        <f>6367+19341</f>
        <v>25708</v>
      </c>
      <c r="K3126" s="8">
        <f>4804+124305</f>
        <v>129109</v>
      </c>
      <c r="L3126" s="1">
        <f t="shared" si="1435"/>
        <v>154817</v>
      </c>
      <c r="M3126" s="2">
        <f t="shared" si="1436"/>
        <v>0.16605411550411131</v>
      </c>
      <c r="N3126" s="2">
        <f t="shared" si="1437"/>
        <v>0.83394588449588869</v>
      </c>
      <c r="P3126" s="5">
        <f t="shared" si="1438"/>
        <v>3811.9121485202145</v>
      </c>
    </row>
    <row r="3127" spans="1:16" x14ac:dyDescent="0.35">
      <c r="A3127" t="s">
        <v>36</v>
      </c>
      <c r="B3127" t="s">
        <v>23</v>
      </c>
      <c r="C3127">
        <v>2006</v>
      </c>
      <c r="D3127" t="s">
        <v>30</v>
      </c>
      <c r="E3127" s="8">
        <f>18735+4823</f>
        <v>23558</v>
      </c>
      <c r="F3127" s="8">
        <f>8559+8190</f>
        <v>16749</v>
      </c>
      <c r="G3127" s="1">
        <f t="shared" ref="G3127:G3190" si="1439">SUM(E3127:F3127)</f>
        <v>40307</v>
      </c>
      <c r="H3127" s="2">
        <f t="shared" ref="H3127:H3190" si="1440">SUM(E3127)/G3127</f>
        <v>0.58446423698116956</v>
      </c>
      <c r="I3127" s="2">
        <f t="shared" ref="I3127:I3190" si="1441">SUM(F3127/G3127)</f>
        <v>0.4155357630188305</v>
      </c>
      <c r="J3127" s="8">
        <f>7792+22976</f>
        <v>30768</v>
      </c>
      <c r="K3127" s="8">
        <f>5516+144406</f>
        <v>149922</v>
      </c>
      <c r="L3127" s="1">
        <f t="shared" si="1435"/>
        <v>180690</v>
      </c>
      <c r="M3127" s="2">
        <f t="shared" si="1436"/>
        <v>0.17028059106757429</v>
      </c>
      <c r="N3127" s="2">
        <f t="shared" si="1437"/>
        <v>0.82971940893242568</v>
      </c>
      <c r="P3127" s="5">
        <f t="shared" si="1438"/>
        <v>4482.8441709876697</v>
      </c>
    </row>
    <row r="3128" spans="1:16" x14ac:dyDescent="0.35">
      <c r="A3128" t="s">
        <v>36</v>
      </c>
      <c r="B3128" t="s">
        <v>24</v>
      </c>
      <c r="C3128">
        <v>2006</v>
      </c>
      <c r="D3128" t="s">
        <v>30</v>
      </c>
      <c r="E3128" s="8">
        <f>17239+4304</f>
        <v>21543</v>
      </c>
      <c r="F3128" s="8">
        <f>7973+7570</f>
        <v>15543</v>
      </c>
      <c r="G3128" s="1">
        <f t="shared" si="1439"/>
        <v>37086</v>
      </c>
      <c r="H3128" s="2">
        <f t="shared" si="1440"/>
        <v>0.58089305937550562</v>
      </c>
      <c r="I3128" s="2">
        <f t="shared" si="1441"/>
        <v>0.41910694062449444</v>
      </c>
      <c r="J3128" s="8">
        <f>7687+21527</f>
        <v>29214</v>
      </c>
      <c r="K3128" s="8">
        <f>5344+159032-21527</f>
        <v>142849</v>
      </c>
      <c r="L3128" s="1">
        <f t="shared" si="1435"/>
        <v>172063</v>
      </c>
      <c r="M3128" s="2">
        <f t="shared" si="1436"/>
        <v>0.16978664791384551</v>
      </c>
      <c r="N3128" s="2">
        <f t="shared" si="1437"/>
        <v>0.83021335208615454</v>
      </c>
      <c r="P3128" s="5">
        <f t="shared" si="1438"/>
        <v>4639.5674917758724</v>
      </c>
    </row>
    <row r="3129" spans="1:16" x14ac:dyDescent="0.35">
      <c r="A3129" t="s">
        <v>36</v>
      </c>
      <c r="B3129" t="s">
        <v>25</v>
      </c>
      <c r="C3129">
        <v>2006</v>
      </c>
      <c r="D3129" t="s">
        <v>30</v>
      </c>
      <c r="E3129" s="8">
        <f>19111+4859</f>
        <v>23970</v>
      </c>
      <c r="F3129" s="8">
        <f>9313+8749</f>
        <v>18062</v>
      </c>
      <c r="G3129" s="1">
        <f t="shared" si="1439"/>
        <v>42032</v>
      </c>
      <c r="H3129" s="2">
        <f t="shared" si="1440"/>
        <v>0.57027978682908265</v>
      </c>
      <c r="I3129" s="2">
        <f t="shared" si="1441"/>
        <v>0.42972021317091741</v>
      </c>
      <c r="J3129" s="8">
        <f>8745+25396</f>
        <v>34141</v>
      </c>
      <c r="K3129" s="8">
        <f>6371+183400-25396</f>
        <v>164375</v>
      </c>
      <c r="L3129" s="1">
        <f t="shared" si="1435"/>
        <v>198516</v>
      </c>
      <c r="M3129" s="2">
        <f t="shared" si="1436"/>
        <v>0.17198109976022083</v>
      </c>
      <c r="N3129" s="2">
        <f t="shared" si="1437"/>
        <v>0.8280189002397792</v>
      </c>
      <c r="P3129" s="5">
        <f t="shared" si="1438"/>
        <v>4722.9729729729734</v>
      </c>
    </row>
    <row r="3130" spans="1:16" x14ac:dyDescent="0.35">
      <c r="A3130" t="s">
        <v>36</v>
      </c>
      <c r="B3130" t="s">
        <v>26</v>
      </c>
      <c r="C3130">
        <v>2006</v>
      </c>
      <c r="D3130" t="s">
        <v>30</v>
      </c>
      <c r="E3130" s="8">
        <f>23802+5038</f>
        <v>28840</v>
      </c>
      <c r="F3130" s="8">
        <f>10591+8970</f>
        <v>19561</v>
      </c>
      <c r="G3130" s="1">
        <f t="shared" si="1439"/>
        <v>48401</v>
      </c>
      <c r="H3130" s="2">
        <f t="shared" si="1440"/>
        <v>0.59585545753186919</v>
      </c>
      <c r="I3130" s="2">
        <f t="shared" si="1441"/>
        <v>0.40414454246813081</v>
      </c>
      <c r="J3130" s="8">
        <f>9352+28450</f>
        <v>37802</v>
      </c>
      <c r="K3130" s="8">
        <f>177872-28450+5952</f>
        <v>155374</v>
      </c>
      <c r="L3130" s="1">
        <f t="shared" si="1435"/>
        <v>193176</v>
      </c>
      <c r="M3130" s="2">
        <f t="shared" si="1436"/>
        <v>0.19568683480349525</v>
      </c>
      <c r="N3130" s="2">
        <f t="shared" si="1437"/>
        <v>0.80431316519650475</v>
      </c>
      <c r="P3130" s="5">
        <f t="shared" si="1438"/>
        <v>3991.157207495713</v>
      </c>
    </row>
    <row r="3131" spans="1:16" x14ac:dyDescent="0.35">
      <c r="A3131" t="s">
        <v>36</v>
      </c>
      <c r="B3131" t="s">
        <v>27</v>
      </c>
      <c r="C3131">
        <v>2006</v>
      </c>
      <c r="D3131" t="s">
        <v>30</v>
      </c>
      <c r="E3131" s="8">
        <f>17597+4411</f>
        <v>22008</v>
      </c>
      <c r="F3131" s="8">
        <f>9778+8607</f>
        <v>18385</v>
      </c>
      <c r="G3131" s="1">
        <f t="shared" si="1439"/>
        <v>40393</v>
      </c>
      <c r="H3131" s="2">
        <f t="shared" si="1440"/>
        <v>0.5448468794097987</v>
      </c>
      <c r="I3131" s="2">
        <f t="shared" si="1441"/>
        <v>0.4551531205902013</v>
      </c>
      <c r="J3131" s="8">
        <f>5767+16037</f>
        <v>21804</v>
      </c>
      <c r="K3131" s="8">
        <f>5286+130031</f>
        <v>135317</v>
      </c>
      <c r="L3131" s="1">
        <f t="shared" si="1435"/>
        <v>157121</v>
      </c>
      <c r="M3131" s="2">
        <f t="shared" si="1436"/>
        <v>0.13877202920042514</v>
      </c>
      <c r="N3131" s="2">
        <f t="shared" si="1437"/>
        <v>0.8612279707995748</v>
      </c>
      <c r="P3131" s="5">
        <f t="shared" si="1438"/>
        <v>3889.8076399376127</v>
      </c>
    </row>
    <row r="3132" spans="1:16" x14ac:dyDescent="0.35">
      <c r="A3132" t="s">
        <v>36</v>
      </c>
      <c r="B3132" t="s">
        <v>28</v>
      </c>
      <c r="C3132">
        <v>2006</v>
      </c>
      <c r="D3132" t="s">
        <v>30</v>
      </c>
      <c r="E3132" s="8">
        <f>15975+3935</f>
        <v>19910</v>
      </c>
      <c r="F3132" s="8">
        <f>9257+8098</f>
        <v>17355</v>
      </c>
      <c r="G3132" s="1">
        <f t="shared" si="1439"/>
        <v>37265</v>
      </c>
      <c r="H3132" s="2">
        <f t="shared" si="1440"/>
        <v>0.53428149738360387</v>
      </c>
      <c r="I3132" s="2">
        <f t="shared" si="1441"/>
        <v>0.46571850261639608</v>
      </c>
      <c r="J3132" s="8">
        <f>4824+12095</f>
        <v>16919</v>
      </c>
      <c r="K3132" s="8">
        <f>4738+108451</f>
        <v>113189</v>
      </c>
      <c r="L3132" s="1">
        <f t="shared" si="1435"/>
        <v>130108</v>
      </c>
      <c r="M3132" s="2">
        <f t="shared" si="1436"/>
        <v>0.13003812217542349</v>
      </c>
      <c r="N3132" s="2">
        <f t="shared" si="1437"/>
        <v>0.86996187782457646</v>
      </c>
      <c r="P3132" s="5">
        <f t="shared" si="1438"/>
        <v>3491.4262713001476</v>
      </c>
    </row>
    <row r="3133" spans="1:16" x14ac:dyDescent="0.35">
      <c r="A3133" t="s">
        <v>36</v>
      </c>
      <c r="B3133" t="s">
        <v>29</v>
      </c>
      <c r="C3133">
        <v>2006</v>
      </c>
      <c r="D3133" t="s">
        <v>30</v>
      </c>
      <c r="E3133" s="8">
        <f>15165+3643</f>
        <v>18808</v>
      </c>
      <c r="F3133" s="8">
        <f>8716+7616</f>
        <v>16332</v>
      </c>
      <c r="G3133" s="1">
        <f t="shared" si="1439"/>
        <v>35140</v>
      </c>
      <c r="H3133" s="2">
        <f t="shared" si="1440"/>
        <v>0.53523050654524762</v>
      </c>
      <c r="I3133" s="2">
        <f t="shared" si="1441"/>
        <v>0.46476949345475244</v>
      </c>
      <c r="J3133" s="8">
        <f>5474+13288</f>
        <v>18762</v>
      </c>
      <c r="K3133" s="8">
        <f>5219+112797</f>
        <v>118016</v>
      </c>
      <c r="L3133" s="1">
        <f t="shared" si="1435"/>
        <v>136778</v>
      </c>
      <c r="M3133" s="2">
        <f t="shared" si="1436"/>
        <v>0.13717118250010968</v>
      </c>
      <c r="N3133" s="2">
        <f t="shared" si="1437"/>
        <v>0.86282881749989038</v>
      </c>
      <c r="P3133" s="5">
        <f t="shared" si="1438"/>
        <v>3892.3733636881047</v>
      </c>
    </row>
    <row r="3134" spans="1:16" x14ac:dyDescent="0.35">
      <c r="A3134" t="s">
        <v>36</v>
      </c>
      <c r="B3134" t="s">
        <v>17</v>
      </c>
      <c r="C3134">
        <v>2007</v>
      </c>
      <c r="D3134" t="s">
        <v>30</v>
      </c>
      <c r="E3134" s="8">
        <f>16419+4124</f>
        <v>20543</v>
      </c>
      <c r="F3134" s="8">
        <f>9892+8703</f>
        <v>18595</v>
      </c>
      <c r="G3134" s="1">
        <f t="shared" si="1439"/>
        <v>39138</v>
      </c>
      <c r="H3134" s="2">
        <f t="shared" si="1440"/>
        <v>0.52488629975982426</v>
      </c>
      <c r="I3134" s="2">
        <f t="shared" si="1441"/>
        <v>0.4751137002401758</v>
      </c>
      <c r="J3134" s="8">
        <f>6481+15773</f>
        <v>22254</v>
      </c>
      <c r="K3134" s="8">
        <f>6419+124990</f>
        <v>131409</v>
      </c>
      <c r="L3134" s="1">
        <f t="shared" si="1435"/>
        <v>153663</v>
      </c>
      <c r="M3134" s="2">
        <f t="shared" si="1436"/>
        <v>0.14482341227231019</v>
      </c>
      <c r="N3134" s="2">
        <f t="shared" si="1437"/>
        <v>0.85517658772768979</v>
      </c>
      <c r="P3134" s="5">
        <f t="shared" si="1438"/>
        <v>3926.1842710409319</v>
      </c>
    </row>
    <row r="3135" spans="1:16" x14ac:dyDescent="0.35">
      <c r="A3135" t="s">
        <v>36</v>
      </c>
      <c r="B3135" t="s">
        <v>19</v>
      </c>
      <c r="C3135">
        <v>2007</v>
      </c>
      <c r="D3135" t="s">
        <v>30</v>
      </c>
      <c r="E3135" s="8">
        <f>15405+3720</f>
        <v>19125</v>
      </c>
      <c r="F3135" s="8">
        <f>9710+8268</f>
        <v>17978</v>
      </c>
      <c r="G3135" s="1">
        <f t="shared" si="1439"/>
        <v>37103</v>
      </c>
      <c r="H3135" s="2">
        <f t="shared" si="1440"/>
        <v>0.51545697113440958</v>
      </c>
      <c r="I3135" s="2">
        <f t="shared" si="1441"/>
        <v>0.48454302886559036</v>
      </c>
      <c r="J3135" s="8">
        <f>5586+12441</f>
        <v>18027</v>
      </c>
      <c r="K3135" s="8">
        <f>5718+109888</f>
        <v>115606</v>
      </c>
      <c r="L3135" s="1">
        <f t="shared" si="1435"/>
        <v>133633</v>
      </c>
      <c r="M3135" s="2">
        <f t="shared" si="1436"/>
        <v>0.13489931379225192</v>
      </c>
      <c r="N3135" s="2">
        <f t="shared" si="1437"/>
        <v>0.86510068620774805</v>
      </c>
      <c r="P3135" s="5">
        <f t="shared" si="1438"/>
        <v>3601.6764143061209</v>
      </c>
    </row>
    <row r="3136" spans="1:16" x14ac:dyDescent="0.35">
      <c r="A3136" t="s">
        <v>36</v>
      </c>
      <c r="B3136" t="s">
        <v>20</v>
      </c>
      <c r="C3136">
        <v>2007</v>
      </c>
      <c r="D3136" t="s">
        <v>30</v>
      </c>
      <c r="E3136" s="8">
        <f>16741+4142</f>
        <v>20883</v>
      </c>
      <c r="F3136" s="8">
        <f>10693+9165</f>
        <v>19858</v>
      </c>
      <c r="G3136" s="1">
        <f t="shared" si="1439"/>
        <v>40741</v>
      </c>
      <c r="H3136" s="2">
        <f t="shared" si="1440"/>
        <v>0.51257946540340193</v>
      </c>
      <c r="I3136" s="2">
        <f t="shared" si="1441"/>
        <v>0.48742053459659801</v>
      </c>
      <c r="J3136" s="8">
        <f>5166+12414</f>
        <v>17580</v>
      </c>
      <c r="K3136" s="8">
        <f>5562+115932</f>
        <v>121494</v>
      </c>
      <c r="L3136" s="1">
        <f t="shared" si="1435"/>
        <v>139074</v>
      </c>
      <c r="M3136" s="2">
        <f t="shared" si="1436"/>
        <v>0.12640752405194358</v>
      </c>
      <c r="N3136" s="2">
        <f t="shared" si="1437"/>
        <v>0.87359247594805645</v>
      </c>
      <c r="P3136" s="5">
        <f t="shared" si="1438"/>
        <v>3413.6128224638569</v>
      </c>
    </row>
    <row r="3137" spans="1:16" x14ac:dyDescent="0.35">
      <c r="A3137" t="s">
        <v>36</v>
      </c>
      <c r="B3137" t="s">
        <v>21</v>
      </c>
      <c r="C3137">
        <v>2007</v>
      </c>
      <c r="D3137" t="s">
        <v>30</v>
      </c>
      <c r="E3137" s="8">
        <f>15218+3733</f>
        <v>18951</v>
      </c>
      <c r="F3137" s="8">
        <f>9805+8455</f>
        <v>18260</v>
      </c>
      <c r="G3137" s="1">
        <f t="shared" si="1439"/>
        <v>37211</v>
      </c>
      <c r="H3137" s="2">
        <f t="shared" si="1440"/>
        <v>0.50928488887694501</v>
      </c>
      <c r="I3137" s="2">
        <f t="shared" si="1441"/>
        <v>0.49071511112305499</v>
      </c>
      <c r="J3137" s="8">
        <f>4493+10966</f>
        <v>15459</v>
      </c>
      <c r="K3137" s="8">
        <f>111686+4877</f>
        <v>116563</v>
      </c>
      <c r="L3137" s="1">
        <f t="shared" si="1435"/>
        <v>132022</v>
      </c>
      <c r="M3137" s="2">
        <f t="shared" si="1436"/>
        <v>0.11709412067685689</v>
      </c>
      <c r="N3137" s="2">
        <f t="shared" si="1437"/>
        <v>0.88290587932314313</v>
      </c>
      <c r="P3137" s="5">
        <f t="shared" si="1438"/>
        <v>3547.9293757222326</v>
      </c>
    </row>
    <row r="3138" spans="1:16" x14ac:dyDescent="0.35">
      <c r="A3138" t="s">
        <v>36</v>
      </c>
      <c r="B3138" t="s">
        <v>22</v>
      </c>
      <c r="C3138">
        <v>2007</v>
      </c>
      <c r="D3138" t="s">
        <v>30</v>
      </c>
      <c r="E3138" s="8">
        <f>16583+4114</f>
        <v>20697</v>
      </c>
      <c r="F3138" s="8">
        <f>10917+9338</f>
        <v>20255</v>
      </c>
      <c r="G3138" s="1">
        <f t="shared" si="1439"/>
        <v>40952</v>
      </c>
      <c r="H3138" s="2">
        <f t="shared" si="1440"/>
        <v>0.50539656182848214</v>
      </c>
      <c r="I3138" s="2">
        <f t="shared" si="1441"/>
        <v>0.49460343817151786</v>
      </c>
      <c r="J3138" s="8">
        <f>4868+12582</f>
        <v>17450</v>
      </c>
      <c r="K3138" s="8">
        <f>5280+123068</f>
        <v>128348</v>
      </c>
      <c r="L3138" s="1">
        <f t="shared" si="1435"/>
        <v>145798</v>
      </c>
      <c r="M3138" s="2">
        <f t="shared" si="1436"/>
        <v>0.11968614109932921</v>
      </c>
      <c r="N3138" s="2">
        <f t="shared" si="1437"/>
        <v>0.88031385890067082</v>
      </c>
      <c r="P3138" s="5">
        <f t="shared" si="1438"/>
        <v>3560.2168392264116</v>
      </c>
    </row>
    <row r="3139" spans="1:16" x14ac:dyDescent="0.35">
      <c r="A3139" t="s">
        <v>36</v>
      </c>
      <c r="B3139" t="s">
        <v>23</v>
      </c>
      <c r="C3139">
        <v>2007</v>
      </c>
      <c r="D3139" t="s">
        <v>30</v>
      </c>
      <c r="E3139" s="8">
        <f>15983+3838</f>
        <v>19821</v>
      </c>
      <c r="F3139" s="8">
        <f>10566+9000</f>
        <v>19566</v>
      </c>
      <c r="G3139" s="1">
        <f t="shared" si="1439"/>
        <v>39387</v>
      </c>
      <c r="H3139" s="2">
        <f t="shared" si="1440"/>
        <v>0.50323710869068472</v>
      </c>
      <c r="I3139" s="2">
        <f t="shared" si="1441"/>
        <v>0.49676289130931528</v>
      </c>
      <c r="J3139" s="8">
        <f>5339+13466</f>
        <v>18805</v>
      </c>
      <c r="K3139" s="8">
        <f>5674+132901</f>
        <v>138575</v>
      </c>
      <c r="L3139" s="1">
        <f t="shared" ref="L3139:L3202" si="1442">SUM(J3139:K3139)</f>
        <v>157380</v>
      </c>
      <c r="M3139" s="2">
        <f t="shared" ref="M3139:M3202" si="1443">SUM(J3139)/L3139</f>
        <v>0.11948786376922099</v>
      </c>
      <c r="N3139" s="2">
        <f t="shared" ref="N3139:N3202" si="1444">SUM(K3139/L3139)</f>
        <v>0.88051213623077895</v>
      </c>
      <c r="P3139" s="5">
        <f t="shared" si="1438"/>
        <v>3995.7346332546272</v>
      </c>
    </row>
    <row r="3140" spans="1:16" x14ac:dyDescent="0.35">
      <c r="A3140" t="s">
        <v>36</v>
      </c>
      <c r="B3140" t="s">
        <v>24</v>
      </c>
      <c r="C3140">
        <v>2007</v>
      </c>
      <c r="D3140" t="s">
        <v>30</v>
      </c>
      <c r="E3140" s="8">
        <f>15143+3806</f>
        <v>18949</v>
      </c>
      <c r="F3140" s="8">
        <f>11308+9133</f>
        <v>20441</v>
      </c>
      <c r="G3140" s="1">
        <f t="shared" si="1439"/>
        <v>39390</v>
      </c>
      <c r="H3140" s="2">
        <f t="shared" si="1440"/>
        <v>0.48106118304138107</v>
      </c>
      <c r="I3140" s="2">
        <f t="shared" si="1441"/>
        <v>0.51893881695861899</v>
      </c>
      <c r="J3140" s="8">
        <f>5436+14846</f>
        <v>20282</v>
      </c>
      <c r="K3140" s="8">
        <f>6301+140148</f>
        <v>146449</v>
      </c>
      <c r="L3140" s="1">
        <f t="shared" si="1442"/>
        <v>166731</v>
      </c>
      <c r="M3140" s="2">
        <f t="shared" si="1443"/>
        <v>0.12164504501262513</v>
      </c>
      <c r="N3140" s="2">
        <f t="shared" si="1444"/>
        <v>0.87835495498737493</v>
      </c>
      <c r="P3140" s="5">
        <f t="shared" ref="P3140:P3203" si="1445">SUM(1000*L3140)/G3140</f>
        <v>4232.8255902513329</v>
      </c>
    </row>
    <row r="3141" spans="1:16" x14ac:dyDescent="0.35">
      <c r="A3141" t="s">
        <v>36</v>
      </c>
      <c r="B3141" t="s">
        <v>25</v>
      </c>
      <c r="C3141">
        <v>2007</v>
      </c>
      <c r="D3141" t="s">
        <v>30</v>
      </c>
      <c r="E3141" s="8">
        <f>16112+4119</f>
        <v>20231</v>
      </c>
      <c r="F3141" s="8">
        <f>12438+9924</f>
        <v>22362</v>
      </c>
      <c r="G3141" s="1">
        <f t="shared" si="1439"/>
        <v>42593</v>
      </c>
      <c r="H3141" s="2">
        <f t="shared" si="1440"/>
        <v>0.47498415232549951</v>
      </c>
      <c r="I3141" s="2">
        <f t="shared" si="1441"/>
        <v>0.52501584767450049</v>
      </c>
      <c r="J3141" s="8">
        <f>6099+16165</f>
        <v>22264</v>
      </c>
      <c r="K3141" s="8">
        <f>7015+148229</f>
        <v>155244</v>
      </c>
      <c r="L3141" s="1">
        <f t="shared" si="1442"/>
        <v>177508</v>
      </c>
      <c r="M3141" s="2">
        <f t="shared" si="1443"/>
        <v>0.12542533294274061</v>
      </c>
      <c r="N3141" s="2">
        <f t="shared" si="1444"/>
        <v>0.87457466705725939</v>
      </c>
      <c r="P3141" s="5">
        <f t="shared" si="1445"/>
        <v>4167.5392670157071</v>
      </c>
    </row>
    <row r="3142" spans="1:16" x14ac:dyDescent="0.35">
      <c r="A3142" t="s">
        <v>36</v>
      </c>
      <c r="B3142" t="s">
        <v>26</v>
      </c>
      <c r="C3142">
        <v>2007</v>
      </c>
      <c r="D3142" t="s">
        <v>30</v>
      </c>
      <c r="E3142" s="8">
        <f>13625+3322</f>
        <v>16947</v>
      </c>
      <c r="F3142" s="8">
        <f>10530+8392</f>
        <v>18922</v>
      </c>
      <c r="G3142" s="1">
        <f t="shared" si="1439"/>
        <v>35869</v>
      </c>
      <c r="H3142" s="2">
        <f t="shared" si="1440"/>
        <v>0.47246926315202542</v>
      </c>
      <c r="I3142" s="2">
        <f t="shared" si="1441"/>
        <v>0.52753073684797458</v>
      </c>
      <c r="J3142" s="8">
        <f>5219+13811</f>
        <v>19030</v>
      </c>
      <c r="K3142" s="8">
        <f>6176+141004</f>
        <v>147180</v>
      </c>
      <c r="L3142" s="1">
        <f t="shared" si="1442"/>
        <v>166210</v>
      </c>
      <c r="M3142" s="2">
        <f t="shared" si="1443"/>
        <v>0.11449371277299801</v>
      </c>
      <c r="N3142" s="2">
        <f t="shared" si="1444"/>
        <v>0.88550628722700198</v>
      </c>
      <c r="P3142" s="5">
        <f t="shared" si="1445"/>
        <v>4633.8063508879532</v>
      </c>
    </row>
    <row r="3143" spans="1:16" x14ac:dyDescent="0.35">
      <c r="A3143" t="s">
        <v>36</v>
      </c>
      <c r="B3143" t="s">
        <v>27</v>
      </c>
      <c r="C3143">
        <v>2007</v>
      </c>
      <c r="D3143" t="s">
        <v>30</v>
      </c>
      <c r="E3143" s="8">
        <f>14715+3651</f>
        <v>18366</v>
      </c>
      <c r="F3143" s="8">
        <f>11815+9368</f>
        <v>21183</v>
      </c>
      <c r="G3143" s="1">
        <f t="shared" si="1439"/>
        <v>39549</v>
      </c>
      <c r="H3143" s="2">
        <f t="shared" si="1440"/>
        <v>0.46438595160433893</v>
      </c>
      <c r="I3143" s="2">
        <f t="shared" si="1441"/>
        <v>0.53561404839566107</v>
      </c>
      <c r="J3143" s="8">
        <f>5109+13431</f>
        <v>18540</v>
      </c>
      <c r="K3143" s="8">
        <f>6500+140840</f>
        <v>147340</v>
      </c>
      <c r="L3143" s="1">
        <f t="shared" si="1442"/>
        <v>165880</v>
      </c>
      <c r="M3143" s="2">
        <f t="shared" si="1443"/>
        <v>0.11176754280202555</v>
      </c>
      <c r="N3143" s="2">
        <f t="shared" si="1444"/>
        <v>0.88823245719797439</v>
      </c>
      <c r="P3143" s="5">
        <f t="shared" si="1445"/>
        <v>4194.2906268173656</v>
      </c>
    </row>
    <row r="3144" spans="1:16" x14ac:dyDescent="0.35">
      <c r="A3144" t="s">
        <v>36</v>
      </c>
      <c r="B3144" t="s">
        <v>28</v>
      </c>
      <c r="C3144">
        <v>2007</v>
      </c>
      <c r="D3144" t="s">
        <v>30</v>
      </c>
      <c r="E3144" s="8">
        <f>14604+3555</f>
        <v>18159</v>
      </c>
      <c r="F3144" s="8">
        <f>11949+9471</f>
        <v>21420</v>
      </c>
      <c r="G3144" s="1">
        <f t="shared" si="1439"/>
        <v>39579</v>
      </c>
      <c r="H3144" s="2">
        <f t="shared" si="1440"/>
        <v>0.45880391116501174</v>
      </c>
      <c r="I3144" s="2">
        <f t="shared" si="1441"/>
        <v>0.54119608883498826</v>
      </c>
      <c r="J3144" s="8">
        <f>4285+11026</f>
        <v>15311</v>
      </c>
      <c r="K3144" s="8">
        <f>124423+6130</f>
        <v>130553</v>
      </c>
      <c r="L3144" s="1">
        <f t="shared" si="1442"/>
        <v>145864</v>
      </c>
      <c r="M3144" s="2">
        <f t="shared" si="1443"/>
        <v>0.10496764109033072</v>
      </c>
      <c r="N3144" s="2">
        <f t="shared" si="1444"/>
        <v>0.89503235890966926</v>
      </c>
      <c r="P3144" s="5">
        <f t="shared" si="1445"/>
        <v>3685.3887162384094</v>
      </c>
    </row>
    <row r="3145" spans="1:16" x14ac:dyDescent="0.35">
      <c r="A3145" t="s">
        <v>36</v>
      </c>
      <c r="B3145" t="s">
        <v>29</v>
      </c>
      <c r="C3145">
        <v>2007</v>
      </c>
      <c r="D3145" t="s">
        <v>30</v>
      </c>
      <c r="E3145" s="8">
        <f>14318+3449</f>
        <v>17767</v>
      </c>
      <c r="F3145" s="8">
        <f>12190+9516</f>
        <v>21706</v>
      </c>
      <c r="G3145" s="1">
        <f t="shared" si="1439"/>
        <v>39473</v>
      </c>
      <c r="H3145" s="2">
        <f t="shared" si="1440"/>
        <v>0.45010513515567602</v>
      </c>
      <c r="I3145" s="2">
        <f t="shared" si="1441"/>
        <v>0.54989486484432393</v>
      </c>
      <c r="J3145" s="8">
        <f>4711+11246</f>
        <v>15957</v>
      </c>
      <c r="K3145" s="8">
        <f>6883+133041</f>
        <v>139924</v>
      </c>
      <c r="L3145" s="1">
        <f t="shared" si="1442"/>
        <v>155881</v>
      </c>
      <c r="M3145" s="2">
        <f t="shared" si="1443"/>
        <v>0.10236654884174466</v>
      </c>
      <c r="N3145" s="2">
        <f t="shared" si="1444"/>
        <v>0.89763345115825532</v>
      </c>
      <c r="P3145" s="5">
        <f t="shared" si="1445"/>
        <v>3949.0537835989157</v>
      </c>
    </row>
    <row r="3146" spans="1:16" x14ac:dyDescent="0.35">
      <c r="A3146" t="s">
        <v>36</v>
      </c>
      <c r="B3146" t="s">
        <v>17</v>
      </c>
      <c r="C3146">
        <v>2008</v>
      </c>
      <c r="D3146" t="s">
        <v>30</v>
      </c>
      <c r="E3146" s="8">
        <f>14191+3435</f>
        <v>17626</v>
      </c>
      <c r="F3146" s="8">
        <f>12304+9686</f>
        <v>21990</v>
      </c>
      <c r="G3146" s="1">
        <f t="shared" si="1439"/>
        <v>39616</v>
      </c>
      <c r="H3146" s="2">
        <f t="shared" si="1440"/>
        <v>0.44492124394184168</v>
      </c>
      <c r="I3146" s="2">
        <f t="shared" si="1441"/>
        <v>0.55507875605815837</v>
      </c>
      <c r="J3146" s="8">
        <f>5287+12786</f>
        <v>18073</v>
      </c>
      <c r="K3146" s="8">
        <f>136133+7356</f>
        <v>143489</v>
      </c>
      <c r="L3146" s="1">
        <f t="shared" si="1442"/>
        <v>161562</v>
      </c>
      <c r="M3146" s="2">
        <f t="shared" si="1443"/>
        <v>0.11186417598197596</v>
      </c>
      <c r="N3146" s="2">
        <f t="shared" si="1444"/>
        <v>0.88813582401802404</v>
      </c>
      <c r="P3146" s="5">
        <f t="shared" si="1445"/>
        <v>4078.2007269789983</v>
      </c>
    </row>
    <row r="3147" spans="1:16" x14ac:dyDescent="0.35">
      <c r="A3147" t="s">
        <v>36</v>
      </c>
      <c r="B3147" t="s">
        <v>19</v>
      </c>
      <c r="C3147">
        <v>2008</v>
      </c>
      <c r="D3147" t="s">
        <v>30</v>
      </c>
      <c r="E3147" s="8">
        <f>13902+3416</f>
        <v>17318</v>
      </c>
      <c r="F3147" s="8">
        <f>12336+9689</f>
        <v>22025</v>
      </c>
      <c r="G3147" s="1">
        <f t="shared" si="1439"/>
        <v>39343</v>
      </c>
      <c r="H3147" s="2">
        <f t="shared" si="1440"/>
        <v>0.44017995577358104</v>
      </c>
      <c r="I3147" s="2">
        <f t="shared" si="1441"/>
        <v>0.55982004422641896</v>
      </c>
      <c r="J3147" s="8">
        <f>4568+11363</f>
        <v>15931</v>
      </c>
      <c r="K3147" s="8">
        <f>6632+122971</f>
        <v>129603</v>
      </c>
      <c r="L3147" s="1">
        <f t="shared" si="1442"/>
        <v>145534</v>
      </c>
      <c r="M3147" s="2">
        <f t="shared" si="1443"/>
        <v>0.10946582929074992</v>
      </c>
      <c r="N3147" s="2">
        <f t="shared" si="1444"/>
        <v>0.89053417070925012</v>
      </c>
      <c r="P3147" s="5">
        <f t="shared" si="1445"/>
        <v>3699.1078463767381</v>
      </c>
    </row>
    <row r="3148" spans="1:16" x14ac:dyDescent="0.35">
      <c r="A3148" t="s">
        <v>36</v>
      </c>
      <c r="B3148" t="s">
        <v>20</v>
      </c>
      <c r="C3148">
        <v>2008</v>
      </c>
      <c r="D3148" t="s">
        <v>30</v>
      </c>
      <c r="E3148" s="8">
        <f>13885+3358</f>
        <v>17243</v>
      </c>
      <c r="F3148" s="8">
        <f>9732+12386</f>
        <v>22118</v>
      </c>
      <c r="G3148" s="1">
        <f t="shared" si="1439"/>
        <v>39361</v>
      </c>
      <c r="H3148" s="2">
        <f t="shared" si="1440"/>
        <v>0.43807321968445923</v>
      </c>
      <c r="I3148" s="2">
        <f t="shared" si="1441"/>
        <v>0.56192678031554077</v>
      </c>
      <c r="J3148" s="8">
        <f>10011+4121</f>
        <v>14132</v>
      </c>
      <c r="K3148" s="8">
        <f>6212+118238</f>
        <v>124450</v>
      </c>
      <c r="L3148" s="1">
        <f t="shared" si="1442"/>
        <v>138582</v>
      </c>
      <c r="M3148" s="2">
        <f t="shared" si="1443"/>
        <v>0.10197572556320446</v>
      </c>
      <c r="N3148" s="2">
        <f t="shared" si="1444"/>
        <v>0.89802427443679556</v>
      </c>
      <c r="P3148" s="5">
        <f t="shared" si="1445"/>
        <v>3520.7946952567263</v>
      </c>
    </row>
    <row r="3149" spans="1:16" x14ac:dyDescent="0.35">
      <c r="A3149" t="s">
        <v>36</v>
      </c>
      <c r="B3149" t="s">
        <v>21</v>
      </c>
      <c r="C3149">
        <v>2008</v>
      </c>
      <c r="D3149" t="s">
        <v>30</v>
      </c>
      <c r="E3149" s="8">
        <f>13925+3286</f>
        <v>17211</v>
      </c>
      <c r="F3149" s="8">
        <f>12521+9779</f>
        <v>22300</v>
      </c>
      <c r="G3149" s="1">
        <f t="shared" si="1439"/>
        <v>39511</v>
      </c>
      <c r="H3149" s="2">
        <f t="shared" si="1440"/>
        <v>0.43560021259902304</v>
      </c>
      <c r="I3149" s="2">
        <f t="shared" si="1441"/>
        <v>0.56439978740097696</v>
      </c>
      <c r="J3149" s="8">
        <f>4055+9790</f>
        <v>13845</v>
      </c>
      <c r="K3149" s="8">
        <f>6081+115980</f>
        <v>122061</v>
      </c>
      <c r="L3149" s="1">
        <f t="shared" si="1442"/>
        <v>135906</v>
      </c>
      <c r="M3149" s="2">
        <f t="shared" si="1443"/>
        <v>0.10187188203611319</v>
      </c>
      <c r="N3149" s="2">
        <f t="shared" si="1444"/>
        <v>0.89812811796388681</v>
      </c>
      <c r="P3149" s="5">
        <f t="shared" si="1445"/>
        <v>3439.7003366151198</v>
      </c>
    </row>
    <row r="3150" spans="1:16" x14ac:dyDescent="0.35">
      <c r="A3150" t="s">
        <v>36</v>
      </c>
      <c r="B3150" t="s">
        <v>22</v>
      </c>
      <c r="C3150">
        <v>2008</v>
      </c>
      <c r="D3150" t="s">
        <v>30</v>
      </c>
      <c r="E3150" s="8">
        <f>13826+3304</f>
        <v>17130</v>
      </c>
      <c r="F3150" s="8">
        <f>12704+9917</f>
        <v>22621</v>
      </c>
      <c r="G3150" s="1">
        <f t="shared" si="1439"/>
        <v>39751</v>
      </c>
      <c r="H3150" s="2">
        <f t="shared" si="1440"/>
        <v>0.43093255515584511</v>
      </c>
      <c r="I3150" s="2">
        <f t="shared" si="1441"/>
        <v>0.56906744484415483</v>
      </c>
      <c r="J3150" s="8">
        <f>4052+10483</f>
        <v>14535</v>
      </c>
      <c r="K3150" s="8">
        <f>123777+6087</f>
        <v>129864</v>
      </c>
      <c r="L3150" s="1">
        <f t="shared" si="1442"/>
        <v>144399</v>
      </c>
      <c r="M3150" s="2">
        <f t="shared" si="1443"/>
        <v>0.1006585918185029</v>
      </c>
      <c r="N3150" s="2">
        <f t="shared" si="1444"/>
        <v>0.8993414081814971</v>
      </c>
      <c r="P3150" s="5">
        <f t="shared" si="1445"/>
        <v>3632.5878594249202</v>
      </c>
    </row>
    <row r="3151" spans="1:16" x14ac:dyDescent="0.35">
      <c r="A3151" t="s">
        <v>36</v>
      </c>
      <c r="B3151" t="s">
        <v>23</v>
      </c>
      <c r="C3151">
        <v>2008</v>
      </c>
      <c r="D3151" t="s">
        <v>30</v>
      </c>
      <c r="E3151" s="8">
        <f>13709+3247</f>
        <v>16956</v>
      </c>
      <c r="F3151" s="8">
        <f>12773+10029</f>
        <v>22802</v>
      </c>
      <c r="G3151" s="1">
        <f t="shared" si="1439"/>
        <v>39758</v>
      </c>
      <c r="H3151" s="2">
        <f t="shared" si="1440"/>
        <v>0.42648020524171237</v>
      </c>
      <c r="I3151" s="2">
        <f t="shared" si="1441"/>
        <v>0.57351979475828763</v>
      </c>
      <c r="J3151" s="8">
        <f>5011+13346</f>
        <v>18357</v>
      </c>
      <c r="K3151" s="8">
        <f>7259+149641</f>
        <v>156900</v>
      </c>
      <c r="L3151" s="1">
        <f t="shared" si="1442"/>
        <v>175257</v>
      </c>
      <c r="M3151" s="2">
        <f t="shared" si="1443"/>
        <v>0.10474331981033567</v>
      </c>
      <c r="N3151" s="2">
        <f t="shared" si="1444"/>
        <v>0.89525668018966431</v>
      </c>
      <c r="P3151" s="5">
        <f t="shared" si="1445"/>
        <v>4408.0939685094827</v>
      </c>
    </row>
    <row r="3152" spans="1:16" x14ac:dyDescent="0.35">
      <c r="A3152" t="s">
        <v>36</v>
      </c>
      <c r="B3152" t="s">
        <v>24</v>
      </c>
      <c r="C3152">
        <v>2008</v>
      </c>
      <c r="D3152" t="s">
        <v>30</v>
      </c>
      <c r="E3152" s="8">
        <f>13615+3189</f>
        <v>16804</v>
      </c>
      <c r="F3152" s="8">
        <f>12891+10081</f>
        <v>22972</v>
      </c>
      <c r="G3152" s="1">
        <f t="shared" si="1439"/>
        <v>39776</v>
      </c>
      <c r="H3152" s="2">
        <f t="shared" si="1440"/>
        <v>0.42246580852775545</v>
      </c>
      <c r="I3152" s="2">
        <f t="shared" si="1441"/>
        <v>0.57753419147224461</v>
      </c>
      <c r="J3152" s="8">
        <f>5407+13999</f>
        <v>19406</v>
      </c>
      <c r="K3152" s="8">
        <f>150361+7498</f>
        <v>157859</v>
      </c>
      <c r="L3152" s="1">
        <f t="shared" si="1442"/>
        <v>177265</v>
      </c>
      <c r="M3152" s="2">
        <f t="shared" si="1443"/>
        <v>0.10947451555580628</v>
      </c>
      <c r="N3152" s="2">
        <f t="shared" si="1444"/>
        <v>0.89052548444419377</v>
      </c>
      <c r="P3152" s="5">
        <f t="shared" si="1445"/>
        <v>4456.5818584070794</v>
      </c>
    </row>
    <row r="3153" spans="1:16" x14ac:dyDescent="0.35">
      <c r="A3153" t="s">
        <v>36</v>
      </c>
      <c r="B3153" t="s">
        <v>25</v>
      </c>
      <c r="C3153">
        <v>2008</v>
      </c>
      <c r="D3153" t="s">
        <v>30</v>
      </c>
      <c r="E3153" s="8">
        <f>13392+3115</f>
        <v>16507</v>
      </c>
      <c r="F3153" s="8">
        <f>12981+10182</f>
        <v>23163</v>
      </c>
      <c r="G3153" s="1">
        <f t="shared" si="1439"/>
        <v>39670</v>
      </c>
      <c r="H3153" s="2">
        <f t="shared" si="1440"/>
        <v>0.41610789009326948</v>
      </c>
      <c r="I3153" s="2">
        <f t="shared" si="1441"/>
        <v>0.58389210990673057</v>
      </c>
      <c r="J3153" s="8">
        <f>5543+14412</f>
        <v>19955</v>
      </c>
      <c r="K3153" s="8">
        <f>7662+153658</f>
        <v>161320</v>
      </c>
      <c r="L3153" s="1">
        <f t="shared" si="1442"/>
        <v>181275</v>
      </c>
      <c r="M3153" s="2">
        <f t="shared" si="1443"/>
        <v>0.11008136808716039</v>
      </c>
      <c r="N3153" s="2">
        <f t="shared" si="1444"/>
        <v>0.8899186319128396</v>
      </c>
      <c r="P3153" s="5">
        <f t="shared" si="1445"/>
        <v>4569.5739853793802</v>
      </c>
    </row>
    <row r="3154" spans="1:16" x14ac:dyDescent="0.35">
      <c r="A3154" t="s">
        <v>36</v>
      </c>
      <c r="B3154" t="s">
        <v>26</v>
      </c>
      <c r="C3154">
        <v>2008</v>
      </c>
      <c r="D3154" t="s">
        <v>30</v>
      </c>
      <c r="E3154" s="8">
        <f>13209+3040</f>
        <v>16249</v>
      </c>
      <c r="F3154" s="8">
        <f>13075+10261</f>
        <v>23336</v>
      </c>
      <c r="G3154" s="1">
        <f t="shared" si="1439"/>
        <v>39585</v>
      </c>
      <c r="H3154" s="2">
        <f t="shared" si="1440"/>
        <v>0.41048376910445877</v>
      </c>
      <c r="I3154" s="2">
        <f t="shared" si="1441"/>
        <v>0.58951623089554128</v>
      </c>
      <c r="J3154" s="8">
        <f>4591+12070</f>
        <v>16661</v>
      </c>
      <c r="K3154" s="8">
        <f>7295+149905</f>
        <v>157200</v>
      </c>
      <c r="L3154" s="1">
        <f t="shared" si="1442"/>
        <v>173861</v>
      </c>
      <c r="M3154" s="2">
        <f t="shared" si="1443"/>
        <v>9.5829426956016595E-2</v>
      </c>
      <c r="N3154" s="2">
        <f t="shared" si="1444"/>
        <v>0.90417057304398341</v>
      </c>
      <c r="P3154" s="5">
        <f t="shared" si="1445"/>
        <v>4392.0929645067572</v>
      </c>
    </row>
    <row r="3155" spans="1:16" x14ac:dyDescent="0.35">
      <c r="A3155" t="s">
        <v>36</v>
      </c>
      <c r="B3155" t="s">
        <v>27</v>
      </c>
      <c r="C3155">
        <v>2008</v>
      </c>
      <c r="D3155" t="s">
        <v>30</v>
      </c>
      <c r="E3155" s="8">
        <v>16249</v>
      </c>
      <c r="F3155" s="8">
        <f>10337+13164</f>
        <v>23501</v>
      </c>
      <c r="G3155" s="1">
        <f t="shared" si="1439"/>
        <v>39750</v>
      </c>
      <c r="H3155" s="2">
        <f t="shared" si="1440"/>
        <v>0.40877987421383649</v>
      </c>
      <c r="I3155" s="2">
        <f t="shared" si="1441"/>
        <v>0.59122012578616356</v>
      </c>
      <c r="J3155" s="8">
        <f>3891+9939</f>
        <v>13830</v>
      </c>
      <c r="K3155" s="8">
        <f>132864.29+6608.21</f>
        <v>139472.5</v>
      </c>
      <c r="L3155" s="1">
        <f t="shared" si="1442"/>
        <v>153302.5</v>
      </c>
      <c r="M3155" s="2">
        <f t="shared" si="1443"/>
        <v>9.0213792990981881E-2</v>
      </c>
      <c r="N3155" s="2">
        <f t="shared" si="1444"/>
        <v>0.90978620700901813</v>
      </c>
      <c r="P3155" s="5">
        <f t="shared" si="1445"/>
        <v>3856.6666666666665</v>
      </c>
    </row>
    <row r="3156" spans="1:16" x14ac:dyDescent="0.35">
      <c r="A3156" t="s">
        <v>36</v>
      </c>
      <c r="B3156" t="s">
        <v>28</v>
      </c>
      <c r="C3156">
        <v>2008</v>
      </c>
      <c r="D3156" t="s">
        <v>30</v>
      </c>
      <c r="E3156" s="8">
        <f>13038+2918</f>
        <v>15956</v>
      </c>
      <c r="F3156" s="8">
        <f>13748+10592</f>
        <v>24340</v>
      </c>
      <c r="G3156" s="1">
        <f t="shared" si="1439"/>
        <v>40296</v>
      </c>
      <c r="H3156" s="2">
        <f t="shared" si="1440"/>
        <v>0.39596982330752434</v>
      </c>
      <c r="I3156" s="2">
        <f t="shared" si="1441"/>
        <v>0.60403017669247572</v>
      </c>
      <c r="J3156" s="8">
        <f>3451+8400</f>
        <v>11851</v>
      </c>
      <c r="K3156" s="8">
        <f>6089.72+118228.91</f>
        <v>124318.63</v>
      </c>
      <c r="L3156" s="1">
        <f t="shared" si="1442"/>
        <v>136169.63</v>
      </c>
      <c r="M3156" s="2">
        <f t="shared" si="1443"/>
        <v>8.7031153716140661E-2</v>
      </c>
      <c r="N3156" s="2">
        <f t="shared" si="1444"/>
        <v>0.91296884628385933</v>
      </c>
      <c r="P3156" s="5">
        <f t="shared" si="1445"/>
        <v>3379.2344153265831</v>
      </c>
    </row>
    <row r="3157" spans="1:16" x14ac:dyDescent="0.35">
      <c r="A3157" t="s">
        <v>36</v>
      </c>
      <c r="B3157" t="s">
        <v>29</v>
      </c>
      <c r="C3157">
        <v>2008</v>
      </c>
      <c r="D3157" t="s">
        <v>30</v>
      </c>
      <c r="E3157" s="8">
        <f>12911+2859</f>
        <v>15770</v>
      </c>
      <c r="F3157" s="8">
        <f>14263+10729</f>
        <v>24992</v>
      </c>
      <c r="G3157" s="1">
        <f t="shared" si="1439"/>
        <v>40762</v>
      </c>
      <c r="H3157" s="2">
        <f t="shared" si="1440"/>
        <v>0.3868799371964084</v>
      </c>
      <c r="I3157" s="2">
        <f t="shared" si="1441"/>
        <v>0.61312006280359155</v>
      </c>
      <c r="J3157" s="8">
        <f>4005+9133</f>
        <v>13138</v>
      </c>
      <c r="K3157" s="8">
        <f>6921.26+129314.88</f>
        <v>136236.14000000001</v>
      </c>
      <c r="L3157" s="1">
        <f t="shared" si="1442"/>
        <v>149374.14000000001</v>
      </c>
      <c r="M3157" s="2">
        <f t="shared" si="1443"/>
        <v>8.7953644452781449E-2</v>
      </c>
      <c r="N3157" s="2">
        <f t="shared" si="1444"/>
        <v>0.91204635554721858</v>
      </c>
      <c r="P3157" s="5">
        <f t="shared" si="1445"/>
        <v>3664.5439379814534</v>
      </c>
    </row>
    <row r="3158" spans="1:16" x14ac:dyDescent="0.35">
      <c r="A3158" t="s">
        <v>36</v>
      </c>
      <c r="B3158" t="s">
        <v>17</v>
      </c>
      <c r="C3158">
        <v>2009</v>
      </c>
      <c r="D3158" t="s">
        <v>30</v>
      </c>
      <c r="E3158" s="3">
        <f>12828+2830</f>
        <v>15658</v>
      </c>
      <c r="F3158" s="3">
        <f>13247+10355</f>
        <v>23602</v>
      </c>
      <c r="G3158" s="1">
        <f t="shared" si="1439"/>
        <v>39260</v>
      </c>
      <c r="H3158" s="2">
        <f t="shared" si="1440"/>
        <v>0.3988283239938869</v>
      </c>
      <c r="I3158" s="2">
        <f t="shared" si="1441"/>
        <v>0.6011716760061131</v>
      </c>
      <c r="J3158" s="3">
        <f>4579+10230</f>
        <v>14809</v>
      </c>
      <c r="K3158" s="3">
        <f>7666+136578</f>
        <v>144244</v>
      </c>
      <c r="L3158" s="1">
        <f t="shared" si="1442"/>
        <v>159053</v>
      </c>
      <c r="M3158" s="2">
        <f t="shared" si="1443"/>
        <v>9.3107329003539699E-2</v>
      </c>
      <c r="N3158" s="2">
        <f t="shared" si="1444"/>
        <v>0.90689267099646032</v>
      </c>
      <c r="P3158" s="5">
        <f t="shared" si="1445"/>
        <v>4051.27356087621</v>
      </c>
    </row>
    <row r="3159" spans="1:16" x14ac:dyDescent="0.35">
      <c r="A3159" t="s">
        <v>36</v>
      </c>
      <c r="B3159" t="s">
        <v>19</v>
      </c>
      <c r="C3159">
        <v>2009</v>
      </c>
      <c r="D3159" t="s">
        <v>30</v>
      </c>
      <c r="E3159" s="3">
        <f>12755+2797</f>
        <v>15552</v>
      </c>
      <c r="F3159" s="3">
        <f>13374+10447</f>
        <v>23821</v>
      </c>
      <c r="G3159" s="1">
        <f t="shared" si="1439"/>
        <v>39373</v>
      </c>
      <c r="H3159" s="2">
        <f t="shared" si="1440"/>
        <v>0.39499149163132097</v>
      </c>
      <c r="I3159" s="2">
        <f t="shared" si="1441"/>
        <v>0.60500850836867903</v>
      </c>
      <c r="J3159" s="3">
        <f>3783+8820</f>
        <v>12603</v>
      </c>
      <c r="K3159" s="3">
        <f>6608+118150</f>
        <v>124758</v>
      </c>
      <c r="L3159" s="1">
        <f t="shared" si="1442"/>
        <v>137361</v>
      </c>
      <c r="M3159" s="2">
        <f t="shared" si="1443"/>
        <v>9.1750933671129353E-2</v>
      </c>
      <c r="N3159" s="2">
        <f t="shared" si="1444"/>
        <v>0.90824906632887059</v>
      </c>
      <c r="P3159" s="5">
        <f t="shared" si="1445"/>
        <v>3488.7105376781042</v>
      </c>
    </row>
    <row r="3160" spans="1:16" x14ac:dyDescent="0.35">
      <c r="A3160" t="s">
        <v>36</v>
      </c>
      <c r="B3160" t="s">
        <v>20</v>
      </c>
      <c r="C3160">
        <v>2009</v>
      </c>
      <c r="D3160" t="s">
        <v>30</v>
      </c>
      <c r="E3160" s="3">
        <f>12652+2779</f>
        <v>15431</v>
      </c>
      <c r="F3160" s="3">
        <f>13399+10453</f>
        <v>23852</v>
      </c>
      <c r="G3160" s="1">
        <f t="shared" si="1439"/>
        <v>39283</v>
      </c>
      <c r="H3160" s="2">
        <f t="shared" si="1440"/>
        <v>0.39281623093959217</v>
      </c>
      <c r="I3160" s="2">
        <f t="shared" si="1441"/>
        <v>0.60718376906040783</v>
      </c>
      <c r="J3160" s="3">
        <f>3477+8142</f>
        <v>11619</v>
      </c>
      <c r="K3160" s="3">
        <f>6211+114003</f>
        <v>120214</v>
      </c>
      <c r="L3160" s="1">
        <f t="shared" si="1442"/>
        <v>131833</v>
      </c>
      <c r="M3160" s="2">
        <f t="shared" si="1443"/>
        <v>8.8134230427889829E-2</v>
      </c>
      <c r="N3160" s="2">
        <f t="shared" si="1444"/>
        <v>0.91186576957211019</v>
      </c>
      <c r="P3160" s="5">
        <f t="shared" si="1445"/>
        <v>3355.9809586844181</v>
      </c>
    </row>
    <row r="3161" spans="1:16" x14ac:dyDescent="0.35">
      <c r="A3161" t="s">
        <v>36</v>
      </c>
      <c r="B3161" t="s">
        <v>21</v>
      </c>
      <c r="C3161">
        <v>2009</v>
      </c>
      <c r="D3161" t="s">
        <v>30</v>
      </c>
      <c r="E3161" s="3">
        <f>12592+2778</f>
        <v>15370</v>
      </c>
      <c r="F3161" s="3">
        <f>13479+10435</f>
        <v>23914</v>
      </c>
      <c r="G3161" s="1">
        <f t="shared" si="1439"/>
        <v>39284</v>
      </c>
      <c r="H3161" s="2">
        <f t="shared" si="1440"/>
        <v>0.39125343651359334</v>
      </c>
      <c r="I3161" s="2">
        <f t="shared" si="1441"/>
        <v>0.60874656348640666</v>
      </c>
      <c r="J3161" s="3">
        <f>3550+8318</f>
        <v>11868</v>
      </c>
      <c r="K3161" s="3">
        <f>6397+115959</f>
        <v>122356</v>
      </c>
      <c r="L3161" s="1">
        <f t="shared" si="1442"/>
        <v>134224</v>
      </c>
      <c r="M3161" s="2">
        <f t="shared" si="1443"/>
        <v>8.8419358683990937E-2</v>
      </c>
      <c r="N3161" s="2">
        <f t="shared" si="1444"/>
        <v>0.91158064131600902</v>
      </c>
      <c r="P3161" s="5">
        <f t="shared" si="1445"/>
        <v>3416.7600040729048</v>
      </c>
    </row>
    <row r="3162" spans="1:16" x14ac:dyDescent="0.35">
      <c r="A3162" t="s">
        <v>36</v>
      </c>
      <c r="B3162" t="s">
        <v>22</v>
      </c>
      <c r="C3162">
        <v>2009</v>
      </c>
      <c r="D3162" t="s">
        <v>30</v>
      </c>
      <c r="E3162" s="3">
        <f>12542+2750</f>
        <v>15292</v>
      </c>
      <c r="F3162" s="3">
        <f>13599+10492</f>
        <v>24091</v>
      </c>
      <c r="G3162" s="1">
        <f t="shared" si="1439"/>
        <v>39383</v>
      </c>
      <c r="H3162" s="2">
        <f t="shared" si="1440"/>
        <v>0.38828936343092196</v>
      </c>
      <c r="I3162" s="2">
        <f t="shared" si="1441"/>
        <v>0.61171063656907798</v>
      </c>
      <c r="J3162" s="3">
        <f>3539+8585</f>
        <v>12124</v>
      </c>
      <c r="K3162" s="3">
        <f>6486+126752</f>
        <v>133238</v>
      </c>
      <c r="L3162" s="1">
        <f t="shared" si="1442"/>
        <v>145362</v>
      </c>
      <c r="M3162" s="2">
        <f t="shared" si="1443"/>
        <v>8.3405566791871333E-2</v>
      </c>
      <c r="N3162" s="2">
        <f t="shared" si="1444"/>
        <v>0.91659443320812872</v>
      </c>
      <c r="P3162" s="5">
        <f t="shared" si="1445"/>
        <v>3690.9834192418048</v>
      </c>
    </row>
    <row r="3163" spans="1:16" x14ac:dyDescent="0.35">
      <c r="A3163" t="s">
        <v>36</v>
      </c>
      <c r="B3163" t="s">
        <v>23</v>
      </c>
      <c r="C3163">
        <v>2009</v>
      </c>
      <c r="D3163" t="s">
        <v>30</v>
      </c>
      <c r="E3163" s="3">
        <f>12485+2721</f>
        <v>15206</v>
      </c>
      <c r="F3163" s="3">
        <f>13679+10494</f>
        <v>24173</v>
      </c>
      <c r="G3163" s="1">
        <f t="shared" si="1439"/>
        <v>39379</v>
      </c>
      <c r="H3163" s="2">
        <f t="shared" si="1440"/>
        <v>0.38614489956575843</v>
      </c>
      <c r="I3163" s="2">
        <f t="shared" si="1441"/>
        <v>0.61385510043424163</v>
      </c>
      <c r="J3163" s="3">
        <f>3921+9082</f>
        <v>13003</v>
      </c>
      <c r="K3163" s="3">
        <f>7052+138698</f>
        <v>145750</v>
      </c>
      <c r="L3163" s="1">
        <f t="shared" si="1442"/>
        <v>158753</v>
      </c>
      <c r="M3163" s="2">
        <f t="shared" si="1443"/>
        <v>8.1907113566357798E-2</v>
      </c>
      <c r="N3163" s="2">
        <f t="shared" si="1444"/>
        <v>0.91809288643364217</v>
      </c>
      <c r="P3163" s="5">
        <f t="shared" si="1445"/>
        <v>4031.4126818862846</v>
      </c>
    </row>
    <row r="3164" spans="1:16" x14ac:dyDescent="0.35">
      <c r="A3164" t="s">
        <v>36</v>
      </c>
      <c r="B3164" t="s">
        <v>24</v>
      </c>
      <c r="C3164">
        <v>2009</v>
      </c>
      <c r="D3164" t="s">
        <v>30</v>
      </c>
      <c r="E3164" s="3">
        <f>12326+2660</f>
        <v>14986</v>
      </c>
      <c r="F3164" s="3">
        <f>13794+10519</f>
        <v>24313</v>
      </c>
      <c r="G3164" s="1">
        <f t="shared" si="1439"/>
        <v>39299</v>
      </c>
      <c r="H3164" s="2">
        <f t="shared" si="1440"/>
        <v>0.38133285834245145</v>
      </c>
      <c r="I3164" s="2">
        <f t="shared" si="1441"/>
        <v>0.61866714165754855</v>
      </c>
      <c r="J3164" s="3">
        <f>4635+10712</f>
        <v>15347</v>
      </c>
      <c r="K3164" s="3">
        <f>8206+156974</f>
        <v>165180</v>
      </c>
      <c r="L3164" s="1">
        <f t="shared" si="1442"/>
        <v>180527</v>
      </c>
      <c r="M3164" s="2">
        <f t="shared" si="1443"/>
        <v>8.5012214239421249E-2</v>
      </c>
      <c r="N3164" s="2">
        <f t="shared" si="1444"/>
        <v>0.91498778576057871</v>
      </c>
      <c r="P3164" s="5">
        <f t="shared" si="1445"/>
        <v>4593.6792284790963</v>
      </c>
    </row>
    <row r="3165" spans="1:16" x14ac:dyDescent="0.35">
      <c r="A3165" t="s">
        <v>36</v>
      </c>
      <c r="B3165" t="s">
        <v>25</v>
      </c>
      <c r="C3165">
        <v>2009</v>
      </c>
      <c r="D3165" t="s">
        <v>30</v>
      </c>
      <c r="E3165" s="3">
        <f>12218+2642</f>
        <v>14860</v>
      </c>
      <c r="F3165" s="3">
        <f>13938+10570</f>
        <v>24508</v>
      </c>
      <c r="G3165" s="1">
        <f t="shared" si="1439"/>
        <v>39368</v>
      </c>
      <c r="H3165" s="2">
        <f t="shared" si="1440"/>
        <v>0.37746393009550905</v>
      </c>
      <c r="I3165" s="2">
        <f t="shared" si="1441"/>
        <v>0.62253606990449095</v>
      </c>
      <c r="J3165" s="3">
        <f>4521+10275</f>
        <v>14796</v>
      </c>
      <c r="K3165" s="3">
        <f>8096+153299</f>
        <v>161395</v>
      </c>
      <c r="L3165" s="1">
        <f t="shared" si="1442"/>
        <v>176191</v>
      </c>
      <c r="M3165" s="2">
        <f t="shared" si="1443"/>
        <v>8.3977047635804325E-2</v>
      </c>
      <c r="N3165" s="2">
        <f t="shared" si="1444"/>
        <v>0.91602295236419562</v>
      </c>
      <c r="P3165" s="5">
        <f t="shared" si="1445"/>
        <v>4475.4877057508638</v>
      </c>
    </row>
    <row r="3166" spans="1:16" x14ac:dyDescent="0.35">
      <c r="A3166" t="s">
        <v>36</v>
      </c>
      <c r="B3166" t="s">
        <v>26</v>
      </c>
      <c r="C3166">
        <v>2009</v>
      </c>
      <c r="D3166" t="s">
        <v>30</v>
      </c>
      <c r="E3166" s="3">
        <f>12057+2558</f>
        <v>14615</v>
      </c>
      <c r="F3166" s="3">
        <f>14061+10637</f>
        <v>24698</v>
      </c>
      <c r="G3166" s="1">
        <f t="shared" si="1439"/>
        <v>39313</v>
      </c>
      <c r="H3166" s="2">
        <f t="shared" si="1440"/>
        <v>0.37175997761554702</v>
      </c>
      <c r="I3166" s="2">
        <f t="shared" si="1441"/>
        <v>0.62824002238445298</v>
      </c>
      <c r="J3166" s="3">
        <f>4392+10013</f>
        <v>14405</v>
      </c>
      <c r="K3166" s="3">
        <f>8085+154627</f>
        <v>162712</v>
      </c>
      <c r="L3166" s="1">
        <f t="shared" si="1442"/>
        <v>177117</v>
      </c>
      <c r="M3166" s="2">
        <f t="shared" si="1443"/>
        <v>8.1330420004855547E-2</v>
      </c>
      <c r="N3166" s="2">
        <f t="shared" si="1444"/>
        <v>0.91866957999514443</v>
      </c>
      <c r="P3166" s="5">
        <f t="shared" si="1445"/>
        <v>4505.3035891435402</v>
      </c>
    </row>
    <row r="3167" spans="1:16" x14ac:dyDescent="0.35">
      <c r="A3167" t="s">
        <v>36</v>
      </c>
      <c r="B3167" t="s">
        <v>27</v>
      </c>
      <c r="C3167">
        <v>2009</v>
      </c>
      <c r="D3167" t="s">
        <v>30</v>
      </c>
      <c r="E3167" s="3">
        <f>11990+2492</f>
        <v>14482</v>
      </c>
      <c r="F3167" s="3">
        <f>14163+10674</f>
        <v>24837</v>
      </c>
      <c r="G3167" s="1">
        <f t="shared" si="1439"/>
        <v>39319</v>
      </c>
      <c r="H3167" s="2">
        <f t="shared" si="1440"/>
        <v>0.36832065922327628</v>
      </c>
      <c r="I3167" s="2">
        <f t="shared" si="1441"/>
        <v>0.63167934077672372</v>
      </c>
      <c r="J3167" s="3">
        <f>3419+6398</f>
        <v>9817</v>
      </c>
      <c r="K3167" s="3">
        <f>6887+130905</f>
        <v>137792</v>
      </c>
      <c r="L3167" s="1">
        <f t="shared" si="1442"/>
        <v>147609</v>
      </c>
      <c r="M3167" s="2">
        <f t="shared" si="1443"/>
        <v>6.6506784816643974E-2</v>
      </c>
      <c r="N3167" s="2">
        <f t="shared" si="1444"/>
        <v>0.93349321518335604</v>
      </c>
      <c r="P3167" s="5">
        <f t="shared" si="1445"/>
        <v>3754.1392202243192</v>
      </c>
    </row>
    <row r="3168" spans="1:16" x14ac:dyDescent="0.35">
      <c r="A3168" t="s">
        <v>36</v>
      </c>
      <c r="B3168" t="s">
        <v>28</v>
      </c>
      <c r="C3168">
        <v>2009</v>
      </c>
      <c r="D3168" t="s">
        <v>30</v>
      </c>
      <c r="E3168" s="3">
        <f>11862+2414</f>
        <v>14276</v>
      </c>
      <c r="F3168" s="3">
        <f>14337+10733</f>
        <v>25070</v>
      </c>
      <c r="G3168" s="1">
        <f t="shared" si="1439"/>
        <v>39346</v>
      </c>
      <c r="H3168" s="2">
        <f t="shared" si="1440"/>
        <v>0.3628323082397194</v>
      </c>
      <c r="I3168" s="2">
        <f t="shared" si="1441"/>
        <v>0.63716769176028054</v>
      </c>
      <c r="J3168" s="3">
        <f>2990+5536</f>
        <v>8526</v>
      </c>
      <c r="K3168" s="3">
        <f>6526+118041</f>
        <v>124567</v>
      </c>
      <c r="L3168" s="1">
        <f t="shared" si="1442"/>
        <v>133093</v>
      </c>
      <c r="M3168" s="2">
        <f t="shared" si="1443"/>
        <v>6.4060468995364148E-2</v>
      </c>
      <c r="N3168" s="2">
        <f t="shared" si="1444"/>
        <v>0.93593953100463589</v>
      </c>
      <c r="P3168" s="5">
        <f t="shared" si="1445"/>
        <v>3382.6310171300765</v>
      </c>
    </row>
    <row r="3169" spans="1:16" x14ac:dyDescent="0.35">
      <c r="A3169" t="s">
        <v>36</v>
      </c>
      <c r="B3169" t="s">
        <v>29</v>
      </c>
      <c r="C3169">
        <v>2009</v>
      </c>
      <c r="D3169" t="s">
        <v>30</v>
      </c>
      <c r="E3169" s="3">
        <f>11721+2388</f>
        <v>14109</v>
      </c>
      <c r="F3169" s="3">
        <f>14403+10777</f>
        <v>25180</v>
      </c>
      <c r="G3169" s="1">
        <f t="shared" si="1439"/>
        <v>39289</v>
      </c>
      <c r="H3169" s="2">
        <f t="shared" si="1440"/>
        <v>0.35910814731858792</v>
      </c>
      <c r="I3169" s="2">
        <f t="shared" si="1441"/>
        <v>0.64089185268141213</v>
      </c>
      <c r="J3169" s="3">
        <f>3527+6228</f>
        <v>9755</v>
      </c>
      <c r="K3169" s="3">
        <f>7776+131704</f>
        <v>139480</v>
      </c>
      <c r="L3169" s="1">
        <f t="shared" si="1442"/>
        <v>149235</v>
      </c>
      <c r="M3169" s="2">
        <f t="shared" si="1443"/>
        <v>6.5366703521291925E-2</v>
      </c>
      <c r="N3169" s="2">
        <f t="shared" si="1444"/>
        <v>0.93463329647870808</v>
      </c>
      <c r="P3169" s="5">
        <f t="shared" si="1445"/>
        <v>3798.3914072641196</v>
      </c>
    </row>
    <row r="3170" spans="1:16" x14ac:dyDescent="0.35">
      <c r="A3170" t="s">
        <v>36</v>
      </c>
      <c r="B3170" t="s">
        <v>17</v>
      </c>
      <c r="C3170">
        <v>2010</v>
      </c>
      <c r="D3170" t="s">
        <v>30</v>
      </c>
      <c r="E3170" s="3">
        <f>10362+2048</f>
        <v>12410</v>
      </c>
      <c r="F3170" s="3">
        <f>12836+9586</f>
        <v>22422</v>
      </c>
      <c r="G3170" s="1">
        <f t="shared" si="1439"/>
        <v>34832</v>
      </c>
      <c r="H3170" s="2">
        <f t="shared" si="1440"/>
        <v>0.35628158015617822</v>
      </c>
      <c r="I3170" s="2">
        <f t="shared" si="1441"/>
        <v>0.64371841984382172</v>
      </c>
      <c r="J3170" s="3">
        <f>3730+6380</f>
        <v>10110</v>
      </c>
      <c r="K3170" s="3">
        <f>7817+128188</f>
        <v>136005</v>
      </c>
      <c r="L3170" s="1">
        <f t="shared" si="1442"/>
        <v>146115</v>
      </c>
      <c r="M3170" s="2">
        <f t="shared" si="1443"/>
        <v>6.9192074735653419E-2</v>
      </c>
      <c r="N3170" s="2">
        <f t="shared" si="1444"/>
        <v>0.93080792526434653</v>
      </c>
      <c r="P3170" s="5">
        <f t="shared" si="1445"/>
        <v>4194.8495636196603</v>
      </c>
    </row>
    <row r="3171" spans="1:16" x14ac:dyDescent="0.35">
      <c r="A3171" t="s">
        <v>36</v>
      </c>
      <c r="B3171" t="s">
        <v>19</v>
      </c>
      <c r="C3171">
        <v>2010</v>
      </c>
      <c r="D3171" t="s">
        <v>30</v>
      </c>
      <c r="E3171" s="3">
        <f>11543+2320</f>
        <v>13863</v>
      </c>
      <c r="F3171" s="3">
        <f>14493+10950</f>
        <v>25443</v>
      </c>
      <c r="G3171" s="1">
        <f t="shared" si="1439"/>
        <v>39306</v>
      </c>
      <c r="H3171" s="2">
        <f t="shared" si="1440"/>
        <v>0.35269424515341169</v>
      </c>
      <c r="I3171" s="2">
        <f t="shared" si="1441"/>
        <v>0.64730575484658825</v>
      </c>
      <c r="J3171" s="3">
        <f>3644+6472</f>
        <v>10116</v>
      </c>
      <c r="K3171" s="3">
        <f>7791+126023</f>
        <v>133814</v>
      </c>
      <c r="L3171" s="1">
        <f t="shared" si="1442"/>
        <v>143930</v>
      </c>
      <c r="M3171" s="2">
        <f t="shared" si="1443"/>
        <v>7.0284165913985966E-2</v>
      </c>
      <c r="N3171" s="2">
        <f t="shared" si="1444"/>
        <v>0.92971583408601399</v>
      </c>
      <c r="P3171" s="5">
        <f t="shared" si="1445"/>
        <v>3661.7819162468836</v>
      </c>
    </row>
    <row r="3172" spans="1:16" x14ac:dyDescent="0.35">
      <c r="A3172" t="s">
        <v>36</v>
      </c>
      <c r="B3172" t="s">
        <v>20</v>
      </c>
      <c r="C3172">
        <v>2010</v>
      </c>
      <c r="D3172" t="s">
        <v>30</v>
      </c>
      <c r="E3172" s="3">
        <f>11393+2325</f>
        <v>13718</v>
      </c>
      <c r="F3172" s="3">
        <f>14504+10913</f>
        <v>25417</v>
      </c>
      <c r="G3172" s="1">
        <f t="shared" si="1439"/>
        <v>39135</v>
      </c>
      <c r="H3172" s="2">
        <f t="shared" si="1440"/>
        <v>0.35053021591925387</v>
      </c>
      <c r="I3172" s="2">
        <f t="shared" si="1441"/>
        <v>0.64946978408074618</v>
      </c>
      <c r="J3172" s="3">
        <f>3186+5743</f>
        <v>8929</v>
      </c>
      <c r="K3172" s="3">
        <f>7137+117051</f>
        <v>124188</v>
      </c>
      <c r="L3172" s="1">
        <f t="shared" si="1442"/>
        <v>133117</v>
      </c>
      <c r="M3172" s="2">
        <f t="shared" si="1443"/>
        <v>6.7076331347611498E-2</v>
      </c>
      <c r="N3172" s="2">
        <f t="shared" si="1444"/>
        <v>0.93292366865238852</v>
      </c>
      <c r="P3172" s="5">
        <f t="shared" si="1445"/>
        <v>3401.4820493164684</v>
      </c>
    </row>
    <row r="3173" spans="1:16" x14ac:dyDescent="0.35">
      <c r="A3173" t="s">
        <v>36</v>
      </c>
      <c r="B3173" t="s">
        <v>21</v>
      </c>
      <c r="C3173">
        <v>2010</v>
      </c>
      <c r="D3173" t="s">
        <v>30</v>
      </c>
      <c r="E3173" s="3">
        <f>11311+2299</f>
        <v>13610</v>
      </c>
      <c r="F3173" s="3">
        <f>14565+10951</f>
        <v>25516</v>
      </c>
      <c r="G3173" s="1">
        <f t="shared" si="1439"/>
        <v>39126</v>
      </c>
      <c r="H3173" s="2">
        <f t="shared" si="1440"/>
        <v>0.34785053417165057</v>
      </c>
      <c r="I3173" s="2">
        <f t="shared" si="1441"/>
        <v>0.65214946582834943</v>
      </c>
      <c r="J3173" s="3">
        <f>3070+5154</f>
        <v>8224</v>
      </c>
      <c r="K3173" s="3">
        <f>6862+119725</f>
        <v>126587</v>
      </c>
      <c r="L3173" s="1">
        <f t="shared" si="1442"/>
        <v>134811</v>
      </c>
      <c r="M3173" s="2">
        <f t="shared" si="1443"/>
        <v>6.1003924012135509E-2</v>
      </c>
      <c r="N3173" s="2">
        <f t="shared" si="1444"/>
        <v>0.9389960759878645</v>
      </c>
      <c r="P3173" s="5">
        <f t="shared" si="1445"/>
        <v>3445.5604968563102</v>
      </c>
    </row>
    <row r="3174" spans="1:16" x14ac:dyDescent="0.35">
      <c r="A3174" t="s">
        <v>36</v>
      </c>
      <c r="B3174" t="s">
        <v>22</v>
      </c>
      <c r="C3174">
        <v>2010</v>
      </c>
      <c r="D3174" t="s">
        <v>30</v>
      </c>
      <c r="E3174" s="3">
        <f>11288+2313</f>
        <v>13601</v>
      </c>
      <c r="F3174" s="3">
        <f>14564+10994</f>
        <v>25558</v>
      </c>
      <c r="G3174" s="1">
        <f t="shared" si="1439"/>
        <v>39159</v>
      </c>
      <c r="H3174" s="2">
        <f t="shared" si="1440"/>
        <v>0.34732756199085779</v>
      </c>
      <c r="I3174" s="2">
        <f t="shared" si="1441"/>
        <v>0.65267243800914221</v>
      </c>
      <c r="J3174" s="3">
        <f>2882+4826</f>
        <v>7708</v>
      </c>
      <c r="K3174" s="3">
        <f>6538+122159</f>
        <v>128697</v>
      </c>
      <c r="L3174" s="1">
        <f t="shared" si="1442"/>
        <v>136405</v>
      </c>
      <c r="M3174" s="2">
        <f t="shared" si="1443"/>
        <v>5.6508192514937133E-2</v>
      </c>
      <c r="N3174" s="2">
        <f t="shared" si="1444"/>
        <v>0.94349180748506289</v>
      </c>
      <c r="P3174" s="5">
        <f t="shared" si="1445"/>
        <v>3483.3627007839832</v>
      </c>
    </row>
    <row r="3175" spans="1:16" x14ac:dyDescent="0.35">
      <c r="A3175" t="s">
        <v>36</v>
      </c>
      <c r="B3175" t="s">
        <v>23</v>
      </c>
      <c r="C3175">
        <v>2010</v>
      </c>
      <c r="D3175" t="s">
        <v>30</v>
      </c>
      <c r="E3175" s="3">
        <f>11223+2287</f>
        <v>13510</v>
      </c>
      <c r="F3175" s="3">
        <f>14654+11033</f>
        <v>25687</v>
      </c>
      <c r="G3175" s="1">
        <f t="shared" si="1439"/>
        <v>39197</v>
      </c>
      <c r="H3175" s="2">
        <f t="shared" si="1440"/>
        <v>0.34466923489042528</v>
      </c>
      <c r="I3175" s="2">
        <f t="shared" si="1441"/>
        <v>0.65533076510957466</v>
      </c>
      <c r="J3175" s="3">
        <f>3508+6238</f>
        <v>9746</v>
      </c>
      <c r="K3175" s="3">
        <f>7986+150040</f>
        <v>158026</v>
      </c>
      <c r="L3175" s="1">
        <f t="shared" si="1442"/>
        <v>167772</v>
      </c>
      <c r="M3175" s="2">
        <f t="shared" si="1443"/>
        <v>5.8090742197744558E-2</v>
      </c>
      <c r="N3175" s="2">
        <f t="shared" si="1444"/>
        <v>0.94190925780225543</v>
      </c>
      <c r="P3175" s="5">
        <f t="shared" si="1445"/>
        <v>4280.2255274638364</v>
      </c>
    </row>
    <row r="3176" spans="1:16" x14ac:dyDescent="0.35">
      <c r="A3176" t="s">
        <v>36</v>
      </c>
      <c r="B3176" t="s">
        <v>24</v>
      </c>
      <c r="C3176">
        <v>2010</v>
      </c>
      <c r="D3176" t="s">
        <v>30</v>
      </c>
      <c r="E3176" s="3">
        <f>11122+2253</f>
        <v>13375</v>
      </c>
      <c r="F3176" s="3">
        <f>14738+11085</f>
        <v>25823</v>
      </c>
      <c r="G3176" s="1">
        <f t="shared" si="1439"/>
        <v>39198</v>
      </c>
      <c r="H3176" s="2">
        <f t="shared" si="1440"/>
        <v>0.34121638859125464</v>
      </c>
      <c r="I3176" s="2">
        <f t="shared" si="1441"/>
        <v>0.65878361140874531</v>
      </c>
      <c r="J3176" s="3">
        <f>3866+6939</f>
        <v>10805</v>
      </c>
      <c r="K3176" s="3">
        <f>8600+160457</f>
        <v>169057</v>
      </c>
      <c r="L3176" s="1">
        <f t="shared" si="1442"/>
        <v>179862</v>
      </c>
      <c r="M3176" s="2">
        <f t="shared" si="1443"/>
        <v>6.0073834384138949E-2</v>
      </c>
      <c r="N3176" s="2">
        <f t="shared" si="1444"/>
        <v>0.93992616561586106</v>
      </c>
      <c r="P3176" s="5">
        <f t="shared" si="1445"/>
        <v>4588.5504362467473</v>
      </c>
    </row>
    <row r="3177" spans="1:16" x14ac:dyDescent="0.35">
      <c r="A3177" t="s">
        <v>36</v>
      </c>
      <c r="B3177" t="s">
        <v>25</v>
      </c>
      <c r="C3177">
        <v>2010</v>
      </c>
      <c r="D3177" t="s">
        <v>30</v>
      </c>
      <c r="E3177" s="3">
        <f>10552+2132</f>
        <v>12684</v>
      </c>
      <c r="F3177" s="3">
        <f>14221+10574</f>
        <v>24795</v>
      </c>
      <c r="G3177" s="1">
        <f t="shared" si="1439"/>
        <v>37479</v>
      </c>
      <c r="H3177" s="2">
        <f t="shared" si="1440"/>
        <v>0.33842952053149766</v>
      </c>
      <c r="I3177" s="2">
        <f t="shared" si="1441"/>
        <v>0.66157047946850234</v>
      </c>
      <c r="J3177" s="3">
        <f>3793+6958</f>
        <v>10751</v>
      </c>
      <c r="K3177" s="3">
        <f>8152+142204</f>
        <v>150356</v>
      </c>
      <c r="L3177" s="1">
        <f t="shared" si="1442"/>
        <v>161107</v>
      </c>
      <c r="M3177" s="2">
        <f t="shared" si="1443"/>
        <v>6.6732047645353704E-2</v>
      </c>
      <c r="N3177" s="2">
        <f t="shared" si="1444"/>
        <v>0.93326795235464632</v>
      </c>
      <c r="P3177" s="5">
        <f t="shared" si="1445"/>
        <v>4298.5938792390407</v>
      </c>
    </row>
    <row r="3178" spans="1:16" x14ac:dyDescent="0.35">
      <c r="A3178" t="s">
        <v>36</v>
      </c>
      <c r="B3178" t="s">
        <v>26</v>
      </c>
      <c r="C3178">
        <v>2010</v>
      </c>
      <c r="D3178" t="s">
        <v>30</v>
      </c>
      <c r="E3178" s="3">
        <f>11030+2178</f>
        <v>13208</v>
      </c>
      <c r="F3178" s="3">
        <f>14912+11077</f>
        <v>25989</v>
      </c>
      <c r="G3178" s="1">
        <f t="shared" si="1439"/>
        <v>39197</v>
      </c>
      <c r="H3178" s="2">
        <f t="shared" si="1440"/>
        <v>0.33696456361456234</v>
      </c>
      <c r="I3178" s="2">
        <f t="shared" si="1441"/>
        <v>0.66303543638543772</v>
      </c>
      <c r="J3178" s="3">
        <f>4196+7553</f>
        <v>11749</v>
      </c>
      <c r="K3178" s="3">
        <f>8920+168696</f>
        <v>177616</v>
      </c>
      <c r="L3178" s="1">
        <f t="shared" si="1442"/>
        <v>189365</v>
      </c>
      <c r="M3178" s="2">
        <f t="shared" si="1443"/>
        <v>6.2044200353814062E-2</v>
      </c>
      <c r="N3178" s="2">
        <f t="shared" si="1444"/>
        <v>0.93795579964618592</v>
      </c>
      <c r="P3178" s="5">
        <f t="shared" si="1445"/>
        <v>4831.1095236880374</v>
      </c>
    </row>
    <row r="3179" spans="1:16" x14ac:dyDescent="0.35">
      <c r="A3179" t="s">
        <v>36</v>
      </c>
      <c r="B3179" t="s">
        <v>27</v>
      </c>
      <c r="C3179">
        <v>2010</v>
      </c>
      <c r="D3179" t="s">
        <v>30</v>
      </c>
      <c r="E3179" s="3">
        <f>10258+2047</f>
        <v>12305</v>
      </c>
      <c r="F3179" s="3">
        <f>14304+10561</f>
        <v>24865</v>
      </c>
      <c r="G3179" s="1">
        <f t="shared" si="1439"/>
        <v>37170</v>
      </c>
      <c r="H3179" s="2">
        <f t="shared" si="1440"/>
        <v>0.3310465429109497</v>
      </c>
      <c r="I3179" s="2">
        <f t="shared" si="1441"/>
        <v>0.6689534570890503</v>
      </c>
      <c r="J3179" s="3">
        <f>3050+5354</f>
        <v>8404</v>
      </c>
      <c r="K3179" s="3">
        <f>7213+133857</f>
        <v>141070</v>
      </c>
      <c r="L3179" s="1">
        <f t="shared" si="1442"/>
        <v>149474</v>
      </c>
      <c r="M3179" s="2">
        <f t="shared" si="1443"/>
        <v>5.6223824879243212E-2</v>
      </c>
      <c r="N3179" s="2">
        <f t="shared" si="1444"/>
        <v>0.94377617512075673</v>
      </c>
      <c r="P3179" s="5">
        <f t="shared" si="1445"/>
        <v>4021.3613128867364</v>
      </c>
    </row>
    <row r="3180" spans="1:16" x14ac:dyDescent="0.35">
      <c r="A3180" t="s">
        <v>36</v>
      </c>
      <c r="B3180" t="s">
        <v>28</v>
      </c>
      <c r="C3180">
        <v>2010</v>
      </c>
      <c r="D3180" t="s">
        <v>30</v>
      </c>
      <c r="E3180" s="3">
        <f>10354+2035</f>
        <v>12389</v>
      </c>
      <c r="F3180" s="3">
        <f>14503+10720</f>
        <v>25223</v>
      </c>
      <c r="G3180" s="1">
        <f t="shared" si="1439"/>
        <v>37612</v>
      </c>
      <c r="H3180" s="2">
        <f t="shared" si="1440"/>
        <v>0.32938955652451346</v>
      </c>
      <c r="I3180" s="2">
        <f t="shared" si="1441"/>
        <v>0.6706104434754866</v>
      </c>
      <c r="J3180" s="3">
        <f>2621+4281</f>
        <v>6902</v>
      </c>
      <c r="K3180" s="3">
        <f>6545+113941</f>
        <v>120486</v>
      </c>
      <c r="L3180" s="1">
        <f t="shared" si="1442"/>
        <v>127388</v>
      </c>
      <c r="M3180" s="2">
        <f t="shared" si="1443"/>
        <v>5.4180927559895752E-2</v>
      </c>
      <c r="N3180" s="2">
        <f t="shared" si="1444"/>
        <v>0.94581907244010421</v>
      </c>
      <c r="P3180" s="5">
        <f t="shared" si="1445"/>
        <v>3386.8977985749229</v>
      </c>
    </row>
    <row r="3181" spans="1:16" x14ac:dyDescent="0.35">
      <c r="A3181" t="s">
        <v>36</v>
      </c>
      <c r="B3181" t="s">
        <v>29</v>
      </c>
      <c r="C3181">
        <v>2010</v>
      </c>
      <c r="D3181" t="s">
        <v>30</v>
      </c>
      <c r="E3181" s="3">
        <f>10624+2075</f>
        <v>12699</v>
      </c>
      <c r="F3181" s="3">
        <f>15543+11420</f>
        <v>26963</v>
      </c>
      <c r="G3181" s="1">
        <f t="shared" si="1439"/>
        <v>39662</v>
      </c>
      <c r="H3181" s="2">
        <f t="shared" si="1440"/>
        <v>0.32018052543996772</v>
      </c>
      <c r="I3181" s="2">
        <f t="shared" si="1441"/>
        <v>0.67981947456003222</v>
      </c>
      <c r="J3181" s="3">
        <f>3199+5041</f>
        <v>8240</v>
      </c>
      <c r="K3181" s="3">
        <f>8135+136072</f>
        <v>144207</v>
      </c>
      <c r="L3181" s="1">
        <f t="shared" si="1442"/>
        <v>152447</v>
      </c>
      <c r="M3181" s="2">
        <f t="shared" si="1443"/>
        <v>5.4051572021751822E-2</v>
      </c>
      <c r="N3181" s="2">
        <f t="shared" si="1444"/>
        <v>0.94594842797824819</v>
      </c>
      <c r="P3181" s="5">
        <f t="shared" si="1445"/>
        <v>3843.6538752458273</v>
      </c>
    </row>
    <row r="3182" spans="1:16" x14ac:dyDescent="0.35">
      <c r="A3182" t="s">
        <v>36</v>
      </c>
      <c r="B3182" t="s">
        <v>17</v>
      </c>
      <c r="C3182">
        <v>2011</v>
      </c>
      <c r="D3182" t="s">
        <v>30</v>
      </c>
      <c r="E3182" s="3">
        <f>9191+1751</f>
        <v>10942</v>
      </c>
      <c r="F3182" s="3">
        <f>13405+9804</f>
        <v>23209</v>
      </c>
      <c r="G3182" s="1">
        <f t="shared" si="1439"/>
        <v>34151</v>
      </c>
      <c r="H3182" s="2">
        <f t="shared" si="1440"/>
        <v>0.32040057392170068</v>
      </c>
      <c r="I3182" s="2">
        <f t="shared" si="1441"/>
        <v>0.67959942607829926</v>
      </c>
      <c r="J3182" s="3">
        <f>3091+4767</f>
        <v>7858</v>
      </c>
      <c r="K3182" s="3">
        <f>7579+123318</f>
        <v>130897</v>
      </c>
      <c r="L3182" s="1">
        <f t="shared" si="1442"/>
        <v>138755</v>
      </c>
      <c r="M3182" s="2">
        <f t="shared" si="1443"/>
        <v>5.6632193434470832E-2</v>
      </c>
      <c r="N3182" s="2">
        <f t="shared" si="1444"/>
        <v>0.94336780656552921</v>
      </c>
      <c r="P3182" s="5">
        <f t="shared" si="1445"/>
        <v>4062.9849784779362</v>
      </c>
    </row>
    <row r="3183" spans="1:16" x14ac:dyDescent="0.35">
      <c r="A3183" t="s">
        <v>36</v>
      </c>
      <c r="B3183" t="s">
        <v>19</v>
      </c>
      <c r="C3183">
        <v>2011</v>
      </c>
      <c r="D3183" t="s">
        <v>30</v>
      </c>
      <c r="E3183" s="3">
        <f>10117+1977</f>
        <v>12094</v>
      </c>
      <c r="F3183" s="3">
        <f>15463+11268</f>
        <v>26731</v>
      </c>
      <c r="G3183" s="1">
        <f t="shared" si="1439"/>
        <v>38825</v>
      </c>
      <c r="H3183" s="2">
        <f t="shared" si="1440"/>
        <v>0.3115003219575016</v>
      </c>
      <c r="I3183" s="2">
        <f t="shared" si="1441"/>
        <v>0.68849967804249834</v>
      </c>
      <c r="J3183" s="3">
        <f>3206+5258</f>
        <v>8464</v>
      </c>
      <c r="K3183" s="3">
        <f>8120+128446</f>
        <v>136566</v>
      </c>
      <c r="L3183" s="1">
        <f t="shared" si="1442"/>
        <v>145030</v>
      </c>
      <c r="M3183" s="2">
        <f t="shared" si="1443"/>
        <v>5.8360339240157211E-2</v>
      </c>
      <c r="N3183" s="2">
        <f t="shared" si="1444"/>
        <v>0.94163966075984284</v>
      </c>
      <c r="P3183" s="5">
        <f t="shared" si="1445"/>
        <v>3735.4797166773988</v>
      </c>
    </row>
    <row r="3184" spans="1:16" x14ac:dyDescent="0.35">
      <c r="A3184" t="s">
        <v>36</v>
      </c>
      <c r="B3184" t="s">
        <v>20</v>
      </c>
      <c r="C3184">
        <v>2011</v>
      </c>
      <c r="D3184" t="s">
        <v>30</v>
      </c>
      <c r="E3184" s="3">
        <f>9989+1956</f>
        <v>11945</v>
      </c>
      <c r="F3184" s="3">
        <f>15508+11267</f>
        <v>26775</v>
      </c>
      <c r="G3184" s="1">
        <f t="shared" si="1439"/>
        <v>38720</v>
      </c>
      <c r="H3184" s="2">
        <f t="shared" si="1440"/>
        <v>0.30849690082644626</v>
      </c>
      <c r="I3184" s="2">
        <f t="shared" si="1441"/>
        <v>0.69150309917355368</v>
      </c>
      <c r="J3184" s="3">
        <f>2697+4467</f>
        <v>7164</v>
      </c>
      <c r="K3184" s="3">
        <f>7147+118399</f>
        <v>125546</v>
      </c>
      <c r="L3184" s="1">
        <f t="shared" si="1442"/>
        <v>132710</v>
      </c>
      <c r="M3184" s="2">
        <f t="shared" si="1443"/>
        <v>5.3982367568382185E-2</v>
      </c>
      <c r="N3184" s="2">
        <f t="shared" si="1444"/>
        <v>0.94601763243161785</v>
      </c>
      <c r="P3184" s="5">
        <f t="shared" si="1445"/>
        <v>3427.4276859504134</v>
      </c>
    </row>
    <row r="3185" spans="1:16" x14ac:dyDescent="0.35">
      <c r="A3185" t="s">
        <v>36</v>
      </c>
      <c r="B3185" t="s">
        <v>21</v>
      </c>
      <c r="C3185">
        <v>2011</v>
      </c>
      <c r="D3185" t="s">
        <v>30</v>
      </c>
      <c r="E3185" s="3">
        <f>9249+1800</f>
        <v>11049</v>
      </c>
      <c r="F3185" s="3">
        <f>14610+10466</f>
        <v>25076</v>
      </c>
      <c r="G3185" s="1">
        <f t="shared" si="1439"/>
        <v>36125</v>
      </c>
      <c r="H3185" s="2">
        <f t="shared" si="1440"/>
        <v>0.30585467128027682</v>
      </c>
      <c r="I3185" s="2">
        <f t="shared" si="1441"/>
        <v>0.69414532871972323</v>
      </c>
      <c r="J3185" s="3">
        <f>2572+4228</f>
        <v>6800</v>
      </c>
      <c r="K3185" s="3">
        <f>6661+111067</f>
        <v>117728</v>
      </c>
      <c r="L3185" s="1">
        <f t="shared" si="1442"/>
        <v>124528</v>
      </c>
      <c r="M3185" s="2">
        <f t="shared" si="1443"/>
        <v>5.4606192984710263E-2</v>
      </c>
      <c r="N3185" s="2">
        <f t="shared" si="1444"/>
        <v>0.94539380701528974</v>
      </c>
      <c r="P3185" s="5">
        <f t="shared" si="1445"/>
        <v>3447.1418685121107</v>
      </c>
    </row>
    <row r="3186" spans="1:16" x14ac:dyDescent="0.35">
      <c r="A3186" t="s">
        <v>36</v>
      </c>
      <c r="B3186" t="s">
        <v>22</v>
      </c>
      <c r="C3186">
        <v>2011</v>
      </c>
      <c r="D3186" t="s">
        <v>30</v>
      </c>
      <c r="E3186" s="3">
        <f>8606+1685</f>
        <v>10291</v>
      </c>
      <c r="F3186" s="3">
        <f>13949+9943</f>
        <v>23892</v>
      </c>
      <c r="G3186" s="1">
        <f t="shared" si="1439"/>
        <v>34183</v>
      </c>
      <c r="H3186" s="2">
        <f t="shared" si="1440"/>
        <v>0.30105608050785476</v>
      </c>
      <c r="I3186" s="2">
        <f t="shared" si="1441"/>
        <v>0.69894391949214518</v>
      </c>
      <c r="J3186" s="3">
        <f>2724+4672</f>
        <v>7396</v>
      </c>
      <c r="K3186" s="3">
        <f>6962+123537</f>
        <v>130499</v>
      </c>
      <c r="L3186" s="1">
        <f t="shared" si="1442"/>
        <v>137895</v>
      </c>
      <c r="M3186" s="2">
        <f t="shared" si="1443"/>
        <v>5.3635012146923386E-2</v>
      </c>
      <c r="N3186" s="2">
        <f t="shared" si="1444"/>
        <v>0.94636498785307666</v>
      </c>
      <c r="P3186" s="5">
        <f t="shared" si="1445"/>
        <v>4034.0227598513879</v>
      </c>
    </row>
    <row r="3187" spans="1:16" x14ac:dyDescent="0.35">
      <c r="A3187" t="s">
        <v>36</v>
      </c>
      <c r="B3187" t="s">
        <v>23</v>
      </c>
      <c r="C3187">
        <v>2011</v>
      </c>
      <c r="D3187" t="s">
        <v>30</v>
      </c>
      <c r="E3187" s="3">
        <f>9715+1897</f>
        <v>11612</v>
      </c>
      <c r="F3187" s="3">
        <f>15926+11419</f>
        <v>27345</v>
      </c>
      <c r="G3187" s="1">
        <f t="shared" si="1439"/>
        <v>38957</v>
      </c>
      <c r="H3187" s="2">
        <f t="shared" si="1440"/>
        <v>0.29807223348820494</v>
      </c>
      <c r="I3187" s="2">
        <f t="shared" si="1441"/>
        <v>0.701927766511795</v>
      </c>
      <c r="J3187" s="3">
        <f>3573+6231</f>
        <v>9804</v>
      </c>
      <c r="K3187" s="3">
        <f>9273+162493</f>
        <v>171766</v>
      </c>
      <c r="L3187" s="1">
        <f t="shared" si="1442"/>
        <v>181570</v>
      </c>
      <c r="M3187" s="2">
        <f t="shared" si="1443"/>
        <v>5.3995704136145836E-2</v>
      </c>
      <c r="N3187" s="2">
        <f t="shared" si="1444"/>
        <v>0.94600429586385415</v>
      </c>
      <c r="P3187" s="5">
        <f t="shared" si="1445"/>
        <v>4660.7798341761427</v>
      </c>
    </row>
    <row r="3188" spans="1:16" x14ac:dyDescent="0.35">
      <c r="A3188" t="s">
        <v>36</v>
      </c>
      <c r="B3188" t="s">
        <v>24</v>
      </c>
      <c r="C3188">
        <v>2011</v>
      </c>
      <c r="D3188" t="s">
        <v>30</v>
      </c>
      <c r="E3188" s="3">
        <f>9020+1741</f>
        <v>10761</v>
      </c>
      <c r="F3188" s="3">
        <f>14918+10606</f>
        <v>25524</v>
      </c>
      <c r="G3188" s="1">
        <f t="shared" si="1439"/>
        <v>36285</v>
      </c>
      <c r="H3188" s="2">
        <f t="shared" si="1440"/>
        <v>0.29656883009508062</v>
      </c>
      <c r="I3188" s="2">
        <f t="shared" si="1441"/>
        <v>0.70343116990491938</v>
      </c>
      <c r="J3188" s="3">
        <f>4018+6898</f>
        <v>10916</v>
      </c>
      <c r="K3188" s="3">
        <f>9273+162493</f>
        <v>171766</v>
      </c>
      <c r="L3188" s="1">
        <f t="shared" si="1442"/>
        <v>182682</v>
      </c>
      <c r="M3188" s="2">
        <f t="shared" si="1443"/>
        <v>5.975410823179076E-2</v>
      </c>
      <c r="N3188" s="2">
        <f t="shared" si="1444"/>
        <v>0.94024589176820927</v>
      </c>
      <c r="P3188" s="5">
        <f t="shared" si="1445"/>
        <v>5034.6424142207525</v>
      </c>
    </row>
    <row r="3189" spans="1:16" x14ac:dyDescent="0.35">
      <c r="A3189" t="s">
        <v>36</v>
      </c>
      <c r="B3189" t="s">
        <v>25</v>
      </c>
      <c r="C3189">
        <v>2011</v>
      </c>
      <c r="D3189" t="s">
        <v>30</v>
      </c>
      <c r="E3189" s="3">
        <f>9390+1847</f>
        <v>11237</v>
      </c>
      <c r="F3189" s="3">
        <f>16055+11522</f>
        <v>27577</v>
      </c>
      <c r="G3189" s="1">
        <f t="shared" si="1439"/>
        <v>38814</v>
      </c>
      <c r="H3189" s="2">
        <f t="shared" si="1440"/>
        <v>0.28950894007316946</v>
      </c>
      <c r="I3189" s="2">
        <f t="shared" si="1441"/>
        <v>0.71049105992683048</v>
      </c>
      <c r="J3189" s="3">
        <f>4086+7421</f>
        <v>11507</v>
      </c>
      <c r="K3189" s="3">
        <f>9273+162493</f>
        <v>171766</v>
      </c>
      <c r="L3189" s="1">
        <f t="shared" si="1442"/>
        <v>183273</v>
      </c>
      <c r="M3189" s="2">
        <f t="shared" si="1443"/>
        <v>6.2786116885738763E-2</v>
      </c>
      <c r="N3189" s="2">
        <f t="shared" si="1444"/>
        <v>0.93721388311426124</v>
      </c>
      <c r="P3189" s="5">
        <f t="shared" si="1445"/>
        <v>4721.8271757613229</v>
      </c>
    </row>
    <row r="3190" spans="1:16" x14ac:dyDescent="0.35">
      <c r="A3190" t="s">
        <v>36</v>
      </c>
      <c r="B3190" t="s">
        <v>26</v>
      </c>
      <c r="C3190">
        <v>2011</v>
      </c>
      <c r="D3190" t="s">
        <v>30</v>
      </c>
      <c r="E3190" s="3">
        <f>8724+1708</f>
        <v>10432</v>
      </c>
      <c r="F3190" s="3">
        <f>15319+10903</f>
        <v>26222</v>
      </c>
      <c r="G3190" s="1">
        <f t="shared" si="1439"/>
        <v>36654</v>
      </c>
      <c r="H3190" s="2">
        <f t="shared" si="1440"/>
        <v>0.28460740983248761</v>
      </c>
      <c r="I3190" s="2">
        <f t="shared" si="1441"/>
        <v>0.71539259016751244</v>
      </c>
      <c r="J3190" s="3">
        <f>3494+6440</f>
        <v>9934</v>
      </c>
      <c r="K3190" s="3">
        <f>9273+162493</f>
        <v>171766</v>
      </c>
      <c r="L3190" s="1">
        <f t="shared" si="1442"/>
        <v>181700</v>
      </c>
      <c r="M3190" s="2">
        <f t="shared" si="1443"/>
        <v>5.4672537149146945E-2</v>
      </c>
      <c r="N3190" s="2">
        <f t="shared" si="1444"/>
        <v>0.94532746285085301</v>
      </c>
      <c r="P3190" s="5">
        <f t="shared" si="1445"/>
        <v>4957.1670213346433</v>
      </c>
    </row>
    <row r="3191" spans="1:16" x14ac:dyDescent="0.35">
      <c r="A3191" t="s">
        <v>36</v>
      </c>
      <c r="B3191" t="s">
        <v>27</v>
      </c>
      <c r="C3191">
        <v>2011</v>
      </c>
      <c r="D3191" t="s">
        <v>30</v>
      </c>
      <c r="E3191" s="3">
        <f>8472+1610</f>
        <v>10082</v>
      </c>
      <c r="F3191" s="3">
        <f>15295+10609</f>
        <v>25904</v>
      </c>
      <c r="G3191" s="1">
        <f t="shared" ref="G3191:G3254" si="1446">SUM(E3191:F3191)</f>
        <v>35986</v>
      </c>
      <c r="H3191" s="2">
        <f t="shared" ref="H3191:H3254" si="1447">SUM(E3191)/G3191</f>
        <v>0.28016450841994106</v>
      </c>
      <c r="I3191" s="2">
        <f t="shared" ref="I3191:I3254" si="1448">SUM(F3191/G3191)</f>
        <v>0.71983549158005888</v>
      </c>
      <c r="J3191" s="3">
        <f>2555+4387</f>
        <v>6942</v>
      </c>
      <c r="K3191" s="3">
        <f>7703+133846</f>
        <v>141549</v>
      </c>
      <c r="L3191" s="1">
        <f t="shared" si="1442"/>
        <v>148491</v>
      </c>
      <c r="M3191" s="2">
        <f t="shared" si="1443"/>
        <v>4.6750308099480775E-2</v>
      </c>
      <c r="N3191" s="2">
        <f t="shared" si="1444"/>
        <v>0.95324969190051922</v>
      </c>
      <c r="P3191" s="5">
        <f t="shared" si="1445"/>
        <v>4126.3546934919132</v>
      </c>
    </row>
    <row r="3192" spans="1:16" x14ac:dyDescent="0.35">
      <c r="A3192" t="s">
        <v>36</v>
      </c>
      <c r="B3192" t="s">
        <v>28</v>
      </c>
      <c r="C3192">
        <v>2011</v>
      </c>
      <c r="D3192" t="s">
        <v>30</v>
      </c>
      <c r="E3192" s="3">
        <f>8965+1681</f>
        <v>10646</v>
      </c>
      <c r="F3192" s="3">
        <f>16122+11246</f>
        <v>27368</v>
      </c>
      <c r="G3192" s="1">
        <f t="shared" si="1446"/>
        <v>38014</v>
      </c>
      <c r="H3192" s="2">
        <f t="shared" si="1447"/>
        <v>0.28005471668332721</v>
      </c>
      <c r="I3192" s="2">
        <f t="shared" si="1448"/>
        <v>0.71994528331667285</v>
      </c>
      <c r="J3192" s="3">
        <f>2423+3938</f>
        <v>6361</v>
      </c>
      <c r="K3192" s="3">
        <f>7263+119318</f>
        <v>126581</v>
      </c>
      <c r="L3192" s="1">
        <f t="shared" si="1442"/>
        <v>132942</v>
      </c>
      <c r="M3192" s="2">
        <f t="shared" si="1443"/>
        <v>4.784793368536655E-2</v>
      </c>
      <c r="N3192" s="2">
        <f t="shared" si="1444"/>
        <v>0.95215206631463345</v>
      </c>
      <c r="P3192" s="5">
        <f t="shared" si="1445"/>
        <v>3497.1852475403798</v>
      </c>
    </row>
    <row r="3193" spans="1:16" x14ac:dyDescent="0.35">
      <c r="A3193" t="s">
        <v>36</v>
      </c>
      <c r="B3193" t="s">
        <v>29</v>
      </c>
      <c r="C3193">
        <v>2011</v>
      </c>
      <c r="D3193" t="s">
        <v>30</v>
      </c>
      <c r="E3193" s="3">
        <f>7726+1478</f>
        <v>9204</v>
      </c>
      <c r="F3193" s="3">
        <f>14046+9930</f>
        <v>23976</v>
      </c>
      <c r="G3193" s="1">
        <f t="shared" si="1446"/>
        <v>33180</v>
      </c>
      <c r="H3193" s="2">
        <f t="shared" si="1447"/>
        <v>0.2773960216998192</v>
      </c>
      <c r="I3193" s="2">
        <f t="shared" si="1448"/>
        <v>0.72260397830018086</v>
      </c>
      <c r="J3193" s="3">
        <f>2511+4145</f>
        <v>6656</v>
      </c>
      <c r="K3193" s="3">
        <f>7403+116723</f>
        <v>124126</v>
      </c>
      <c r="L3193" s="1">
        <f t="shared" si="1442"/>
        <v>130782</v>
      </c>
      <c r="M3193" s="2">
        <f t="shared" si="1443"/>
        <v>5.0893853894266795E-2</v>
      </c>
      <c r="N3193" s="2">
        <f t="shared" si="1444"/>
        <v>0.94910614610573318</v>
      </c>
      <c r="P3193" s="5">
        <f t="shared" si="1445"/>
        <v>3941.5913200723326</v>
      </c>
    </row>
    <row r="3194" spans="1:16" x14ac:dyDescent="0.35">
      <c r="A3194" t="s">
        <v>36</v>
      </c>
      <c r="B3194" t="s">
        <v>17</v>
      </c>
      <c r="C3194">
        <v>2012</v>
      </c>
      <c r="D3194" t="s">
        <v>30</v>
      </c>
      <c r="E3194" s="3">
        <f>7835+1494</f>
        <v>9329</v>
      </c>
      <c r="F3194" s="3">
        <f>14122+10094</f>
        <v>24216</v>
      </c>
      <c r="G3194" s="1">
        <f t="shared" si="1446"/>
        <v>33545</v>
      </c>
      <c r="H3194" s="2">
        <f t="shared" si="1447"/>
        <v>0.27810403935012667</v>
      </c>
      <c r="I3194" s="2">
        <f t="shared" si="1448"/>
        <v>0.72189596064987327</v>
      </c>
      <c r="J3194" s="3">
        <f>2732+4275</f>
        <v>7007</v>
      </c>
      <c r="K3194" s="3">
        <f>7965+120383</f>
        <v>128348</v>
      </c>
      <c r="L3194" s="1">
        <f t="shared" si="1442"/>
        <v>135355</v>
      </c>
      <c r="M3194" s="2">
        <f t="shared" si="1443"/>
        <v>5.176757415684681E-2</v>
      </c>
      <c r="N3194" s="2">
        <f t="shared" si="1444"/>
        <v>0.94823242584315315</v>
      </c>
      <c r="P3194" s="5">
        <f t="shared" si="1445"/>
        <v>4035.027574899389</v>
      </c>
    </row>
    <row r="3195" spans="1:16" x14ac:dyDescent="0.35">
      <c r="A3195" t="s">
        <v>36</v>
      </c>
      <c r="B3195" t="s">
        <v>19</v>
      </c>
      <c r="C3195">
        <v>2012</v>
      </c>
      <c r="D3195" t="s">
        <v>30</v>
      </c>
      <c r="E3195" s="3">
        <f>8598+1657</f>
        <v>10255</v>
      </c>
      <c r="F3195" s="3">
        <f>15803+11223</f>
        <v>27026</v>
      </c>
      <c r="G3195" s="1">
        <f t="shared" si="1446"/>
        <v>37281</v>
      </c>
      <c r="H3195" s="2">
        <f t="shared" si="1447"/>
        <v>0.27507309353289877</v>
      </c>
      <c r="I3195" s="2">
        <f t="shared" si="1448"/>
        <v>0.72492690646710123</v>
      </c>
      <c r="J3195" s="3">
        <f>2555+4216</f>
        <v>6771</v>
      </c>
      <c r="K3195" s="3">
        <f>7580+118833</f>
        <v>126413</v>
      </c>
      <c r="L3195" s="1">
        <f t="shared" si="1442"/>
        <v>133184</v>
      </c>
      <c r="M3195" s="2">
        <f t="shared" si="1443"/>
        <v>5.0839440172993751E-2</v>
      </c>
      <c r="N3195" s="2">
        <f t="shared" si="1444"/>
        <v>0.9491605598270062</v>
      </c>
      <c r="P3195" s="5">
        <f t="shared" si="1445"/>
        <v>3572.4363616855771</v>
      </c>
    </row>
    <row r="3196" spans="1:16" x14ac:dyDescent="0.35">
      <c r="A3196" t="s">
        <v>36</v>
      </c>
      <c r="B3196" t="s">
        <v>20</v>
      </c>
      <c r="C3196">
        <v>2012</v>
      </c>
      <c r="D3196" t="s">
        <v>30</v>
      </c>
      <c r="E3196" s="3">
        <f>8967+1669</f>
        <v>10636</v>
      </c>
      <c r="F3196" s="3">
        <f>16786+11622</f>
        <v>28408</v>
      </c>
      <c r="G3196" s="1">
        <f t="shared" si="1446"/>
        <v>39044</v>
      </c>
      <c r="H3196" s="2">
        <f t="shared" si="1447"/>
        <v>0.2724106136666325</v>
      </c>
      <c r="I3196" s="2">
        <f t="shared" si="1448"/>
        <v>0.72758938633336745</v>
      </c>
      <c r="J3196" s="3">
        <f>2561+4034</f>
        <v>6595</v>
      </c>
      <c r="K3196" s="3">
        <f>7757+121060</f>
        <v>128817</v>
      </c>
      <c r="L3196" s="1">
        <f t="shared" si="1442"/>
        <v>135412</v>
      </c>
      <c r="M3196" s="2">
        <f t="shared" si="1443"/>
        <v>4.8703216849319116E-2</v>
      </c>
      <c r="N3196" s="2">
        <f t="shared" si="1444"/>
        <v>0.95129678315068089</v>
      </c>
      <c r="P3196" s="5">
        <f t="shared" si="1445"/>
        <v>3468.1897346583341</v>
      </c>
    </row>
    <row r="3197" spans="1:16" x14ac:dyDescent="0.35">
      <c r="A3197" t="s">
        <v>36</v>
      </c>
      <c r="B3197" t="s">
        <v>21</v>
      </c>
      <c r="C3197">
        <v>2012</v>
      </c>
      <c r="D3197" t="s">
        <v>30</v>
      </c>
      <c r="E3197" s="3">
        <f>9002+1648</f>
        <v>10650</v>
      </c>
      <c r="F3197" s="3">
        <f>16992+11546</f>
        <v>28538</v>
      </c>
      <c r="G3197" s="1">
        <f t="shared" si="1446"/>
        <v>39188</v>
      </c>
      <c r="H3197" s="2">
        <f t="shared" si="1447"/>
        <v>0.27176686740839034</v>
      </c>
      <c r="I3197" s="2">
        <f t="shared" si="1448"/>
        <v>0.72823313259160971</v>
      </c>
      <c r="J3197" s="3">
        <f>2644+4014</f>
        <v>6658</v>
      </c>
      <c r="K3197" s="3">
        <f>7777+130141</f>
        <v>137918</v>
      </c>
      <c r="L3197" s="1">
        <f t="shared" si="1442"/>
        <v>144576</v>
      </c>
      <c r="M3197" s="2">
        <f t="shared" si="1443"/>
        <v>4.6051903497122619E-2</v>
      </c>
      <c r="N3197" s="2">
        <f t="shared" si="1444"/>
        <v>0.95394809650287737</v>
      </c>
      <c r="P3197" s="5">
        <f t="shared" si="1445"/>
        <v>3689.2926406042666</v>
      </c>
    </row>
    <row r="3198" spans="1:16" x14ac:dyDescent="0.35">
      <c r="A3198" t="s">
        <v>36</v>
      </c>
      <c r="B3198" t="s">
        <v>22</v>
      </c>
      <c r="C3198">
        <v>2012</v>
      </c>
      <c r="D3198" t="s">
        <v>30</v>
      </c>
      <c r="E3198" s="3">
        <f>8834+1621</f>
        <v>10455</v>
      </c>
      <c r="F3198" s="3">
        <f>17053+11545</f>
        <v>28598</v>
      </c>
      <c r="G3198" s="1">
        <f t="shared" si="1446"/>
        <v>39053</v>
      </c>
      <c r="H3198" s="2">
        <f t="shared" si="1447"/>
        <v>0.2677131078278237</v>
      </c>
      <c r="I3198" s="2">
        <f t="shared" si="1448"/>
        <v>0.73228689217217624</v>
      </c>
      <c r="J3198" s="3">
        <f>2783+4506</f>
        <v>7289</v>
      </c>
      <c r="K3198" s="3">
        <f>8283+139921</f>
        <v>148204</v>
      </c>
      <c r="L3198" s="1">
        <f t="shared" si="1442"/>
        <v>155493</v>
      </c>
      <c r="M3198" s="2">
        <f t="shared" si="1443"/>
        <v>4.6876708276256812E-2</v>
      </c>
      <c r="N3198" s="2">
        <f t="shared" si="1444"/>
        <v>0.95312329172374322</v>
      </c>
      <c r="P3198" s="5">
        <f t="shared" si="1445"/>
        <v>3981.589122474586</v>
      </c>
    </row>
    <row r="3199" spans="1:16" x14ac:dyDescent="0.35">
      <c r="A3199" t="s">
        <v>36</v>
      </c>
      <c r="B3199" t="s">
        <v>23</v>
      </c>
      <c r="C3199">
        <v>2012</v>
      </c>
      <c r="D3199" t="s">
        <v>30</v>
      </c>
      <c r="E3199" s="3">
        <f>8668+1587</f>
        <v>10255</v>
      </c>
      <c r="F3199" s="3">
        <f>17103+11752</f>
        <v>28855</v>
      </c>
      <c r="G3199" s="1">
        <f t="shared" si="1446"/>
        <v>39110</v>
      </c>
      <c r="H3199" s="2">
        <f t="shared" si="1447"/>
        <v>0.26220915366913833</v>
      </c>
      <c r="I3199" s="2">
        <f t="shared" si="1448"/>
        <v>0.73779084633086167</v>
      </c>
      <c r="J3199" s="3">
        <f>2851+4909</f>
        <v>7760</v>
      </c>
      <c r="K3199" s="3">
        <f>9138+159022</f>
        <v>168160</v>
      </c>
      <c r="L3199" s="1">
        <f t="shared" si="1442"/>
        <v>175920</v>
      </c>
      <c r="M3199" s="2">
        <f t="shared" si="1443"/>
        <v>4.4110959527057757E-2</v>
      </c>
      <c r="N3199" s="2">
        <f t="shared" si="1444"/>
        <v>0.95588904047294221</v>
      </c>
      <c r="P3199" s="5">
        <f t="shared" si="1445"/>
        <v>4498.0823318844286</v>
      </c>
    </row>
    <row r="3200" spans="1:16" x14ac:dyDescent="0.35">
      <c r="A3200" t="s">
        <v>36</v>
      </c>
      <c r="B3200" t="s">
        <v>24</v>
      </c>
      <c r="C3200">
        <v>2012</v>
      </c>
      <c r="D3200" t="s">
        <v>30</v>
      </c>
      <c r="E3200" s="3">
        <f>8661+1595</f>
        <v>10256</v>
      </c>
      <c r="F3200" s="3">
        <f>17330+11780</f>
        <v>29110</v>
      </c>
      <c r="G3200" s="1">
        <f t="shared" si="1446"/>
        <v>39366</v>
      </c>
      <c r="H3200" s="2">
        <f t="shared" si="1447"/>
        <v>0.26052939084489152</v>
      </c>
      <c r="I3200" s="2">
        <f t="shared" si="1448"/>
        <v>0.73947060915510843</v>
      </c>
      <c r="J3200" s="3">
        <f>3443+5655</f>
        <v>9098</v>
      </c>
      <c r="K3200" s="3">
        <f>10265+167243</f>
        <v>177508</v>
      </c>
      <c r="L3200" s="1">
        <f t="shared" si="1442"/>
        <v>186606</v>
      </c>
      <c r="M3200" s="2">
        <f t="shared" si="1443"/>
        <v>4.8755131131903585E-2</v>
      </c>
      <c r="N3200" s="2">
        <f t="shared" si="1444"/>
        <v>0.95124486886809645</v>
      </c>
      <c r="P3200" s="5">
        <f t="shared" si="1445"/>
        <v>4740.2834933699132</v>
      </c>
    </row>
    <row r="3201" spans="1:16" x14ac:dyDescent="0.35">
      <c r="A3201" t="s">
        <v>36</v>
      </c>
      <c r="B3201" t="s">
        <v>25</v>
      </c>
      <c r="C3201">
        <v>2012</v>
      </c>
      <c r="D3201" t="s">
        <v>30</v>
      </c>
      <c r="E3201" s="3">
        <f>8598+1607</f>
        <v>10205</v>
      </c>
      <c r="F3201" s="3">
        <f>17297+11846</f>
        <v>29143</v>
      </c>
      <c r="G3201" s="1">
        <f t="shared" si="1446"/>
        <v>39348</v>
      </c>
      <c r="H3201" s="2">
        <f t="shared" si="1447"/>
        <v>0.25935244485107251</v>
      </c>
      <c r="I3201" s="2">
        <f t="shared" si="1448"/>
        <v>0.74064755514892755</v>
      </c>
      <c r="J3201" s="3">
        <f>3549+6109</f>
        <v>9658</v>
      </c>
      <c r="K3201" s="3">
        <f>10332+172574</f>
        <v>182906</v>
      </c>
      <c r="L3201" s="1">
        <f t="shared" si="1442"/>
        <v>192564</v>
      </c>
      <c r="M3201" s="2">
        <f t="shared" si="1443"/>
        <v>5.0154753744209718E-2</v>
      </c>
      <c r="N3201" s="2">
        <f t="shared" si="1444"/>
        <v>0.94984524625579025</v>
      </c>
      <c r="P3201" s="5">
        <f t="shared" si="1445"/>
        <v>4893.8700823421777</v>
      </c>
    </row>
    <row r="3202" spans="1:16" x14ac:dyDescent="0.35">
      <c r="A3202" t="s">
        <v>36</v>
      </c>
      <c r="B3202" t="s">
        <v>26</v>
      </c>
      <c r="C3202">
        <v>2012</v>
      </c>
      <c r="D3202" t="s">
        <v>30</v>
      </c>
      <c r="E3202" s="3">
        <f>8497+1586</f>
        <v>10083</v>
      </c>
      <c r="F3202" s="3">
        <f>17327+11848</f>
        <v>29175</v>
      </c>
      <c r="G3202" s="1">
        <f t="shared" si="1446"/>
        <v>39258</v>
      </c>
      <c r="H3202" s="2">
        <f t="shared" si="1447"/>
        <v>0.25683937031942533</v>
      </c>
      <c r="I3202" s="2">
        <f t="shared" si="1448"/>
        <v>0.74316062968057461</v>
      </c>
      <c r="J3202" s="3">
        <f>3132+5475</f>
        <v>8607</v>
      </c>
      <c r="K3202" s="3">
        <f>10004+168094</f>
        <v>178098</v>
      </c>
      <c r="L3202" s="1">
        <f t="shared" si="1442"/>
        <v>186705</v>
      </c>
      <c r="M3202" s="2">
        <f t="shared" si="1443"/>
        <v>4.6099461717682977E-2</v>
      </c>
      <c r="N3202" s="2">
        <f t="shared" si="1444"/>
        <v>0.95390053828231702</v>
      </c>
      <c r="P3202" s="5">
        <f t="shared" si="1445"/>
        <v>4755.8459422283358</v>
      </c>
    </row>
    <row r="3203" spans="1:16" x14ac:dyDescent="0.35">
      <c r="A3203" t="s">
        <v>36</v>
      </c>
      <c r="B3203" t="s">
        <v>27</v>
      </c>
      <c r="C3203">
        <v>2012</v>
      </c>
      <c r="D3203" t="s">
        <v>30</v>
      </c>
      <c r="E3203" s="3">
        <f>8487+1561</f>
        <v>10048</v>
      </c>
      <c r="F3203" s="3">
        <f>17345+11885</f>
        <v>29230</v>
      </c>
      <c r="G3203" s="1">
        <f t="shared" si="1446"/>
        <v>39278</v>
      </c>
      <c r="H3203" s="2">
        <f t="shared" si="1447"/>
        <v>0.25581750598299302</v>
      </c>
      <c r="I3203" s="2">
        <f t="shared" si="1448"/>
        <v>0.74418249401700698</v>
      </c>
      <c r="J3203" s="3">
        <f>2403+3845</f>
        <v>6248</v>
      </c>
      <c r="K3203" s="3">
        <f>8488+143148</f>
        <v>151636</v>
      </c>
      <c r="L3203" s="1">
        <f t="shared" ref="L3203:L3266" si="1449">SUM(J3203:K3203)</f>
        <v>157884</v>
      </c>
      <c r="M3203" s="2">
        <f t="shared" ref="M3203:M3266" si="1450">SUM(J3203)/L3203</f>
        <v>3.9573357654987207E-2</v>
      </c>
      <c r="N3203" s="2">
        <f t="shared" ref="N3203:N3266" si="1451">SUM(K3203/L3203)</f>
        <v>0.96042664234501285</v>
      </c>
      <c r="P3203" s="5">
        <f t="shared" si="1445"/>
        <v>4019.6547685727378</v>
      </c>
    </row>
    <row r="3204" spans="1:16" x14ac:dyDescent="0.35">
      <c r="A3204" t="s">
        <v>36</v>
      </c>
      <c r="B3204" t="s">
        <v>28</v>
      </c>
      <c r="C3204">
        <v>2012</v>
      </c>
      <c r="D3204" t="s">
        <v>30</v>
      </c>
      <c r="E3204" s="3">
        <f>8366+1535</f>
        <v>9901</v>
      </c>
      <c r="F3204" s="3">
        <f>17491+11913</f>
        <v>29404</v>
      </c>
      <c r="G3204" s="1">
        <f t="shared" si="1446"/>
        <v>39305</v>
      </c>
      <c r="H3204" s="2">
        <f t="shared" si="1447"/>
        <v>0.25190179366492815</v>
      </c>
      <c r="I3204" s="2">
        <f t="shared" si="1448"/>
        <v>0.74809820633507185</v>
      </c>
      <c r="J3204" s="3">
        <f>2204+3367</f>
        <v>5571</v>
      </c>
      <c r="K3204" s="3">
        <f>7764+132976</f>
        <v>140740</v>
      </c>
      <c r="L3204" s="1">
        <f t="shared" si="1449"/>
        <v>146311</v>
      </c>
      <c r="M3204" s="2">
        <f t="shared" si="1450"/>
        <v>3.8076426242729527E-2</v>
      </c>
      <c r="N3204" s="2">
        <f t="shared" si="1451"/>
        <v>0.96192357375727044</v>
      </c>
      <c r="P3204" s="5">
        <f t="shared" ref="P3204:P3265" si="1452">SUM(1000*L3204)/G3204</f>
        <v>3722.4526141712249</v>
      </c>
    </row>
    <row r="3205" spans="1:16" x14ac:dyDescent="0.35">
      <c r="A3205" t="s">
        <v>36</v>
      </c>
      <c r="B3205" t="s">
        <v>29</v>
      </c>
      <c r="C3205">
        <v>2012</v>
      </c>
      <c r="D3205" t="s">
        <v>30</v>
      </c>
      <c r="E3205" s="3">
        <f>8288+1514</f>
        <v>9802</v>
      </c>
      <c r="F3205" s="3">
        <f>17461+11957</f>
        <v>29418</v>
      </c>
      <c r="G3205" s="1">
        <f t="shared" si="1446"/>
        <v>39220</v>
      </c>
      <c r="H3205" s="2">
        <f t="shared" si="1447"/>
        <v>0.24992350841407446</v>
      </c>
      <c r="I3205" s="2">
        <f t="shared" si="1448"/>
        <v>0.7500764915859256</v>
      </c>
      <c r="J3205" s="3">
        <f>2437+3596</f>
        <v>6033</v>
      </c>
      <c r="K3205" s="3">
        <f>8619+138725</f>
        <v>147344</v>
      </c>
      <c r="L3205" s="1">
        <f t="shared" si="1449"/>
        <v>153377</v>
      </c>
      <c r="M3205" s="2">
        <f t="shared" si="1450"/>
        <v>3.9334450406514669E-2</v>
      </c>
      <c r="N3205" s="2">
        <f t="shared" si="1451"/>
        <v>0.96066554959348538</v>
      </c>
      <c r="P3205" s="5">
        <f t="shared" si="1452"/>
        <v>3910.6833248342682</v>
      </c>
    </row>
    <row r="3206" spans="1:16" x14ac:dyDescent="0.35">
      <c r="A3206" t="s">
        <v>36</v>
      </c>
      <c r="B3206" t="s">
        <v>17</v>
      </c>
      <c r="C3206">
        <v>2013</v>
      </c>
      <c r="D3206" t="s">
        <v>30</v>
      </c>
      <c r="E3206" s="3">
        <f>8153+1491</f>
        <v>9644</v>
      </c>
      <c r="F3206" s="3">
        <f>17402+11931</f>
        <v>29333</v>
      </c>
      <c r="G3206" s="1">
        <f t="shared" si="1446"/>
        <v>38977</v>
      </c>
      <c r="H3206" s="2">
        <f t="shared" si="1447"/>
        <v>0.24742797034148345</v>
      </c>
      <c r="I3206" s="2">
        <f t="shared" si="1448"/>
        <v>0.75257202965851655</v>
      </c>
      <c r="J3206" s="3">
        <f>2964+4090</f>
        <v>7054</v>
      </c>
      <c r="K3206" s="3">
        <f>9893+138259</f>
        <v>148152</v>
      </c>
      <c r="L3206" s="1">
        <f t="shared" si="1449"/>
        <v>155206</v>
      </c>
      <c r="M3206" s="2">
        <f t="shared" si="1450"/>
        <v>4.5449273868278288E-2</v>
      </c>
      <c r="N3206" s="2">
        <f t="shared" si="1451"/>
        <v>0.95455072613172176</v>
      </c>
      <c r="P3206" s="5">
        <f t="shared" si="1452"/>
        <v>3981.9893783513353</v>
      </c>
    </row>
    <row r="3207" spans="1:16" x14ac:dyDescent="0.35">
      <c r="A3207" t="s">
        <v>36</v>
      </c>
      <c r="B3207" t="s">
        <v>19</v>
      </c>
      <c r="C3207">
        <v>2013</v>
      </c>
      <c r="D3207" t="s">
        <v>30</v>
      </c>
      <c r="E3207" s="3">
        <f>8038+1491</f>
        <v>9529</v>
      </c>
      <c r="F3207" s="3">
        <f>17799+12196</f>
        <v>29995</v>
      </c>
      <c r="G3207" s="1">
        <f t="shared" si="1446"/>
        <v>39524</v>
      </c>
      <c r="H3207" s="2">
        <f t="shared" si="1447"/>
        <v>0.24109401882400566</v>
      </c>
      <c r="I3207" s="2">
        <f t="shared" si="1448"/>
        <v>0.75890598117599428</v>
      </c>
      <c r="J3207" s="3">
        <f>2331+3422</f>
        <v>5753</v>
      </c>
      <c r="K3207" s="3">
        <f>8464+126821</f>
        <v>135285</v>
      </c>
      <c r="L3207" s="1">
        <f t="shared" si="1449"/>
        <v>141038</v>
      </c>
      <c r="M3207" s="2">
        <f t="shared" si="1450"/>
        <v>4.0790425275457676E-2</v>
      </c>
      <c r="N3207" s="2">
        <f t="shared" si="1451"/>
        <v>0.95920957472454227</v>
      </c>
      <c r="P3207" s="5">
        <f t="shared" si="1452"/>
        <v>3568.4141281246839</v>
      </c>
    </row>
    <row r="3208" spans="1:16" x14ac:dyDescent="0.35">
      <c r="A3208" t="s">
        <v>36</v>
      </c>
      <c r="B3208" t="s">
        <v>20</v>
      </c>
      <c r="C3208">
        <v>2013</v>
      </c>
      <c r="D3208" t="s">
        <v>30</v>
      </c>
      <c r="E3208" s="3">
        <f>7876+1462</f>
        <v>9338</v>
      </c>
      <c r="F3208" s="3">
        <f>17782+12145</f>
        <v>29927</v>
      </c>
      <c r="G3208" s="1">
        <f t="shared" si="1446"/>
        <v>39265</v>
      </c>
      <c r="H3208" s="2">
        <f t="shared" si="1447"/>
        <v>0.23781994142365975</v>
      </c>
      <c r="I3208" s="2">
        <f t="shared" si="1448"/>
        <v>0.7621800585763403</v>
      </c>
      <c r="J3208" s="3">
        <f>2235+3180</f>
        <v>5415</v>
      </c>
      <c r="K3208" s="3">
        <f>8100+123818</f>
        <v>131918</v>
      </c>
      <c r="L3208" s="1">
        <f t="shared" si="1449"/>
        <v>137333</v>
      </c>
      <c r="M3208" s="2">
        <f t="shared" si="1450"/>
        <v>3.9429707353658625E-2</v>
      </c>
      <c r="N3208" s="2">
        <f t="shared" si="1451"/>
        <v>0.96057029264634142</v>
      </c>
      <c r="P3208" s="5">
        <f t="shared" si="1452"/>
        <v>3497.5932764548579</v>
      </c>
    </row>
    <row r="3209" spans="1:16" x14ac:dyDescent="0.35">
      <c r="A3209" t="s">
        <v>36</v>
      </c>
      <c r="B3209" t="s">
        <v>21</v>
      </c>
      <c r="C3209">
        <v>2013</v>
      </c>
      <c r="D3209" t="s">
        <v>30</v>
      </c>
      <c r="E3209" s="3">
        <f>7778+1434</f>
        <v>9212</v>
      </c>
      <c r="F3209" s="3">
        <f>17847+12125</f>
        <v>29972</v>
      </c>
      <c r="G3209" s="1">
        <f t="shared" si="1446"/>
        <v>39184</v>
      </c>
      <c r="H3209" s="2">
        <f t="shared" si="1447"/>
        <v>0.23509595753368723</v>
      </c>
      <c r="I3209" s="2">
        <f t="shared" si="1448"/>
        <v>0.76490404246631283</v>
      </c>
      <c r="J3209" s="3">
        <f>2184+3087</f>
        <v>5271</v>
      </c>
      <c r="K3209" s="3">
        <f>8246+129152</f>
        <v>137398</v>
      </c>
      <c r="L3209" s="1">
        <f t="shared" si="1449"/>
        <v>142669</v>
      </c>
      <c r="M3209" s="2">
        <f t="shared" si="1450"/>
        <v>3.6945657430836415E-2</v>
      </c>
      <c r="N3209" s="2">
        <f t="shared" si="1451"/>
        <v>0.96305434256916356</v>
      </c>
      <c r="P3209" s="5">
        <f t="shared" si="1452"/>
        <v>3641.0014291547573</v>
      </c>
    </row>
    <row r="3210" spans="1:16" x14ac:dyDescent="0.35">
      <c r="A3210" t="s">
        <v>36</v>
      </c>
      <c r="B3210" t="s">
        <v>22</v>
      </c>
      <c r="C3210">
        <v>2013</v>
      </c>
      <c r="D3210" t="s">
        <v>30</v>
      </c>
      <c r="E3210" s="3">
        <f>7716+1412</f>
        <v>9128</v>
      </c>
      <c r="F3210" s="3">
        <f>17735+11742</f>
        <v>29477</v>
      </c>
      <c r="G3210" s="1">
        <f t="shared" si="1446"/>
        <v>38605</v>
      </c>
      <c r="H3210" s="2">
        <f t="shared" si="1447"/>
        <v>0.23644605621033546</v>
      </c>
      <c r="I3210" s="2">
        <f t="shared" si="1448"/>
        <v>0.76355394378966457</v>
      </c>
      <c r="J3210" s="3">
        <f>2149+3283</f>
        <v>5432</v>
      </c>
      <c r="K3210" s="3">
        <f>8028+128611</f>
        <v>136639</v>
      </c>
      <c r="L3210" s="1">
        <f t="shared" si="1449"/>
        <v>142071</v>
      </c>
      <c r="M3210" s="2">
        <f t="shared" si="1450"/>
        <v>3.8234403924798162E-2</v>
      </c>
      <c r="N3210" s="2">
        <f t="shared" si="1451"/>
        <v>0.96176559607520185</v>
      </c>
      <c r="P3210" s="5">
        <f t="shared" si="1452"/>
        <v>3680.1191555497994</v>
      </c>
    </row>
    <row r="3211" spans="1:16" x14ac:dyDescent="0.35">
      <c r="A3211" t="s">
        <v>36</v>
      </c>
      <c r="B3211" t="s">
        <v>23</v>
      </c>
      <c r="C3211">
        <v>2013</v>
      </c>
      <c r="D3211" t="s">
        <v>30</v>
      </c>
      <c r="E3211" s="3">
        <f>7637+1406</f>
        <v>9043</v>
      </c>
      <c r="F3211" s="3">
        <f>18478+12673</f>
        <v>31151</v>
      </c>
      <c r="G3211" s="1">
        <f t="shared" si="1446"/>
        <v>40194</v>
      </c>
      <c r="H3211" s="2">
        <f t="shared" si="1447"/>
        <v>0.22498382843210429</v>
      </c>
      <c r="I3211" s="2">
        <f t="shared" si="1448"/>
        <v>0.77501617156789571</v>
      </c>
      <c r="J3211" s="3">
        <f>2431+3882</f>
        <v>6313</v>
      </c>
      <c r="K3211" s="3">
        <f>9706+157581</f>
        <v>167287</v>
      </c>
      <c r="L3211" s="1">
        <f t="shared" si="1449"/>
        <v>173600</v>
      </c>
      <c r="M3211" s="2">
        <f t="shared" si="1450"/>
        <v>3.6365207373271889E-2</v>
      </c>
      <c r="N3211" s="2">
        <f t="shared" si="1451"/>
        <v>0.96363479262672813</v>
      </c>
      <c r="P3211" s="5">
        <f t="shared" si="1452"/>
        <v>4319.052594914664</v>
      </c>
    </row>
    <row r="3212" spans="1:16" x14ac:dyDescent="0.35">
      <c r="A3212" t="s">
        <v>36</v>
      </c>
      <c r="B3212" t="s">
        <v>24</v>
      </c>
      <c r="C3212">
        <v>2013</v>
      </c>
      <c r="D3212" t="s">
        <v>30</v>
      </c>
      <c r="E3212" s="3">
        <f>7527+1371</f>
        <v>8898</v>
      </c>
      <c r="F3212" s="3">
        <f>18331+12382</f>
        <v>30713</v>
      </c>
      <c r="G3212" s="1">
        <f t="shared" si="1446"/>
        <v>39611</v>
      </c>
      <c r="H3212" s="2">
        <f t="shared" si="1447"/>
        <v>0.22463457120496833</v>
      </c>
      <c r="I3212" s="2">
        <f t="shared" si="1448"/>
        <v>0.77536542879503167</v>
      </c>
      <c r="J3212" s="3">
        <f>2594+4060</f>
        <v>6654</v>
      </c>
      <c r="K3212" s="3">
        <f>10339+166418</f>
        <v>176757</v>
      </c>
      <c r="L3212" s="1">
        <f t="shared" si="1449"/>
        <v>183411</v>
      </c>
      <c r="M3212" s="2">
        <f t="shared" si="1450"/>
        <v>3.6279176276232068E-2</v>
      </c>
      <c r="N3212" s="2">
        <f t="shared" si="1451"/>
        <v>0.96372082372376788</v>
      </c>
      <c r="P3212" s="5">
        <f t="shared" si="1452"/>
        <v>4630.3047133372047</v>
      </c>
    </row>
    <row r="3213" spans="1:16" x14ac:dyDescent="0.35">
      <c r="A3213" t="s">
        <v>36</v>
      </c>
      <c r="B3213" t="s">
        <v>25</v>
      </c>
      <c r="C3213">
        <v>2013</v>
      </c>
      <c r="D3213" t="s">
        <v>30</v>
      </c>
      <c r="E3213" s="3">
        <f>7502+1346</f>
        <v>8848</v>
      </c>
      <c r="F3213" s="3">
        <f>18512+12363</f>
        <v>30875</v>
      </c>
      <c r="G3213" s="1">
        <f t="shared" si="1446"/>
        <v>39723</v>
      </c>
      <c r="H3213" s="2">
        <f t="shared" si="1447"/>
        <v>0.2227424917554062</v>
      </c>
      <c r="I3213" s="2">
        <f t="shared" si="1448"/>
        <v>0.77725750824459383</v>
      </c>
      <c r="J3213" s="3">
        <f>2760+4367</f>
        <v>7127</v>
      </c>
      <c r="K3213" s="3">
        <f>10554+168405</f>
        <v>178959</v>
      </c>
      <c r="L3213" s="1">
        <f t="shared" si="1449"/>
        <v>186086</v>
      </c>
      <c r="M3213" s="2">
        <f t="shared" si="1450"/>
        <v>3.8299495931988434E-2</v>
      </c>
      <c r="N3213" s="2">
        <f t="shared" si="1451"/>
        <v>0.96170050406801155</v>
      </c>
      <c r="P3213" s="5">
        <f t="shared" si="1452"/>
        <v>4684.5907912292623</v>
      </c>
    </row>
    <row r="3214" spans="1:16" x14ac:dyDescent="0.35">
      <c r="A3214" t="s">
        <v>36</v>
      </c>
      <c r="B3214" t="s">
        <v>26</v>
      </c>
      <c r="C3214">
        <v>2013</v>
      </c>
      <c r="D3214" t="s">
        <v>30</v>
      </c>
      <c r="E3214" s="3">
        <f>7489+1293</f>
        <v>8782</v>
      </c>
      <c r="F3214" s="3">
        <f>18631+12242</f>
        <v>30873</v>
      </c>
      <c r="G3214" s="1">
        <f t="shared" si="1446"/>
        <v>39655</v>
      </c>
      <c r="H3214" s="2">
        <f t="shared" si="1447"/>
        <v>0.2214600933047535</v>
      </c>
      <c r="I3214" s="2">
        <f t="shared" si="1448"/>
        <v>0.77853990669524653</v>
      </c>
      <c r="J3214" s="3">
        <f>2779+4385</f>
        <v>7164</v>
      </c>
      <c r="K3214" s="3">
        <f>11060+178095</f>
        <v>189155</v>
      </c>
      <c r="L3214" s="1">
        <f t="shared" si="1449"/>
        <v>196319</v>
      </c>
      <c r="M3214" s="2">
        <f t="shared" si="1450"/>
        <v>3.6491628421090168E-2</v>
      </c>
      <c r="N3214" s="2">
        <f t="shared" si="1451"/>
        <v>0.96350837157890978</v>
      </c>
      <c r="P3214" s="5">
        <f t="shared" si="1452"/>
        <v>4950.6745681502962</v>
      </c>
    </row>
    <row r="3215" spans="1:16" x14ac:dyDescent="0.35">
      <c r="A3215" t="s">
        <v>36</v>
      </c>
      <c r="B3215" t="s">
        <v>27</v>
      </c>
      <c r="C3215">
        <v>2013</v>
      </c>
      <c r="D3215" t="s">
        <v>30</v>
      </c>
      <c r="E3215" s="3">
        <f>7421+1276</f>
        <v>8697</v>
      </c>
      <c r="F3215" s="3">
        <f>18694+12218</f>
        <v>30912</v>
      </c>
      <c r="G3215" s="1">
        <f t="shared" si="1446"/>
        <v>39609</v>
      </c>
      <c r="H3215" s="2">
        <f t="shared" si="1447"/>
        <v>0.21957130955085966</v>
      </c>
      <c r="I3215" s="2">
        <f t="shared" si="1448"/>
        <v>0.78042869044914032</v>
      </c>
      <c r="J3215" s="3">
        <f>2099+3158</f>
        <v>5257</v>
      </c>
      <c r="K3215" s="3">
        <f>9395+151938</f>
        <v>161333</v>
      </c>
      <c r="L3215" s="1">
        <f t="shared" si="1449"/>
        <v>166590</v>
      </c>
      <c r="M3215" s="2">
        <f t="shared" si="1450"/>
        <v>3.1556515997358786E-2</v>
      </c>
      <c r="N3215" s="2">
        <f t="shared" si="1451"/>
        <v>0.96844348400264124</v>
      </c>
      <c r="P3215" s="5">
        <f t="shared" si="1452"/>
        <v>4205.8623040218135</v>
      </c>
    </row>
    <row r="3216" spans="1:16" x14ac:dyDescent="0.35">
      <c r="A3216" t="s">
        <v>36</v>
      </c>
      <c r="B3216" t="s">
        <v>28</v>
      </c>
      <c r="C3216">
        <v>2013</v>
      </c>
      <c r="D3216" t="s">
        <v>30</v>
      </c>
      <c r="E3216" s="3">
        <f>7348+1260</f>
        <v>8608</v>
      </c>
      <c r="F3216" s="3">
        <f>18856+12227</f>
        <v>31083</v>
      </c>
      <c r="G3216" s="1">
        <f t="shared" si="1446"/>
        <v>39691</v>
      </c>
      <c r="H3216" s="2">
        <f t="shared" si="1447"/>
        <v>0.21687536217278477</v>
      </c>
      <c r="I3216" s="2">
        <f t="shared" si="1448"/>
        <v>0.7831246378272152</v>
      </c>
      <c r="J3216" s="3">
        <f>1855+2673</f>
        <v>4528</v>
      </c>
      <c r="K3216" s="3">
        <f>8253+132120</f>
        <v>140373</v>
      </c>
      <c r="L3216" s="1">
        <f t="shared" si="1449"/>
        <v>144901</v>
      </c>
      <c r="M3216" s="2">
        <f t="shared" si="1450"/>
        <v>3.1248921677559161E-2</v>
      </c>
      <c r="N3216" s="2">
        <f t="shared" si="1451"/>
        <v>0.96875107832244078</v>
      </c>
      <c r="P3216" s="5">
        <f t="shared" si="1452"/>
        <v>3650.7268650323749</v>
      </c>
    </row>
    <row r="3217" spans="1:16" x14ac:dyDescent="0.35">
      <c r="A3217" t="s">
        <v>36</v>
      </c>
      <c r="B3217" t="s">
        <v>29</v>
      </c>
      <c r="C3217">
        <v>2013</v>
      </c>
      <c r="D3217" t="s">
        <v>30</v>
      </c>
      <c r="E3217" s="3">
        <f>7246+1241</f>
        <v>8487</v>
      </c>
      <c r="F3217" s="3">
        <f>18694+12220</f>
        <v>30914</v>
      </c>
      <c r="G3217" s="1">
        <f t="shared" si="1446"/>
        <v>39401</v>
      </c>
      <c r="H3217" s="2">
        <f t="shared" si="1447"/>
        <v>0.21540062434963581</v>
      </c>
      <c r="I3217" s="2">
        <f t="shared" si="1448"/>
        <v>0.78459937565036419</v>
      </c>
      <c r="J3217" s="3">
        <f>2335+3267</f>
        <v>5602</v>
      </c>
      <c r="K3217" s="3">
        <f>10300+149140</f>
        <v>159440</v>
      </c>
      <c r="L3217" s="1">
        <f t="shared" si="1449"/>
        <v>165042</v>
      </c>
      <c r="M3217" s="2">
        <f t="shared" si="1450"/>
        <v>3.3942875146932297E-2</v>
      </c>
      <c r="N3217" s="2">
        <f t="shared" si="1451"/>
        <v>0.96605712485306772</v>
      </c>
      <c r="P3217" s="5">
        <f t="shared" si="1452"/>
        <v>4188.7769345955685</v>
      </c>
    </row>
    <row r="3218" spans="1:16" x14ac:dyDescent="0.35">
      <c r="A3218" t="s">
        <v>36</v>
      </c>
      <c r="B3218" t="s">
        <v>17</v>
      </c>
      <c r="C3218">
        <v>2014</v>
      </c>
      <c r="D3218" t="s">
        <v>30</v>
      </c>
      <c r="E3218" s="3">
        <f>6722+1152</f>
        <v>7874</v>
      </c>
      <c r="F3218" s="3">
        <f>17714+11383</f>
        <v>29097</v>
      </c>
      <c r="G3218" s="1">
        <f t="shared" si="1446"/>
        <v>36971</v>
      </c>
      <c r="H3218" s="2">
        <f t="shared" si="1447"/>
        <v>0.21297773930918829</v>
      </c>
      <c r="I3218" s="2">
        <f t="shared" si="1448"/>
        <v>0.78702226069081171</v>
      </c>
      <c r="J3218" s="3">
        <f>2334+3315</f>
        <v>5649</v>
      </c>
      <c r="K3218" s="3">
        <f>9898+143163</f>
        <v>153061</v>
      </c>
      <c r="L3218" s="1">
        <f t="shared" si="1449"/>
        <v>158710</v>
      </c>
      <c r="M3218" s="2">
        <f t="shared" si="1450"/>
        <v>3.5593220338983052E-2</v>
      </c>
      <c r="N3218" s="2">
        <f t="shared" si="1451"/>
        <v>0.96440677966101696</v>
      </c>
      <c r="P3218" s="5">
        <f t="shared" si="1452"/>
        <v>4292.824105379892</v>
      </c>
    </row>
    <row r="3219" spans="1:16" x14ac:dyDescent="0.35">
      <c r="A3219" t="s">
        <v>36</v>
      </c>
      <c r="B3219" t="s">
        <v>19</v>
      </c>
      <c r="C3219">
        <v>2014</v>
      </c>
      <c r="D3219" t="s">
        <v>30</v>
      </c>
      <c r="E3219" s="3">
        <f>7017+1217</f>
        <v>8234</v>
      </c>
      <c r="F3219" s="3">
        <f>18766+12408</f>
        <v>31174</v>
      </c>
      <c r="G3219" s="1">
        <f t="shared" si="1446"/>
        <v>39408</v>
      </c>
      <c r="H3219" s="2">
        <f t="shared" si="1447"/>
        <v>0.20894234673162809</v>
      </c>
      <c r="I3219" s="2">
        <f t="shared" si="1448"/>
        <v>0.79105765326837185</v>
      </c>
      <c r="J3219" s="3">
        <f>2190+3204</f>
        <v>5394</v>
      </c>
      <c r="K3219" s="3">
        <f>10200+145728</f>
        <v>155928</v>
      </c>
      <c r="L3219" s="1">
        <f t="shared" si="1449"/>
        <v>161322</v>
      </c>
      <c r="M3219" s="2">
        <f t="shared" si="1450"/>
        <v>3.3436233123814482E-2</v>
      </c>
      <c r="N3219" s="2">
        <f t="shared" si="1451"/>
        <v>0.9665637668761855</v>
      </c>
      <c r="P3219" s="5">
        <f t="shared" si="1452"/>
        <v>4093.6358099878198</v>
      </c>
    </row>
    <row r="3220" spans="1:16" x14ac:dyDescent="0.35">
      <c r="A3220" t="s">
        <v>36</v>
      </c>
      <c r="B3220" t="s">
        <v>20</v>
      </c>
      <c r="C3220">
        <v>2014</v>
      </c>
      <c r="D3220" t="s">
        <v>30</v>
      </c>
      <c r="E3220" s="3">
        <f>6637+1219</f>
        <v>7856</v>
      </c>
      <c r="F3220" s="3">
        <f>17783+12390</f>
        <v>30173</v>
      </c>
      <c r="G3220" s="1">
        <f t="shared" si="1446"/>
        <v>38029</v>
      </c>
      <c r="H3220" s="2">
        <f t="shared" si="1447"/>
        <v>0.20657918956585763</v>
      </c>
      <c r="I3220" s="2">
        <f t="shared" si="1448"/>
        <v>0.79342081043414237</v>
      </c>
      <c r="J3220" s="3">
        <f>1878+2962</f>
        <v>4840</v>
      </c>
      <c r="K3220" s="3">
        <f>8664+131709</f>
        <v>140373</v>
      </c>
      <c r="L3220" s="1">
        <f t="shared" si="1449"/>
        <v>145213</v>
      </c>
      <c r="M3220" s="2">
        <f t="shared" si="1450"/>
        <v>3.333034921115878E-2</v>
      </c>
      <c r="N3220" s="2">
        <f t="shared" si="1451"/>
        <v>0.96666965078884126</v>
      </c>
      <c r="P3220" s="5">
        <f t="shared" si="1452"/>
        <v>3818.480633200978</v>
      </c>
    </row>
    <row r="3221" spans="1:16" x14ac:dyDescent="0.35">
      <c r="A3221" t="s">
        <v>36</v>
      </c>
      <c r="B3221" t="s">
        <v>21</v>
      </c>
      <c r="C3221">
        <v>2014</v>
      </c>
      <c r="D3221" t="s">
        <v>30</v>
      </c>
      <c r="E3221" s="3">
        <f>6958+1224</f>
        <v>8182</v>
      </c>
      <c r="F3221" s="3">
        <f>18830+12480</f>
        <v>31310</v>
      </c>
      <c r="G3221" s="1">
        <f t="shared" si="1446"/>
        <v>39492</v>
      </c>
      <c r="H3221" s="2">
        <f t="shared" si="1447"/>
        <v>0.20718120125595058</v>
      </c>
      <c r="I3221" s="2">
        <f t="shared" si="1448"/>
        <v>0.79281879874404948</v>
      </c>
      <c r="J3221" s="3">
        <f>1939+2847</f>
        <v>4786</v>
      </c>
      <c r="K3221" s="3">
        <f>8607+130928</f>
        <v>139535</v>
      </c>
      <c r="L3221" s="1">
        <f t="shared" si="1449"/>
        <v>144321</v>
      </c>
      <c r="M3221" s="2">
        <f t="shared" si="1450"/>
        <v>3.31621870691029E-2</v>
      </c>
      <c r="N3221" s="2">
        <f t="shared" si="1451"/>
        <v>0.9668378129308971</v>
      </c>
      <c r="P3221" s="5">
        <f t="shared" si="1452"/>
        <v>3654.4363415375265</v>
      </c>
    </row>
    <row r="3222" spans="1:16" x14ac:dyDescent="0.35">
      <c r="A3222" t="s">
        <v>36</v>
      </c>
      <c r="B3222" t="s">
        <v>22</v>
      </c>
      <c r="C3222">
        <v>2014</v>
      </c>
      <c r="D3222" t="s">
        <v>30</v>
      </c>
      <c r="E3222" s="3">
        <f>6933+1210</f>
        <v>8143</v>
      </c>
      <c r="F3222" s="3">
        <f>18974+12526</f>
        <v>31500</v>
      </c>
      <c r="G3222" s="1">
        <f t="shared" si="1446"/>
        <v>39643</v>
      </c>
      <c r="H3222" s="2">
        <f t="shared" si="1447"/>
        <v>0.20540826879903135</v>
      </c>
      <c r="I3222" s="2">
        <f t="shared" si="1448"/>
        <v>0.7945917312009686</v>
      </c>
      <c r="J3222" s="3">
        <f>1967+3027</f>
        <v>4994</v>
      </c>
      <c r="K3222" s="3">
        <f>9083+148584</f>
        <v>157667</v>
      </c>
      <c r="L3222" s="1">
        <f t="shared" si="1449"/>
        <v>162661</v>
      </c>
      <c r="M3222" s="2">
        <f t="shared" si="1450"/>
        <v>3.0701889205156738E-2</v>
      </c>
      <c r="N3222" s="2">
        <f t="shared" si="1451"/>
        <v>0.96929811079484329</v>
      </c>
      <c r="P3222" s="5">
        <f t="shared" si="1452"/>
        <v>4103.145574250183</v>
      </c>
    </row>
    <row r="3223" spans="1:16" x14ac:dyDescent="0.35">
      <c r="A3223" t="s">
        <v>36</v>
      </c>
      <c r="B3223" t="s">
        <v>23</v>
      </c>
      <c r="C3223">
        <v>2014</v>
      </c>
      <c r="D3223" t="s">
        <v>30</v>
      </c>
      <c r="E3223" s="3">
        <f>6931+1211</f>
        <v>8142</v>
      </c>
      <c r="F3223" s="3">
        <f>18894+12553</f>
        <v>31447</v>
      </c>
      <c r="G3223" s="1">
        <f t="shared" si="1446"/>
        <v>39589</v>
      </c>
      <c r="H3223" s="2">
        <f t="shared" si="1447"/>
        <v>0.20566318926974664</v>
      </c>
      <c r="I3223" s="2">
        <f t="shared" si="1448"/>
        <v>0.79433681073025331</v>
      </c>
      <c r="J3223" s="3">
        <f>2088+3132</f>
        <v>5220</v>
      </c>
      <c r="K3223" s="3">
        <f>9777+159261</f>
        <v>169038</v>
      </c>
      <c r="L3223" s="1">
        <f t="shared" si="1449"/>
        <v>174258</v>
      </c>
      <c r="M3223" s="2">
        <f t="shared" si="1450"/>
        <v>2.9955583100919326E-2</v>
      </c>
      <c r="N3223" s="2">
        <f t="shared" si="1451"/>
        <v>0.97004441689908072</v>
      </c>
      <c r="P3223" s="5">
        <f t="shared" si="1452"/>
        <v>4401.6772335749829</v>
      </c>
    </row>
    <row r="3224" spans="1:16" x14ac:dyDescent="0.35">
      <c r="A3224" t="s">
        <v>36</v>
      </c>
      <c r="B3224" t="s">
        <v>24</v>
      </c>
      <c r="C3224">
        <v>2014</v>
      </c>
      <c r="D3224" t="s">
        <v>30</v>
      </c>
      <c r="E3224" s="3">
        <f>6881+1196</f>
        <v>8077</v>
      </c>
      <c r="F3224" s="3">
        <f>19262+12790</f>
        <v>32052</v>
      </c>
      <c r="G3224" s="1">
        <f t="shared" si="1446"/>
        <v>40129</v>
      </c>
      <c r="H3224" s="2">
        <f t="shared" si="1447"/>
        <v>0.20127588527000423</v>
      </c>
      <c r="I3224" s="2">
        <f t="shared" si="1448"/>
        <v>0.79872411472999572</v>
      </c>
      <c r="J3224" s="3">
        <f>2169+3313</f>
        <v>5482</v>
      </c>
      <c r="K3224" s="3">
        <f>10867+173323</f>
        <v>184190</v>
      </c>
      <c r="L3224" s="1">
        <f t="shared" si="1449"/>
        <v>189672</v>
      </c>
      <c r="M3224" s="2">
        <f t="shared" si="1450"/>
        <v>2.8902526466742587E-2</v>
      </c>
      <c r="N3224" s="2">
        <f t="shared" si="1451"/>
        <v>0.97109747353325737</v>
      </c>
      <c r="P3224" s="5">
        <f t="shared" si="1452"/>
        <v>4726.5568541453813</v>
      </c>
    </row>
    <row r="3225" spans="1:16" x14ac:dyDescent="0.35">
      <c r="A3225" t="s">
        <v>36</v>
      </c>
      <c r="B3225" t="s">
        <v>25</v>
      </c>
      <c r="C3225">
        <v>2014</v>
      </c>
      <c r="D3225" t="s">
        <v>30</v>
      </c>
      <c r="E3225" s="3">
        <f>6819+1194</f>
        <v>8013</v>
      </c>
      <c r="F3225" s="3">
        <f>19157+12662</f>
        <v>31819</v>
      </c>
      <c r="G3225" s="1">
        <f t="shared" si="1446"/>
        <v>39832</v>
      </c>
      <c r="H3225" s="2">
        <f t="shared" si="1447"/>
        <v>0.20116991363727657</v>
      </c>
      <c r="I3225" s="2">
        <f t="shared" si="1448"/>
        <v>0.79883008636272346</v>
      </c>
      <c r="J3225" s="3">
        <f>2466+3851</f>
        <v>6317</v>
      </c>
      <c r="K3225" s="3">
        <f>11127+174415</f>
        <v>185542</v>
      </c>
      <c r="L3225" s="1">
        <f t="shared" si="1449"/>
        <v>191859</v>
      </c>
      <c r="M3225" s="2">
        <f t="shared" si="1450"/>
        <v>3.292522112593102E-2</v>
      </c>
      <c r="N3225" s="2">
        <f t="shared" si="1451"/>
        <v>0.96707477887406901</v>
      </c>
      <c r="P3225" s="5">
        <f t="shared" si="1452"/>
        <v>4816.7051616790523</v>
      </c>
    </row>
    <row r="3226" spans="1:16" x14ac:dyDescent="0.35">
      <c r="A3226" t="s">
        <v>36</v>
      </c>
      <c r="B3226" t="s">
        <v>26</v>
      </c>
      <c r="C3226">
        <v>2014</v>
      </c>
      <c r="D3226" t="s">
        <v>30</v>
      </c>
      <c r="E3226" s="3">
        <f>6789+1178</f>
        <v>7967</v>
      </c>
      <c r="F3226" s="3">
        <f>19229+12630</f>
        <v>31859</v>
      </c>
      <c r="G3226" s="1">
        <f t="shared" si="1446"/>
        <v>39826</v>
      </c>
      <c r="H3226" s="2">
        <f t="shared" si="1447"/>
        <v>0.20004519660523276</v>
      </c>
      <c r="I3226" s="2">
        <f t="shared" si="1448"/>
        <v>0.79995480339476721</v>
      </c>
      <c r="J3226" s="3">
        <f>2387+3808</f>
        <v>6195</v>
      </c>
      <c r="K3226" s="3">
        <f>11294+179366</f>
        <v>190660</v>
      </c>
      <c r="L3226" s="1">
        <f t="shared" si="1449"/>
        <v>196855</v>
      </c>
      <c r="M3226" s="2">
        <f t="shared" si="1450"/>
        <v>3.1469863605191641E-2</v>
      </c>
      <c r="N3226" s="2">
        <f t="shared" si="1451"/>
        <v>0.96853013639480834</v>
      </c>
      <c r="P3226" s="5">
        <f t="shared" si="1452"/>
        <v>4942.8765128308141</v>
      </c>
    </row>
    <row r="3227" spans="1:16" x14ac:dyDescent="0.35">
      <c r="A3227" t="s">
        <v>36</v>
      </c>
      <c r="B3227" t="s">
        <v>27</v>
      </c>
      <c r="C3227">
        <v>2014</v>
      </c>
      <c r="D3227" t="s">
        <v>30</v>
      </c>
      <c r="E3227" s="3">
        <f>6739+1167</f>
        <v>7906</v>
      </c>
      <c r="F3227" s="3">
        <f>19118+12477</f>
        <v>31595</v>
      </c>
      <c r="G3227" s="1">
        <f t="shared" si="1446"/>
        <v>39501</v>
      </c>
      <c r="H3227" s="2">
        <f t="shared" si="1447"/>
        <v>0.2001468317257791</v>
      </c>
      <c r="I3227" s="2">
        <f t="shared" si="1448"/>
        <v>0.79985316827422093</v>
      </c>
      <c r="J3227" s="3">
        <f>1845+2801</f>
        <v>4646</v>
      </c>
      <c r="K3227" s="3">
        <f>9511+154472</f>
        <v>163983</v>
      </c>
      <c r="L3227" s="1">
        <f t="shared" si="1449"/>
        <v>168629</v>
      </c>
      <c r="M3227" s="2">
        <f t="shared" si="1450"/>
        <v>2.7551607374769464E-2</v>
      </c>
      <c r="N3227" s="2">
        <f t="shared" si="1451"/>
        <v>0.97244839262523053</v>
      </c>
      <c r="P3227" s="5">
        <f t="shared" si="1452"/>
        <v>4268.9805321384265</v>
      </c>
    </row>
    <row r="3228" spans="1:16" x14ac:dyDescent="0.35">
      <c r="A3228" t="s">
        <v>36</v>
      </c>
      <c r="B3228" t="s">
        <v>28</v>
      </c>
      <c r="C3228">
        <v>2014</v>
      </c>
      <c r="D3228" t="s">
        <v>30</v>
      </c>
      <c r="E3228" s="3">
        <f>6691+1163</f>
        <v>7854</v>
      </c>
      <c r="F3228" s="3">
        <f>19372+12709</f>
        <v>32081</v>
      </c>
      <c r="G3228" s="1">
        <f t="shared" si="1446"/>
        <v>39935</v>
      </c>
      <c r="H3228" s="2">
        <f t="shared" si="1447"/>
        <v>0.19666958808063104</v>
      </c>
      <c r="I3228" s="2">
        <f t="shared" si="1448"/>
        <v>0.80333041191936894</v>
      </c>
      <c r="J3228" s="3">
        <f>1663+2430</f>
        <v>4093</v>
      </c>
      <c r="K3228" s="3">
        <f>8975+141783</f>
        <v>150758</v>
      </c>
      <c r="L3228" s="1">
        <f t="shared" si="1449"/>
        <v>154851</v>
      </c>
      <c r="M3228" s="2">
        <f t="shared" si="1450"/>
        <v>2.643186030442167E-2</v>
      </c>
      <c r="N3228" s="2">
        <f t="shared" si="1451"/>
        <v>0.97356813969557832</v>
      </c>
      <c r="P3228" s="5">
        <f t="shared" si="1452"/>
        <v>3877.5760610992866</v>
      </c>
    </row>
    <row r="3229" spans="1:16" x14ac:dyDescent="0.35">
      <c r="A3229" t="s">
        <v>36</v>
      </c>
      <c r="B3229" t="s">
        <v>29</v>
      </c>
      <c r="C3229">
        <v>2014</v>
      </c>
      <c r="D3229" t="s">
        <v>30</v>
      </c>
      <c r="E3229" s="3">
        <f>6626+1140</f>
        <v>7766</v>
      </c>
      <c r="F3229" s="3">
        <f>19565+12779</f>
        <v>32344</v>
      </c>
      <c r="G3229" s="1">
        <f t="shared" si="1446"/>
        <v>40110</v>
      </c>
      <c r="H3229" s="2">
        <f t="shared" si="1447"/>
        <v>0.19361755173273498</v>
      </c>
      <c r="I3229" s="2">
        <f t="shared" si="1448"/>
        <v>0.80638244826726502</v>
      </c>
      <c r="J3229" s="3">
        <f>1889+2559</f>
        <v>4448</v>
      </c>
      <c r="K3229" s="3">
        <f>10315+149771</f>
        <v>160086</v>
      </c>
      <c r="L3229" s="1">
        <f t="shared" si="1449"/>
        <v>164534</v>
      </c>
      <c r="M3229" s="2">
        <f t="shared" si="1450"/>
        <v>2.7033926118613782E-2</v>
      </c>
      <c r="N3229" s="2">
        <f t="shared" si="1451"/>
        <v>0.97296607388138623</v>
      </c>
      <c r="P3229" s="5">
        <f t="shared" si="1452"/>
        <v>4102.0693093991522</v>
      </c>
    </row>
    <row r="3230" spans="1:16" x14ac:dyDescent="0.35">
      <c r="A3230" t="s">
        <v>36</v>
      </c>
      <c r="B3230" t="s">
        <v>17</v>
      </c>
      <c r="C3230">
        <v>2015</v>
      </c>
      <c r="D3230" t="s">
        <v>30</v>
      </c>
      <c r="E3230" s="3">
        <f>6606+1137</f>
        <v>7743</v>
      </c>
      <c r="F3230" s="3">
        <f>19282+12641</f>
        <v>31923</v>
      </c>
      <c r="G3230" s="1">
        <f t="shared" si="1446"/>
        <v>39666</v>
      </c>
      <c r="H3230" s="2">
        <f t="shared" si="1447"/>
        <v>0.19520496142792315</v>
      </c>
      <c r="I3230" s="2">
        <f t="shared" si="1448"/>
        <v>0.80479503857207679</v>
      </c>
      <c r="J3230" s="3">
        <f>2139+3014</f>
        <v>5153</v>
      </c>
      <c r="K3230" s="3">
        <f>11175+156074</f>
        <v>167249</v>
      </c>
      <c r="L3230" s="1">
        <f t="shared" si="1449"/>
        <v>172402</v>
      </c>
      <c r="M3230" s="2">
        <f t="shared" si="1450"/>
        <v>2.9889444437999558E-2</v>
      </c>
      <c r="N3230" s="2">
        <f t="shared" si="1451"/>
        <v>0.97011055556200043</v>
      </c>
      <c r="P3230" s="5">
        <f t="shared" si="1452"/>
        <v>4346.3419553269805</v>
      </c>
    </row>
    <row r="3231" spans="1:16" x14ac:dyDescent="0.35">
      <c r="A3231" t="s">
        <v>36</v>
      </c>
      <c r="B3231" t="s">
        <v>19</v>
      </c>
      <c r="C3231">
        <v>2015</v>
      </c>
      <c r="D3231" t="s">
        <v>30</v>
      </c>
      <c r="E3231" s="3">
        <f>6565+1116</f>
        <v>7681</v>
      </c>
      <c r="F3231" s="3">
        <f>19422+12894</f>
        <v>32316</v>
      </c>
      <c r="G3231" s="1">
        <f t="shared" si="1446"/>
        <v>39997</v>
      </c>
      <c r="H3231" s="2">
        <f t="shared" si="1447"/>
        <v>0.19203940295522165</v>
      </c>
      <c r="I3231" s="2">
        <f t="shared" si="1448"/>
        <v>0.80796059704477841</v>
      </c>
      <c r="J3231" s="3">
        <f>1810+2498</f>
        <v>4308</v>
      </c>
      <c r="K3231" s="3">
        <f>9736+142055</f>
        <v>151791</v>
      </c>
      <c r="L3231" s="1">
        <f t="shared" si="1449"/>
        <v>156099</v>
      </c>
      <c r="M3231" s="2">
        <f t="shared" si="1450"/>
        <v>2.7597870582130569E-2</v>
      </c>
      <c r="N3231" s="2">
        <f t="shared" si="1451"/>
        <v>0.97240212941786941</v>
      </c>
      <c r="P3231" s="5">
        <f t="shared" si="1452"/>
        <v>3902.7677075780684</v>
      </c>
    </row>
    <row r="3232" spans="1:16" x14ac:dyDescent="0.35">
      <c r="A3232" t="s">
        <v>36</v>
      </c>
      <c r="B3232" t="s">
        <v>20</v>
      </c>
      <c r="C3232">
        <v>2015</v>
      </c>
      <c r="D3232" t="s">
        <v>30</v>
      </c>
      <c r="E3232" s="3">
        <f>6467+1099</f>
        <v>7566</v>
      </c>
      <c r="F3232" s="3">
        <f>19529+12793</f>
        <v>32322</v>
      </c>
      <c r="G3232" s="1">
        <f t="shared" si="1446"/>
        <v>39888</v>
      </c>
      <c r="H3232" s="2">
        <f t="shared" si="1447"/>
        <v>0.18968110709987968</v>
      </c>
      <c r="I3232" s="2">
        <f t="shared" si="1448"/>
        <v>0.81031889290012038</v>
      </c>
      <c r="J3232" s="3">
        <f>1767+2503</f>
        <v>4270</v>
      </c>
      <c r="K3232" s="3">
        <f>9619+139891</f>
        <v>149510</v>
      </c>
      <c r="L3232" s="1">
        <f t="shared" si="1449"/>
        <v>153780</v>
      </c>
      <c r="M3232" s="2">
        <f t="shared" si="1450"/>
        <v>2.7766939784107166E-2</v>
      </c>
      <c r="N3232" s="2">
        <f t="shared" si="1451"/>
        <v>0.97223306021589284</v>
      </c>
      <c r="P3232" s="5">
        <f t="shared" si="1452"/>
        <v>3855.294825511432</v>
      </c>
    </row>
    <row r="3233" spans="1:16" x14ac:dyDescent="0.35">
      <c r="A3233" t="s">
        <v>36</v>
      </c>
      <c r="B3233" t="s">
        <v>21</v>
      </c>
      <c r="C3233">
        <v>2015</v>
      </c>
      <c r="D3233" t="s">
        <v>30</v>
      </c>
      <c r="E3233" s="3">
        <f>6419+1084</f>
        <v>7503</v>
      </c>
      <c r="F3233" s="3">
        <f>19489+12795</f>
        <v>32284</v>
      </c>
      <c r="G3233" s="1">
        <f t="shared" si="1446"/>
        <v>39787</v>
      </c>
      <c r="H3233" s="2">
        <f t="shared" si="1447"/>
        <v>0.18857918415562872</v>
      </c>
      <c r="I3233" s="2">
        <f t="shared" si="1448"/>
        <v>0.81142081584437131</v>
      </c>
      <c r="J3233" s="3">
        <f>1666+2342</f>
        <v>4008</v>
      </c>
      <c r="K3233" s="3">
        <f>9121+140078</f>
        <v>149199</v>
      </c>
      <c r="L3233" s="1">
        <f t="shared" si="1449"/>
        <v>153207</v>
      </c>
      <c r="M3233" s="2">
        <f t="shared" si="1450"/>
        <v>2.6160684564021226E-2</v>
      </c>
      <c r="N3233" s="2">
        <f t="shared" si="1451"/>
        <v>0.97383931543597879</v>
      </c>
      <c r="P3233" s="5">
        <f t="shared" si="1452"/>
        <v>3850.6798703093978</v>
      </c>
    </row>
    <row r="3234" spans="1:16" x14ac:dyDescent="0.35">
      <c r="A3234" t="s">
        <v>36</v>
      </c>
      <c r="B3234" t="s">
        <v>22</v>
      </c>
      <c r="C3234">
        <v>2015</v>
      </c>
      <c r="D3234" t="s">
        <v>30</v>
      </c>
      <c r="E3234" s="3">
        <f>6364+1078</f>
        <v>7442</v>
      </c>
      <c r="F3234" s="3">
        <f>19578+12760</f>
        <v>32338</v>
      </c>
      <c r="G3234" s="1">
        <f t="shared" si="1446"/>
        <v>39780</v>
      </c>
      <c r="H3234" s="2">
        <f t="shared" si="1447"/>
        <v>0.18707893413775767</v>
      </c>
      <c r="I3234" s="2">
        <f t="shared" si="1448"/>
        <v>0.81292106586224233</v>
      </c>
      <c r="J3234" s="3">
        <f>1441+2188</f>
        <v>3629</v>
      </c>
      <c r="K3234" s="3">
        <f>8529+136125</f>
        <v>144654</v>
      </c>
      <c r="L3234" s="1">
        <f t="shared" si="1449"/>
        <v>148283</v>
      </c>
      <c r="M3234" s="2">
        <f t="shared" si="1450"/>
        <v>2.4473473021182468E-2</v>
      </c>
      <c r="N3234" s="2">
        <f t="shared" si="1451"/>
        <v>0.97552652697881748</v>
      </c>
      <c r="P3234" s="5">
        <f t="shared" si="1452"/>
        <v>3727.576671694319</v>
      </c>
    </row>
    <row r="3235" spans="1:16" x14ac:dyDescent="0.35">
      <c r="A3235" t="s">
        <v>36</v>
      </c>
      <c r="B3235" t="s">
        <v>23</v>
      </c>
      <c r="C3235">
        <v>2015</v>
      </c>
      <c r="D3235" t="s">
        <v>30</v>
      </c>
      <c r="E3235" s="3">
        <f>6300+1038</f>
        <v>7338</v>
      </c>
      <c r="F3235" s="3">
        <f>19641+12899</f>
        <v>32540</v>
      </c>
      <c r="G3235" s="1">
        <f t="shared" si="1446"/>
        <v>39878</v>
      </c>
      <c r="H3235" s="2">
        <f t="shared" si="1447"/>
        <v>0.18401123426450675</v>
      </c>
      <c r="I3235" s="2">
        <f t="shared" si="1448"/>
        <v>0.81598876573549328</v>
      </c>
      <c r="J3235" s="3">
        <f>1589+2360</f>
        <v>3949</v>
      </c>
      <c r="K3235" s="3">
        <f>9429+154771</f>
        <v>164200</v>
      </c>
      <c r="L3235" s="1">
        <f t="shared" si="1449"/>
        <v>168149</v>
      </c>
      <c r="M3235" s="2">
        <f t="shared" si="1450"/>
        <v>2.3485123313251938E-2</v>
      </c>
      <c r="N3235" s="2">
        <f t="shared" si="1451"/>
        <v>0.97651487668674808</v>
      </c>
      <c r="P3235" s="5">
        <f t="shared" si="1452"/>
        <v>4216.585586037414</v>
      </c>
    </row>
    <row r="3236" spans="1:16" x14ac:dyDescent="0.35">
      <c r="A3236" t="s">
        <v>36</v>
      </c>
      <c r="B3236" t="s">
        <v>24</v>
      </c>
      <c r="C3236">
        <v>2015</v>
      </c>
      <c r="D3236" t="s">
        <v>30</v>
      </c>
      <c r="E3236" s="3">
        <f>6176+1023</f>
        <v>7199</v>
      </c>
      <c r="F3236" s="3">
        <f>19458+12967</f>
        <v>32425</v>
      </c>
      <c r="G3236" s="1">
        <f t="shared" si="1446"/>
        <v>39624</v>
      </c>
      <c r="H3236" s="2">
        <f t="shared" si="1447"/>
        <v>0.1816828184938421</v>
      </c>
      <c r="I3236" s="2">
        <f t="shared" si="1448"/>
        <v>0.81831718150615784</v>
      </c>
      <c r="J3236" s="3">
        <f>1866+2779</f>
        <v>4645</v>
      </c>
      <c r="K3236" s="3">
        <f>10528+172960</f>
        <v>183488</v>
      </c>
      <c r="L3236" s="1">
        <f t="shared" si="1449"/>
        <v>188133</v>
      </c>
      <c r="M3236" s="2">
        <f t="shared" si="1450"/>
        <v>2.4689979960985049E-2</v>
      </c>
      <c r="N3236" s="2">
        <f t="shared" si="1451"/>
        <v>0.9753100200390149</v>
      </c>
      <c r="P3236" s="5">
        <f t="shared" si="1452"/>
        <v>4747.9557843731072</v>
      </c>
    </row>
    <row r="3237" spans="1:16" x14ac:dyDescent="0.35">
      <c r="A3237" t="s">
        <v>36</v>
      </c>
      <c r="B3237" t="s">
        <v>25</v>
      </c>
      <c r="C3237">
        <v>2015</v>
      </c>
      <c r="D3237" t="s">
        <v>30</v>
      </c>
      <c r="E3237" s="3">
        <f>6164+1008</f>
        <v>7172</v>
      </c>
      <c r="F3237" s="3">
        <f>20488+12915</f>
        <v>33403</v>
      </c>
      <c r="G3237" s="1">
        <f t="shared" si="1446"/>
        <v>40575</v>
      </c>
      <c r="H3237" s="2">
        <f t="shared" si="1447"/>
        <v>0.17675908810844115</v>
      </c>
      <c r="I3237" s="2">
        <f t="shared" si="1448"/>
        <v>0.82324091189155879</v>
      </c>
      <c r="J3237" s="3">
        <f>2242+3557</f>
        <v>5799</v>
      </c>
      <c r="K3237" s="3">
        <f>11912+177735</f>
        <v>189647</v>
      </c>
      <c r="L3237" s="1">
        <f t="shared" si="1449"/>
        <v>195446</v>
      </c>
      <c r="M3237" s="2">
        <f t="shared" si="1450"/>
        <v>2.9670599551794359E-2</v>
      </c>
      <c r="N3237" s="2">
        <f t="shared" si="1451"/>
        <v>0.97032940044820559</v>
      </c>
      <c r="P3237" s="5">
        <f t="shared" si="1452"/>
        <v>4816.9069624152808</v>
      </c>
    </row>
    <row r="3238" spans="1:16" x14ac:dyDescent="0.35">
      <c r="A3238" t="s">
        <v>36</v>
      </c>
      <c r="B3238" t="s">
        <v>26</v>
      </c>
      <c r="C3238">
        <v>2015</v>
      </c>
      <c r="D3238" t="s">
        <v>30</v>
      </c>
      <c r="E3238" s="3">
        <f>5943+988</f>
        <v>6931</v>
      </c>
      <c r="F3238" s="3">
        <f>20154+12930</f>
        <v>33084</v>
      </c>
      <c r="G3238" s="1">
        <f t="shared" si="1446"/>
        <v>40015</v>
      </c>
      <c r="H3238" s="2">
        <f t="shared" si="1447"/>
        <v>0.17321004623266276</v>
      </c>
      <c r="I3238" s="2">
        <f t="shared" si="1448"/>
        <v>0.82678995376733722</v>
      </c>
      <c r="J3238" s="3">
        <f>2136+3352</f>
        <v>5488</v>
      </c>
      <c r="K3238" s="3">
        <f>11794+176977</f>
        <v>188771</v>
      </c>
      <c r="L3238" s="1">
        <f t="shared" si="1449"/>
        <v>194259</v>
      </c>
      <c r="M3238" s="2">
        <f t="shared" si="1450"/>
        <v>2.8250943328237046E-2</v>
      </c>
      <c r="N3238" s="2">
        <f t="shared" si="1451"/>
        <v>0.97174905667176292</v>
      </c>
      <c r="P3238" s="5">
        <f t="shared" si="1452"/>
        <v>4854.65450456079</v>
      </c>
    </row>
    <row r="3239" spans="1:16" x14ac:dyDescent="0.35">
      <c r="A3239" t="s">
        <v>36</v>
      </c>
      <c r="B3239" t="s">
        <v>27</v>
      </c>
      <c r="C3239">
        <v>2015</v>
      </c>
      <c r="D3239" t="s">
        <v>30</v>
      </c>
      <c r="E3239" s="3">
        <f>5875+963</f>
        <v>6838</v>
      </c>
      <c r="F3239" s="3">
        <f>20187+12909</f>
        <v>33096</v>
      </c>
      <c r="G3239" s="1">
        <f t="shared" si="1446"/>
        <v>39934</v>
      </c>
      <c r="H3239" s="2">
        <f t="shared" si="1447"/>
        <v>0.17123253368057295</v>
      </c>
      <c r="I3239" s="2">
        <f t="shared" si="1448"/>
        <v>0.8287674663194271</v>
      </c>
      <c r="J3239" s="3">
        <f>1693+2480</f>
        <v>4173</v>
      </c>
      <c r="K3239" s="3">
        <f>10352+155515</f>
        <v>165867</v>
      </c>
      <c r="L3239" s="1">
        <f t="shared" si="1449"/>
        <v>170040</v>
      </c>
      <c r="M3239" s="2">
        <f t="shared" si="1450"/>
        <v>2.4541284403669726E-2</v>
      </c>
      <c r="N3239" s="2">
        <f t="shared" si="1451"/>
        <v>0.97545871559633024</v>
      </c>
      <c r="P3239" s="5">
        <f t="shared" si="1452"/>
        <v>4258.0257424750835</v>
      </c>
    </row>
    <row r="3240" spans="1:16" x14ac:dyDescent="0.35">
      <c r="A3240" t="s">
        <v>36</v>
      </c>
      <c r="B3240" t="s">
        <v>28</v>
      </c>
      <c r="C3240">
        <v>2015</v>
      </c>
      <c r="D3240" t="s">
        <v>30</v>
      </c>
      <c r="E3240" s="3">
        <f>5742+953</f>
        <v>6695</v>
      </c>
      <c r="F3240" s="3">
        <f>20332+12903</f>
        <v>33235</v>
      </c>
      <c r="G3240" s="1">
        <f t="shared" si="1446"/>
        <v>39930</v>
      </c>
      <c r="H3240" s="2">
        <f t="shared" si="1447"/>
        <v>0.16766841973453545</v>
      </c>
      <c r="I3240" s="2">
        <f t="shared" si="1448"/>
        <v>0.83233158026546461</v>
      </c>
      <c r="J3240" s="3">
        <f>1267+1895</f>
        <v>3162</v>
      </c>
      <c r="K3240" s="3">
        <f>8654+130157</f>
        <v>138811</v>
      </c>
      <c r="L3240" s="1">
        <f t="shared" si="1449"/>
        <v>141973</v>
      </c>
      <c r="M3240" s="2">
        <f t="shared" si="1450"/>
        <v>2.2271840420361618E-2</v>
      </c>
      <c r="N3240" s="2">
        <f t="shared" si="1451"/>
        <v>0.97772815957963843</v>
      </c>
      <c r="P3240" s="5">
        <f t="shared" si="1452"/>
        <v>3555.5472076133233</v>
      </c>
    </row>
    <row r="3241" spans="1:16" x14ac:dyDescent="0.35">
      <c r="A3241" t="s">
        <v>36</v>
      </c>
      <c r="B3241" t="s">
        <v>29</v>
      </c>
      <c r="C3241">
        <v>2015</v>
      </c>
      <c r="D3241" t="s">
        <v>30</v>
      </c>
      <c r="E3241" s="3">
        <f>5635+933</f>
        <v>6568</v>
      </c>
      <c r="F3241" s="3">
        <f>20442+12853</f>
        <v>33295</v>
      </c>
      <c r="G3241" s="1">
        <f t="shared" si="1446"/>
        <v>39863</v>
      </c>
      <c r="H3241" s="2">
        <f t="shared" si="1447"/>
        <v>0.16476431778842535</v>
      </c>
      <c r="I3241" s="2">
        <f t="shared" si="1448"/>
        <v>0.83523568221157463</v>
      </c>
      <c r="J3241" s="3">
        <f>1460+2118</f>
        <v>3578</v>
      </c>
      <c r="K3241" s="3">
        <f>9776+137628</f>
        <v>147404</v>
      </c>
      <c r="L3241" s="1">
        <f t="shared" si="1449"/>
        <v>150982</v>
      </c>
      <c r="M3241" s="2">
        <f t="shared" si="1450"/>
        <v>2.3698189188115139E-2</v>
      </c>
      <c r="N3241" s="2">
        <f t="shared" si="1451"/>
        <v>0.97630181081188483</v>
      </c>
      <c r="P3241" s="5">
        <f t="shared" si="1452"/>
        <v>3787.5222637533552</v>
      </c>
    </row>
    <row r="3242" spans="1:16" x14ac:dyDescent="0.35">
      <c r="A3242" t="s">
        <v>36</v>
      </c>
      <c r="B3242" t="s">
        <v>17</v>
      </c>
      <c r="C3242">
        <v>2016</v>
      </c>
      <c r="D3242" t="s">
        <v>30</v>
      </c>
      <c r="E3242" s="3">
        <f>5565+919</f>
        <v>6484</v>
      </c>
      <c r="F3242" s="3">
        <f>20205+12646</f>
        <v>32851</v>
      </c>
      <c r="G3242" s="1">
        <f t="shared" si="1446"/>
        <v>39335</v>
      </c>
      <c r="H3242" s="2">
        <f t="shared" si="1447"/>
        <v>0.16484047286131945</v>
      </c>
      <c r="I3242" s="2">
        <f t="shared" si="1448"/>
        <v>0.83515952713868058</v>
      </c>
      <c r="J3242" s="3">
        <f>1617+2332</f>
        <v>3949</v>
      </c>
      <c r="K3242" s="3">
        <f>10674+137489</f>
        <v>148163</v>
      </c>
      <c r="L3242" s="1">
        <f t="shared" si="1449"/>
        <v>152112</v>
      </c>
      <c r="M3242" s="2">
        <f t="shared" si="1450"/>
        <v>2.5961133901335857E-2</v>
      </c>
      <c r="N3242" s="2">
        <f t="shared" si="1451"/>
        <v>0.97403886609866419</v>
      </c>
      <c r="P3242" s="5">
        <f t="shared" si="1452"/>
        <v>3867.090377526376</v>
      </c>
    </row>
    <row r="3243" spans="1:16" x14ac:dyDescent="0.35">
      <c r="A3243" t="s">
        <v>36</v>
      </c>
      <c r="B3243" t="s">
        <v>19</v>
      </c>
      <c r="C3243">
        <v>2016</v>
      </c>
      <c r="D3243" t="s">
        <v>30</v>
      </c>
      <c r="E3243" s="3">
        <f>5394+893</f>
        <v>6287</v>
      </c>
      <c r="F3243" s="3">
        <f>20844+13232</f>
        <v>34076</v>
      </c>
      <c r="G3243" s="1">
        <f t="shared" si="1446"/>
        <v>40363</v>
      </c>
      <c r="H3243" s="2">
        <f t="shared" si="1447"/>
        <v>0.15576146470777694</v>
      </c>
      <c r="I3243" s="2">
        <f t="shared" si="1448"/>
        <v>0.84423853529222304</v>
      </c>
      <c r="J3243" s="3">
        <f>1306+1910</f>
        <v>3216</v>
      </c>
      <c r="K3243" s="3">
        <f>9664+132933</f>
        <v>142597</v>
      </c>
      <c r="L3243" s="1">
        <f t="shared" si="1449"/>
        <v>145813</v>
      </c>
      <c r="M3243" s="2">
        <f t="shared" si="1450"/>
        <v>2.2055646615871012E-2</v>
      </c>
      <c r="N3243" s="2">
        <f t="shared" si="1451"/>
        <v>0.97794435338412899</v>
      </c>
      <c r="P3243" s="5">
        <f t="shared" si="1452"/>
        <v>3612.5411887124346</v>
      </c>
    </row>
    <row r="3244" spans="1:16" x14ac:dyDescent="0.35">
      <c r="A3244" t="s">
        <v>36</v>
      </c>
      <c r="B3244" t="s">
        <v>20</v>
      </c>
      <c r="C3244">
        <v>2016</v>
      </c>
      <c r="D3244" t="s">
        <v>30</v>
      </c>
      <c r="E3244" s="3">
        <f>5328+872</f>
        <v>6200</v>
      </c>
      <c r="F3244" s="3">
        <f>20745+12961</f>
        <v>33706</v>
      </c>
      <c r="G3244" s="1">
        <f t="shared" si="1446"/>
        <v>39906</v>
      </c>
      <c r="H3244" s="2">
        <f t="shared" si="1447"/>
        <v>0.15536510800380895</v>
      </c>
      <c r="I3244" s="2">
        <f t="shared" si="1448"/>
        <v>0.84463489199619102</v>
      </c>
      <c r="J3244" s="3">
        <f>1146+1630</f>
        <v>2776</v>
      </c>
      <c r="K3244" s="3">
        <f>8870+121343</f>
        <v>130213</v>
      </c>
      <c r="L3244" s="1">
        <f t="shared" si="1449"/>
        <v>132989</v>
      </c>
      <c r="M3244" s="2">
        <f t="shared" si="1450"/>
        <v>2.0873906864477512E-2</v>
      </c>
      <c r="N3244" s="2">
        <f t="shared" si="1451"/>
        <v>0.97912609313552246</v>
      </c>
      <c r="P3244" s="5">
        <f t="shared" si="1452"/>
        <v>3332.5565077933143</v>
      </c>
    </row>
    <row r="3245" spans="1:16" x14ac:dyDescent="0.35">
      <c r="A3245" t="s">
        <v>36</v>
      </c>
      <c r="B3245" t="s">
        <v>21</v>
      </c>
      <c r="C3245">
        <v>2016</v>
      </c>
      <c r="D3245" t="s">
        <v>30</v>
      </c>
      <c r="E3245" s="3">
        <f>5254+842</f>
        <v>6096</v>
      </c>
      <c r="F3245" s="3">
        <f>20760+12832</f>
        <v>33592</v>
      </c>
      <c r="G3245" s="1">
        <f t="shared" si="1446"/>
        <v>39688</v>
      </c>
      <c r="H3245" s="2">
        <f t="shared" si="1447"/>
        <v>0.1535980649062689</v>
      </c>
      <c r="I3245" s="2">
        <f t="shared" si="1448"/>
        <v>0.84640193509373107</v>
      </c>
      <c r="J3245" s="3">
        <f>1140+1641</f>
        <v>2781</v>
      </c>
      <c r="K3245" s="3">
        <f>8960+124647</f>
        <v>133607</v>
      </c>
      <c r="L3245" s="1">
        <f t="shared" si="1449"/>
        <v>136388</v>
      </c>
      <c r="M3245" s="2">
        <f t="shared" si="1450"/>
        <v>2.0390356922896442E-2</v>
      </c>
      <c r="N3245" s="2">
        <f t="shared" si="1451"/>
        <v>0.97960964307710352</v>
      </c>
      <c r="P3245" s="5">
        <f t="shared" si="1452"/>
        <v>3436.5047369481958</v>
      </c>
    </row>
    <row r="3246" spans="1:16" x14ac:dyDescent="0.35">
      <c r="A3246" t="s">
        <v>36</v>
      </c>
      <c r="B3246" t="s">
        <v>22</v>
      </c>
      <c r="C3246">
        <v>2016</v>
      </c>
      <c r="D3246" t="s">
        <v>30</v>
      </c>
      <c r="E3246" s="3">
        <f>5134+813</f>
        <v>5947</v>
      </c>
      <c r="F3246" s="3">
        <f>21106+12821</f>
        <v>33927</v>
      </c>
      <c r="G3246" s="1">
        <f t="shared" si="1446"/>
        <v>39874</v>
      </c>
      <c r="H3246" s="2">
        <f t="shared" si="1447"/>
        <v>0.14914480613933892</v>
      </c>
      <c r="I3246" s="2">
        <f t="shared" si="1448"/>
        <v>0.85085519386066111</v>
      </c>
      <c r="J3246" s="3">
        <f>1087+1605</f>
        <v>2692</v>
      </c>
      <c r="K3246" s="3">
        <f>8793+129923</f>
        <v>138716</v>
      </c>
      <c r="L3246" s="1">
        <f t="shared" si="1449"/>
        <v>141408</v>
      </c>
      <c r="M3246" s="2">
        <f t="shared" si="1450"/>
        <v>1.9037112468884364E-2</v>
      </c>
      <c r="N3246" s="2">
        <f t="shared" si="1451"/>
        <v>0.9809628875311156</v>
      </c>
      <c r="P3246" s="5">
        <f t="shared" si="1452"/>
        <v>3546.3710688669307</v>
      </c>
    </row>
    <row r="3247" spans="1:16" x14ac:dyDescent="0.35">
      <c r="A3247" t="s">
        <v>36</v>
      </c>
      <c r="B3247" t="s">
        <v>23</v>
      </c>
      <c r="C3247">
        <v>2016</v>
      </c>
      <c r="D3247" t="s">
        <v>30</v>
      </c>
      <c r="E3247" s="3">
        <f>5072+795</f>
        <v>5867</v>
      </c>
      <c r="F3247" s="3">
        <f>21092+12775</f>
        <v>33867</v>
      </c>
      <c r="G3247" s="1">
        <f t="shared" si="1446"/>
        <v>39734</v>
      </c>
      <c r="H3247" s="2">
        <f t="shared" si="1447"/>
        <v>0.14765691850807872</v>
      </c>
      <c r="I3247" s="2">
        <f t="shared" si="1448"/>
        <v>0.85234308149192128</v>
      </c>
      <c r="J3247" s="3">
        <f>1219+1717</f>
        <v>2936</v>
      </c>
      <c r="K3247" s="3">
        <f>9969+144774</f>
        <v>154743</v>
      </c>
      <c r="L3247" s="1">
        <f t="shared" si="1449"/>
        <v>157679</v>
      </c>
      <c r="M3247" s="2">
        <f t="shared" si="1450"/>
        <v>1.862010794081647E-2</v>
      </c>
      <c r="N3247" s="2">
        <f t="shared" si="1451"/>
        <v>0.98137989205918352</v>
      </c>
      <c r="P3247" s="5">
        <f t="shared" si="1452"/>
        <v>3968.364624754618</v>
      </c>
    </row>
    <row r="3248" spans="1:16" x14ac:dyDescent="0.35">
      <c r="A3248" t="s">
        <v>36</v>
      </c>
      <c r="B3248" t="s">
        <v>24</v>
      </c>
      <c r="C3248">
        <v>2016</v>
      </c>
      <c r="D3248" t="s">
        <v>30</v>
      </c>
      <c r="E3248" s="3">
        <f>4987+777</f>
        <v>5764</v>
      </c>
      <c r="F3248" s="3">
        <f>21170+12965</f>
        <v>34135</v>
      </c>
      <c r="G3248" s="1">
        <f t="shared" si="1446"/>
        <v>39899</v>
      </c>
      <c r="H3248" s="2">
        <f t="shared" si="1447"/>
        <v>0.14446477355322188</v>
      </c>
      <c r="I3248" s="2">
        <f t="shared" si="1448"/>
        <v>0.85553522644677815</v>
      </c>
      <c r="J3248" s="3">
        <f>1540+2196</f>
        <v>3736</v>
      </c>
      <c r="K3248" s="3">
        <f>11755+172351</f>
        <v>184106</v>
      </c>
      <c r="L3248" s="1">
        <f t="shared" si="1449"/>
        <v>187842</v>
      </c>
      <c r="M3248" s="2">
        <f t="shared" si="1450"/>
        <v>1.9889055695744295E-2</v>
      </c>
      <c r="N3248" s="2">
        <f t="shared" si="1451"/>
        <v>0.98011094430425572</v>
      </c>
      <c r="P3248" s="5">
        <f t="shared" si="1452"/>
        <v>4707.9375422942931</v>
      </c>
    </row>
    <row r="3249" spans="1:16" x14ac:dyDescent="0.35">
      <c r="A3249" t="s">
        <v>36</v>
      </c>
      <c r="B3249" t="s">
        <v>25</v>
      </c>
      <c r="C3249">
        <v>2016</v>
      </c>
      <c r="D3249" t="s">
        <v>30</v>
      </c>
      <c r="E3249" s="3">
        <f>4902+755</f>
        <v>5657</v>
      </c>
      <c r="F3249" s="3">
        <f>21358+12934</f>
        <v>34292</v>
      </c>
      <c r="G3249" s="1">
        <f t="shared" si="1446"/>
        <v>39949</v>
      </c>
      <c r="H3249" s="2">
        <f t="shared" si="1447"/>
        <v>0.14160554707251746</v>
      </c>
      <c r="I3249" s="2">
        <f t="shared" si="1448"/>
        <v>0.85839445292748251</v>
      </c>
      <c r="J3249" s="3">
        <f>1702+2354</f>
        <v>4056</v>
      </c>
      <c r="K3249" s="3">
        <f>12497+176648</f>
        <v>189145</v>
      </c>
      <c r="L3249" s="1">
        <f t="shared" si="1449"/>
        <v>193201</v>
      </c>
      <c r="M3249" s="2">
        <f t="shared" si="1450"/>
        <v>2.0993680156935004E-2</v>
      </c>
      <c r="N3249" s="2">
        <f t="shared" si="1451"/>
        <v>0.97900631984306496</v>
      </c>
      <c r="P3249" s="5">
        <f t="shared" si="1452"/>
        <v>4836.1911437082281</v>
      </c>
    </row>
    <row r="3250" spans="1:16" x14ac:dyDescent="0.35">
      <c r="A3250" t="s">
        <v>36</v>
      </c>
      <c r="B3250" t="s">
        <v>26</v>
      </c>
      <c r="C3250">
        <v>2016</v>
      </c>
      <c r="D3250" t="s">
        <v>30</v>
      </c>
      <c r="E3250" s="3">
        <f>4796+728</f>
        <v>5524</v>
      </c>
      <c r="F3250" s="3">
        <f>21328+12910</f>
        <v>34238</v>
      </c>
      <c r="G3250" s="1">
        <f t="shared" si="1446"/>
        <v>39762</v>
      </c>
      <c r="H3250" s="2">
        <f t="shared" si="1447"/>
        <v>0.1389266133494291</v>
      </c>
      <c r="I3250" s="2">
        <f t="shared" si="1448"/>
        <v>0.86107338665057087</v>
      </c>
      <c r="J3250" s="3">
        <f>1358+1896</f>
        <v>3254</v>
      </c>
      <c r="K3250" s="3">
        <f>11131+163148</f>
        <v>174279</v>
      </c>
      <c r="L3250" s="1">
        <f t="shared" si="1449"/>
        <v>177533</v>
      </c>
      <c r="M3250" s="2">
        <f t="shared" si="1450"/>
        <v>1.832898672359505E-2</v>
      </c>
      <c r="N3250" s="2">
        <f t="shared" si="1451"/>
        <v>0.98167101327640494</v>
      </c>
      <c r="P3250" s="5">
        <f t="shared" si="1452"/>
        <v>4464.8911020572405</v>
      </c>
    </row>
    <row r="3251" spans="1:16" x14ac:dyDescent="0.35">
      <c r="A3251" t="s">
        <v>36</v>
      </c>
      <c r="B3251" t="s">
        <v>27</v>
      </c>
      <c r="C3251">
        <v>2016</v>
      </c>
      <c r="D3251" t="s">
        <v>30</v>
      </c>
      <c r="E3251" s="3">
        <f>4753+708</f>
        <v>5461</v>
      </c>
      <c r="F3251" s="3">
        <f>21339+12893</f>
        <v>34232</v>
      </c>
      <c r="G3251" s="1">
        <f t="shared" si="1446"/>
        <v>39693</v>
      </c>
      <c r="H3251" s="2">
        <f t="shared" si="1447"/>
        <v>0.13758093366588567</v>
      </c>
      <c r="I3251" s="2">
        <f t="shared" si="1448"/>
        <v>0.86241906633411436</v>
      </c>
      <c r="J3251" s="3">
        <f>1103+1522</f>
        <v>2625</v>
      </c>
      <c r="K3251" s="3">
        <f>9870+145338</f>
        <v>155208</v>
      </c>
      <c r="L3251" s="1">
        <f t="shared" si="1449"/>
        <v>157833</v>
      </c>
      <c r="M3251" s="2">
        <f t="shared" si="1450"/>
        <v>1.6631502917640796E-2</v>
      </c>
      <c r="N3251" s="2">
        <f t="shared" si="1451"/>
        <v>0.98336849708235918</v>
      </c>
      <c r="P3251" s="5">
        <f t="shared" si="1452"/>
        <v>3976.3434358703048</v>
      </c>
    </row>
    <row r="3252" spans="1:16" x14ac:dyDescent="0.35">
      <c r="A3252" t="s">
        <v>36</v>
      </c>
      <c r="B3252" t="s">
        <v>28</v>
      </c>
      <c r="C3252">
        <v>2016</v>
      </c>
      <c r="D3252" t="s">
        <v>30</v>
      </c>
      <c r="E3252" s="3">
        <f>4507+660</f>
        <v>5167</v>
      </c>
      <c r="F3252" s="3">
        <f>20442+12426</f>
        <v>32868</v>
      </c>
      <c r="G3252" s="1">
        <f t="shared" si="1446"/>
        <v>38035</v>
      </c>
      <c r="H3252" s="2">
        <f t="shared" si="1447"/>
        <v>0.13584856053634811</v>
      </c>
      <c r="I3252" s="2">
        <f t="shared" si="1448"/>
        <v>0.86415143946365192</v>
      </c>
      <c r="J3252" s="3">
        <f>911+1291</f>
        <v>2202</v>
      </c>
      <c r="K3252" s="3">
        <f>8650+127809</f>
        <v>136459</v>
      </c>
      <c r="L3252" s="1">
        <f t="shared" si="1449"/>
        <v>138661</v>
      </c>
      <c r="M3252" s="2">
        <f t="shared" si="1450"/>
        <v>1.5880456653276698E-2</v>
      </c>
      <c r="N3252" s="2">
        <f t="shared" si="1451"/>
        <v>0.98411954334672336</v>
      </c>
      <c r="P3252" s="5">
        <f t="shared" si="1452"/>
        <v>3645.6158801104248</v>
      </c>
    </row>
    <row r="3253" spans="1:16" x14ac:dyDescent="0.35">
      <c r="A3253" t="s">
        <v>36</v>
      </c>
      <c r="B3253" t="s">
        <v>29</v>
      </c>
      <c r="C3253">
        <v>2016</v>
      </c>
      <c r="D3253" t="s">
        <v>30</v>
      </c>
      <c r="E3253" s="3">
        <f>4611+672</f>
        <v>5283</v>
      </c>
      <c r="F3253" s="3">
        <f>21570+12894</f>
        <v>34464</v>
      </c>
      <c r="G3253" s="1">
        <f t="shared" si="1446"/>
        <v>39747</v>
      </c>
      <c r="H3253" s="2">
        <f t="shared" si="1447"/>
        <v>0.13291569175032078</v>
      </c>
      <c r="I3253" s="2">
        <f t="shared" si="1448"/>
        <v>0.86708430824967919</v>
      </c>
      <c r="J3253" s="3">
        <f>1064+1398</f>
        <v>2462</v>
      </c>
      <c r="K3253" s="3">
        <f>10020+136865</f>
        <v>146885</v>
      </c>
      <c r="L3253" s="1">
        <f t="shared" si="1449"/>
        <v>149347</v>
      </c>
      <c r="M3253" s="2">
        <f t="shared" si="1450"/>
        <v>1.6485098461971114E-2</v>
      </c>
      <c r="N3253" s="2">
        <f t="shared" si="1451"/>
        <v>0.9835149015380289</v>
      </c>
      <c r="P3253" s="5">
        <f t="shared" si="1452"/>
        <v>3757.4408131431301</v>
      </c>
    </row>
    <row r="3254" spans="1:16" x14ac:dyDescent="0.35">
      <c r="A3254" t="s">
        <v>36</v>
      </c>
      <c r="B3254" t="s">
        <v>17</v>
      </c>
      <c r="C3254">
        <v>2017</v>
      </c>
      <c r="D3254" t="s">
        <v>30</v>
      </c>
      <c r="E3254" s="3">
        <f>4555+664</f>
        <v>5219</v>
      </c>
      <c r="F3254" s="3">
        <f>21468+12838</f>
        <v>34306</v>
      </c>
      <c r="G3254" s="1">
        <f t="shared" si="1446"/>
        <v>39525</v>
      </c>
      <c r="H3254" s="2">
        <f t="shared" si="1447"/>
        <v>0.13204301075268818</v>
      </c>
      <c r="I3254" s="2">
        <f t="shared" si="1448"/>
        <v>0.86795698924731179</v>
      </c>
      <c r="J3254" s="3">
        <f>1274+1613</f>
        <v>2887</v>
      </c>
      <c r="K3254" s="3">
        <f>139415+11386</f>
        <v>150801</v>
      </c>
      <c r="L3254" s="1">
        <f t="shared" si="1449"/>
        <v>153688</v>
      </c>
      <c r="M3254" s="2">
        <f t="shared" si="1450"/>
        <v>1.878481078548748E-2</v>
      </c>
      <c r="N3254" s="2">
        <f t="shared" si="1451"/>
        <v>0.98121518921451256</v>
      </c>
      <c r="P3254" s="5">
        <f t="shared" si="1452"/>
        <v>3888.3744465528148</v>
      </c>
    </row>
    <row r="3255" spans="1:16" x14ac:dyDescent="0.35">
      <c r="A3255" t="s">
        <v>36</v>
      </c>
      <c r="B3255" t="s">
        <v>19</v>
      </c>
      <c r="C3255">
        <v>2017</v>
      </c>
      <c r="D3255" t="s">
        <v>30</v>
      </c>
      <c r="E3255" s="3">
        <f>4036+592</f>
        <v>4628</v>
      </c>
      <c r="F3255" s="3">
        <f>19698+12054</f>
        <v>31752</v>
      </c>
      <c r="G3255" s="1">
        <f t="shared" ref="G3255:G3318" si="1453">SUM(E3255:F3255)</f>
        <v>36380</v>
      </c>
      <c r="H3255" s="2">
        <f t="shared" ref="H3255:H3318" si="1454">SUM(E3255)/G3255</f>
        <v>0.12721275426058273</v>
      </c>
      <c r="I3255" s="2">
        <f t="shared" ref="I3255:I3318" si="1455">SUM(F3255/G3255)</f>
        <v>0.87278724573941724</v>
      </c>
      <c r="J3255" s="3">
        <f>923+1377</f>
        <v>2300</v>
      </c>
      <c r="K3255" s="3">
        <f>119771+8922</f>
        <v>128693</v>
      </c>
      <c r="L3255" s="1">
        <f t="shared" si="1449"/>
        <v>130993</v>
      </c>
      <c r="M3255" s="2">
        <f t="shared" si="1450"/>
        <v>1.7558190132297147E-2</v>
      </c>
      <c r="N3255" s="2">
        <f t="shared" si="1451"/>
        <v>0.98244180986770291</v>
      </c>
      <c r="P3255" s="5">
        <f t="shared" si="1452"/>
        <v>3600.6871907641562</v>
      </c>
    </row>
    <row r="3256" spans="1:16" x14ac:dyDescent="0.35">
      <c r="A3256" t="s">
        <v>36</v>
      </c>
      <c r="B3256" t="s">
        <v>20</v>
      </c>
      <c r="C3256">
        <v>2017</v>
      </c>
      <c r="D3256" t="s">
        <v>30</v>
      </c>
      <c r="E3256" s="3">
        <f>4317+633</f>
        <v>4950</v>
      </c>
      <c r="F3256" s="3">
        <f>21600+13055</f>
        <v>34655</v>
      </c>
      <c r="G3256" s="1">
        <f t="shared" si="1453"/>
        <v>39605</v>
      </c>
      <c r="H3256" s="2">
        <f t="shared" si="1454"/>
        <v>0.12498421916424694</v>
      </c>
      <c r="I3256" s="2">
        <f t="shared" si="1455"/>
        <v>0.87501578083575304</v>
      </c>
      <c r="J3256" s="3">
        <f>856+1208</f>
        <v>2064</v>
      </c>
      <c r="K3256" s="3">
        <f>122749+8830</f>
        <v>131579</v>
      </c>
      <c r="L3256" s="1">
        <f t="shared" si="1449"/>
        <v>133643</v>
      </c>
      <c r="M3256" s="2">
        <f t="shared" si="1450"/>
        <v>1.5444131005739171E-2</v>
      </c>
      <c r="N3256" s="2">
        <f t="shared" si="1451"/>
        <v>0.98455586899426084</v>
      </c>
      <c r="P3256" s="5">
        <f t="shared" si="1452"/>
        <v>3374.3971720742329</v>
      </c>
    </row>
    <row r="3257" spans="1:16" x14ac:dyDescent="0.35">
      <c r="A3257" t="s">
        <v>36</v>
      </c>
      <c r="B3257" t="s">
        <v>21</v>
      </c>
      <c r="C3257">
        <v>2017</v>
      </c>
      <c r="D3257" t="s">
        <v>30</v>
      </c>
      <c r="E3257" s="3">
        <f>4311+616</f>
        <v>4927</v>
      </c>
      <c r="F3257" s="3">
        <f>21681+13050</f>
        <v>34731</v>
      </c>
      <c r="G3257" s="1">
        <f t="shared" si="1453"/>
        <v>39658</v>
      </c>
      <c r="H3257" s="2">
        <f t="shared" si="1454"/>
        <v>0.12423722830198194</v>
      </c>
      <c r="I3257" s="2">
        <f t="shared" si="1455"/>
        <v>0.87576277169801808</v>
      </c>
      <c r="J3257" s="3">
        <f>873+1195</f>
        <v>2068</v>
      </c>
      <c r="K3257" s="3">
        <f>8792+126115</f>
        <v>134907</v>
      </c>
      <c r="L3257" s="1">
        <f t="shared" si="1449"/>
        <v>136975</v>
      </c>
      <c r="M3257" s="2">
        <f t="shared" si="1450"/>
        <v>1.5097645555758351E-2</v>
      </c>
      <c r="N3257" s="2">
        <f t="shared" si="1451"/>
        <v>0.98490235444424168</v>
      </c>
      <c r="P3257" s="5">
        <f t="shared" si="1452"/>
        <v>3453.9058954057191</v>
      </c>
    </row>
    <row r="3258" spans="1:16" x14ac:dyDescent="0.35">
      <c r="A3258" t="s">
        <v>36</v>
      </c>
      <c r="B3258" t="s">
        <v>22</v>
      </c>
      <c r="C3258">
        <v>2017</v>
      </c>
      <c r="D3258" t="s">
        <v>30</v>
      </c>
      <c r="E3258" s="3">
        <f>4214+599</f>
        <v>4813</v>
      </c>
      <c r="F3258" s="3">
        <f>21726+13099</f>
        <v>34825</v>
      </c>
      <c r="G3258" s="1">
        <f t="shared" si="1453"/>
        <v>39638</v>
      </c>
      <c r="H3258" s="2">
        <f t="shared" si="1454"/>
        <v>0.12142388616983703</v>
      </c>
      <c r="I3258" s="2">
        <f t="shared" si="1455"/>
        <v>0.87857611383016299</v>
      </c>
      <c r="J3258" s="3">
        <f>871+1297</f>
        <v>2168</v>
      </c>
      <c r="K3258" s="3">
        <f>8976+128111</f>
        <v>137087</v>
      </c>
      <c r="L3258" s="1">
        <f t="shared" si="1449"/>
        <v>139255</v>
      </c>
      <c r="M3258" s="2">
        <f t="shared" si="1450"/>
        <v>1.5568561272485728E-2</v>
      </c>
      <c r="N3258" s="2">
        <f t="shared" si="1451"/>
        <v>0.98443143872751426</v>
      </c>
      <c r="P3258" s="5">
        <f t="shared" si="1452"/>
        <v>3513.1691810888542</v>
      </c>
    </row>
    <row r="3259" spans="1:16" x14ac:dyDescent="0.35">
      <c r="A3259" t="s">
        <v>36</v>
      </c>
      <c r="B3259" t="s">
        <v>23</v>
      </c>
      <c r="C3259">
        <v>2017</v>
      </c>
      <c r="D3259" t="s">
        <v>30</v>
      </c>
      <c r="E3259" s="3">
        <f>4177+586</f>
        <v>4763</v>
      </c>
      <c r="F3259" s="3">
        <f>21872+13081</f>
        <v>34953</v>
      </c>
      <c r="G3259" s="1">
        <f t="shared" si="1453"/>
        <v>39716</v>
      </c>
      <c r="H3259" s="2">
        <f t="shared" si="1454"/>
        <v>0.11992647799375566</v>
      </c>
      <c r="I3259" s="2">
        <f t="shared" si="1455"/>
        <v>0.88007352200624434</v>
      </c>
      <c r="J3259" s="3">
        <f>1045+1451</f>
        <v>2496</v>
      </c>
      <c r="K3259" s="3">
        <f>10532+148929</f>
        <v>159461</v>
      </c>
      <c r="L3259" s="1">
        <f t="shared" si="1449"/>
        <v>161957</v>
      </c>
      <c r="M3259" s="2">
        <f t="shared" si="1450"/>
        <v>1.5411498113696846E-2</v>
      </c>
      <c r="N3259" s="2">
        <f t="shared" si="1451"/>
        <v>0.9845885018863032</v>
      </c>
      <c r="P3259" s="5">
        <f t="shared" si="1452"/>
        <v>4077.8779333266189</v>
      </c>
    </row>
    <row r="3260" spans="1:16" x14ac:dyDescent="0.35">
      <c r="A3260" t="s">
        <v>36</v>
      </c>
      <c r="B3260" t="s">
        <v>24</v>
      </c>
      <c r="C3260">
        <v>2017</v>
      </c>
      <c r="D3260" t="s">
        <v>30</v>
      </c>
      <c r="E3260" s="3">
        <f>4143+584</f>
        <v>4727</v>
      </c>
      <c r="F3260" s="3">
        <f>21994+13176</f>
        <v>35170</v>
      </c>
      <c r="G3260" s="1">
        <f t="shared" si="1453"/>
        <v>39897</v>
      </c>
      <c r="H3260" s="2">
        <f t="shared" si="1454"/>
        <v>0.1184800862220217</v>
      </c>
      <c r="I3260" s="2">
        <f t="shared" si="1455"/>
        <v>0.88151991377797834</v>
      </c>
      <c r="J3260" s="3">
        <f>1176+1600</f>
        <v>2776</v>
      </c>
      <c r="K3260" s="3">
        <f>165934+11741</f>
        <v>177675</v>
      </c>
      <c r="L3260" s="1">
        <f t="shared" si="1449"/>
        <v>180451</v>
      </c>
      <c r="M3260" s="2">
        <f t="shared" si="1450"/>
        <v>1.5383677563438274E-2</v>
      </c>
      <c r="N3260" s="2">
        <f t="shared" si="1451"/>
        <v>0.98461632243656172</v>
      </c>
      <c r="P3260" s="5">
        <f t="shared" si="1452"/>
        <v>4522.9215229215233</v>
      </c>
    </row>
    <row r="3261" spans="1:16" x14ac:dyDescent="0.35">
      <c r="A3261" t="s">
        <v>36</v>
      </c>
      <c r="B3261" t="s">
        <v>25</v>
      </c>
      <c r="C3261">
        <v>2017</v>
      </c>
      <c r="D3261" t="s">
        <v>30</v>
      </c>
      <c r="E3261" s="3">
        <f>4077+570</f>
        <v>4647</v>
      </c>
      <c r="F3261" s="3">
        <f>21972+13192</f>
        <v>35164</v>
      </c>
      <c r="G3261" s="1">
        <f t="shared" si="1453"/>
        <v>39811</v>
      </c>
      <c r="H3261" s="2">
        <f t="shared" si="1454"/>
        <v>0.11672653286780035</v>
      </c>
      <c r="I3261" s="2">
        <f t="shared" si="1455"/>
        <v>0.88327346713219967</v>
      </c>
      <c r="J3261" s="3">
        <f>1247+1702</f>
        <v>2949</v>
      </c>
      <c r="K3261" s="3">
        <f>166614+11857</f>
        <v>178471</v>
      </c>
      <c r="L3261" s="1">
        <f t="shared" si="1449"/>
        <v>181420</v>
      </c>
      <c r="M3261" s="2">
        <f t="shared" si="1450"/>
        <v>1.6255098666078712E-2</v>
      </c>
      <c r="N3261" s="2">
        <f t="shared" si="1451"/>
        <v>0.98374490133392134</v>
      </c>
      <c r="P3261" s="5">
        <f t="shared" si="1452"/>
        <v>4557.0319760870116</v>
      </c>
    </row>
    <row r="3262" spans="1:16" x14ac:dyDescent="0.35">
      <c r="A3262" t="s">
        <v>36</v>
      </c>
      <c r="B3262" t="s">
        <v>26</v>
      </c>
      <c r="C3262">
        <v>2017</v>
      </c>
      <c r="D3262" t="s">
        <v>30</v>
      </c>
      <c r="E3262" s="3">
        <f>4013+555</f>
        <v>4568</v>
      </c>
      <c r="F3262" s="3">
        <f>22070+13160</f>
        <v>35230</v>
      </c>
      <c r="G3262" s="1">
        <f t="shared" si="1453"/>
        <v>39798</v>
      </c>
      <c r="H3262" s="2">
        <f t="shared" si="1454"/>
        <v>0.11477963716769687</v>
      </c>
      <c r="I3262" s="2">
        <f t="shared" si="1455"/>
        <v>0.8852203628323031</v>
      </c>
      <c r="J3262" s="3">
        <f>1105+1490</f>
        <v>2595</v>
      </c>
      <c r="K3262" s="3">
        <f>167293+11264</f>
        <v>178557</v>
      </c>
      <c r="L3262" s="1">
        <f t="shared" si="1449"/>
        <v>181152</v>
      </c>
      <c r="M3262" s="2">
        <f t="shared" si="1450"/>
        <v>1.432498675145734E-2</v>
      </c>
      <c r="N3262" s="2">
        <f t="shared" si="1451"/>
        <v>0.98567501324854268</v>
      </c>
      <c r="P3262" s="5">
        <f t="shared" si="1452"/>
        <v>4551.7865219357755</v>
      </c>
    </row>
    <row r="3263" spans="1:16" x14ac:dyDescent="0.35">
      <c r="A3263" t="s">
        <v>36</v>
      </c>
      <c r="B3263" t="s">
        <v>27</v>
      </c>
      <c r="C3263">
        <v>2017</v>
      </c>
      <c r="D3263" t="s">
        <v>30</v>
      </c>
      <c r="E3263" s="3">
        <f>3966+550</f>
        <v>4516</v>
      </c>
      <c r="F3263" s="3">
        <f>22119+13141</f>
        <v>35260</v>
      </c>
      <c r="G3263" s="1">
        <f t="shared" si="1453"/>
        <v>39776</v>
      </c>
      <c r="H3263" s="2">
        <f t="shared" si="1454"/>
        <v>0.11353580048270313</v>
      </c>
      <c r="I3263" s="2">
        <f t="shared" si="1455"/>
        <v>0.88646419951729682</v>
      </c>
      <c r="J3263" s="3">
        <f>898+1240</f>
        <v>2138</v>
      </c>
      <c r="K3263" s="3">
        <f>10195+152115</f>
        <v>162310</v>
      </c>
      <c r="L3263" s="1">
        <f t="shared" si="1449"/>
        <v>164448</v>
      </c>
      <c r="M3263" s="2">
        <f t="shared" si="1450"/>
        <v>1.3001070247129792E-2</v>
      </c>
      <c r="N3263" s="2">
        <f t="shared" si="1451"/>
        <v>0.98699892975287018</v>
      </c>
      <c r="P3263" s="5">
        <f t="shared" si="1452"/>
        <v>4134.3523732904268</v>
      </c>
    </row>
    <row r="3264" spans="1:16" x14ac:dyDescent="0.35">
      <c r="A3264" t="s">
        <v>36</v>
      </c>
      <c r="B3264" t="s">
        <v>28</v>
      </c>
      <c r="C3264">
        <v>2017</v>
      </c>
      <c r="D3264" t="s">
        <v>30</v>
      </c>
      <c r="E3264" s="3">
        <f>3916+533</f>
        <v>4449</v>
      </c>
      <c r="F3264" s="3">
        <f>22257+13141</f>
        <v>35398</v>
      </c>
      <c r="G3264" s="1">
        <f t="shared" si="1453"/>
        <v>39847</v>
      </c>
      <c r="H3264" s="2">
        <f t="shared" si="1454"/>
        <v>0.11165206916455442</v>
      </c>
      <c r="I3264" s="2">
        <f t="shared" si="1455"/>
        <v>0.88834793083544561</v>
      </c>
      <c r="J3264" s="3">
        <f>735+982</f>
        <v>1717</v>
      </c>
      <c r="K3264" s="3">
        <f>9094+134063</f>
        <v>143157</v>
      </c>
      <c r="L3264" s="1">
        <f t="shared" si="1449"/>
        <v>144874</v>
      </c>
      <c r="M3264" s="2">
        <f t="shared" si="1450"/>
        <v>1.1851678009856842E-2</v>
      </c>
      <c r="N3264" s="2">
        <f t="shared" si="1451"/>
        <v>0.98814832199014313</v>
      </c>
      <c r="P3264" s="5">
        <f t="shared" si="1452"/>
        <v>3635.7567696438878</v>
      </c>
    </row>
    <row r="3265" spans="1:16" x14ac:dyDescent="0.35">
      <c r="A3265" t="s">
        <v>36</v>
      </c>
      <c r="B3265" t="s">
        <v>29</v>
      </c>
      <c r="C3265">
        <v>2017</v>
      </c>
      <c r="D3265" t="s">
        <v>30</v>
      </c>
      <c r="E3265" s="3">
        <f>3859+519</f>
        <v>4378</v>
      </c>
      <c r="F3265" s="3">
        <f>22330+13146</f>
        <v>35476</v>
      </c>
      <c r="G3265" s="1">
        <f t="shared" si="1453"/>
        <v>39854</v>
      </c>
      <c r="H3265" s="2">
        <f t="shared" si="1454"/>
        <v>0.10985095598936116</v>
      </c>
      <c r="I3265" s="2">
        <f t="shared" si="1455"/>
        <v>0.89014904401063888</v>
      </c>
      <c r="J3265" s="3">
        <f>835+1059</f>
        <v>1894</v>
      </c>
      <c r="K3265" s="3">
        <f>10274+145024</f>
        <v>155298</v>
      </c>
      <c r="L3265" s="1">
        <f t="shared" si="1449"/>
        <v>157192</v>
      </c>
      <c r="M3265" s="2">
        <f t="shared" si="1450"/>
        <v>1.2048959234566645E-2</v>
      </c>
      <c r="N3265" s="2">
        <f t="shared" si="1451"/>
        <v>0.98795104076543339</v>
      </c>
      <c r="P3265" s="5">
        <f t="shared" si="1452"/>
        <v>3944.1963165554275</v>
      </c>
    </row>
    <row r="3266" spans="1:16" x14ac:dyDescent="0.35">
      <c r="A3266" t="s">
        <v>36</v>
      </c>
      <c r="B3266" t="s">
        <v>17</v>
      </c>
      <c r="C3266">
        <v>2002</v>
      </c>
      <c r="D3266" t="s">
        <v>31</v>
      </c>
      <c r="E3266" s="8">
        <v>303</v>
      </c>
      <c r="F3266" s="8">
        <v>83</v>
      </c>
      <c r="G3266" s="1">
        <f t="shared" si="1453"/>
        <v>386</v>
      </c>
      <c r="H3266" s="2">
        <f t="shared" si="1454"/>
        <v>0.78497409326424872</v>
      </c>
      <c r="I3266" s="2">
        <f t="shared" si="1455"/>
        <v>0.21502590673575128</v>
      </c>
      <c r="J3266" s="14">
        <f>J3267</f>
        <v>26844.080999999998</v>
      </c>
      <c r="K3266" s="14">
        <v>2129.6120000000001</v>
      </c>
      <c r="L3266" s="1">
        <f t="shared" si="1449"/>
        <v>28973.692999999999</v>
      </c>
      <c r="M3266" s="2">
        <f t="shared" si="1450"/>
        <v>0.92649842738376498</v>
      </c>
      <c r="N3266" s="2">
        <f t="shared" si="1451"/>
        <v>7.3501572616235009E-2</v>
      </c>
    </row>
    <row r="3267" spans="1:16" x14ac:dyDescent="0.35">
      <c r="A3267" t="s">
        <v>36</v>
      </c>
      <c r="B3267" t="s">
        <v>19</v>
      </c>
      <c r="C3267">
        <v>2002</v>
      </c>
      <c r="D3267" t="s">
        <v>31</v>
      </c>
      <c r="E3267" s="8">
        <v>306</v>
      </c>
      <c r="F3267" s="8">
        <v>97</v>
      </c>
      <c r="G3267" s="1">
        <f t="shared" si="1453"/>
        <v>403</v>
      </c>
      <c r="H3267" s="2">
        <f t="shared" si="1454"/>
        <v>0.75930521091811409</v>
      </c>
      <c r="I3267" s="2">
        <f t="shared" si="1455"/>
        <v>0.24069478908188585</v>
      </c>
      <c r="J3267" s="14">
        <v>26844.080999999998</v>
      </c>
      <c r="K3267" s="14">
        <v>12258.948</v>
      </c>
      <c r="L3267" s="1">
        <f t="shared" ref="L3267:L3330" si="1456">SUM(J3267:K3267)</f>
        <v>39103.028999999995</v>
      </c>
      <c r="M3267" s="2">
        <f t="shared" ref="M3267:M3330" si="1457">SUM(J3267)/L3267</f>
        <v>0.68649620468020522</v>
      </c>
      <c r="N3267" s="2">
        <f t="shared" ref="N3267:N3330" si="1458">SUM(K3267/L3267)</f>
        <v>0.31350379531979483</v>
      </c>
    </row>
    <row r="3268" spans="1:16" x14ac:dyDescent="0.35">
      <c r="A3268" t="s">
        <v>36</v>
      </c>
      <c r="B3268" t="s">
        <v>20</v>
      </c>
      <c r="C3268">
        <v>2002</v>
      </c>
      <c r="D3268" t="s">
        <v>31</v>
      </c>
      <c r="E3268" s="8">
        <v>298</v>
      </c>
      <c r="F3268" s="8">
        <v>98</v>
      </c>
      <c r="G3268" s="1">
        <f t="shared" si="1453"/>
        <v>396</v>
      </c>
      <c r="H3268" s="2">
        <f t="shared" si="1454"/>
        <v>0.75252525252525249</v>
      </c>
      <c r="I3268" s="2">
        <f t="shared" si="1455"/>
        <v>0.24747474747474749</v>
      </c>
      <c r="J3268" s="14">
        <v>45118.942000000003</v>
      </c>
      <c r="K3268" s="14">
        <v>35020.720999999998</v>
      </c>
      <c r="L3268" s="1">
        <f t="shared" si="1456"/>
        <v>80139.663</v>
      </c>
      <c r="M3268" s="2">
        <f t="shared" si="1457"/>
        <v>0.56300388984665439</v>
      </c>
      <c r="N3268" s="2">
        <f t="shared" si="1458"/>
        <v>0.43699611015334566</v>
      </c>
    </row>
    <row r="3269" spans="1:16" x14ac:dyDescent="0.35">
      <c r="A3269" t="s">
        <v>36</v>
      </c>
      <c r="B3269" t="s">
        <v>21</v>
      </c>
      <c r="C3269">
        <v>2002</v>
      </c>
      <c r="D3269" t="s">
        <v>31</v>
      </c>
      <c r="E3269" s="8">
        <v>294</v>
      </c>
      <c r="F3269" s="8">
        <v>109</v>
      </c>
      <c r="G3269" s="1">
        <f t="shared" si="1453"/>
        <v>403</v>
      </c>
      <c r="H3269" s="2">
        <f t="shared" si="1454"/>
        <v>0.72952853598014888</v>
      </c>
      <c r="I3269" s="2">
        <f t="shared" si="1455"/>
        <v>0.27047146401985112</v>
      </c>
      <c r="J3269" s="14">
        <v>41020.994999999995</v>
      </c>
      <c r="K3269" s="14">
        <v>41836.209000000003</v>
      </c>
      <c r="L3269" s="1">
        <f t="shared" si="1456"/>
        <v>82857.203999999998</v>
      </c>
      <c r="M3269" s="2">
        <f t="shared" si="1457"/>
        <v>0.4950806088025852</v>
      </c>
      <c r="N3269" s="2">
        <f t="shared" si="1458"/>
        <v>0.5049193911974148</v>
      </c>
    </row>
    <row r="3270" spans="1:16" x14ac:dyDescent="0.35">
      <c r="A3270" t="s">
        <v>36</v>
      </c>
      <c r="B3270" t="s">
        <v>22</v>
      </c>
      <c r="C3270">
        <v>2002</v>
      </c>
      <c r="D3270" t="s">
        <v>31</v>
      </c>
      <c r="E3270" s="8">
        <v>284</v>
      </c>
      <c r="F3270" s="8">
        <v>113</v>
      </c>
      <c r="G3270" s="1">
        <f t="shared" si="1453"/>
        <v>397</v>
      </c>
      <c r="H3270" s="2">
        <f t="shared" si="1454"/>
        <v>0.7153652392947103</v>
      </c>
      <c r="I3270" s="2">
        <f t="shared" si="1455"/>
        <v>0.28463476070528965</v>
      </c>
      <c r="J3270" s="14">
        <v>23691.216</v>
      </c>
      <c r="K3270" s="14">
        <v>64957.645000000004</v>
      </c>
      <c r="L3270" s="1">
        <f t="shared" si="1456"/>
        <v>88648.861000000004</v>
      </c>
      <c r="M3270" s="2">
        <f t="shared" si="1457"/>
        <v>0.26724783299810245</v>
      </c>
      <c r="N3270" s="2">
        <f t="shared" si="1458"/>
        <v>0.73275216700189749</v>
      </c>
    </row>
    <row r="3271" spans="1:16" x14ac:dyDescent="0.35">
      <c r="A3271" t="s">
        <v>36</v>
      </c>
      <c r="B3271" t="s">
        <v>23</v>
      </c>
      <c r="C3271">
        <v>2002</v>
      </c>
      <c r="D3271" t="s">
        <v>31</v>
      </c>
      <c r="E3271" s="8">
        <v>279</v>
      </c>
      <c r="F3271" s="8">
        <v>115</v>
      </c>
      <c r="G3271" s="1">
        <f t="shared" si="1453"/>
        <v>394</v>
      </c>
      <c r="H3271" s="2">
        <f t="shared" si="1454"/>
        <v>0.70812182741116747</v>
      </c>
      <c r="I3271" s="2">
        <f t="shared" si="1455"/>
        <v>0.29187817258883247</v>
      </c>
      <c r="J3271" s="14">
        <v>-27694.791999999998</v>
      </c>
      <c r="K3271" s="14">
        <v>-8622.0290000000023</v>
      </c>
      <c r="L3271" s="1">
        <f t="shared" si="1456"/>
        <v>-36316.820999999996</v>
      </c>
      <c r="M3271" s="2">
        <f t="shared" si="1457"/>
        <v>0.76258855366222722</v>
      </c>
      <c r="N3271" s="2">
        <f t="shared" si="1458"/>
        <v>0.23741144633777289</v>
      </c>
    </row>
    <row r="3272" spans="1:16" x14ac:dyDescent="0.35">
      <c r="A3272" t="s">
        <v>36</v>
      </c>
      <c r="B3272" t="s">
        <v>24</v>
      </c>
      <c r="C3272">
        <v>2002</v>
      </c>
      <c r="D3272" t="s">
        <v>31</v>
      </c>
      <c r="E3272" s="8">
        <v>278</v>
      </c>
      <c r="F3272" s="8">
        <v>116</v>
      </c>
      <c r="G3272" s="1">
        <f t="shared" si="1453"/>
        <v>394</v>
      </c>
      <c r="H3272" s="2">
        <f t="shared" si="1454"/>
        <v>0.70558375634517767</v>
      </c>
      <c r="I3272" s="2">
        <f t="shared" si="1455"/>
        <v>0.29441624365482233</v>
      </c>
      <c r="J3272" s="14">
        <v>23470.626</v>
      </c>
      <c r="K3272" s="14">
        <v>211398.69899999999</v>
      </c>
      <c r="L3272" s="1">
        <f t="shared" si="1456"/>
        <v>234869.32499999998</v>
      </c>
      <c r="M3272" s="2">
        <f t="shared" si="1457"/>
        <v>9.9930572031916048E-2</v>
      </c>
      <c r="N3272" s="2">
        <f t="shared" si="1458"/>
        <v>0.90006942796808398</v>
      </c>
    </row>
    <row r="3273" spans="1:16" x14ac:dyDescent="0.35">
      <c r="A3273" t="s">
        <v>36</v>
      </c>
      <c r="B3273" t="s">
        <v>25</v>
      </c>
      <c r="C3273">
        <v>2002</v>
      </c>
      <c r="D3273" t="s">
        <v>31</v>
      </c>
      <c r="E3273" s="8">
        <v>276</v>
      </c>
      <c r="F3273" s="8">
        <v>118</v>
      </c>
      <c r="G3273" s="1">
        <f t="shared" si="1453"/>
        <v>394</v>
      </c>
      <c r="H3273" s="2">
        <f t="shared" si="1454"/>
        <v>0.70050761421319796</v>
      </c>
      <c r="I3273" s="2">
        <f t="shared" si="1455"/>
        <v>0.29949238578680204</v>
      </c>
      <c r="J3273" s="14">
        <v>13163.119000000001</v>
      </c>
      <c r="K3273" s="14">
        <v>69586.922999999995</v>
      </c>
      <c r="L3273" s="1">
        <f t="shared" si="1456"/>
        <v>82750.042000000001</v>
      </c>
      <c r="M3273" s="2">
        <f t="shared" si="1457"/>
        <v>0.15907084373443581</v>
      </c>
      <c r="N3273" s="2">
        <f t="shared" si="1458"/>
        <v>0.84092915626556408</v>
      </c>
    </row>
    <row r="3274" spans="1:16" x14ac:dyDescent="0.35">
      <c r="A3274" t="s">
        <v>36</v>
      </c>
      <c r="B3274" t="s">
        <v>26</v>
      </c>
      <c r="C3274">
        <v>2002</v>
      </c>
      <c r="D3274" t="s">
        <v>31</v>
      </c>
      <c r="E3274" s="8">
        <v>274</v>
      </c>
      <c r="F3274" s="8">
        <v>118</v>
      </c>
      <c r="G3274" s="1">
        <f t="shared" si="1453"/>
        <v>392</v>
      </c>
      <c r="H3274" s="2">
        <f t="shared" si="1454"/>
        <v>0.69897959183673475</v>
      </c>
      <c r="I3274" s="2">
        <f t="shared" si="1455"/>
        <v>0.30102040816326531</v>
      </c>
      <c r="J3274" s="14">
        <v>14014.346</v>
      </c>
      <c r="K3274" s="14">
        <v>91421.808000000005</v>
      </c>
      <c r="L3274" s="1">
        <f t="shared" si="1456"/>
        <v>105436.15400000001</v>
      </c>
      <c r="M3274" s="2">
        <f t="shared" si="1457"/>
        <v>0.13291784144554436</v>
      </c>
      <c r="N3274" s="2">
        <f t="shared" si="1458"/>
        <v>0.86708215855445558</v>
      </c>
    </row>
    <row r="3275" spans="1:16" x14ac:dyDescent="0.35">
      <c r="A3275" t="s">
        <v>36</v>
      </c>
      <c r="B3275" t="s">
        <v>27</v>
      </c>
      <c r="C3275">
        <v>2002</v>
      </c>
      <c r="D3275" t="s">
        <v>31</v>
      </c>
      <c r="E3275" s="8">
        <v>303</v>
      </c>
      <c r="F3275" s="8">
        <v>121</v>
      </c>
      <c r="G3275" s="1">
        <f t="shared" si="1453"/>
        <v>424</v>
      </c>
      <c r="H3275" s="2">
        <f t="shared" si="1454"/>
        <v>0.714622641509434</v>
      </c>
      <c r="I3275" s="2">
        <f t="shared" si="1455"/>
        <v>0.28537735849056606</v>
      </c>
      <c r="J3275" s="14">
        <v>25046.082999999999</v>
      </c>
      <c r="K3275" s="14">
        <v>67079.120999999999</v>
      </c>
      <c r="L3275" s="1">
        <f t="shared" si="1456"/>
        <v>92125.203999999998</v>
      </c>
      <c r="M3275" s="2">
        <f t="shared" si="1457"/>
        <v>0.27187004112359958</v>
      </c>
      <c r="N3275" s="2">
        <f t="shared" si="1458"/>
        <v>0.72812995887640042</v>
      </c>
    </row>
    <row r="3276" spans="1:16" x14ac:dyDescent="0.35">
      <c r="A3276" t="s">
        <v>36</v>
      </c>
      <c r="B3276" t="s">
        <v>28</v>
      </c>
      <c r="C3276">
        <v>2002</v>
      </c>
      <c r="D3276" t="s">
        <v>31</v>
      </c>
      <c r="E3276" s="8">
        <v>264</v>
      </c>
      <c r="F3276" s="8">
        <v>125</v>
      </c>
      <c r="G3276" s="1">
        <f t="shared" si="1453"/>
        <v>389</v>
      </c>
      <c r="H3276" s="2">
        <f t="shared" si="1454"/>
        <v>0.67866323907455017</v>
      </c>
      <c r="I3276" s="2">
        <f t="shared" si="1455"/>
        <v>0.32133676092544988</v>
      </c>
      <c r="J3276" s="14">
        <v>10752.227999999999</v>
      </c>
      <c r="K3276" s="14">
        <v>60385.608000000007</v>
      </c>
      <c r="L3276" s="1">
        <f t="shared" si="1456"/>
        <v>71137.83600000001</v>
      </c>
      <c r="M3276" s="2">
        <f t="shared" si="1457"/>
        <v>0.15114640259790862</v>
      </c>
      <c r="N3276" s="2">
        <f t="shared" si="1458"/>
        <v>0.84885359740209132</v>
      </c>
    </row>
    <row r="3277" spans="1:16" x14ac:dyDescent="0.35">
      <c r="A3277" t="s">
        <v>36</v>
      </c>
      <c r="B3277" t="s">
        <v>29</v>
      </c>
      <c r="C3277">
        <v>2002</v>
      </c>
      <c r="D3277" t="s">
        <v>31</v>
      </c>
      <c r="E3277" s="8">
        <v>264</v>
      </c>
      <c r="F3277" s="8">
        <v>127</v>
      </c>
      <c r="G3277" s="1">
        <f t="shared" si="1453"/>
        <v>391</v>
      </c>
      <c r="H3277" s="2">
        <f t="shared" si="1454"/>
        <v>0.67519181585677746</v>
      </c>
      <c r="I3277" s="2">
        <f t="shared" si="1455"/>
        <v>0.32480818414322249</v>
      </c>
      <c r="J3277" s="14">
        <v>16483.644</v>
      </c>
      <c r="K3277" s="14">
        <v>83796.195000000007</v>
      </c>
      <c r="L3277" s="1">
        <f t="shared" si="1456"/>
        <v>100279.83900000001</v>
      </c>
      <c r="M3277" s="2">
        <f t="shared" si="1457"/>
        <v>0.16437645058444897</v>
      </c>
      <c r="N3277" s="2">
        <f t="shared" si="1458"/>
        <v>0.83562354941555106</v>
      </c>
    </row>
    <row r="3278" spans="1:16" x14ac:dyDescent="0.35">
      <c r="A3278" t="s">
        <v>36</v>
      </c>
      <c r="B3278" t="s">
        <v>17</v>
      </c>
      <c r="C3278">
        <v>2003</v>
      </c>
      <c r="D3278" t="s">
        <v>31</v>
      </c>
      <c r="E3278" s="8">
        <f>254+19</f>
        <v>273</v>
      </c>
      <c r="F3278" s="8">
        <f>122+9</f>
        <v>131</v>
      </c>
      <c r="G3278" s="1">
        <f t="shared" si="1453"/>
        <v>404</v>
      </c>
      <c r="H3278" s="2">
        <f t="shared" si="1454"/>
        <v>0.67574257425742579</v>
      </c>
      <c r="I3278" s="2">
        <f t="shared" si="1455"/>
        <v>0.32425742574257427</v>
      </c>
      <c r="J3278" s="14">
        <f>12288+2356</f>
        <v>14644</v>
      </c>
      <c r="K3278" s="14">
        <f>70086+3171</f>
        <v>73257</v>
      </c>
      <c r="L3278" s="1">
        <f t="shared" si="1456"/>
        <v>87901</v>
      </c>
      <c r="M3278" s="2">
        <f t="shared" si="1457"/>
        <v>0.16659651198507411</v>
      </c>
      <c r="N3278" s="2">
        <f t="shared" si="1458"/>
        <v>0.83340348801492592</v>
      </c>
    </row>
    <row r="3279" spans="1:16" x14ac:dyDescent="0.35">
      <c r="A3279" t="s">
        <v>36</v>
      </c>
      <c r="B3279" t="s">
        <v>19</v>
      </c>
      <c r="C3279">
        <v>2003</v>
      </c>
      <c r="D3279" t="s">
        <v>31</v>
      </c>
      <c r="E3279" s="8">
        <f>240+20</f>
        <v>260</v>
      </c>
      <c r="F3279" s="8">
        <f>122+7</f>
        <v>129</v>
      </c>
      <c r="G3279" s="1">
        <f t="shared" si="1453"/>
        <v>389</v>
      </c>
      <c r="H3279" s="2">
        <f t="shared" si="1454"/>
        <v>0.66838046272493579</v>
      </c>
      <c r="I3279" s="2">
        <f t="shared" si="1455"/>
        <v>0.33161953727506427</v>
      </c>
      <c r="J3279" s="14">
        <f>10590+2079</f>
        <v>12669</v>
      </c>
      <c r="K3279" s="14">
        <f>65610+2387</f>
        <v>67997</v>
      </c>
      <c r="L3279" s="1">
        <f t="shared" si="1456"/>
        <v>80666</v>
      </c>
      <c r="M3279" s="2">
        <f t="shared" si="1457"/>
        <v>0.15705501698361143</v>
      </c>
      <c r="N3279" s="2">
        <f t="shared" si="1458"/>
        <v>0.84294498301638854</v>
      </c>
    </row>
    <row r="3280" spans="1:16" x14ac:dyDescent="0.35">
      <c r="A3280" t="s">
        <v>36</v>
      </c>
      <c r="B3280" t="s">
        <v>20</v>
      </c>
      <c r="C3280">
        <v>2003</v>
      </c>
      <c r="D3280" t="s">
        <v>31</v>
      </c>
      <c r="E3280" s="8">
        <f>247+20</f>
        <v>267</v>
      </c>
      <c r="F3280" s="8">
        <f>122+5</f>
        <v>127</v>
      </c>
      <c r="G3280" s="1">
        <f t="shared" si="1453"/>
        <v>394</v>
      </c>
      <c r="H3280" s="2">
        <f t="shared" si="1454"/>
        <v>0.67766497461928932</v>
      </c>
      <c r="I3280" s="2">
        <f t="shared" si="1455"/>
        <v>0.32233502538071068</v>
      </c>
      <c r="J3280" s="14">
        <f>11525+1205</f>
        <v>12730</v>
      </c>
      <c r="K3280" s="14">
        <f>63240+3152</f>
        <v>66392</v>
      </c>
      <c r="L3280" s="1">
        <f t="shared" si="1456"/>
        <v>79122</v>
      </c>
      <c r="M3280" s="2">
        <f t="shared" si="1457"/>
        <v>0.16089077626955842</v>
      </c>
      <c r="N3280" s="2">
        <f t="shared" si="1458"/>
        <v>0.83910922373044161</v>
      </c>
    </row>
    <row r="3281" spans="1:14" x14ac:dyDescent="0.35">
      <c r="A3281" t="s">
        <v>36</v>
      </c>
      <c r="B3281" t="s">
        <v>21</v>
      </c>
      <c r="C3281">
        <v>2003</v>
      </c>
      <c r="D3281" t="s">
        <v>31</v>
      </c>
      <c r="E3281" s="8">
        <v>261</v>
      </c>
      <c r="F3281" s="8">
        <v>130</v>
      </c>
      <c r="G3281" s="1">
        <f t="shared" si="1453"/>
        <v>391</v>
      </c>
      <c r="H3281" s="2">
        <f t="shared" si="1454"/>
        <v>0.6675191815856778</v>
      </c>
      <c r="I3281" s="2">
        <f t="shared" si="1455"/>
        <v>0.33248081841432225</v>
      </c>
      <c r="J3281" s="14">
        <f>12298+886</f>
        <v>13184</v>
      </c>
      <c r="K3281" s="14">
        <f>3538+64241</f>
        <v>67779</v>
      </c>
      <c r="L3281" s="1">
        <f t="shared" si="1456"/>
        <v>80963</v>
      </c>
      <c r="M3281" s="2">
        <f t="shared" si="1457"/>
        <v>0.16283981571829106</v>
      </c>
      <c r="N3281" s="2">
        <f t="shared" si="1458"/>
        <v>0.83716018428170891</v>
      </c>
    </row>
    <row r="3282" spans="1:14" x14ac:dyDescent="0.35">
      <c r="A3282" t="s">
        <v>36</v>
      </c>
      <c r="B3282" t="s">
        <v>22</v>
      </c>
      <c r="C3282">
        <v>2003</v>
      </c>
      <c r="D3282" t="s">
        <v>31</v>
      </c>
      <c r="E3282" s="8">
        <v>259</v>
      </c>
      <c r="F3282" s="8">
        <f>130</f>
        <v>130</v>
      </c>
      <c r="G3282" s="1">
        <f t="shared" si="1453"/>
        <v>389</v>
      </c>
      <c r="H3282" s="2">
        <f t="shared" si="1454"/>
        <v>0.66580976863753216</v>
      </c>
      <c r="I3282" s="2">
        <f t="shared" si="1455"/>
        <v>0.33419023136246789</v>
      </c>
      <c r="J3282" s="14">
        <f>11875+2057</f>
        <v>13932</v>
      </c>
      <c r="K3282" s="14">
        <f>59074+4337</f>
        <v>63411</v>
      </c>
      <c r="L3282" s="1">
        <f t="shared" si="1456"/>
        <v>77343</v>
      </c>
      <c r="M3282" s="2">
        <f t="shared" si="1457"/>
        <v>0.18013265583181412</v>
      </c>
      <c r="N3282" s="2">
        <f t="shared" si="1458"/>
        <v>0.81986734416818585</v>
      </c>
    </row>
    <row r="3283" spans="1:14" x14ac:dyDescent="0.35">
      <c r="A3283" t="s">
        <v>36</v>
      </c>
      <c r="B3283" t="s">
        <v>23</v>
      </c>
      <c r="C3283">
        <v>2003</v>
      </c>
      <c r="D3283" t="s">
        <v>31</v>
      </c>
      <c r="E3283" s="8">
        <v>258</v>
      </c>
      <c r="F3283" s="8">
        <v>136</v>
      </c>
      <c r="G3283" s="1">
        <f t="shared" si="1453"/>
        <v>394</v>
      </c>
      <c r="H3283" s="2">
        <f t="shared" si="1454"/>
        <v>0.65482233502538068</v>
      </c>
      <c r="I3283" s="2">
        <f t="shared" si="1455"/>
        <v>0.34517766497461927</v>
      </c>
      <c r="J3283" s="14">
        <f>2335+10678</f>
        <v>13013</v>
      </c>
      <c r="K3283" s="14">
        <f>65206+3897</f>
        <v>69103</v>
      </c>
      <c r="L3283" s="1">
        <f t="shared" si="1456"/>
        <v>82116</v>
      </c>
      <c r="M3283" s="2">
        <f t="shared" si="1457"/>
        <v>0.15847094354328023</v>
      </c>
      <c r="N3283" s="2">
        <f t="shared" si="1458"/>
        <v>0.84152905645671972</v>
      </c>
    </row>
    <row r="3284" spans="1:14" x14ac:dyDescent="0.35">
      <c r="A3284" t="s">
        <v>36</v>
      </c>
      <c r="B3284" t="s">
        <v>24</v>
      </c>
      <c r="C3284">
        <v>2003</v>
      </c>
      <c r="D3284" t="s">
        <v>31</v>
      </c>
      <c r="E3284" s="8">
        <v>251</v>
      </c>
      <c r="F3284" s="8">
        <v>143</v>
      </c>
      <c r="G3284" s="1">
        <f t="shared" si="1453"/>
        <v>394</v>
      </c>
      <c r="H3284" s="2">
        <f t="shared" si="1454"/>
        <v>0.63705583756345174</v>
      </c>
      <c r="I3284" s="2">
        <f t="shared" si="1455"/>
        <v>0.3629441624365482</v>
      </c>
      <c r="J3284" s="14">
        <f>11314+683</f>
        <v>11997</v>
      </c>
      <c r="K3284" s="14">
        <f>70743+4163</f>
        <v>74906</v>
      </c>
      <c r="L3284" s="1">
        <f t="shared" si="1456"/>
        <v>86903</v>
      </c>
      <c r="M3284" s="2">
        <f t="shared" si="1457"/>
        <v>0.13805047006432458</v>
      </c>
      <c r="N3284" s="2">
        <f t="shared" si="1458"/>
        <v>0.86194952993567542</v>
      </c>
    </row>
    <row r="3285" spans="1:14" x14ac:dyDescent="0.35">
      <c r="A3285" t="s">
        <v>36</v>
      </c>
      <c r="B3285" t="s">
        <v>25</v>
      </c>
      <c r="C3285">
        <v>2003</v>
      </c>
      <c r="D3285" t="s">
        <v>31</v>
      </c>
      <c r="E3285" s="8">
        <v>242</v>
      </c>
      <c r="F3285" s="8">
        <v>148</v>
      </c>
      <c r="G3285" s="1">
        <f t="shared" si="1453"/>
        <v>390</v>
      </c>
      <c r="H3285" s="2">
        <f t="shared" si="1454"/>
        <v>0.62051282051282053</v>
      </c>
      <c r="I3285" s="2">
        <f t="shared" si="1455"/>
        <v>0.37948717948717947</v>
      </c>
      <c r="J3285" s="14">
        <f>9665+434</f>
        <v>10099</v>
      </c>
      <c r="K3285" s="14">
        <f>73109+4213</f>
        <v>77322</v>
      </c>
      <c r="L3285" s="1">
        <f t="shared" si="1456"/>
        <v>87421</v>
      </c>
      <c r="M3285" s="2">
        <f t="shared" si="1457"/>
        <v>0.11552144221640109</v>
      </c>
      <c r="N3285" s="2">
        <f t="shared" si="1458"/>
        <v>0.88447855778359885</v>
      </c>
    </row>
    <row r="3286" spans="1:14" x14ac:dyDescent="0.35">
      <c r="A3286" t="s">
        <v>36</v>
      </c>
      <c r="B3286" t="s">
        <v>26</v>
      </c>
      <c r="C3286">
        <v>2003</v>
      </c>
      <c r="D3286" t="s">
        <v>31</v>
      </c>
      <c r="E3286" s="8">
        <v>241</v>
      </c>
      <c r="F3286" s="8">
        <v>152</v>
      </c>
      <c r="G3286" s="1">
        <f t="shared" si="1453"/>
        <v>393</v>
      </c>
      <c r="H3286" s="2">
        <f t="shared" si="1454"/>
        <v>0.61323155216284986</v>
      </c>
      <c r="I3286" s="2">
        <f t="shared" si="1455"/>
        <v>0.38676844783715014</v>
      </c>
      <c r="J3286" s="14">
        <f>10065+730</f>
        <v>10795</v>
      </c>
      <c r="K3286" s="14">
        <f>72697+3878</f>
        <v>76575</v>
      </c>
      <c r="L3286" s="1">
        <f t="shared" si="1456"/>
        <v>87370</v>
      </c>
      <c r="M3286" s="2">
        <f t="shared" si="1457"/>
        <v>0.1235549959940483</v>
      </c>
      <c r="N3286" s="2">
        <f t="shared" si="1458"/>
        <v>0.87644500400595171</v>
      </c>
    </row>
    <row r="3287" spans="1:14" x14ac:dyDescent="0.35">
      <c r="A3287" t="s">
        <v>36</v>
      </c>
      <c r="B3287" t="s">
        <v>27</v>
      </c>
      <c r="C3287">
        <v>2003</v>
      </c>
      <c r="D3287" t="s">
        <v>31</v>
      </c>
      <c r="E3287" s="8">
        <f>254</f>
        <v>254</v>
      </c>
      <c r="F3287" s="8">
        <v>164</v>
      </c>
      <c r="G3287" s="1">
        <f t="shared" si="1453"/>
        <v>418</v>
      </c>
      <c r="H3287" s="2">
        <f t="shared" si="1454"/>
        <v>0.60765550239234445</v>
      </c>
      <c r="I3287" s="2">
        <f t="shared" si="1455"/>
        <v>0.3923444976076555</v>
      </c>
      <c r="J3287" s="14">
        <f>10165+1657</f>
        <v>11822</v>
      </c>
      <c r="K3287" s="14">
        <f>77536+2974</f>
        <v>80510</v>
      </c>
      <c r="L3287" s="1">
        <f t="shared" si="1456"/>
        <v>92332</v>
      </c>
      <c r="M3287" s="2">
        <f t="shared" si="1457"/>
        <v>0.12803795000649829</v>
      </c>
      <c r="N3287" s="2">
        <f t="shared" si="1458"/>
        <v>0.87196204999350169</v>
      </c>
    </row>
    <row r="3288" spans="1:14" x14ac:dyDescent="0.35">
      <c r="A3288" t="s">
        <v>36</v>
      </c>
      <c r="B3288" t="s">
        <v>28</v>
      </c>
      <c r="C3288">
        <v>2003</v>
      </c>
      <c r="D3288" t="s">
        <v>31</v>
      </c>
      <c r="E3288" s="8">
        <v>220</v>
      </c>
      <c r="F3288" s="8">
        <v>139</v>
      </c>
      <c r="G3288" s="1">
        <f t="shared" si="1453"/>
        <v>359</v>
      </c>
      <c r="H3288" s="2">
        <f t="shared" si="1454"/>
        <v>0.61281337047353757</v>
      </c>
      <c r="I3288" s="2">
        <f t="shared" si="1455"/>
        <v>0.38718662952646238</v>
      </c>
      <c r="J3288" s="14">
        <f>8082+1459</f>
        <v>9541</v>
      </c>
      <c r="K3288" s="14">
        <f>59123+2260</f>
        <v>61383</v>
      </c>
      <c r="L3288" s="1">
        <f t="shared" si="1456"/>
        <v>70924</v>
      </c>
      <c r="M3288" s="2">
        <f t="shared" si="1457"/>
        <v>0.13452427951046189</v>
      </c>
      <c r="N3288" s="2">
        <f t="shared" si="1458"/>
        <v>0.86547572048953814</v>
      </c>
    </row>
    <row r="3289" spans="1:14" x14ac:dyDescent="0.35">
      <c r="A3289" t="s">
        <v>36</v>
      </c>
      <c r="B3289" t="s">
        <v>29</v>
      </c>
      <c r="C3289">
        <v>2003</v>
      </c>
      <c r="D3289" t="s">
        <v>31</v>
      </c>
      <c r="E3289" s="8">
        <v>232</v>
      </c>
      <c r="F3289" s="8">
        <v>154</v>
      </c>
      <c r="G3289" s="1">
        <f t="shared" si="1453"/>
        <v>386</v>
      </c>
      <c r="H3289" s="2">
        <f t="shared" si="1454"/>
        <v>0.60103626943005184</v>
      </c>
      <c r="I3289" s="2">
        <f t="shared" si="1455"/>
        <v>0.39896373056994816</v>
      </c>
      <c r="J3289" s="14">
        <f>8974+2593</f>
        <v>11567</v>
      </c>
      <c r="K3289" s="14">
        <f>63581+2685</f>
        <v>66266</v>
      </c>
      <c r="L3289" s="1">
        <f t="shared" si="1456"/>
        <v>77833</v>
      </c>
      <c r="M3289" s="2">
        <f t="shared" si="1457"/>
        <v>0.14861305615869874</v>
      </c>
      <c r="N3289" s="2">
        <f t="shared" si="1458"/>
        <v>0.8513869438413012</v>
      </c>
    </row>
    <row r="3290" spans="1:14" x14ac:dyDescent="0.35">
      <c r="A3290" t="s">
        <v>36</v>
      </c>
      <c r="B3290" t="s">
        <v>17</v>
      </c>
      <c r="C3290">
        <v>2004</v>
      </c>
      <c r="D3290" t="s">
        <v>31</v>
      </c>
      <c r="E3290" s="8">
        <f>206+20</f>
        <v>226</v>
      </c>
      <c r="F3290" s="8">
        <f>160+5</f>
        <v>165</v>
      </c>
      <c r="G3290" s="1">
        <f t="shared" si="1453"/>
        <v>391</v>
      </c>
      <c r="H3290" s="2">
        <f t="shared" si="1454"/>
        <v>0.57800511508951402</v>
      </c>
      <c r="I3290" s="2">
        <f t="shared" si="1455"/>
        <v>0.42199488491048592</v>
      </c>
      <c r="J3290" s="14">
        <f>8529+2361</f>
        <v>10890</v>
      </c>
      <c r="K3290" s="14">
        <f>72505+2352</f>
        <v>74857</v>
      </c>
      <c r="L3290" s="1">
        <f t="shared" si="1456"/>
        <v>85747</v>
      </c>
      <c r="M3290" s="2">
        <f t="shared" si="1457"/>
        <v>0.12700152775024198</v>
      </c>
      <c r="N3290" s="2">
        <f t="shared" si="1458"/>
        <v>0.87299847224975802</v>
      </c>
    </row>
    <row r="3291" spans="1:14" x14ac:dyDescent="0.35">
      <c r="A3291" t="s">
        <v>36</v>
      </c>
      <c r="B3291" t="s">
        <v>19</v>
      </c>
      <c r="C3291">
        <v>2004</v>
      </c>
      <c r="D3291" t="s">
        <v>31</v>
      </c>
      <c r="E3291" s="8">
        <f>193+20</f>
        <v>213</v>
      </c>
      <c r="F3291" s="8">
        <f>157+3</f>
        <v>160</v>
      </c>
      <c r="G3291" s="1">
        <f t="shared" si="1453"/>
        <v>373</v>
      </c>
      <c r="H3291" s="2">
        <f t="shared" si="1454"/>
        <v>0.57104557640750675</v>
      </c>
      <c r="I3291" s="2">
        <f t="shared" si="1455"/>
        <v>0.42895442359249331</v>
      </c>
      <c r="J3291" s="14">
        <f>7024+1205</f>
        <v>8229</v>
      </c>
      <c r="K3291" s="14">
        <f>58023+644</f>
        <v>58667</v>
      </c>
      <c r="L3291" s="1">
        <f t="shared" si="1456"/>
        <v>66896</v>
      </c>
      <c r="M3291" s="2">
        <f t="shared" si="1457"/>
        <v>0.12301183927290121</v>
      </c>
      <c r="N3291" s="2">
        <f t="shared" si="1458"/>
        <v>0.87698816072709873</v>
      </c>
    </row>
    <row r="3292" spans="1:14" x14ac:dyDescent="0.35">
      <c r="A3292" t="s">
        <v>36</v>
      </c>
      <c r="B3292" t="s">
        <v>20</v>
      </c>
      <c r="C3292">
        <v>2004</v>
      </c>
      <c r="D3292" t="s">
        <v>31</v>
      </c>
      <c r="E3292" s="8">
        <f>197+20</f>
        <v>217</v>
      </c>
      <c r="F3292" s="8">
        <f>188+7</f>
        <v>195</v>
      </c>
      <c r="G3292" s="1">
        <f t="shared" si="1453"/>
        <v>412</v>
      </c>
      <c r="H3292" s="2">
        <f t="shared" si="1454"/>
        <v>0.52669902912621358</v>
      </c>
      <c r="I3292" s="2">
        <f t="shared" si="1455"/>
        <v>0.47330097087378642</v>
      </c>
      <c r="J3292" s="14">
        <f>7554+713</f>
        <v>8267</v>
      </c>
      <c r="K3292" s="14">
        <f>71998+3446</f>
        <v>75444</v>
      </c>
      <c r="L3292" s="1">
        <f t="shared" si="1456"/>
        <v>83711</v>
      </c>
      <c r="M3292" s="2">
        <f t="shared" si="1457"/>
        <v>9.8756435832805731E-2</v>
      </c>
      <c r="N3292" s="2">
        <f t="shared" si="1458"/>
        <v>0.90124356416719431</v>
      </c>
    </row>
    <row r="3293" spans="1:14" x14ac:dyDescent="0.35">
      <c r="A3293" t="s">
        <v>36</v>
      </c>
      <c r="B3293" t="s">
        <v>21</v>
      </c>
      <c r="C3293">
        <v>2004</v>
      </c>
      <c r="D3293" t="s">
        <v>31</v>
      </c>
      <c r="E3293" s="8">
        <f>185+20</f>
        <v>205</v>
      </c>
      <c r="F3293" s="8">
        <f>172+5</f>
        <v>177</v>
      </c>
      <c r="G3293" s="1">
        <f t="shared" si="1453"/>
        <v>382</v>
      </c>
      <c r="H3293" s="2">
        <f t="shared" si="1454"/>
        <v>0.53664921465968585</v>
      </c>
      <c r="I3293" s="2">
        <f t="shared" si="1455"/>
        <v>0.46335078534031415</v>
      </c>
      <c r="J3293" s="14">
        <f>7164+2141</f>
        <v>9305</v>
      </c>
      <c r="K3293" s="14">
        <f>58777+2745</f>
        <v>61522</v>
      </c>
      <c r="L3293" s="1">
        <f t="shared" si="1456"/>
        <v>70827</v>
      </c>
      <c r="M3293" s="2">
        <f t="shared" si="1457"/>
        <v>0.13137645248281024</v>
      </c>
      <c r="N3293" s="2">
        <f t="shared" si="1458"/>
        <v>0.86862354751718973</v>
      </c>
    </row>
    <row r="3294" spans="1:14" x14ac:dyDescent="0.35">
      <c r="A3294" t="s">
        <v>36</v>
      </c>
      <c r="B3294" t="s">
        <v>22</v>
      </c>
      <c r="C3294">
        <v>2004</v>
      </c>
      <c r="D3294" t="s">
        <v>31</v>
      </c>
      <c r="E3294" s="8">
        <f>174+19</f>
        <v>193</v>
      </c>
      <c r="F3294" s="8">
        <f>172+4</f>
        <v>176</v>
      </c>
      <c r="G3294" s="1">
        <f t="shared" si="1453"/>
        <v>369</v>
      </c>
      <c r="H3294" s="2">
        <f t="shared" si="1454"/>
        <v>0.52303523035230348</v>
      </c>
      <c r="I3294" s="2">
        <f t="shared" si="1455"/>
        <v>0.47696476964769646</v>
      </c>
      <c r="J3294" s="14">
        <f>6142+1062</f>
        <v>7204</v>
      </c>
      <c r="K3294" s="14">
        <f>62891+3288</f>
        <v>66179</v>
      </c>
      <c r="L3294" s="1">
        <f t="shared" si="1456"/>
        <v>73383</v>
      </c>
      <c r="M3294" s="2">
        <f t="shared" si="1457"/>
        <v>9.8169875856806074E-2</v>
      </c>
      <c r="N3294" s="2">
        <f t="shared" si="1458"/>
        <v>0.90183012414319397</v>
      </c>
    </row>
    <row r="3295" spans="1:14" x14ac:dyDescent="0.35">
      <c r="A3295" t="s">
        <v>36</v>
      </c>
      <c r="B3295" t="s">
        <v>23</v>
      </c>
      <c r="C3295">
        <v>2004</v>
      </c>
      <c r="D3295" t="s">
        <v>31</v>
      </c>
      <c r="E3295" s="8">
        <f>171+19</f>
        <v>190</v>
      </c>
      <c r="F3295" s="8">
        <f>192+6</f>
        <v>198</v>
      </c>
      <c r="G3295" s="1">
        <f t="shared" si="1453"/>
        <v>388</v>
      </c>
      <c r="H3295" s="2">
        <f t="shared" si="1454"/>
        <v>0.48969072164948452</v>
      </c>
      <c r="I3295" s="2">
        <f t="shared" si="1455"/>
        <v>0.51030927835051543</v>
      </c>
      <c r="J3295" s="14">
        <f>6520+1634</f>
        <v>8154</v>
      </c>
      <c r="K3295" s="14">
        <f>74122+5676</f>
        <v>79798</v>
      </c>
      <c r="L3295" s="1">
        <f t="shared" si="1456"/>
        <v>87952</v>
      </c>
      <c r="M3295" s="2">
        <f t="shared" si="1457"/>
        <v>9.2709659814444248E-2</v>
      </c>
      <c r="N3295" s="2">
        <f t="shared" si="1458"/>
        <v>0.90729034018555577</v>
      </c>
    </row>
    <row r="3296" spans="1:14" x14ac:dyDescent="0.35">
      <c r="A3296" t="s">
        <v>36</v>
      </c>
      <c r="B3296" t="s">
        <v>24</v>
      </c>
      <c r="C3296">
        <v>2004</v>
      </c>
      <c r="D3296" t="s">
        <v>31</v>
      </c>
      <c r="E3296" s="8">
        <f>166+19</f>
        <v>185</v>
      </c>
      <c r="F3296" s="8">
        <f>194+5</f>
        <v>199</v>
      </c>
      <c r="G3296" s="1">
        <f t="shared" si="1453"/>
        <v>384</v>
      </c>
      <c r="H3296" s="2">
        <f t="shared" si="1454"/>
        <v>0.48177083333333331</v>
      </c>
      <c r="I3296" s="2">
        <f t="shared" si="1455"/>
        <v>0.51822916666666663</v>
      </c>
      <c r="J3296" s="14">
        <f>5745+1664</f>
        <v>7409</v>
      </c>
      <c r="K3296" s="14">
        <f>74005+4568</f>
        <v>78573</v>
      </c>
      <c r="L3296" s="1">
        <f t="shared" si="1456"/>
        <v>85982</v>
      </c>
      <c r="M3296" s="2">
        <f t="shared" si="1457"/>
        <v>8.6169198204275307E-2</v>
      </c>
      <c r="N3296" s="2">
        <f t="shared" si="1458"/>
        <v>0.91383080179572473</v>
      </c>
    </row>
    <row r="3297" spans="1:14" x14ac:dyDescent="0.35">
      <c r="A3297" t="s">
        <v>36</v>
      </c>
      <c r="B3297" t="s">
        <v>25</v>
      </c>
      <c r="C3297">
        <v>2004</v>
      </c>
      <c r="D3297" t="s">
        <v>31</v>
      </c>
      <c r="E3297" s="8">
        <f>161+19</f>
        <v>180</v>
      </c>
      <c r="F3297" s="8">
        <f>206+5</f>
        <v>211</v>
      </c>
      <c r="G3297" s="1">
        <f t="shared" si="1453"/>
        <v>391</v>
      </c>
      <c r="H3297" s="2">
        <f t="shared" si="1454"/>
        <v>0.46035805626598464</v>
      </c>
      <c r="I3297" s="2">
        <f t="shared" si="1455"/>
        <v>0.53964194373401531</v>
      </c>
      <c r="J3297" s="14">
        <f>5519+804</f>
        <v>6323</v>
      </c>
      <c r="K3297" s="14">
        <f>73696+4658</f>
        <v>78354</v>
      </c>
      <c r="L3297" s="1">
        <f t="shared" si="1456"/>
        <v>84677</v>
      </c>
      <c r="M3297" s="2">
        <f t="shared" si="1457"/>
        <v>7.4671988851754315E-2</v>
      </c>
      <c r="N3297" s="2">
        <f t="shared" si="1458"/>
        <v>0.9253280111482457</v>
      </c>
    </row>
    <row r="3298" spans="1:14" x14ac:dyDescent="0.35">
      <c r="A3298" t="s">
        <v>36</v>
      </c>
      <c r="B3298" t="s">
        <v>26</v>
      </c>
      <c r="C3298">
        <v>2004</v>
      </c>
      <c r="D3298" t="s">
        <v>31</v>
      </c>
      <c r="E3298" s="8">
        <f>125+21</f>
        <v>146</v>
      </c>
      <c r="F3298" s="8">
        <f>188+5</f>
        <v>193</v>
      </c>
      <c r="G3298" s="1">
        <f t="shared" si="1453"/>
        <v>339</v>
      </c>
      <c r="H3298" s="2">
        <f t="shared" si="1454"/>
        <v>0.43067846607669619</v>
      </c>
      <c r="I3298" s="2">
        <f t="shared" si="1455"/>
        <v>0.56932153392330387</v>
      </c>
      <c r="J3298" s="14">
        <f>4984+461</f>
        <v>5445</v>
      </c>
      <c r="K3298" s="14">
        <f>58997+4227</f>
        <v>63224</v>
      </c>
      <c r="L3298" s="1">
        <f t="shared" si="1456"/>
        <v>68669</v>
      </c>
      <c r="M3298" s="2">
        <f t="shared" si="1457"/>
        <v>7.9293422068182143E-2</v>
      </c>
      <c r="N3298" s="2">
        <f t="shared" si="1458"/>
        <v>0.92070657793181787</v>
      </c>
    </row>
    <row r="3299" spans="1:14" x14ac:dyDescent="0.35">
      <c r="A3299" t="s">
        <v>36</v>
      </c>
      <c r="B3299" t="s">
        <v>27</v>
      </c>
      <c r="C3299">
        <v>2004</v>
      </c>
      <c r="D3299" t="s">
        <v>31</v>
      </c>
      <c r="E3299" s="8">
        <v>161</v>
      </c>
      <c r="F3299" s="8">
        <v>228</v>
      </c>
      <c r="G3299" s="1">
        <f t="shared" si="1453"/>
        <v>389</v>
      </c>
      <c r="H3299" s="2">
        <f t="shared" si="1454"/>
        <v>0.41388174807197942</v>
      </c>
      <c r="I3299" s="2">
        <f t="shared" si="1455"/>
        <v>0.58611825192802058</v>
      </c>
      <c r="J3299" s="14">
        <f>5214+560</f>
        <v>5774</v>
      </c>
      <c r="K3299" s="14">
        <f>72713+3254</f>
        <v>75967</v>
      </c>
      <c r="L3299" s="1">
        <f t="shared" si="1456"/>
        <v>81741</v>
      </c>
      <c r="M3299" s="2">
        <f t="shared" si="1457"/>
        <v>7.0637746051553083E-2</v>
      </c>
      <c r="N3299" s="2">
        <f t="shared" si="1458"/>
        <v>0.92936225394844696</v>
      </c>
    </row>
    <row r="3300" spans="1:14" x14ac:dyDescent="0.35">
      <c r="A3300" t="s">
        <v>36</v>
      </c>
      <c r="B3300" t="s">
        <v>28</v>
      </c>
      <c r="C3300">
        <v>2004</v>
      </c>
      <c r="D3300" t="s">
        <v>31</v>
      </c>
      <c r="E3300" s="8">
        <v>152</v>
      </c>
      <c r="F3300" s="8">
        <v>228</v>
      </c>
      <c r="G3300" s="1">
        <f t="shared" si="1453"/>
        <v>380</v>
      </c>
      <c r="H3300" s="2">
        <f t="shared" si="1454"/>
        <v>0.4</v>
      </c>
      <c r="I3300" s="2">
        <f t="shared" si="1455"/>
        <v>0.6</v>
      </c>
      <c r="J3300" s="14">
        <f>4388+649</f>
        <v>5037</v>
      </c>
      <c r="K3300" s="14">
        <f>66735+2214</f>
        <v>68949</v>
      </c>
      <c r="L3300" s="1">
        <f t="shared" si="1456"/>
        <v>73986</v>
      </c>
      <c r="M3300" s="2">
        <f t="shared" si="1457"/>
        <v>6.8080447652258541E-2</v>
      </c>
      <c r="N3300" s="2">
        <f t="shared" si="1458"/>
        <v>0.93191955234774149</v>
      </c>
    </row>
    <row r="3301" spans="1:14" x14ac:dyDescent="0.35">
      <c r="A3301" t="s">
        <v>36</v>
      </c>
      <c r="B3301" t="s">
        <v>29</v>
      </c>
      <c r="C3301">
        <v>2004</v>
      </c>
      <c r="D3301" t="s">
        <v>31</v>
      </c>
      <c r="E3301" s="8">
        <v>140</v>
      </c>
      <c r="F3301" s="8">
        <v>217</v>
      </c>
      <c r="G3301" s="1">
        <f t="shared" si="1453"/>
        <v>357</v>
      </c>
      <c r="H3301" s="2">
        <f t="shared" si="1454"/>
        <v>0.39215686274509803</v>
      </c>
      <c r="I3301" s="2">
        <f t="shared" si="1455"/>
        <v>0.60784313725490191</v>
      </c>
      <c r="J3301" s="14">
        <f>4418+1110</f>
        <v>5528</v>
      </c>
      <c r="K3301" s="14">
        <f>59619+2131</f>
        <v>61750</v>
      </c>
      <c r="L3301" s="1">
        <f t="shared" si="1456"/>
        <v>67278</v>
      </c>
      <c r="M3301" s="2">
        <f t="shared" si="1457"/>
        <v>8.2166532893367811E-2</v>
      </c>
      <c r="N3301" s="2">
        <f t="shared" si="1458"/>
        <v>0.91783346710663216</v>
      </c>
    </row>
    <row r="3302" spans="1:14" x14ac:dyDescent="0.35">
      <c r="A3302" t="s">
        <v>36</v>
      </c>
      <c r="B3302" t="s">
        <v>17</v>
      </c>
      <c r="C3302">
        <v>2005</v>
      </c>
      <c r="D3302" t="s">
        <v>31</v>
      </c>
      <c r="E3302" s="8">
        <v>154</v>
      </c>
      <c r="F3302" s="8">
        <v>235</v>
      </c>
      <c r="G3302" s="1">
        <f t="shared" si="1453"/>
        <v>389</v>
      </c>
      <c r="H3302" s="2">
        <f t="shared" si="1454"/>
        <v>0.39588688946015427</v>
      </c>
      <c r="I3302" s="2">
        <f t="shared" si="1455"/>
        <v>0.60411311053984573</v>
      </c>
      <c r="J3302" s="14">
        <v>5912</v>
      </c>
      <c r="K3302" s="14">
        <f>75446+1736</f>
        <v>77182</v>
      </c>
      <c r="L3302" s="1">
        <f t="shared" si="1456"/>
        <v>83094</v>
      </c>
      <c r="M3302" s="2">
        <f t="shared" si="1457"/>
        <v>7.1148338026813002E-2</v>
      </c>
      <c r="N3302" s="2">
        <f t="shared" si="1458"/>
        <v>0.92885166197318703</v>
      </c>
    </row>
    <row r="3303" spans="1:14" x14ac:dyDescent="0.35">
      <c r="A3303" t="s">
        <v>36</v>
      </c>
      <c r="B3303" t="s">
        <v>19</v>
      </c>
      <c r="C3303">
        <v>2005</v>
      </c>
      <c r="D3303" t="s">
        <v>31</v>
      </c>
      <c r="E3303" s="8">
        <v>137</v>
      </c>
      <c r="F3303" s="8">
        <v>224</v>
      </c>
      <c r="G3303" s="1">
        <f t="shared" si="1453"/>
        <v>361</v>
      </c>
      <c r="H3303" s="2">
        <f t="shared" si="1454"/>
        <v>0.37950138504155123</v>
      </c>
      <c r="I3303" s="2">
        <f t="shared" si="1455"/>
        <v>0.62049861495844871</v>
      </c>
      <c r="J3303" s="14">
        <f>3873+525</f>
        <v>4398</v>
      </c>
      <c r="K3303" s="14">
        <f>66880+315</f>
        <v>67195</v>
      </c>
      <c r="L3303" s="1">
        <f t="shared" si="1456"/>
        <v>71593</v>
      </c>
      <c r="M3303" s="2">
        <f t="shared" si="1457"/>
        <v>6.1430586789211233E-2</v>
      </c>
      <c r="N3303" s="2">
        <f t="shared" si="1458"/>
        <v>0.93856941321078879</v>
      </c>
    </row>
    <row r="3304" spans="1:14" x14ac:dyDescent="0.35">
      <c r="A3304" t="s">
        <v>36</v>
      </c>
      <c r="B3304" t="s">
        <v>20</v>
      </c>
      <c r="C3304">
        <v>2005</v>
      </c>
      <c r="D3304" t="s">
        <v>31</v>
      </c>
      <c r="E3304" s="8">
        <v>124</v>
      </c>
      <c r="F3304" s="8">
        <v>207</v>
      </c>
      <c r="G3304" s="1">
        <f t="shared" si="1453"/>
        <v>331</v>
      </c>
      <c r="H3304" s="2">
        <f t="shared" si="1454"/>
        <v>0.37462235649546827</v>
      </c>
      <c r="I3304" s="2">
        <f t="shared" si="1455"/>
        <v>0.62537764350453173</v>
      </c>
      <c r="J3304" s="14">
        <f>3895+1693</f>
        <v>5588</v>
      </c>
      <c r="K3304" s="14">
        <f>63886+1041</f>
        <v>64927</v>
      </c>
      <c r="L3304" s="1">
        <f t="shared" si="1456"/>
        <v>70515</v>
      </c>
      <c r="M3304" s="2">
        <f t="shared" si="1457"/>
        <v>7.9245550592072611E-2</v>
      </c>
      <c r="N3304" s="2">
        <f t="shared" si="1458"/>
        <v>0.92075444940792739</v>
      </c>
    </row>
    <row r="3305" spans="1:14" x14ac:dyDescent="0.35">
      <c r="A3305" t="s">
        <v>36</v>
      </c>
      <c r="B3305" t="s">
        <v>21</v>
      </c>
      <c r="C3305">
        <v>2005</v>
      </c>
      <c r="D3305" t="s">
        <v>31</v>
      </c>
      <c r="E3305" s="8">
        <v>126</v>
      </c>
      <c r="F3305" s="8">
        <v>226</v>
      </c>
      <c r="G3305" s="1">
        <f t="shared" si="1453"/>
        <v>352</v>
      </c>
      <c r="H3305" s="2">
        <f t="shared" si="1454"/>
        <v>0.35795454545454547</v>
      </c>
      <c r="I3305" s="2">
        <f t="shared" si="1455"/>
        <v>0.64204545454545459</v>
      </c>
      <c r="J3305" s="14">
        <f>4201+911</f>
        <v>5112</v>
      </c>
      <c r="K3305" s="14">
        <f>61834+1929</f>
        <v>63763</v>
      </c>
      <c r="L3305" s="1">
        <f t="shared" si="1456"/>
        <v>68875</v>
      </c>
      <c r="M3305" s="2">
        <f t="shared" si="1457"/>
        <v>7.422141560798548E-2</v>
      </c>
      <c r="N3305" s="2">
        <f t="shared" si="1458"/>
        <v>0.92577858439201455</v>
      </c>
    </row>
    <row r="3306" spans="1:14" x14ac:dyDescent="0.35">
      <c r="A3306" t="s">
        <v>36</v>
      </c>
      <c r="B3306" t="s">
        <v>22</v>
      </c>
      <c r="C3306">
        <v>2005</v>
      </c>
      <c r="D3306" t="s">
        <v>31</v>
      </c>
      <c r="E3306" s="8">
        <v>127</v>
      </c>
      <c r="F3306" s="8">
        <v>231</v>
      </c>
      <c r="G3306" s="1">
        <f t="shared" si="1453"/>
        <v>358</v>
      </c>
      <c r="H3306" s="2">
        <f t="shared" si="1454"/>
        <v>0.35474860335195529</v>
      </c>
      <c r="I3306" s="2">
        <f t="shared" si="1455"/>
        <v>0.64525139664804465</v>
      </c>
      <c r="J3306" s="14">
        <f>3957+1762</f>
        <v>5719</v>
      </c>
      <c r="K3306" s="14">
        <f>64714+2103</f>
        <v>66817</v>
      </c>
      <c r="L3306" s="1">
        <f t="shared" si="1456"/>
        <v>72536</v>
      </c>
      <c r="M3306" s="2">
        <f t="shared" si="1457"/>
        <v>7.8843608690856951E-2</v>
      </c>
      <c r="N3306" s="2">
        <f t="shared" si="1458"/>
        <v>0.92115639130914306</v>
      </c>
    </row>
    <row r="3307" spans="1:14" x14ac:dyDescent="0.35">
      <c r="A3307" t="s">
        <v>36</v>
      </c>
      <c r="B3307" t="s">
        <v>23</v>
      </c>
      <c r="C3307">
        <v>2005</v>
      </c>
      <c r="D3307" t="s">
        <v>31</v>
      </c>
      <c r="E3307" s="8">
        <v>111</v>
      </c>
      <c r="F3307" s="8">
        <v>249</v>
      </c>
      <c r="G3307" s="1">
        <f t="shared" si="1453"/>
        <v>360</v>
      </c>
      <c r="H3307" s="2">
        <f t="shared" si="1454"/>
        <v>0.30833333333333335</v>
      </c>
      <c r="I3307" s="2">
        <f t="shared" si="1455"/>
        <v>0.69166666666666665</v>
      </c>
      <c r="J3307" s="14">
        <f>3848+1192</f>
        <v>5040</v>
      </c>
      <c r="K3307" s="14">
        <f>75363+4141</f>
        <v>79504</v>
      </c>
      <c r="L3307" s="1">
        <f t="shared" si="1456"/>
        <v>84544</v>
      </c>
      <c r="M3307" s="2">
        <f t="shared" si="1457"/>
        <v>5.9613928841786526E-2</v>
      </c>
      <c r="N3307" s="2">
        <f t="shared" si="1458"/>
        <v>0.94038607115821349</v>
      </c>
    </row>
    <row r="3308" spans="1:14" x14ac:dyDescent="0.35">
      <c r="A3308" t="s">
        <v>36</v>
      </c>
      <c r="B3308" t="s">
        <v>24</v>
      </c>
      <c r="C3308">
        <v>2005</v>
      </c>
      <c r="D3308" t="s">
        <v>31</v>
      </c>
      <c r="E3308" s="8">
        <v>117</v>
      </c>
      <c r="F3308" s="8">
        <v>234</v>
      </c>
      <c r="G3308" s="1">
        <f t="shared" si="1453"/>
        <v>351</v>
      </c>
      <c r="H3308" s="2">
        <f t="shared" si="1454"/>
        <v>0.33333333333333331</v>
      </c>
      <c r="I3308" s="2">
        <f t="shared" si="1455"/>
        <v>0.66666666666666663</v>
      </c>
      <c r="J3308" s="14">
        <f>4353+1209</f>
        <v>5562</v>
      </c>
      <c r="K3308" s="14">
        <f>76301+2857</f>
        <v>79158</v>
      </c>
      <c r="L3308" s="1">
        <f t="shared" si="1456"/>
        <v>84720</v>
      </c>
      <c r="M3308" s="2">
        <f t="shared" si="1457"/>
        <v>6.5651558073654387E-2</v>
      </c>
      <c r="N3308" s="2">
        <f t="shared" si="1458"/>
        <v>0.93434844192634559</v>
      </c>
    </row>
    <row r="3309" spans="1:14" x14ac:dyDescent="0.35">
      <c r="A3309" t="s">
        <v>36</v>
      </c>
      <c r="B3309" t="s">
        <v>25</v>
      </c>
      <c r="C3309">
        <v>2005</v>
      </c>
      <c r="D3309" t="s">
        <v>31</v>
      </c>
      <c r="E3309" s="8">
        <v>115</v>
      </c>
      <c r="F3309" s="8">
        <v>260</v>
      </c>
      <c r="G3309" s="1">
        <f t="shared" si="1453"/>
        <v>375</v>
      </c>
      <c r="H3309" s="2">
        <f t="shared" si="1454"/>
        <v>0.30666666666666664</v>
      </c>
      <c r="I3309" s="2">
        <f t="shared" si="1455"/>
        <v>0.69333333333333336</v>
      </c>
      <c r="J3309" s="14">
        <f>3545+406</f>
        <v>3951</v>
      </c>
      <c r="K3309" s="14">
        <f>73433+2589</f>
        <v>76022</v>
      </c>
      <c r="L3309" s="1">
        <f t="shared" si="1456"/>
        <v>79973</v>
      </c>
      <c r="M3309" s="2">
        <f t="shared" si="1457"/>
        <v>4.9404173908694185E-2</v>
      </c>
      <c r="N3309" s="2">
        <f t="shared" si="1458"/>
        <v>0.95059582609130577</v>
      </c>
    </row>
    <row r="3310" spans="1:14" x14ac:dyDescent="0.35">
      <c r="A3310" t="s">
        <v>36</v>
      </c>
      <c r="B3310" t="s">
        <v>26</v>
      </c>
      <c r="C3310">
        <v>2005</v>
      </c>
      <c r="D3310" t="s">
        <v>31</v>
      </c>
      <c r="E3310" s="8">
        <v>113</v>
      </c>
      <c r="F3310" s="8">
        <v>249</v>
      </c>
      <c r="G3310" s="1">
        <f t="shared" si="1453"/>
        <v>362</v>
      </c>
      <c r="H3310" s="2">
        <f t="shared" si="1454"/>
        <v>0.31215469613259667</v>
      </c>
      <c r="I3310" s="2">
        <f t="shared" si="1455"/>
        <v>0.68784530386740328</v>
      </c>
      <c r="J3310" s="14">
        <f>4077+288</f>
        <v>4365</v>
      </c>
      <c r="K3310" s="14">
        <f>1805+74871</f>
        <v>76676</v>
      </c>
      <c r="L3310" s="1">
        <f t="shared" si="1456"/>
        <v>81041</v>
      </c>
      <c r="M3310" s="2">
        <f t="shared" si="1457"/>
        <v>5.3861625596920079E-2</v>
      </c>
      <c r="N3310" s="2">
        <f t="shared" si="1458"/>
        <v>0.94613837440307991</v>
      </c>
    </row>
    <row r="3311" spans="1:14" x14ac:dyDescent="0.35">
      <c r="A3311" t="s">
        <v>36</v>
      </c>
      <c r="B3311" t="s">
        <v>27</v>
      </c>
      <c r="C3311">
        <v>2005</v>
      </c>
      <c r="D3311" t="s">
        <v>31</v>
      </c>
      <c r="E3311" s="8">
        <v>112</v>
      </c>
      <c r="F3311" s="8">
        <v>243</v>
      </c>
      <c r="G3311" s="1">
        <f t="shared" si="1453"/>
        <v>355</v>
      </c>
      <c r="H3311" s="2">
        <f t="shared" si="1454"/>
        <v>0.3154929577464789</v>
      </c>
      <c r="I3311" s="2">
        <f t="shared" si="1455"/>
        <v>0.6845070422535211</v>
      </c>
      <c r="J3311" s="14">
        <f>4066+989</f>
        <v>5055</v>
      </c>
      <c r="K3311" s="14">
        <f>70060+3168</f>
        <v>73228</v>
      </c>
      <c r="L3311" s="1">
        <f t="shared" si="1456"/>
        <v>78283</v>
      </c>
      <c r="M3311" s="2">
        <f t="shared" si="1457"/>
        <v>6.4573406742204562E-2</v>
      </c>
      <c r="N3311" s="2">
        <f t="shared" si="1458"/>
        <v>0.93542659325779542</v>
      </c>
    </row>
    <row r="3312" spans="1:14" x14ac:dyDescent="0.35">
      <c r="A3312" t="s">
        <v>36</v>
      </c>
      <c r="B3312" t="s">
        <v>28</v>
      </c>
      <c r="C3312">
        <v>2005</v>
      </c>
      <c r="D3312" t="s">
        <v>31</v>
      </c>
      <c r="E3312" s="8">
        <v>117</v>
      </c>
      <c r="F3312" s="8">
        <v>245</v>
      </c>
      <c r="G3312" s="1">
        <f t="shared" si="1453"/>
        <v>362</v>
      </c>
      <c r="H3312" s="2">
        <f t="shared" si="1454"/>
        <v>0.32320441988950277</v>
      </c>
      <c r="I3312" s="2">
        <f t="shared" si="1455"/>
        <v>0.67679558011049723</v>
      </c>
      <c r="J3312" s="14">
        <f>3782+2310</f>
        <v>6092</v>
      </c>
      <c r="K3312" s="14">
        <f>70760+1141</f>
        <v>71901</v>
      </c>
      <c r="L3312" s="1">
        <f t="shared" si="1456"/>
        <v>77993</v>
      </c>
      <c r="M3312" s="2">
        <f t="shared" si="1457"/>
        <v>7.8109573936122473E-2</v>
      </c>
      <c r="N3312" s="2">
        <f t="shared" si="1458"/>
        <v>0.9218904260638775</v>
      </c>
    </row>
    <row r="3313" spans="1:14" x14ac:dyDescent="0.35">
      <c r="A3313" t="s">
        <v>36</v>
      </c>
      <c r="B3313" t="s">
        <v>29</v>
      </c>
      <c r="C3313">
        <v>2005</v>
      </c>
      <c r="D3313" t="s">
        <v>31</v>
      </c>
      <c r="E3313" s="8">
        <v>114</v>
      </c>
      <c r="F3313" s="8">
        <v>234</v>
      </c>
      <c r="G3313" s="1">
        <f t="shared" si="1453"/>
        <v>348</v>
      </c>
      <c r="H3313" s="2">
        <f t="shared" si="1454"/>
        <v>0.32758620689655171</v>
      </c>
      <c r="I3313" s="2">
        <f t="shared" si="1455"/>
        <v>0.67241379310344829</v>
      </c>
      <c r="J3313" s="14">
        <f>4133+423</f>
        <v>4556</v>
      </c>
      <c r="K3313" s="14">
        <f>73635+1208</f>
        <v>74843</v>
      </c>
      <c r="L3313" s="1">
        <f t="shared" si="1456"/>
        <v>79399</v>
      </c>
      <c r="M3313" s="2">
        <f t="shared" si="1457"/>
        <v>5.738107532840464E-2</v>
      </c>
      <c r="N3313" s="2">
        <f t="shared" si="1458"/>
        <v>0.94261892467159536</v>
      </c>
    </row>
    <row r="3314" spans="1:14" x14ac:dyDescent="0.35">
      <c r="A3314" t="s">
        <v>36</v>
      </c>
      <c r="B3314" t="s">
        <v>17</v>
      </c>
      <c r="C3314">
        <v>2006</v>
      </c>
      <c r="D3314" t="s">
        <v>31</v>
      </c>
      <c r="E3314" s="8">
        <f>112</f>
        <v>112</v>
      </c>
      <c r="F3314" s="8">
        <v>259</v>
      </c>
      <c r="G3314" s="1">
        <f t="shared" si="1453"/>
        <v>371</v>
      </c>
      <c r="H3314" s="2">
        <f t="shared" si="1454"/>
        <v>0.30188679245283018</v>
      </c>
      <c r="I3314" s="2">
        <f t="shared" si="1455"/>
        <v>0.69811320754716977</v>
      </c>
      <c r="J3314" s="14">
        <f>4243+651</f>
        <v>4894</v>
      </c>
      <c r="K3314" s="14">
        <f>78090+2590</f>
        <v>80680</v>
      </c>
      <c r="L3314" s="1">
        <f t="shared" si="1456"/>
        <v>85574</v>
      </c>
      <c r="M3314" s="2">
        <f t="shared" si="1457"/>
        <v>5.7190268072077971E-2</v>
      </c>
      <c r="N3314" s="2">
        <f t="shared" si="1458"/>
        <v>0.94280973192792206</v>
      </c>
    </row>
    <row r="3315" spans="1:14" x14ac:dyDescent="0.35">
      <c r="A3315" t="s">
        <v>36</v>
      </c>
      <c r="B3315" t="s">
        <v>19</v>
      </c>
      <c r="C3315">
        <v>2006</v>
      </c>
      <c r="D3315" t="s">
        <v>31</v>
      </c>
      <c r="E3315" s="8">
        <v>110</v>
      </c>
      <c r="F3315" s="8">
        <v>250</v>
      </c>
      <c r="G3315" s="1">
        <f t="shared" si="1453"/>
        <v>360</v>
      </c>
      <c r="H3315" s="2">
        <f t="shared" si="1454"/>
        <v>0.30555555555555558</v>
      </c>
      <c r="I3315" s="2">
        <f t="shared" si="1455"/>
        <v>0.69444444444444442</v>
      </c>
      <c r="J3315" s="14">
        <f>1642+2119</f>
        <v>3761</v>
      </c>
      <c r="K3315" s="14">
        <f>66713+500</f>
        <v>67213</v>
      </c>
      <c r="L3315" s="1">
        <f t="shared" si="1456"/>
        <v>70974</v>
      </c>
      <c r="M3315" s="2">
        <f t="shared" si="1457"/>
        <v>5.2991236227350857E-2</v>
      </c>
      <c r="N3315" s="2">
        <f t="shared" si="1458"/>
        <v>0.94700876377264909</v>
      </c>
    </row>
    <row r="3316" spans="1:14" x14ac:dyDescent="0.35">
      <c r="A3316" t="s">
        <v>36</v>
      </c>
      <c r="B3316" t="s">
        <v>20</v>
      </c>
      <c r="C3316">
        <v>2006</v>
      </c>
      <c r="D3316" t="s">
        <v>31</v>
      </c>
      <c r="E3316" s="8">
        <v>118</v>
      </c>
      <c r="F3316" s="8">
        <v>277</v>
      </c>
      <c r="G3316" s="1">
        <f t="shared" si="1453"/>
        <v>395</v>
      </c>
      <c r="H3316" s="2">
        <f t="shared" si="1454"/>
        <v>0.29873417721518986</v>
      </c>
      <c r="I3316" s="2">
        <f t="shared" si="1455"/>
        <v>0.70126582278481009</v>
      </c>
      <c r="J3316" s="14">
        <f>1862+1647</f>
        <v>3509</v>
      </c>
      <c r="K3316" s="14">
        <f>73330+2558</f>
        <v>75888</v>
      </c>
      <c r="L3316" s="1">
        <f t="shared" si="1456"/>
        <v>79397</v>
      </c>
      <c r="M3316" s="2">
        <f t="shared" si="1457"/>
        <v>4.4195624519818129E-2</v>
      </c>
      <c r="N3316" s="2">
        <f t="shared" si="1458"/>
        <v>0.95580437548018182</v>
      </c>
    </row>
    <row r="3317" spans="1:14" x14ac:dyDescent="0.35">
      <c r="A3317" t="s">
        <v>36</v>
      </c>
      <c r="B3317" t="s">
        <v>21</v>
      </c>
      <c r="C3317">
        <v>2006</v>
      </c>
      <c r="D3317" t="s">
        <v>31</v>
      </c>
      <c r="E3317" s="8">
        <f>111</f>
        <v>111</v>
      </c>
      <c r="F3317" s="8">
        <v>249</v>
      </c>
      <c r="G3317" s="1">
        <f t="shared" si="1453"/>
        <v>360</v>
      </c>
      <c r="H3317" s="2">
        <f t="shared" si="1454"/>
        <v>0.30833333333333335</v>
      </c>
      <c r="I3317" s="2">
        <f t="shared" si="1455"/>
        <v>0.69166666666666665</v>
      </c>
      <c r="J3317" s="14">
        <f>1483+208</f>
        <v>1691</v>
      </c>
      <c r="K3317" s="14">
        <f>65318+1999</f>
        <v>67317</v>
      </c>
      <c r="L3317" s="1">
        <f t="shared" si="1456"/>
        <v>69008</v>
      </c>
      <c r="M3317" s="2">
        <f t="shared" si="1457"/>
        <v>2.4504405286343612E-2</v>
      </c>
      <c r="N3317" s="2">
        <f t="shared" si="1458"/>
        <v>0.97549559471365643</v>
      </c>
    </row>
    <row r="3318" spans="1:14" x14ac:dyDescent="0.35">
      <c r="A3318" t="s">
        <v>36</v>
      </c>
      <c r="B3318" t="s">
        <v>22</v>
      </c>
      <c r="C3318">
        <v>2006</v>
      </c>
      <c r="D3318" t="s">
        <v>31</v>
      </c>
      <c r="E3318" s="8">
        <v>113</v>
      </c>
      <c r="F3318" s="8">
        <v>268</v>
      </c>
      <c r="G3318" s="1">
        <f t="shared" si="1453"/>
        <v>381</v>
      </c>
      <c r="H3318" s="2">
        <f t="shared" si="1454"/>
        <v>0.29658792650918636</v>
      </c>
      <c r="I3318" s="2">
        <f t="shared" si="1455"/>
        <v>0.70341207349081369</v>
      </c>
      <c r="J3318" s="14">
        <f>1703+1440</f>
        <v>3143</v>
      </c>
      <c r="K3318" s="14">
        <f>82141+4015</f>
        <v>86156</v>
      </c>
      <c r="L3318" s="1">
        <f t="shared" si="1456"/>
        <v>89299</v>
      </c>
      <c r="M3318" s="2">
        <f t="shared" si="1457"/>
        <v>3.5196362781218155E-2</v>
      </c>
      <c r="N3318" s="2">
        <f t="shared" si="1458"/>
        <v>0.96480363721878182</v>
      </c>
    </row>
    <row r="3319" spans="1:14" x14ac:dyDescent="0.35">
      <c r="A3319" t="s">
        <v>36</v>
      </c>
      <c r="B3319" t="s">
        <v>23</v>
      </c>
      <c r="C3319">
        <v>2006</v>
      </c>
      <c r="D3319" t="s">
        <v>31</v>
      </c>
      <c r="E3319" s="8">
        <v>111</v>
      </c>
      <c r="F3319" s="8">
        <v>269</v>
      </c>
      <c r="G3319" s="1">
        <f t="shared" ref="G3319:G3382" si="1459">SUM(E3319:F3319)</f>
        <v>380</v>
      </c>
      <c r="H3319" s="2">
        <f t="shared" ref="H3319:H3382" si="1460">SUM(E3319)/G3319</f>
        <v>0.29210526315789476</v>
      </c>
      <c r="I3319" s="2">
        <f t="shared" ref="I3319:I3382" si="1461">SUM(F3319/G3319)</f>
        <v>0.70789473684210524</v>
      </c>
      <c r="J3319" s="14">
        <f>1557+4187</f>
        <v>5744</v>
      </c>
      <c r="K3319" s="14">
        <f>83626+4611</f>
        <v>88237</v>
      </c>
      <c r="L3319" s="1">
        <f t="shared" si="1456"/>
        <v>93981</v>
      </c>
      <c r="M3319" s="2">
        <f t="shared" si="1457"/>
        <v>6.1118736765942053E-2</v>
      </c>
      <c r="N3319" s="2">
        <f t="shared" si="1458"/>
        <v>0.93888126323405796</v>
      </c>
    </row>
    <row r="3320" spans="1:14" x14ac:dyDescent="0.35">
      <c r="A3320" t="s">
        <v>36</v>
      </c>
      <c r="B3320" t="s">
        <v>24</v>
      </c>
      <c r="C3320">
        <v>2006</v>
      </c>
      <c r="D3320" t="s">
        <v>31</v>
      </c>
      <c r="E3320" s="8">
        <v>107</v>
      </c>
      <c r="F3320" s="8">
        <v>264</v>
      </c>
      <c r="G3320" s="1">
        <f t="shared" si="1459"/>
        <v>371</v>
      </c>
      <c r="H3320" s="2">
        <f t="shared" si="1460"/>
        <v>0.2884097035040431</v>
      </c>
      <c r="I3320" s="2">
        <f t="shared" si="1461"/>
        <v>0.71159029649595684</v>
      </c>
      <c r="J3320" s="14">
        <f>1574+1053</f>
        <v>2627</v>
      </c>
      <c r="K3320" s="14">
        <f>81165+3287</f>
        <v>84452</v>
      </c>
      <c r="L3320" s="1">
        <f t="shared" si="1456"/>
        <v>87079</v>
      </c>
      <c r="M3320" s="2">
        <f t="shared" si="1457"/>
        <v>3.0168008360224624E-2</v>
      </c>
      <c r="N3320" s="2">
        <f t="shared" si="1458"/>
        <v>0.9698319916397754</v>
      </c>
    </row>
    <row r="3321" spans="1:14" x14ac:dyDescent="0.35">
      <c r="A3321" t="s">
        <v>36</v>
      </c>
      <c r="B3321" t="s">
        <v>25</v>
      </c>
      <c r="C3321">
        <v>2006</v>
      </c>
      <c r="D3321" t="s">
        <v>31</v>
      </c>
      <c r="E3321" s="8">
        <v>111</v>
      </c>
      <c r="F3321" s="8">
        <v>282</v>
      </c>
      <c r="G3321" s="1">
        <f t="shared" si="1459"/>
        <v>393</v>
      </c>
      <c r="H3321" s="2">
        <f t="shared" si="1460"/>
        <v>0.28244274809160308</v>
      </c>
      <c r="I3321" s="2">
        <f t="shared" si="1461"/>
        <v>0.71755725190839692</v>
      </c>
      <c r="J3321" s="14">
        <f>1503+139</f>
        <v>1642</v>
      </c>
      <c r="K3321" s="14">
        <f>86760+4338</f>
        <v>91098</v>
      </c>
      <c r="L3321" s="1">
        <f t="shared" si="1456"/>
        <v>92740</v>
      </c>
      <c r="M3321" s="2">
        <f t="shared" si="1457"/>
        <v>1.770541298253181E-2</v>
      </c>
      <c r="N3321" s="2">
        <f t="shared" si="1458"/>
        <v>0.98229458701746819</v>
      </c>
    </row>
    <row r="3322" spans="1:14" x14ac:dyDescent="0.35">
      <c r="A3322" t="s">
        <v>36</v>
      </c>
      <c r="B3322" t="s">
        <v>26</v>
      </c>
      <c r="C3322">
        <v>2006</v>
      </c>
      <c r="D3322" t="s">
        <v>31</v>
      </c>
      <c r="E3322" s="8">
        <v>109</v>
      </c>
      <c r="F3322" s="8">
        <v>261</v>
      </c>
      <c r="G3322" s="1">
        <f t="shared" si="1459"/>
        <v>370</v>
      </c>
      <c r="H3322" s="2">
        <f t="shared" si="1460"/>
        <v>0.29459459459459458</v>
      </c>
      <c r="I3322" s="2">
        <f t="shared" si="1461"/>
        <v>0.70540540540540542</v>
      </c>
      <c r="J3322" s="14">
        <f>1194+740</f>
        <v>1934</v>
      </c>
      <c r="K3322" s="14">
        <f>77117+2631</f>
        <v>79748</v>
      </c>
      <c r="L3322" s="1">
        <f t="shared" si="1456"/>
        <v>81682</v>
      </c>
      <c r="M3322" s="2">
        <f t="shared" si="1457"/>
        <v>2.3677187140373646E-2</v>
      </c>
      <c r="N3322" s="2">
        <f t="shared" si="1458"/>
        <v>0.97632281285962641</v>
      </c>
    </row>
    <row r="3323" spans="1:14" x14ac:dyDescent="0.35">
      <c r="A3323" t="s">
        <v>36</v>
      </c>
      <c r="B3323" t="s">
        <v>27</v>
      </c>
      <c r="C3323">
        <v>2006</v>
      </c>
      <c r="D3323" t="s">
        <v>31</v>
      </c>
      <c r="E3323" s="8">
        <f>111</f>
        <v>111</v>
      </c>
      <c r="F3323" s="8">
        <v>274</v>
      </c>
      <c r="G3323" s="1">
        <f t="shared" si="1459"/>
        <v>385</v>
      </c>
      <c r="H3323" s="2">
        <f t="shared" si="1460"/>
        <v>0.2883116883116883</v>
      </c>
      <c r="I3323" s="2">
        <f t="shared" si="1461"/>
        <v>0.7116883116883117</v>
      </c>
      <c r="J3323" s="14">
        <f>1689+1047</f>
        <v>2736</v>
      </c>
      <c r="K3323" s="14">
        <f>78009+2816</f>
        <v>80825</v>
      </c>
      <c r="L3323" s="1">
        <f t="shared" si="1456"/>
        <v>83561</v>
      </c>
      <c r="M3323" s="2">
        <f t="shared" si="1457"/>
        <v>3.2742547360610809E-2</v>
      </c>
      <c r="N3323" s="2">
        <f t="shared" si="1458"/>
        <v>0.96725745263938923</v>
      </c>
    </row>
    <row r="3324" spans="1:14" x14ac:dyDescent="0.35">
      <c r="A3324" t="s">
        <v>36</v>
      </c>
      <c r="B3324" t="s">
        <v>28</v>
      </c>
      <c r="C3324">
        <v>2006</v>
      </c>
      <c r="D3324" t="s">
        <v>31</v>
      </c>
      <c r="E3324" s="8">
        <v>108</v>
      </c>
      <c r="F3324" s="8">
        <v>256</v>
      </c>
      <c r="G3324" s="1">
        <f t="shared" si="1459"/>
        <v>364</v>
      </c>
      <c r="H3324" s="2">
        <f t="shared" si="1460"/>
        <v>0.2967032967032967</v>
      </c>
      <c r="I3324" s="2">
        <f t="shared" si="1461"/>
        <v>0.70329670329670335</v>
      </c>
      <c r="J3324" s="14">
        <f>1300+2028</f>
        <v>3328</v>
      </c>
      <c r="K3324" s="14">
        <f>61345+1693</f>
        <v>63038</v>
      </c>
      <c r="L3324" s="1">
        <f t="shared" si="1456"/>
        <v>66366</v>
      </c>
      <c r="M3324" s="2">
        <f t="shared" si="1457"/>
        <v>5.0146159177892294E-2</v>
      </c>
      <c r="N3324" s="2">
        <f t="shared" si="1458"/>
        <v>0.94985384082210766</v>
      </c>
    </row>
    <row r="3325" spans="1:14" x14ac:dyDescent="0.35">
      <c r="A3325" t="s">
        <v>36</v>
      </c>
      <c r="B3325" t="s">
        <v>29</v>
      </c>
      <c r="C3325">
        <v>2006</v>
      </c>
      <c r="D3325" t="s">
        <v>31</v>
      </c>
      <c r="E3325" s="8">
        <v>100</v>
      </c>
      <c r="F3325" s="8">
        <v>253</v>
      </c>
      <c r="G3325" s="1">
        <f t="shared" si="1459"/>
        <v>353</v>
      </c>
      <c r="H3325" s="2">
        <f t="shared" si="1460"/>
        <v>0.28328611898016998</v>
      </c>
      <c r="I3325" s="2">
        <f t="shared" si="1461"/>
        <v>0.71671388101983002</v>
      </c>
      <c r="J3325" s="14">
        <f>836+328</f>
        <v>1164</v>
      </c>
      <c r="K3325" s="14">
        <f>75411+780</f>
        <v>76191</v>
      </c>
      <c r="L3325" s="1">
        <f t="shared" si="1456"/>
        <v>77355</v>
      </c>
      <c r="M3325" s="2">
        <f t="shared" si="1457"/>
        <v>1.5047508241225518E-2</v>
      </c>
      <c r="N3325" s="2">
        <f t="shared" si="1458"/>
        <v>0.98495249175877453</v>
      </c>
    </row>
    <row r="3326" spans="1:14" x14ac:dyDescent="0.35">
      <c r="A3326" t="s">
        <v>36</v>
      </c>
      <c r="B3326" t="s">
        <v>17</v>
      </c>
      <c r="C3326">
        <v>2007</v>
      </c>
      <c r="D3326" t="s">
        <v>31</v>
      </c>
      <c r="E3326" s="8">
        <f>101+10</f>
        <v>111</v>
      </c>
      <c r="F3326" s="8">
        <f>256+7</f>
        <v>263</v>
      </c>
      <c r="G3326" s="1">
        <f t="shared" si="1459"/>
        <v>374</v>
      </c>
      <c r="H3326" s="2">
        <f t="shared" si="1460"/>
        <v>0.2967914438502674</v>
      </c>
      <c r="I3326" s="2">
        <f t="shared" si="1461"/>
        <v>0.70320855614973266</v>
      </c>
      <c r="J3326" s="14">
        <f>2144+425</f>
        <v>2569</v>
      </c>
      <c r="K3326" s="14">
        <f>75197+1435</f>
        <v>76632</v>
      </c>
      <c r="L3326" s="1">
        <f t="shared" si="1456"/>
        <v>79201</v>
      </c>
      <c r="M3326" s="2">
        <f t="shared" si="1457"/>
        <v>3.2436459135616977E-2</v>
      </c>
      <c r="N3326" s="2">
        <f t="shared" si="1458"/>
        <v>0.96756354086438301</v>
      </c>
    </row>
    <row r="3327" spans="1:14" x14ac:dyDescent="0.35">
      <c r="A3327" t="s">
        <v>36</v>
      </c>
      <c r="B3327" t="s">
        <v>19</v>
      </c>
      <c r="C3327">
        <v>2007</v>
      </c>
      <c r="D3327" t="s">
        <v>31</v>
      </c>
      <c r="E3327" s="8">
        <f>93+10</f>
        <v>103</v>
      </c>
      <c r="F3327" s="8">
        <f>253+7</f>
        <v>260</v>
      </c>
      <c r="G3327" s="1">
        <f t="shared" si="1459"/>
        <v>363</v>
      </c>
      <c r="H3327" s="2">
        <f t="shared" si="1460"/>
        <v>0.28374655647382918</v>
      </c>
      <c r="I3327" s="2">
        <f t="shared" si="1461"/>
        <v>0.71625344352617082</v>
      </c>
      <c r="J3327" s="14">
        <f>1397+2336</f>
        <v>3733</v>
      </c>
      <c r="K3327" s="14">
        <f>69585+2259</f>
        <v>71844</v>
      </c>
      <c r="L3327" s="1">
        <f t="shared" si="1456"/>
        <v>75577</v>
      </c>
      <c r="M3327" s="2">
        <f t="shared" si="1457"/>
        <v>4.9393333950805141E-2</v>
      </c>
      <c r="N3327" s="2">
        <f t="shared" si="1458"/>
        <v>0.95060666604919486</v>
      </c>
    </row>
    <row r="3328" spans="1:14" x14ac:dyDescent="0.35">
      <c r="A3328" t="s">
        <v>36</v>
      </c>
      <c r="B3328" t="s">
        <v>20</v>
      </c>
      <c r="C3328">
        <v>2007</v>
      </c>
      <c r="D3328" t="s">
        <v>31</v>
      </c>
      <c r="E3328" s="8">
        <f>101+13</f>
        <v>114</v>
      </c>
      <c r="F3328" s="8">
        <f>272+9</f>
        <v>281</v>
      </c>
      <c r="G3328" s="1">
        <f t="shared" si="1459"/>
        <v>395</v>
      </c>
      <c r="H3328" s="2">
        <f t="shared" si="1460"/>
        <v>0.28860759493670884</v>
      </c>
      <c r="I3328" s="2">
        <f t="shared" si="1461"/>
        <v>0.71139240506329116</v>
      </c>
      <c r="J3328" s="14">
        <f>1426+1540</f>
        <v>2966</v>
      </c>
      <c r="K3328" s="14">
        <f>74865+3303</f>
        <v>78168</v>
      </c>
      <c r="L3328" s="1">
        <f t="shared" si="1456"/>
        <v>81134</v>
      </c>
      <c r="M3328" s="2">
        <f t="shared" si="1457"/>
        <v>3.6556807257130182E-2</v>
      </c>
      <c r="N3328" s="2">
        <f t="shared" si="1458"/>
        <v>0.96344319274286983</v>
      </c>
    </row>
    <row r="3329" spans="1:14" x14ac:dyDescent="0.35">
      <c r="A3329" t="s">
        <v>36</v>
      </c>
      <c r="B3329" t="s">
        <v>21</v>
      </c>
      <c r="C3329">
        <v>2007</v>
      </c>
      <c r="D3329" t="s">
        <v>31</v>
      </c>
      <c r="E3329" s="8">
        <v>103</v>
      </c>
      <c r="F3329" s="8">
        <v>268</v>
      </c>
      <c r="G3329" s="1">
        <f t="shared" si="1459"/>
        <v>371</v>
      </c>
      <c r="H3329" s="2">
        <f t="shared" si="1460"/>
        <v>0.27762803234501349</v>
      </c>
      <c r="I3329" s="2">
        <f t="shared" si="1461"/>
        <v>0.72237196765498657</v>
      </c>
      <c r="J3329" s="14">
        <f>1405+2479</f>
        <v>3884</v>
      </c>
      <c r="K3329" s="14">
        <f>71257+1153</f>
        <v>72410</v>
      </c>
      <c r="L3329" s="1">
        <f t="shared" si="1456"/>
        <v>76294</v>
      </c>
      <c r="M3329" s="2">
        <f t="shared" si="1457"/>
        <v>5.0908328308910268E-2</v>
      </c>
      <c r="N3329" s="2">
        <f t="shared" si="1458"/>
        <v>0.94909167169108977</v>
      </c>
    </row>
    <row r="3330" spans="1:14" x14ac:dyDescent="0.35">
      <c r="A3330" t="s">
        <v>36</v>
      </c>
      <c r="B3330" t="s">
        <v>22</v>
      </c>
      <c r="C3330">
        <v>2007</v>
      </c>
      <c r="D3330" t="s">
        <v>31</v>
      </c>
      <c r="E3330" s="8">
        <v>111</v>
      </c>
      <c r="F3330" s="8">
        <v>287</v>
      </c>
      <c r="G3330" s="1">
        <f t="shared" si="1459"/>
        <v>398</v>
      </c>
      <c r="H3330" s="2">
        <f t="shared" si="1460"/>
        <v>0.27889447236180903</v>
      </c>
      <c r="I3330" s="2">
        <f t="shared" si="1461"/>
        <v>0.72110552763819091</v>
      </c>
      <c r="J3330" s="14">
        <f>1333+325</f>
        <v>1658</v>
      </c>
      <c r="K3330" s="14">
        <f>72490+4179</f>
        <v>76669</v>
      </c>
      <c r="L3330" s="1">
        <f t="shared" si="1456"/>
        <v>78327</v>
      </c>
      <c r="M3330" s="2">
        <f t="shared" si="1457"/>
        <v>2.1167668875355879E-2</v>
      </c>
      <c r="N3330" s="2">
        <f t="shared" si="1458"/>
        <v>0.97883233112464407</v>
      </c>
    </row>
    <row r="3331" spans="1:14" x14ac:dyDescent="0.35">
      <c r="A3331" t="s">
        <v>36</v>
      </c>
      <c r="B3331" t="s">
        <v>23</v>
      </c>
      <c r="C3331">
        <v>2007</v>
      </c>
      <c r="D3331" t="s">
        <v>31</v>
      </c>
      <c r="E3331" s="8">
        <v>108</v>
      </c>
      <c r="F3331" s="8">
        <v>278</v>
      </c>
      <c r="G3331" s="1">
        <f t="shared" si="1459"/>
        <v>386</v>
      </c>
      <c r="H3331" s="2">
        <f t="shared" si="1460"/>
        <v>0.27979274611398963</v>
      </c>
      <c r="I3331" s="2">
        <f t="shared" si="1461"/>
        <v>0.72020725388601037</v>
      </c>
      <c r="J3331" s="14">
        <f>1306+315</f>
        <v>1621</v>
      </c>
      <c r="K3331" s="14">
        <f>1701+79008</f>
        <v>80709</v>
      </c>
      <c r="L3331" s="1">
        <f t="shared" ref="L3331:L3394" si="1462">SUM(J3331:K3331)</f>
        <v>82330</v>
      </c>
      <c r="M3331" s="2">
        <f t="shared" ref="M3331:M3394" si="1463">SUM(J3331)/L3331</f>
        <v>1.9689056237094618E-2</v>
      </c>
      <c r="N3331" s="2">
        <f t="shared" ref="N3331:N3394" si="1464">SUM(K3331/L3331)</f>
        <v>0.9803109437629054</v>
      </c>
    </row>
    <row r="3332" spans="1:14" x14ac:dyDescent="0.35">
      <c r="A3332" t="s">
        <v>36</v>
      </c>
      <c r="B3332" t="s">
        <v>24</v>
      </c>
      <c r="C3332">
        <v>2007</v>
      </c>
      <c r="D3332" t="s">
        <v>31</v>
      </c>
      <c r="E3332" s="8">
        <v>102</v>
      </c>
      <c r="F3332" s="8">
        <v>287</v>
      </c>
      <c r="G3332" s="1">
        <f t="shared" si="1459"/>
        <v>389</v>
      </c>
      <c r="H3332" s="2">
        <f t="shared" si="1460"/>
        <v>0.26221079691516708</v>
      </c>
      <c r="I3332" s="2">
        <f t="shared" si="1461"/>
        <v>0.73778920308483287</v>
      </c>
      <c r="J3332" s="14">
        <f>1319+328</f>
        <v>1647</v>
      </c>
      <c r="K3332" s="14">
        <f>81723+4241</f>
        <v>85964</v>
      </c>
      <c r="L3332" s="1">
        <f t="shared" si="1462"/>
        <v>87611</v>
      </c>
      <c r="M3332" s="2">
        <f t="shared" si="1463"/>
        <v>1.8799009256828481E-2</v>
      </c>
      <c r="N3332" s="2">
        <f t="shared" si="1464"/>
        <v>0.98120099074317157</v>
      </c>
    </row>
    <row r="3333" spans="1:14" x14ac:dyDescent="0.35">
      <c r="A3333" t="s">
        <v>36</v>
      </c>
      <c r="B3333" t="s">
        <v>25</v>
      </c>
      <c r="C3333">
        <v>2007</v>
      </c>
      <c r="D3333" t="s">
        <v>31</v>
      </c>
      <c r="E3333" s="8">
        <v>101</v>
      </c>
      <c r="F3333" s="8">
        <v>319</v>
      </c>
      <c r="G3333" s="1">
        <f t="shared" si="1459"/>
        <v>420</v>
      </c>
      <c r="H3333" s="2">
        <f t="shared" si="1460"/>
        <v>0.24047619047619048</v>
      </c>
      <c r="I3333" s="2">
        <f t="shared" si="1461"/>
        <v>0.75952380952380949</v>
      </c>
      <c r="J3333" s="14">
        <f>1226+259</f>
        <v>1485</v>
      </c>
      <c r="K3333" s="14">
        <f>84628+4601</f>
        <v>89229</v>
      </c>
      <c r="L3333" s="1">
        <f t="shared" si="1462"/>
        <v>90714</v>
      </c>
      <c r="M3333" s="2">
        <f t="shared" si="1463"/>
        <v>1.637013029962299E-2</v>
      </c>
      <c r="N3333" s="2">
        <f t="shared" si="1464"/>
        <v>0.98362986970037702</v>
      </c>
    </row>
    <row r="3334" spans="1:14" x14ac:dyDescent="0.35">
      <c r="A3334" t="s">
        <v>36</v>
      </c>
      <c r="B3334" t="s">
        <v>26</v>
      </c>
      <c r="C3334">
        <v>2007</v>
      </c>
      <c r="D3334" t="s">
        <v>31</v>
      </c>
      <c r="E3334" s="8">
        <v>94</v>
      </c>
      <c r="F3334" s="8">
        <v>272</v>
      </c>
      <c r="G3334" s="1">
        <f t="shared" si="1459"/>
        <v>366</v>
      </c>
      <c r="H3334" s="2">
        <f t="shared" si="1460"/>
        <v>0.25683060109289618</v>
      </c>
      <c r="I3334" s="2">
        <f t="shared" si="1461"/>
        <v>0.74316939890710387</v>
      </c>
      <c r="J3334" s="14">
        <f>1330+304</f>
        <v>1634</v>
      </c>
      <c r="K3334" s="14">
        <f>71158+2414</f>
        <v>73572</v>
      </c>
      <c r="L3334" s="1">
        <f t="shared" si="1462"/>
        <v>75206</v>
      </c>
      <c r="M3334" s="2">
        <f t="shared" si="1463"/>
        <v>2.1726989867829696E-2</v>
      </c>
      <c r="N3334" s="2">
        <f t="shared" si="1464"/>
        <v>0.97827301013217027</v>
      </c>
    </row>
    <row r="3335" spans="1:14" x14ac:dyDescent="0.35">
      <c r="A3335" t="s">
        <v>36</v>
      </c>
      <c r="B3335" t="s">
        <v>27</v>
      </c>
      <c r="C3335">
        <v>2007</v>
      </c>
      <c r="D3335" t="s">
        <v>31</v>
      </c>
      <c r="E3335" s="8">
        <v>97</v>
      </c>
      <c r="F3335" s="8">
        <v>296</v>
      </c>
      <c r="G3335" s="1">
        <f t="shared" si="1459"/>
        <v>393</v>
      </c>
      <c r="H3335" s="2">
        <f t="shared" si="1460"/>
        <v>0.24681933842239187</v>
      </c>
      <c r="I3335" s="2">
        <f t="shared" si="1461"/>
        <v>0.7531806615776081</v>
      </c>
      <c r="J3335" s="14">
        <f>1206+987</f>
        <v>2193</v>
      </c>
      <c r="K3335" s="14">
        <f>82159+4813</f>
        <v>86972</v>
      </c>
      <c r="L3335" s="1">
        <f t="shared" si="1462"/>
        <v>89165</v>
      </c>
      <c r="M3335" s="2">
        <f t="shared" si="1463"/>
        <v>2.4594852240228789E-2</v>
      </c>
      <c r="N3335" s="2">
        <f t="shared" si="1464"/>
        <v>0.97540514775977116</v>
      </c>
    </row>
    <row r="3336" spans="1:14" x14ac:dyDescent="0.35">
      <c r="A3336" t="s">
        <v>36</v>
      </c>
      <c r="B3336" t="s">
        <v>28</v>
      </c>
      <c r="C3336">
        <v>2007</v>
      </c>
      <c r="D3336" t="s">
        <v>31</v>
      </c>
      <c r="E3336" s="8">
        <v>95</v>
      </c>
      <c r="F3336" s="8">
        <v>296</v>
      </c>
      <c r="G3336" s="1">
        <f t="shared" si="1459"/>
        <v>391</v>
      </c>
      <c r="H3336" s="2">
        <f t="shared" si="1460"/>
        <v>0.24296675191815856</v>
      </c>
      <c r="I3336" s="2">
        <f t="shared" si="1461"/>
        <v>0.75703324808184147</v>
      </c>
      <c r="J3336" s="14">
        <f>1160+203</f>
        <v>1363</v>
      </c>
      <c r="K3336" s="14">
        <f>74489+3917</f>
        <v>78406</v>
      </c>
      <c r="L3336" s="1">
        <f t="shared" si="1462"/>
        <v>79769</v>
      </c>
      <c r="M3336" s="2">
        <f t="shared" si="1463"/>
        <v>1.7086838245433691E-2</v>
      </c>
      <c r="N3336" s="2">
        <f t="shared" si="1464"/>
        <v>0.98291316175456633</v>
      </c>
    </row>
    <row r="3337" spans="1:14" x14ac:dyDescent="0.35">
      <c r="A3337" t="s">
        <v>36</v>
      </c>
      <c r="B3337" t="s">
        <v>29</v>
      </c>
      <c r="C3337">
        <v>2007</v>
      </c>
      <c r="D3337" t="s">
        <v>31</v>
      </c>
      <c r="E3337" s="8">
        <v>95</v>
      </c>
      <c r="F3337" s="8">
        <v>293</v>
      </c>
      <c r="G3337" s="1">
        <f t="shared" si="1459"/>
        <v>388</v>
      </c>
      <c r="H3337" s="2">
        <f t="shared" si="1460"/>
        <v>0.24484536082474226</v>
      </c>
      <c r="I3337" s="2">
        <f t="shared" si="1461"/>
        <v>0.75515463917525771</v>
      </c>
      <c r="J3337" s="14">
        <f>1206+1588</f>
        <v>2794</v>
      </c>
      <c r="K3337" s="14">
        <f>3327+77105</f>
        <v>80432</v>
      </c>
      <c r="L3337" s="1">
        <f t="shared" si="1462"/>
        <v>83226</v>
      </c>
      <c r="M3337" s="2">
        <f t="shared" si="1463"/>
        <v>3.3571239756806766E-2</v>
      </c>
      <c r="N3337" s="2">
        <f t="shared" si="1464"/>
        <v>0.96642876024319324</v>
      </c>
    </row>
    <row r="3338" spans="1:14" x14ac:dyDescent="0.35">
      <c r="A3338" t="s">
        <v>36</v>
      </c>
      <c r="B3338" t="s">
        <v>17</v>
      </c>
      <c r="C3338">
        <v>2008</v>
      </c>
      <c r="D3338" t="s">
        <v>31</v>
      </c>
      <c r="E3338" s="8">
        <v>94</v>
      </c>
      <c r="F3338" s="8">
        <v>296</v>
      </c>
      <c r="G3338" s="1">
        <f t="shared" si="1459"/>
        <v>390</v>
      </c>
      <c r="H3338" s="2">
        <f t="shared" si="1460"/>
        <v>0.24102564102564103</v>
      </c>
      <c r="I3338" s="2">
        <f t="shared" si="1461"/>
        <v>0.75897435897435894</v>
      </c>
      <c r="J3338" s="14">
        <f>1278+1054</f>
        <v>2332</v>
      </c>
      <c r="K3338" s="14">
        <f>83929+2172</f>
        <v>86101</v>
      </c>
      <c r="L3338" s="1">
        <f t="shared" si="1462"/>
        <v>88433</v>
      </c>
      <c r="M3338" s="2">
        <f t="shared" si="1463"/>
        <v>2.6370246401230309E-2</v>
      </c>
      <c r="N3338" s="2">
        <f t="shared" si="1464"/>
        <v>0.97362975359876969</v>
      </c>
    </row>
    <row r="3339" spans="1:14" x14ac:dyDescent="0.35">
      <c r="A3339" t="s">
        <v>36</v>
      </c>
      <c r="B3339" t="s">
        <v>19</v>
      </c>
      <c r="C3339">
        <v>2008</v>
      </c>
      <c r="D3339" t="s">
        <v>31</v>
      </c>
      <c r="E3339" s="8">
        <v>94</v>
      </c>
      <c r="F3339" s="8">
        <v>296</v>
      </c>
      <c r="G3339" s="1">
        <f t="shared" si="1459"/>
        <v>390</v>
      </c>
      <c r="H3339" s="2">
        <f t="shared" si="1460"/>
        <v>0.24102564102564103</v>
      </c>
      <c r="I3339" s="2">
        <f t="shared" si="1461"/>
        <v>0.75897435897435894</v>
      </c>
      <c r="J3339" s="14">
        <f>1173+988</f>
        <v>2161</v>
      </c>
      <c r="K3339" s="14">
        <f>77733+1842</f>
        <v>79575</v>
      </c>
      <c r="L3339" s="1">
        <f t="shared" si="1462"/>
        <v>81736</v>
      </c>
      <c r="M3339" s="2">
        <f t="shared" si="1463"/>
        <v>2.6438778506410885E-2</v>
      </c>
      <c r="N3339" s="2">
        <f t="shared" si="1464"/>
        <v>0.97356122149358915</v>
      </c>
    </row>
    <row r="3340" spans="1:14" x14ac:dyDescent="0.35">
      <c r="A3340" t="s">
        <v>36</v>
      </c>
      <c r="B3340" t="s">
        <v>20</v>
      </c>
      <c r="C3340">
        <v>2008</v>
      </c>
      <c r="D3340" t="s">
        <v>31</v>
      </c>
      <c r="E3340" s="8">
        <v>93</v>
      </c>
      <c r="F3340" s="8">
        <v>291</v>
      </c>
      <c r="G3340" s="1">
        <f t="shared" si="1459"/>
        <v>384</v>
      </c>
      <c r="H3340" s="2">
        <f t="shared" si="1460"/>
        <v>0.2421875</v>
      </c>
      <c r="I3340" s="2">
        <f t="shared" si="1461"/>
        <v>0.7578125</v>
      </c>
      <c r="J3340" s="14">
        <f>2118+1225</f>
        <v>3343</v>
      </c>
      <c r="K3340" s="14">
        <f>81580+1738</f>
        <v>83318</v>
      </c>
      <c r="L3340" s="1">
        <f t="shared" si="1462"/>
        <v>86661</v>
      </c>
      <c r="M3340" s="2">
        <f t="shared" si="1463"/>
        <v>3.8575599173792136E-2</v>
      </c>
      <c r="N3340" s="2">
        <f t="shared" si="1464"/>
        <v>0.96142440082620784</v>
      </c>
    </row>
    <row r="3341" spans="1:14" x14ac:dyDescent="0.35">
      <c r="A3341" t="s">
        <v>36</v>
      </c>
      <c r="B3341" t="s">
        <v>21</v>
      </c>
      <c r="C3341">
        <v>2008</v>
      </c>
      <c r="D3341" t="s">
        <v>31</v>
      </c>
      <c r="E3341" s="8">
        <f>93</f>
        <v>93</v>
      </c>
      <c r="F3341" s="8">
        <v>293</v>
      </c>
      <c r="G3341" s="1">
        <f t="shared" si="1459"/>
        <v>386</v>
      </c>
      <c r="H3341" s="2">
        <f t="shared" si="1460"/>
        <v>0.24093264248704663</v>
      </c>
      <c r="I3341" s="2">
        <f t="shared" si="1461"/>
        <v>0.7590673575129534</v>
      </c>
      <c r="J3341" s="14">
        <f>919+749</f>
        <v>1668</v>
      </c>
      <c r="K3341" s="14">
        <f>85852+1972</f>
        <v>87824</v>
      </c>
      <c r="L3341" s="1">
        <f t="shared" si="1462"/>
        <v>89492</v>
      </c>
      <c r="M3341" s="2">
        <f t="shared" si="1463"/>
        <v>1.8638537522907075E-2</v>
      </c>
      <c r="N3341" s="2">
        <f t="shared" si="1464"/>
        <v>0.98136146247709288</v>
      </c>
    </row>
    <row r="3342" spans="1:14" x14ac:dyDescent="0.35">
      <c r="A3342" t="s">
        <v>36</v>
      </c>
      <c r="B3342" t="s">
        <v>22</v>
      </c>
      <c r="C3342">
        <v>2008</v>
      </c>
      <c r="D3342" t="s">
        <v>31</v>
      </c>
      <c r="E3342" s="8">
        <v>92</v>
      </c>
      <c r="F3342" s="8">
        <v>291</v>
      </c>
      <c r="G3342" s="1">
        <f t="shared" si="1459"/>
        <v>383</v>
      </c>
      <c r="H3342" s="2">
        <f t="shared" si="1460"/>
        <v>0.24020887728459531</v>
      </c>
      <c r="I3342" s="2">
        <f t="shared" si="1461"/>
        <v>0.75979112271540472</v>
      </c>
      <c r="J3342" s="14">
        <f>790+843</f>
        <v>1633</v>
      </c>
      <c r="K3342" s="14">
        <f>3168+89490</f>
        <v>92658</v>
      </c>
      <c r="L3342" s="1">
        <f t="shared" si="1462"/>
        <v>94291</v>
      </c>
      <c r="M3342" s="2">
        <f t="shared" si="1463"/>
        <v>1.7318726071417209E-2</v>
      </c>
      <c r="N3342" s="2">
        <f t="shared" si="1464"/>
        <v>0.98268127392858284</v>
      </c>
    </row>
    <row r="3343" spans="1:14" x14ac:dyDescent="0.35">
      <c r="A3343" t="s">
        <v>36</v>
      </c>
      <c r="B3343" t="s">
        <v>23</v>
      </c>
      <c r="C3343">
        <v>2008</v>
      </c>
      <c r="D3343" t="s">
        <v>31</v>
      </c>
      <c r="E3343" s="8">
        <v>93</v>
      </c>
      <c r="F3343" s="8">
        <v>292</v>
      </c>
      <c r="G3343" s="1">
        <f t="shared" si="1459"/>
        <v>385</v>
      </c>
      <c r="H3343" s="2">
        <f t="shared" si="1460"/>
        <v>0.24155844155844156</v>
      </c>
      <c r="I3343" s="2">
        <f t="shared" si="1461"/>
        <v>0.75844155844155847</v>
      </c>
      <c r="J3343" s="14">
        <f>829+1140</f>
        <v>1969</v>
      </c>
      <c r="K3343" s="14">
        <f>92109+3577</f>
        <v>95686</v>
      </c>
      <c r="L3343" s="1">
        <f t="shared" si="1462"/>
        <v>97655</v>
      </c>
      <c r="M3343" s="2">
        <f t="shared" si="1463"/>
        <v>2.0162818084071474E-2</v>
      </c>
      <c r="N3343" s="2">
        <f t="shared" si="1464"/>
        <v>0.9798371819159285</v>
      </c>
    </row>
    <row r="3344" spans="1:14" x14ac:dyDescent="0.35">
      <c r="A3344" t="s">
        <v>36</v>
      </c>
      <c r="B3344" t="s">
        <v>24</v>
      </c>
      <c r="C3344">
        <v>2008</v>
      </c>
      <c r="D3344" t="s">
        <v>31</v>
      </c>
      <c r="E3344" s="8">
        <v>93</v>
      </c>
      <c r="F3344" s="8">
        <v>293</v>
      </c>
      <c r="G3344" s="1">
        <f t="shared" si="1459"/>
        <v>386</v>
      </c>
      <c r="H3344" s="2">
        <f t="shared" si="1460"/>
        <v>0.24093264248704663</v>
      </c>
      <c r="I3344" s="2">
        <f t="shared" si="1461"/>
        <v>0.7590673575129534</v>
      </c>
      <c r="J3344" s="14">
        <f>863+67</f>
        <v>930</v>
      </c>
      <c r="K3344" s="14">
        <f>94300+3363</f>
        <v>97663</v>
      </c>
      <c r="L3344" s="1">
        <f t="shared" si="1462"/>
        <v>98593</v>
      </c>
      <c r="M3344" s="2">
        <f t="shared" si="1463"/>
        <v>9.4327183471443199E-3</v>
      </c>
      <c r="N3344" s="2">
        <f t="shared" si="1464"/>
        <v>0.99056728165285568</v>
      </c>
    </row>
    <row r="3345" spans="1:14" x14ac:dyDescent="0.35">
      <c r="A3345" t="s">
        <v>36</v>
      </c>
      <c r="B3345" t="s">
        <v>25</v>
      </c>
      <c r="C3345">
        <v>2008</v>
      </c>
      <c r="D3345" t="s">
        <v>31</v>
      </c>
      <c r="E3345" s="8">
        <v>94</v>
      </c>
      <c r="F3345" s="8">
        <v>291</v>
      </c>
      <c r="G3345" s="1">
        <f t="shared" si="1459"/>
        <v>385</v>
      </c>
      <c r="H3345" s="2">
        <f t="shared" si="1460"/>
        <v>0.24415584415584415</v>
      </c>
      <c r="I3345" s="2">
        <f t="shared" si="1461"/>
        <v>0.75584415584415587</v>
      </c>
      <c r="J3345" s="14">
        <f>895+269</f>
        <v>1164</v>
      </c>
      <c r="K3345" s="14">
        <f>93737+3594</f>
        <v>97331</v>
      </c>
      <c r="L3345" s="1">
        <f t="shared" si="1462"/>
        <v>98495</v>
      </c>
      <c r="M3345" s="2">
        <f t="shared" si="1463"/>
        <v>1.1817858774557084E-2</v>
      </c>
      <c r="N3345" s="2">
        <f t="shared" si="1464"/>
        <v>0.9881821412254429</v>
      </c>
    </row>
    <row r="3346" spans="1:14" x14ac:dyDescent="0.35">
      <c r="A3346" t="s">
        <v>36</v>
      </c>
      <c r="B3346" t="s">
        <v>26</v>
      </c>
      <c r="C3346">
        <v>2008</v>
      </c>
      <c r="D3346" t="s">
        <v>31</v>
      </c>
      <c r="E3346" s="8">
        <v>93</v>
      </c>
      <c r="F3346" s="8">
        <v>292</v>
      </c>
      <c r="G3346" s="1">
        <f t="shared" si="1459"/>
        <v>385</v>
      </c>
      <c r="H3346" s="2">
        <f t="shared" si="1460"/>
        <v>0.24155844155844156</v>
      </c>
      <c r="I3346" s="2">
        <f t="shared" si="1461"/>
        <v>0.75844155844155847</v>
      </c>
      <c r="J3346" s="14">
        <f>946+325</f>
        <v>1271</v>
      </c>
      <c r="K3346" s="14">
        <f>91155+4871</f>
        <v>96026</v>
      </c>
      <c r="L3346" s="1">
        <f t="shared" si="1462"/>
        <v>97297</v>
      </c>
      <c r="M3346" s="2">
        <f t="shared" si="1463"/>
        <v>1.3063095470569493E-2</v>
      </c>
      <c r="N3346" s="2">
        <f t="shared" si="1464"/>
        <v>0.9869369045294305</v>
      </c>
    </row>
    <row r="3347" spans="1:14" x14ac:dyDescent="0.35">
      <c r="A3347" t="s">
        <v>36</v>
      </c>
      <c r="B3347" t="s">
        <v>27</v>
      </c>
      <c r="C3347">
        <v>2008</v>
      </c>
      <c r="D3347" t="s">
        <v>31</v>
      </c>
      <c r="E3347" s="8">
        <v>92</v>
      </c>
      <c r="F3347" s="8">
        <v>293</v>
      </c>
      <c r="G3347" s="1">
        <f t="shared" si="1459"/>
        <v>385</v>
      </c>
      <c r="H3347" s="2">
        <f t="shared" si="1460"/>
        <v>0.23896103896103896</v>
      </c>
      <c r="I3347" s="2">
        <f t="shared" si="1461"/>
        <v>0.76103896103896107</v>
      </c>
      <c r="J3347" s="14">
        <f>1134+264</f>
        <v>1398</v>
      </c>
      <c r="K3347" s="14">
        <f>89386.11+4740.63</f>
        <v>94126.74</v>
      </c>
      <c r="L3347" s="1">
        <f t="shared" si="1462"/>
        <v>95524.74</v>
      </c>
      <c r="M3347" s="2">
        <f t="shared" si="1463"/>
        <v>1.4634952160037283E-2</v>
      </c>
      <c r="N3347" s="2">
        <f t="shared" si="1464"/>
        <v>0.9853650478399627</v>
      </c>
    </row>
    <row r="3348" spans="1:14" x14ac:dyDescent="0.35">
      <c r="A3348" t="s">
        <v>36</v>
      </c>
      <c r="B3348" t="s">
        <v>28</v>
      </c>
      <c r="C3348">
        <v>2008</v>
      </c>
      <c r="D3348" t="s">
        <v>31</v>
      </c>
      <c r="E3348" s="8">
        <v>91</v>
      </c>
      <c r="F3348" s="8">
        <v>300</v>
      </c>
      <c r="G3348" s="1">
        <f t="shared" si="1459"/>
        <v>391</v>
      </c>
      <c r="H3348" s="2">
        <f t="shared" si="1460"/>
        <v>0.23273657289002558</v>
      </c>
      <c r="I3348" s="2">
        <f t="shared" si="1461"/>
        <v>0.76726342710997442</v>
      </c>
      <c r="J3348" s="14">
        <f>1143+316</f>
        <v>1459</v>
      </c>
      <c r="K3348" s="14">
        <f>91301.86+4048.1</f>
        <v>95349.96</v>
      </c>
      <c r="L3348" s="1">
        <f t="shared" si="1462"/>
        <v>96808.960000000006</v>
      </c>
      <c r="M3348" s="2">
        <f t="shared" si="1463"/>
        <v>1.5070919055426273E-2</v>
      </c>
      <c r="N3348" s="2">
        <f t="shared" si="1464"/>
        <v>0.98492908094457376</v>
      </c>
    </row>
    <row r="3349" spans="1:14" x14ac:dyDescent="0.35">
      <c r="A3349" t="s">
        <v>36</v>
      </c>
      <c r="B3349" t="s">
        <v>29</v>
      </c>
      <c r="C3349">
        <v>2008</v>
      </c>
      <c r="D3349" t="s">
        <v>31</v>
      </c>
      <c r="E3349" s="8">
        <v>92</v>
      </c>
      <c r="F3349" s="8">
        <v>297</v>
      </c>
      <c r="G3349" s="1">
        <f t="shared" si="1459"/>
        <v>389</v>
      </c>
      <c r="H3349" s="2">
        <f t="shared" si="1460"/>
        <v>0.23650385604113111</v>
      </c>
      <c r="I3349" s="2">
        <f t="shared" si="1461"/>
        <v>0.76349614395886889</v>
      </c>
      <c r="J3349" s="14">
        <f>1273+529</f>
        <v>1802</v>
      </c>
      <c r="K3349" s="14">
        <f>97879.62+2867.28</f>
        <v>100746.9</v>
      </c>
      <c r="L3349" s="1">
        <f t="shared" si="1462"/>
        <v>102548.9</v>
      </c>
      <c r="M3349" s="2">
        <f t="shared" si="1463"/>
        <v>1.7572104625208071E-2</v>
      </c>
      <c r="N3349" s="2">
        <f t="shared" si="1464"/>
        <v>0.98242789537479192</v>
      </c>
    </row>
    <row r="3350" spans="1:14" x14ac:dyDescent="0.35">
      <c r="A3350" t="s">
        <v>36</v>
      </c>
      <c r="B3350" t="s">
        <v>17</v>
      </c>
      <c r="C3350">
        <v>2009</v>
      </c>
      <c r="D3350" t="s">
        <v>31</v>
      </c>
      <c r="E3350" s="3">
        <v>92</v>
      </c>
      <c r="F3350" s="3">
        <v>289</v>
      </c>
      <c r="G3350" s="1">
        <f t="shared" si="1459"/>
        <v>381</v>
      </c>
      <c r="H3350" s="2">
        <f t="shared" si="1460"/>
        <v>0.24146981627296588</v>
      </c>
      <c r="I3350" s="2">
        <f t="shared" si="1461"/>
        <v>0.75853018372703407</v>
      </c>
      <c r="J3350" s="6">
        <f>1363+289</f>
        <v>1652</v>
      </c>
      <c r="K3350" s="6">
        <f>99610+2862</f>
        <v>102472</v>
      </c>
      <c r="L3350" s="1">
        <f t="shared" si="1462"/>
        <v>104124</v>
      </c>
      <c r="M3350" s="2">
        <f t="shared" si="1463"/>
        <v>1.5865698590142523E-2</v>
      </c>
      <c r="N3350" s="2">
        <f t="shared" si="1464"/>
        <v>0.98413430140985747</v>
      </c>
    </row>
    <row r="3351" spans="1:14" x14ac:dyDescent="0.35">
      <c r="A3351" t="s">
        <v>36</v>
      </c>
      <c r="B3351" t="s">
        <v>19</v>
      </c>
      <c r="C3351">
        <v>2009</v>
      </c>
      <c r="D3351" t="s">
        <v>31</v>
      </c>
      <c r="E3351" s="3">
        <v>90</v>
      </c>
      <c r="F3351" s="3">
        <v>291</v>
      </c>
      <c r="G3351" s="1">
        <f t="shared" si="1459"/>
        <v>381</v>
      </c>
      <c r="H3351" s="2">
        <f t="shared" si="1460"/>
        <v>0.23622047244094488</v>
      </c>
      <c r="I3351" s="2">
        <f t="shared" si="1461"/>
        <v>0.76377952755905509</v>
      </c>
      <c r="J3351" s="6">
        <f>1141+957</f>
        <v>2098</v>
      </c>
      <c r="K3351" s="6">
        <f>83830+2941</f>
        <v>86771</v>
      </c>
      <c r="L3351" s="1">
        <f t="shared" si="1462"/>
        <v>88869</v>
      </c>
      <c r="M3351" s="2">
        <f t="shared" si="1463"/>
        <v>2.3607782241276486E-2</v>
      </c>
      <c r="N3351" s="2">
        <f t="shared" si="1464"/>
        <v>0.97639221775872354</v>
      </c>
    </row>
    <row r="3352" spans="1:14" x14ac:dyDescent="0.35">
      <c r="A3352" t="s">
        <v>36</v>
      </c>
      <c r="B3352" t="s">
        <v>20</v>
      </c>
      <c r="C3352">
        <v>2009</v>
      </c>
      <c r="D3352" t="s">
        <v>31</v>
      </c>
      <c r="E3352" s="3">
        <v>89</v>
      </c>
      <c r="F3352" s="3">
        <v>289</v>
      </c>
      <c r="G3352" s="1">
        <f t="shared" si="1459"/>
        <v>378</v>
      </c>
      <c r="H3352" s="2">
        <f t="shared" si="1460"/>
        <v>0.23544973544973544</v>
      </c>
      <c r="I3352" s="2">
        <f t="shared" si="1461"/>
        <v>0.76455026455026454</v>
      </c>
      <c r="J3352" s="6">
        <f>1154+2312</f>
        <v>3466</v>
      </c>
      <c r="K3352" s="6">
        <f>88590+2745</f>
        <v>91335</v>
      </c>
      <c r="L3352" s="1">
        <f t="shared" si="1462"/>
        <v>94801</v>
      </c>
      <c r="M3352" s="2">
        <f t="shared" si="1463"/>
        <v>3.6560795772196494E-2</v>
      </c>
      <c r="N3352" s="2">
        <f t="shared" si="1464"/>
        <v>0.96343920422780349</v>
      </c>
    </row>
    <row r="3353" spans="1:14" x14ac:dyDescent="0.35">
      <c r="A3353" t="s">
        <v>36</v>
      </c>
      <c r="B3353" t="s">
        <v>21</v>
      </c>
      <c r="C3353">
        <v>2009</v>
      </c>
      <c r="D3353" t="s">
        <v>31</v>
      </c>
      <c r="E3353" s="3">
        <v>90</v>
      </c>
      <c r="F3353" s="3">
        <v>283</v>
      </c>
      <c r="G3353" s="1">
        <f t="shared" si="1459"/>
        <v>373</v>
      </c>
      <c r="H3353" s="2">
        <f t="shared" si="1460"/>
        <v>0.24128686327077747</v>
      </c>
      <c r="I3353" s="2">
        <f t="shared" si="1461"/>
        <v>0.75871313672922247</v>
      </c>
      <c r="J3353" s="6">
        <f>1200+1829</f>
        <v>3029</v>
      </c>
      <c r="K3353" s="6">
        <f>88277+3671</f>
        <v>91948</v>
      </c>
      <c r="L3353" s="1">
        <f t="shared" si="1462"/>
        <v>94977</v>
      </c>
      <c r="M3353" s="2">
        <f t="shared" si="1463"/>
        <v>3.1891931730840095E-2</v>
      </c>
      <c r="N3353" s="2">
        <f t="shared" si="1464"/>
        <v>0.96810806826915985</v>
      </c>
    </row>
    <row r="3354" spans="1:14" x14ac:dyDescent="0.35">
      <c r="A3354" t="s">
        <v>36</v>
      </c>
      <c r="B3354" t="s">
        <v>22</v>
      </c>
      <c r="C3354">
        <v>2009</v>
      </c>
      <c r="D3354" t="s">
        <v>31</v>
      </c>
      <c r="E3354" s="3">
        <v>89</v>
      </c>
      <c r="F3354" s="3">
        <v>284</v>
      </c>
      <c r="G3354" s="1">
        <f t="shared" si="1459"/>
        <v>373</v>
      </c>
      <c r="H3354" s="2">
        <f t="shared" si="1460"/>
        <v>0.23860589812332439</v>
      </c>
      <c r="I3354" s="2">
        <f t="shared" si="1461"/>
        <v>0.76139410187667556</v>
      </c>
      <c r="J3354" s="6">
        <f>1157+2091</f>
        <v>3248</v>
      </c>
      <c r="K3354" s="6">
        <f>90896+4757</f>
        <v>95653</v>
      </c>
      <c r="L3354" s="1">
        <f t="shared" si="1462"/>
        <v>98901</v>
      </c>
      <c r="M3354" s="2">
        <f t="shared" si="1463"/>
        <v>3.2840921729810617E-2</v>
      </c>
      <c r="N3354" s="2">
        <f t="shared" si="1464"/>
        <v>0.96715907827018943</v>
      </c>
    </row>
    <row r="3355" spans="1:14" x14ac:dyDescent="0.35">
      <c r="A3355" t="s">
        <v>36</v>
      </c>
      <c r="B3355" t="s">
        <v>23</v>
      </c>
      <c r="C3355">
        <v>2009</v>
      </c>
      <c r="D3355" t="s">
        <v>31</v>
      </c>
      <c r="E3355" s="3">
        <v>89</v>
      </c>
      <c r="F3355" s="3">
        <v>284</v>
      </c>
      <c r="G3355" s="1">
        <f t="shared" si="1459"/>
        <v>373</v>
      </c>
      <c r="H3355" s="2">
        <f t="shared" si="1460"/>
        <v>0.23860589812332439</v>
      </c>
      <c r="I3355" s="2">
        <f t="shared" si="1461"/>
        <v>0.76139410187667556</v>
      </c>
      <c r="J3355" s="6">
        <f>1621+837</f>
        <v>2458</v>
      </c>
      <c r="K3355" s="6">
        <f>92636+4970</f>
        <v>97606</v>
      </c>
      <c r="L3355" s="1">
        <f t="shared" si="1462"/>
        <v>100064</v>
      </c>
      <c r="M3355" s="2">
        <f t="shared" si="1463"/>
        <v>2.4564278861528621E-2</v>
      </c>
      <c r="N3355" s="2">
        <f t="shared" si="1464"/>
        <v>0.97543572113847132</v>
      </c>
    </row>
    <row r="3356" spans="1:14" x14ac:dyDescent="0.35">
      <c r="A3356" t="s">
        <v>36</v>
      </c>
      <c r="B3356" t="s">
        <v>24</v>
      </c>
      <c r="C3356">
        <v>2009</v>
      </c>
      <c r="D3356" t="s">
        <v>31</v>
      </c>
      <c r="E3356" s="3">
        <v>89</v>
      </c>
      <c r="F3356" s="3">
        <v>281</v>
      </c>
      <c r="G3356" s="1">
        <f t="shared" si="1459"/>
        <v>370</v>
      </c>
      <c r="H3356" s="2">
        <f t="shared" si="1460"/>
        <v>0.24054054054054055</v>
      </c>
      <c r="I3356" s="2">
        <f t="shared" si="1461"/>
        <v>0.75945945945945947</v>
      </c>
      <c r="J3356" s="6">
        <f>1711+806</f>
        <v>2517</v>
      </c>
      <c r="K3356" s="6">
        <f>100803+5463</f>
        <v>106266</v>
      </c>
      <c r="L3356" s="1">
        <f t="shared" si="1462"/>
        <v>108783</v>
      </c>
      <c r="M3356" s="2">
        <f t="shared" si="1463"/>
        <v>2.3137806458729766E-2</v>
      </c>
      <c r="N3356" s="2">
        <f t="shared" si="1464"/>
        <v>0.97686219354127024</v>
      </c>
    </row>
    <row r="3357" spans="1:14" x14ac:dyDescent="0.35">
      <c r="A3357" t="s">
        <v>36</v>
      </c>
      <c r="B3357" t="s">
        <v>25</v>
      </c>
      <c r="C3357">
        <v>2009</v>
      </c>
      <c r="D3357" t="s">
        <v>31</v>
      </c>
      <c r="E3357" s="3">
        <v>82</v>
      </c>
      <c r="F3357" s="3">
        <v>291</v>
      </c>
      <c r="G3357" s="1">
        <f t="shared" si="1459"/>
        <v>373</v>
      </c>
      <c r="H3357" s="2">
        <f t="shared" si="1460"/>
        <v>0.21983914209115282</v>
      </c>
      <c r="I3357" s="2">
        <f t="shared" si="1461"/>
        <v>0.78016085790884715</v>
      </c>
      <c r="J3357" s="6">
        <f>1580+134</f>
        <v>1714</v>
      </c>
      <c r="K3357" s="6">
        <f>94152+5875</f>
        <v>100027</v>
      </c>
      <c r="L3357" s="1">
        <f t="shared" si="1462"/>
        <v>101741</v>
      </c>
      <c r="M3357" s="2">
        <f t="shared" si="1463"/>
        <v>1.6846698970916348E-2</v>
      </c>
      <c r="N3357" s="2">
        <f t="shared" si="1464"/>
        <v>0.9831533010290836</v>
      </c>
    </row>
    <row r="3358" spans="1:14" x14ac:dyDescent="0.35">
      <c r="A3358" t="s">
        <v>36</v>
      </c>
      <c r="B3358" t="s">
        <v>26</v>
      </c>
      <c r="C3358">
        <v>2009</v>
      </c>
      <c r="D3358" t="s">
        <v>31</v>
      </c>
      <c r="E3358" s="3">
        <v>79</v>
      </c>
      <c r="F3358" s="3">
        <v>292</v>
      </c>
      <c r="G3358" s="1">
        <f t="shared" si="1459"/>
        <v>371</v>
      </c>
      <c r="H3358" s="2">
        <f t="shared" si="1460"/>
        <v>0.21293800539083557</v>
      </c>
      <c r="I3358" s="2">
        <f t="shared" si="1461"/>
        <v>0.78706199460916437</v>
      </c>
      <c r="J3358" s="6">
        <f>944+125</f>
        <v>1069</v>
      </c>
      <c r="K3358" s="6">
        <f>96933+5663</f>
        <v>102596</v>
      </c>
      <c r="L3358" s="1">
        <f t="shared" si="1462"/>
        <v>103665</v>
      </c>
      <c r="M3358" s="2">
        <f t="shared" si="1463"/>
        <v>1.0312062894901847E-2</v>
      </c>
      <c r="N3358" s="2">
        <f t="shared" si="1464"/>
        <v>0.98968793710509817</v>
      </c>
    </row>
    <row r="3359" spans="1:14" x14ac:dyDescent="0.35">
      <c r="A3359" t="s">
        <v>36</v>
      </c>
      <c r="B3359" t="s">
        <v>27</v>
      </c>
      <c r="C3359">
        <v>2009</v>
      </c>
      <c r="D3359" t="s">
        <v>31</v>
      </c>
      <c r="E3359" s="3">
        <v>76</v>
      </c>
      <c r="F3359" s="3">
        <v>298</v>
      </c>
      <c r="G3359" s="1">
        <f t="shared" si="1459"/>
        <v>374</v>
      </c>
      <c r="H3359" s="2">
        <f t="shared" si="1460"/>
        <v>0.20320855614973263</v>
      </c>
      <c r="I3359" s="2">
        <f t="shared" si="1461"/>
        <v>0.79679144385026734</v>
      </c>
      <c r="J3359" s="6">
        <f>1007+67</f>
        <v>1074</v>
      </c>
      <c r="K3359" s="6">
        <f>97313+5017</f>
        <v>102330</v>
      </c>
      <c r="L3359" s="1">
        <f t="shared" si="1462"/>
        <v>103404</v>
      </c>
      <c r="M3359" s="2">
        <f t="shared" si="1463"/>
        <v>1.0386445398630614E-2</v>
      </c>
      <c r="N3359" s="2">
        <f t="shared" si="1464"/>
        <v>0.98961355460136935</v>
      </c>
    </row>
    <row r="3360" spans="1:14" x14ac:dyDescent="0.35">
      <c r="A3360" t="s">
        <v>36</v>
      </c>
      <c r="B3360" t="s">
        <v>28</v>
      </c>
      <c r="C3360">
        <v>2009</v>
      </c>
      <c r="D3360" t="s">
        <v>31</v>
      </c>
      <c r="E3360" s="3">
        <v>78</v>
      </c>
      <c r="F3360" s="3">
        <v>299</v>
      </c>
      <c r="G3360" s="1">
        <f t="shared" si="1459"/>
        <v>377</v>
      </c>
      <c r="H3360" s="2">
        <f t="shared" si="1460"/>
        <v>0.20689655172413793</v>
      </c>
      <c r="I3360" s="2">
        <f t="shared" si="1461"/>
        <v>0.7931034482758621</v>
      </c>
      <c r="J3360" s="6">
        <f>340+43</f>
        <v>383</v>
      </c>
      <c r="K3360" s="6">
        <f>92265+4347</f>
        <v>96612</v>
      </c>
      <c r="L3360" s="1">
        <f t="shared" si="1462"/>
        <v>96995</v>
      </c>
      <c r="M3360" s="2">
        <f t="shared" si="1463"/>
        <v>3.948657147275633E-3</v>
      </c>
      <c r="N3360" s="2">
        <f t="shared" si="1464"/>
        <v>0.99605134285272434</v>
      </c>
    </row>
    <row r="3361" spans="1:14" x14ac:dyDescent="0.35">
      <c r="A3361" t="s">
        <v>36</v>
      </c>
      <c r="B3361" t="s">
        <v>29</v>
      </c>
      <c r="C3361">
        <v>2009</v>
      </c>
      <c r="D3361" t="s">
        <v>31</v>
      </c>
      <c r="E3361" s="3">
        <v>79</v>
      </c>
      <c r="F3361" s="3">
        <v>322</v>
      </c>
      <c r="G3361" s="1">
        <f t="shared" si="1459"/>
        <v>401</v>
      </c>
      <c r="H3361" s="2">
        <f t="shared" si="1460"/>
        <v>0.1970074812967581</v>
      </c>
      <c r="I3361" s="2">
        <f t="shared" si="1461"/>
        <v>0.80299251870324184</v>
      </c>
      <c r="J3361" s="6">
        <f>327+53</f>
        <v>380</v>
      </c>
      <c r="K3361" s="6">
        <f>107394+4866</f>
        <v>112260</v>
      </c>
      <c r="L3361" s="1">
        <f t="shared" si="1462"/>
        <v>112640</v>
      </c>
      <c r="M3361" s="2">
        <f t="shared" si="1463"/>
        <v>3.3735795454545455E-3</v>
      </c>
      <c r="N3361" s="2">
        <f t="shared" si="1464"/>
        <v>0.99662642045454541</v>
      </c>
    </row>
    <row r="3362" spans="1:14" x14ac:dyDescent="0.35">
      <c r="A3362" t="s">
        <v>36</v>
      </c>
      <c r="B3362" t="s">
        <v>17</v>
      </c>
      <c r="C3362">
        <v>2010</v>
      </c>
      <c r="D3362" t="s">
        <v>31</v>
      </c>
      <c r="E3362" s="3">
        <v>59</v>
      </c>
      <c r="F3362" s="3">
        <v>282</v>
      </c>
      <c r="G3362" s="1">
        <f t="shared" si="1459"/>
        <v>341</v>
      </c>
      <c r="H3362" s="2">
        <f t="shared" si="1460"/>
        <v>0.17302052785923755</v>
      </c>
      <c r="I3362" s="2">
        <f t="shared" si="1461"/>
        <v>0.82697947214076251</v>
      </c>
      <c r="J3362" s="6">
        <f>321+48</f>
        <v>369</v>
      </c>
      <c r="K3362" s="6">
        <f>105540+1475</f>
        <v>107015</v>
      </c>
      <c r="L3362" s="1">
        <f t="shared" si="1462"/>
        <v>107384</v>
      </c>
      <c r="M3362" s="2">
        <f t="shared" si="1463"/>
        <v>3.4362661104075094E-3</v>
      </c>
      <c r="N3362" s="2">
        <f t="shared" si="1464"/>
        <v>0.99656373388959252</v>
      </c>
    </row>
    <row r="3363" spans="1:14" x14ac:dyDescent="0.35">
      <c r="A3363" t="s">
        <v>36</v>
      </c>
      <c r="B3363" t="s">
        <v>19</v>
      </c>
      <c r="C3363">
        <v>2010</v>
      </c>
      <c r="D3363" t="s">
        <v>31</v>
      </c>
      <c r="E3363" s="3">
        <v>58</v>
      </c>
      <c r="F3363" s="3">
        <v>321</v>
      </c>
      <c r="G3363" s="1">
        <f t="shared" si="1459"/>
        <v>379</v>
      </c>
      <c r="H3363" s="2">
        <f t="shared" si="1460"/>
        <v>0.15303430079155672</v>
      </c>
      <c r="I3363" s="2">
        <f t="shared" si="1461"/>
        <v>0.84696569920844322</v>
      </c>
      <c r="J3363" s="6">
        <f>287+32</f>
        <v>319</v>
      </c>
      <c r="K3363" s="6">
        <f>98642+3166</f>
        <v>101808</v>
      </c>
      <c r="L3363" s="1">
        <f t="shared" si="1462"/>
        <v>102127</v>
      </c>
      <c r="M3363" s="2">
        <f t="shared" si="1463"/>
        <v>3.1235618396702144E-3</v>
      </c>
      <c r="N3363" s="2">
        <f t="shared" si="1464"/>
        <v>0.99687643816032978</v>
      </c>
    </row>
    <row r="3364" spans="1:14" x14ac:dyDescent="0.35">
      <c r="A3364" t="s">
        <v>36</v>
      </c>
      <c r="B3364" t="s">
        <v>20</v>
      </c>
      <c r="C3364">
        <v>2010</v>
      </c>
      <c r="D3364" t="s">
        <v>31</v>
      </c>
      <c r="E3364" s="3">
        <v>58</v>
      </c>
      <c r="F3364" s="3">
        <v>321</v>
      </c>
      <c r="G3364" s="1">
        <f t="shared" si="1459"/>
        <v>379</v>
      </c>
      <c r="H3364" s="2">
        <f t="shared" si="1460"/>
        <v>0.15303430079155672</v>
      </c>
      <c r="I3364" s="2">
        <f t="shared" si="1461"/>
        <v>0.84696569920844322</v>
      </c>
      <c r="J3364" s="6">
        <f>283+23</f>
        <v>306</v>
      </c>
      <c r="K3364" s="6">
        <f>101052+2155</f>
        <v>103207</v>
      </c>
      <c r="L3364" s="1">
        <f t="shared" si="1462"/>
        <v>103513</v>
      </c>
      <c r="M3364" s="2">
        <f t="shared" si="1463"/>
        <v>2.9561504352110363E-3</v>
      </c>
      <c r="N3364" s="2">
        <f t="shared" si="1464"/>
        <v>0.99704384956478898</v>
      </c>
    </row>
    <row r="3365" spans="1:14" x14ac:dyDescent="0.35">
      <c r="A3365" t="s">
        <v>36</v>
      </c>
      <c r="B3365" t="s">
        <v>21</v>
      </c>
      <c r="C3365">
        <v>2010</v>
      </c>
      <c r="D3365" t="s">
        <v>31</v>
      </c>
      <c r="E3365" s="3">
        <v>56</v>
      </c>
      <c r="F3365" s="3">
        <v>323</v>
      </c>
      <c r="G3365" s="1">
        <f t="shared" si="1459"/>
        <v>379</v>
      </c>
      <c r="H3365" s="2">
        <f t="shared" si="1460"/>
        <v>0.14775725593667546</v>
      </c>
      <c r="I3365" s="2">
        <f t="shared" si="1461"/>
        <v>0.85224274406332456</v>
      </c>
      <c r="J3365" s="6">
        <f>272+18</f>
        <v>290</v>
      </c>
      <c r="K3365" s="6">
        <f>106990+2799</f>
        <v>109789</v>
      </c>
      <c r="L3365" s="1">
        <f t="shared" si="1462"/>
        <v>110079</v>
      </c>
      <c r="M3365" s="2">
        <f t="shared" si="1463"/>
        <v>2.6344716067551485E-3</v>
      </c>
      <c r="N3365" s="2">
        <f t="shared" si="1464"/>
        <v>0.99736552839324488</v>
      </c>
    </row>
    <row r="3366" spans="1:14" x14ac:dyDescent="0.35">
      <c r="A3366" t="s">
        <v>36</v>
      </c>
      <c r="B3366" t="s">
        <v>22</v>
      </c>
      <c r="C3366">
        <v>2010</v>
      </c>
      <c r="D3366" t="s">
        <v>31</v>
      </c>
      <c r="E3366" s="3">
        <v>56</v>
      </c>
      <c r="F3366" s="3">
        <v>324</v>
      </c>
      <c r="G3366" s="1">
        <f t="shared" si="1459"/>
        <v>380</v>
      </c>
      <c r="H3366" s="2">
        <f t="shared" si="1460"/>
        <v>0.14736842105263157</v>
      </c>
      <c r="I3366" s="2">
        <f t="shared" si="1461"/>
        <v>0.85263157894736841</v>
      </c>
      <c r="J3366" s="6">
        <f>283+25</f>
        <v>308</v>
      </c>
      <c r="K3366" s="6">
        <f>102181+4874</f>
        <v>107055</v>
      </c>
      <c r="L3366" s="1">
        <f t="shared" si="1462"/>
        <v>107363</v>
      </c>
      <c r="M3366" s="2">
        <f t="shared" si="1463"/>
        <v>2.8687722958561142E-3</v>
      </c>
      <c r="N3366" s="2">
        <f t="shared" si="1464"/>
        <v>0.99713122770414386</v>
      </c>
    </row>
    <row r="3367" spans="1:14" x14ac:dyDescent="0.35">
      <c r="A3367" t="s">
        <v>36</v>
      </c>
      <c r="B3367" t="s">
        <v>23</v>
      </c>
      <c r="C3367">
        <v>2010</v>
      </c>
      <c r="D3367" t="s">
        <v>31</v>
      </c>
      <c r="E3367" s="3">
        <v>55</v>
      </c>
      <c r="F3367" s="3">
        <v>315</v>
      </c>
      <c r="G3367" s="1">
        <f t="shared" si="1459"/>
        <v>370</v>
      </c>
      <c r="H3367" s="2">
        <f t="shared" si="1460"/>
        <v>0.14864864864864866</v>
      </c>
      <c r="I3367" s="2">
        <f t="shared" si="1461"/>
        <v>0.85135135135135132</v>
      </c>
      <c r="J3367" s="6">
        <f>293+12</f>
        <v>305</v>
      </c>
      <c r="K3367" s="6">
        <f>111905+6358</f>
        <v>118263</v>
      </c>
      <c r="L3367" s="1">
        <f t="shared" si="1462"/>
        <v>118568</v>
      </c>
      <c r="M3367" s="2">
        <f t="shared" si="1463"/>
        <v>2.5723635382227921E-3</v>
      </c>
      <c r="N3367" s="2">
        <f t="shared" si="1464"/>
        <v>0.99742763646177723</v>
      </c>
    </row>
    <row r="3368" spans="1:14" x14ac:dyDescent="0.35">
      <c r="A3368" t="s">
        <v>36</v>
      </c>
      <c r="B3368" t="s">
        <v>24</v>
      </c>
      <c r="C3368">
        <v>2010</v>
      </c>
      <c r="D3368" t="s">
        <v>31</v>
      </c>
      <c r="E3368" s="3">
        <v>54</v>
      </c>
      <c r="F3368" s="3">
        <v>326</v>
      </c>
      <c r="G3368" s="1">
        <f t="shared" si="1459"/>
        <v>380</v>
      </c>
      <c r="H3368" s="2">
        <f t="shared" si="1460"/>
        <v>0.14210526315789473</v>
      </c>
      <c r="I3368" s="2">
        <f t="shared" si="1461"/>
        <v>0.85789473684210527</v>
      </c>
      <c r="J3368" s="6">
        <f>271+19</f>
        <v>290</v>
      </c>
      <c r="K3368" s="6">
        <f>114915+3994</f>
        <v>118909</v>
      </c>
      <c r="L3368" s="1">
        <f t="shared" si="1462"/>
        <v>119199</v>
      </c>
      <c r="M3368" s="2">
        <f t="shared" si="1463"/>
        <v>2.4329063163281571E-3</v>
      </c>
      <c r="N3368" s="2">
        <f t="shared" si="1464"/>
        <v>0.9975670936836718</v>
      </c>
    </row>
    <row r="3369" spans="1:14" x14ac:dyDescent="0.35">
      <c r="A3369" t="s">
        <v>36</v>
      </c>
      <c r="B3369" t="s">
        <v>25</v>
      </c>
      <c r="C3369">
        <v>2010</v>
      </c>
      <c r="D3369" t="s">
        <v>31</v>
      </c>
      <c r="E3369" s="3">
        <v>53</v>
      </c>
      <c r="F3369" s="3">
        <v>307</v>
      </c>
      <c r="G3369" s="1">
        <f t="shared" si="1459"/>
        <v>360</v>
      </c>
      <c r="H3369" s="2">
        <f t="shared" si="1460"/>
        <v>0.14722222222222223</v>
      </c>
      <c r="I3369" s="2">
        <f t="shared" si="1461"/>
        <v>0.85277777777777775</v>
      </c>
      <c r="J3369" s="6">
        <f>238+3</f>
        <v>241</v>
      </c>
      <c r="K3369" s="6">
        <f>108971+4002</f>
        <v>112973</v>
      </c>
      <c r="L3369" s="1">
        <f t="shared" si="1462"/>
        <v>113214</v>
      </c>
      <c r="M3369" s="2">
        <f t="shared" si="1463"/>
        <v>2.1287119967495186E-3</v>
      </c>
      <c r="N3369" s="2">
        <f t="shared" si="1464"/>
        <v>0.99787128800325053</v>
      </c>
    </row>
    <row r="3370" spans="1:14" x14ac:dyDescent="0.35">
      <c r="A3370" t="s">
        <v>36</v>
      </c>
      <c r="B3370" t="s">
        <v>26</v>
      </c>
      <c r="C3370">
        <v>2010</v>
      </c>
      <c r="D3370" t="s">
        <v>31</v>
      </c>
      <c r="E3370" s="3">
        <v>54</v>
      </c>
      <c r="F3370" s="3">
        <v>318</v>
      </c>
      <c r="G3370" s="1">
        <f t="shared" si="1459"/>
        <v>372</v>
      </c>
      <c r="H3370" s="2">
        <f t="shared" si="1460"/>
        <v>0.14516129032258066</v>
      </c>
      <c r="I3370" s="2">
        <f t="shared" si="1461"/>
        <v>0.85483870967741937</v>
      </c>
      <c r="J3370" s="6">
        <f>261+30</f>
        <v>291</v>
      </c>
      <c r="K3370" s="6">
        <f>114639+5028</f>
        <v>119667</v>
      </c>
      <c r="L3370" s="1">
        <f t="shared" si="1462"/>
        <v>119958</v>
      </c>
      <c r="M3370" s="2">
        <f t="shared" si="1463"/>
        <v>2.4258490471665084E-3</v>
      </c>
      <c r="N3370" s="2">
        <f t="shared" si="1464"/>
        <v>0.99757415095283353</v>
      </c>
    </row>
    <row r="3371" spans="1:14" x14ac:dyDescent="0.35">
      <c r="A3371" t="s">
        <v>36</v>
      </c>
      <c r="B3371" t="s">
        <v>27</v>
      </c>
      <c r="C3371">
        <v>2010</v>
      </c>
      <c r="D3371" t="s">
        <v>31</v>
      </c>
      <c r="E3371" s="3">
        <v>53</v>
      </c>
      <c r="F3371" s="3">
        <v>303</v>
      </c>
      <c r="G3371" s="1">
        <f t="shared" si="1459"/>
        <v>356</v>
      </c>
      <c r="H3371" s="2">
        <f t="shared" si="1460"/>
        <v>0.14887640449438203</v>
      </c>
      <c r="I3371" s="2">
        <f t="shared" si="1461"/>
        <v>0.851123595505618</v>
      </c>
      <c r="J3371" s="6">
        <f>239+35</f>
        <v>274</v>
      </c>
      <c r="K3371" s="6">
        <f>95183+3840</f>
        <v>99023</v>
      </c>
      <c r="L3371" s="1">
        <f t="shared" si="1462"/>
        <v>99297</v>
      </c>
      <c r="M3371" s="2">
        <f t="shared" si="1463"/>
        <v>2.7593985719608851E-3</v>
      </c>
      <c r="N3371" s="2">
        <f t="shared" si="1464"/>
        <v>0.99724060142803916</v>
      </c>
    </row>
    <row r="3372" spans="1:14" x14ac:dyDescent="0.35">
      <c r="A3372" t="s">
        <v>36</v>
      </c>
      <c r="B3372" t="s">
        <v>28</v>
      </c>
      <c r="C3372">
        <v>2010</v>
      </c>
      <c r="D3372" t="s">
        <v>31</v>
      </c>
      <c r="E3372" s="3">
        <v>52</v>
      </c>
      <c r="F3372" s="3">
        <v>304</v>
      </c>
      <c r="G3372" s="1">
        <f t="shared" si="1459"/>
        <v>356</v>
      </c>
      <c r="H3372" s="2">
        <f t="shared" si="1460"/>
        <v>0.14606741573033707</v>
      </c>
      <c r="I3372" s="2">
        <f t="shared" si="1461"/>
        <v>0.8539325842696629</v>
      </c>
      <c r="J3372" s="6">
        <f>250+25</f>
        <v>275</v>
      </c>
      <c r="K3372" s="6">
        <f>97551+3342</f>
        <v>100893</v>
      </c>
      <c r="L3372" s="1">
        <f t="shared" si="1462"/>
        <v>101168</v>
      </c>
      <c r="M3372" s="2">
        <f t="shared" si="1463"/>
        <v>2.7182508303020716E-3</v>
      </c>
      <c r="N3372" s="2">
        <f t="shared" si="1464"/>
        <v>0.99728174916969792</v>
      </c>
    </row>
    <row r="3373" spans="1:14" x14ac:dyDescent="0.35">
      <c r="A3373" t="s">
        <v>36</v>
      </c>
      <c r="B3373" t="s">
        <v>29</v>
      </c>
      <c r="C3373">
        <v>2010</v>
      </c>
      <c r="D3373" t="s">
        <v>31</v>
      </c>
      <c r="E3373" s="3">
        <v>54</v>
      </c>
      <c r="F3373" s="3">
        <v>325</v>
      </c>
      <c r="G3373" s="1">
        <f t="shared" si="1459"/>
        <v>379</v>
      </c>
      <c r="H3373" s="2">
        <f t="shared" si="1460"/>
        <v>0.14248021108179421</v>
      </c>
      <c r="I3373" s="2">
        <f t="shared" si="1461"/>
        <v>0.85751978891820579</v>
      </c>
      <c r="J3373" s="6">
        <f>285+38</f>
        <v>323</v>
      </c>
      <c r="K3373" s="6">
        <f>90089+5483</f>
        <v>95572</v>
      </c>
      <c r="L3373" s="1">
        <f t="shared" si="1462"/>
        <v>95895</v>
      </c>
      <c r="M3373" s="2">
        <f t="shared" si="1463"/>
        <v>3.368267375775588E-3</v>
      </c>
      <c r="N3373" s="2">
        <f t="shared" si="1464"/>
        <v>0.99663173262422444</v>
      </c>
    </row>
    <row r="3374" spans="1:14" x14ac:dyDescent="0.35">
      <c r="A3374" t="s">
        <v>36</v>
      </c>
      <c r="B3374" t="s">
        <v>17</v>
      </c>
      <c r="C3374">
        <v>2011</v>
      </c>
      <c r="D3374" t="s">
        <v>31</v>
      </c>
      <c r="E3374" s="3">
        <v>51</v>
      </c>
      <c r="F3374" s="3">
        <f>267+11</f>
        <v>278</v>
      </c>
      <c r="G3374" s="1">
        <f t="shared" si="1459"/>
        <v>329</v>
      </c>
      <c r="H3374" s="2">
        <f t="shared" si="1460"/>
        <v>0.15501519756838905</v>
      </c>
      <c r="I3374" s="2">
        <f t="shared" si="1461"/>
        <v>0.84498480243161089</v>
      </c>
      <c r="J3374" s="6">
        <f>305+45</f>
        <v>350</v>
      </c>
      <c r="K3374" s="6">
        <f>99438+2522</f>
        <v>101960</v>
      </c>
      <c r="L3374" s="1">
        <f t="shared" si="1462"/>
        <v>102310</v>
      </c>
      <c r="M3374" s="2">
        <f t="shared" si="1463"/>
        <v>3.4209754667187957E-3</v>
      </c>
      <c r="N3374" s="2">
        <f t="shared" si="1464"/>
        <v>0.99657902453328118</v>
      </c>
    </row>
    <row r="3375" spans="1:14" x14ac:dyDescent="0.35">
      <c r="A3375" t="s">
        <v>36</v>
      </c>
      <c r="B3375" t="s">
        <v>19</v>
      </c>
      <c r="C3375">
        <v>2011</v>
      </c>
      <c r="D3375" t="s">
        <v>31</v>
      </c>
      <c r="E3375" s="3">
        <v>52</v>
      </c>
      <c r="F3375" s="3">
        <f>313+13</f>
        <v>326</v>
      </c>
      <c r="G3375" s="1">
        <f t="shared" si="1459"/>
        <v>378</v>
      </c>
      <c r="H3375" s="2">
        <f t="shared" si="1460"/>
        <v>0.13756613756613756</v>
      </c>
      <c r="I3375" s="2">
        <f t="shared" si="1461"/>
        <v>0.86243386243386244</v>
      </c>
      <c r="J3375" s="6">
        <f>237+28</f>
        <v>265</v>
      </c>
      <c r="K3375" s="6">
        <f>100622+4726</f>
        <v>105348</v>
      </c>
      <c r="L3375" s="1">
        <f t="shared" si="1462"/>
        <v>105613</v>
      </c>
      <c r="M3375" s="2">
        <f t="shared" si="1463"/>
        <v>2.5091608040676812E-3</v>
      </c>
      <c r="N3375" s="2">
        <f t="shared" si="1464"/>
        <v>0.99749083919593229</v>
      </c>
    </row>
    <row r="3376" spans="1:14" x14ac:dyDescent="0.35">
      <c r="A3376" t="s">
        <v>36</v>
      </c>
      <c r="B3376" t="s">
        <v>20</v>
      </c>
      <c r="C3376">
        <v>2011</v>
      </c>
      <c r="D3376" t="s">
        <v>31</v>
      </c>
      <c r="E3376" s="3">
        <v>43</v>
      </c>
      <c r="F3376" s="3">
        <f>310+13</f>
        <v>323</v>
      </c>
      <c r="G3376" s="1">
        <f t="shared" si="1459"/>
        <v>366</v>
      </c>
      <c r="H3376" s="2">
        <f t="shared" si="1460"/>
        <v>0.11748633879781421</v>
      </c>
      <c r="I3376" s="2">
        <f t="shared" si="1461"/>
        <v>0.88251366120218577</v>
      </c>
      <c r="J3376" s="6">
        <f>233+21</f>
        <v>254</v>
      </c>
      <c r="K3376" s="6">
        <f>93214+2636</f>
        <v>95850</v>
      </c>
      <c r="L3376" s="1">
        <f t="shared" si="1462"/>
        <v>96104</v>
      </c>
      <c r="M3376" s="2">
        <f t="shared" si="1463"/>
        <v>2.6429701157079828E-3</v>
      </c>
      <c r="N3376" s="2">
        <f t="shared" si="1464"/>
        <v>0.99735702988429198</v>
      </c>
    </row>
    <row r="3377" spans="1:14" x14ac:dyDescent="0.35">
      <c r="A3377" t="s">
        <v>36</v>
      </c>
      <c r="B3377" t="s">
        <v>21</v>
      </c>
      <c r="C3377">
        <v>2011</v>
      </c>
      <c r="D3377" t="s">
        <v>31</v>
      </c>
      <c r="E3377" s="3">
        <v>42</v>
      </c>
      <c r="F3377" s="3">
        <f>272+12</f>
        <v>284</v>
      </c>
      <c r="G3377" s="1">
        <f t="shared" si="1459"/>
        <v>326</v>
      </c>
      <c r="H3377" s="2">
        <f t="shared" si="1460"/>
        <v>0.12883435582822086</v>
      </c>
      <c r="I3377" s="2">
        <f t="shared" si="1461"/>
        <v>0.87116564417177911</v>
      </c>
      <c r="J3377" s="6">
        <f>239+21</f>
        <v>260</v>
      </c>
      <c r="K3377" s="6">
        <f>100387+3528</f>
        <v>103915</v>
      </c>
      <c r="L3377" s="1">
        <f t="shared" si="1462"/>
        <v>104175</v>
      </c>
      <c r="M3377" s="2">
        <f t="shared" si="1463"/>
        <v>2.495800335973122E-3</v>
      </c>
      <c r="N3377" s="2">
        <f t="shared" si="1464"/>
        <v>0.99750419966402692</v>
      </c>
    </row>
    <row r="3378" spans="1:14" x14ac:dyDescent="0.35">
      <c r="A3378" t="s">
        <v>36</v>
      </c>
      <c r="B3378" t="s">
        <v>22</v>
      </c>
      <c r="C3378">
        <v>2011</v>
      </c>
      <c r="D3378" t="s">
        <v>31</v>
      </c>
      <c r="E3378" s="3">
        <v>40</v>
      </c>
      <c r="F3378" s="3">
        <f>269+13</f>
        <v>282</v>
      </c>
      <c r="G3378" s="1">
        <f t="shared" si="1459"/>
        <v>322</v>
      </c>
      <c r="H3378" s="2">
        <f t="shared" si="1460"/>
        <v>0.12422360248447205</v>
      </c>
      <c r="I3378" s="2">
        <f t="shared" si="1461"/>
        <v>0.87577639751552794</v>
      </c>
      <c r="J3378" s="6">
        <f>227+17</f>
        <v>244</v>
      </c>
      <c r="K3378" s="6">
        <f>100072+4710</f>
        <v>104782</v>
      </c>
      <c r="L3378" s="1">
        <f t="shared" si="1462"/>
        <v>105026</v>
      </c>
      <c r="M3378" s="2">
        <f t="shared" si="1463"/>
        <v>2.3232342467579457E-3</v>
      </c>
      <c r="N3378" s="2">
        <f t="shared" si="1464"/>
        <v>0.99767676575324205</v>
      </c>
    </row>
    <row r="3379" spans="1:14" x14ac:dyDescent="0.35">
      <c r="A3379" t="s">
        <v>36</v>
      </c>
      <c r="B3379" t="s">
        <v>23</v>
      </c>
      <c r="C3379">
        <v>2011</v>
      </c>
      <c r="D3379" t="s">
        <v>31</v>
      </c>
      <c r="E3379" s="3">
        <v>41</v>
      </c>
      <c r="F3379" s="3">
        <f>311+14</f>
        <v>325</v>
      </c>
      <c r="G3379" s="1">
        <f t="shared" si="1459"/>
        <v>366</v>
      </c>
      <c r="H3379" s="2">
        <f t="shared" si="1460"/>
        <v>0.11202185792349727</v>
      </c>
      <c r="I3379" s="2">
        <f t="shared" si="1461"/>
        <v>0.88797814207650272</v>
      </c>
      <c r="J3379" s="6">
        <f>253+8</f>
        <v>261</v>
      </c>
      <c r="K3379" s="6">
        <f>110660+3588</f>
        <v>114248</v>
      </c>
      <c r="L3379" s="1">
        <f t="shared" si="1462"/>
        <v>114509</v>
      </c>
      <c r="M3379" s="2">
        <f t="shared" si="1463"/>
        <v>2.2792968238304415E-3</v>
      </c>
      <c r="N3379" s="2">
        <f t="shared" si="1464"/>
        <v>0.99772070317616957</v>
      </c>
    </row>
    <row r="3380" spans="1:14" x14ac:dyDescent="0.35">
      <c r="A3380" t="s">
        <v>36</v>
      </c>
      <c r="B3380" t="s">
        <v>24</v>
      </c>
      <c r="C3380">
        <v>2011</v>
      </c>
      <c r="D3380" t="s">
        <v>31</v>
      </c>
      <c r="E3380" s="3">
        <v>39</v>
      </c>
      <c r="F3380" s="3">
        <f>295+13</f>
        <v>308</v>
      </c>
      <c r="G3380" s="1">
        <f t="shared" si="1459"/>
        <v>347</v>
      </c>
      <c r="H3380" s="2">
        <f t="shared" si="1460"/>
        <v>0.11239193083573487</v>
      </c>
      <c r="I3380" s="2">
        <f t="shared" si="1461"/>
        <v>0.88760806916426516</v>
      </c>
      <c r="J3380" s="6">
        <f>2393+7</f>
        <v>2400</v>
      </c>
      <c r="K3380" s="6">
        <f>110634+3338</f>
        <v>113972</v>
      </c>
      <c r="L3380" s="1">
        <f t="shared" si="1462"/>
        <v>116372</v>
      </c>
      <c r="M3380" s="2">
        <f t="shared" si="1463"/>
        <v>2.0623517684666415E-2</v>
      </c>
      <c r="N3380" s="2">
        <f t="shared" si="1464"/>
        <v>0.97937648231533359</v>
      </c>
    </row>
    <row r="3381" spans="1:14" x14ac:dyDescent="0.35">
      <c r="A3381" t="s">
        <v>36</v>
      </c>
      <c r="B3381" t="s">
        <v>25</v>
      </c>
      <c r="C3381">
        <v>2011</v>
      </c>
      <c r="D3381" t="s">
        <v>31</v>
      </c>
      <c r="E3381" s="3">
        <v>40</v>
      </c>
      <c r="F3381" s="3">
        <f>314+13</f>
        <v>327</v>
      </c>
      <c r="G3381" s="1">
        <f t="shared" si="1459"/>
        <v>367</v>
      </c>
      <c r="H3381" s="2">
        <f t="shared" si="1460"/>
        <v>0.10899182561307902</v>
      </c>
      <c r="I3381" s="2">
        <f t="shared" si="1461"/>
        <v>0.89100817438692093</v>
      </c>
      <c r="J3381" s="6">
        <f>227+4</f>
        <v>231</v>
      </c>
      <c r="K3381" s="6">
        <f>110532+3746</f>
        <v>114278</v>
      </c>
      <c r="L3381" s="1">
        <f t="shared" si="1462"/>
        <v>114509</v>
      </c>
      <c r="M3381" s="2">
        <f t="shared" si="1463"/>
        <v>2.0173086831602755E-3</v>
      </c>
      <c r="N3381" s="2">
        <f t="shared" si="1464"/>
        <v>0.9979826913168397</v>
      </c>
    </row>
    <row r="3382" spans="1:14" x14ac:dyDescent="0.35">
      <c r="A3382" t="s">
        <v>36</v>
      </c>
      <c r="B3382" t="s">
        <v>26</v>
      </c>
      <c r="C3382">
        <v>2011</v>
      </c>
      <c r="D3382" t="s">
        <v>31</v>
      </c>
      <c r="E3382" s="3">
        <v>41</v>
      </c>
      <c r="F3382" s="3">
        <f>297+10</f>
        <v>307</v>
      </c>
      <c r="G3382" s="1">
        <f t="shared" si="1459"/>
        <v>348</v>
      </c>
      <c r="H3382" s="2">
        <f t="shared" si="1460"/>
        <v>0.11781609195402298</v>
      </c>
      <c r="I3382" s="2">
        <f t="shared" si="1461"/>
        <v>0.88218390804597702</v>
      </c>
      <c r="J3382" s="6">
        <f>213+17</f>
        <v>230</v>
      </c>
      <c r="K3382" s="6">
        <f>103909+4102</f>
        <v>108011</v>
      </c>
      <c r="L3382" s="1">
        <f t="shared" si="1462"/>
        <v>108241</v>
      </c>
      <c r="M3382" s="2">
        <f t="shared" si="1463"/>
        <v>2.124887981448804E-3</v>
      </c>
      <c r="N3382" s="2">
        <f t="shared" si="1464"/>
        <v>0.99787511201855117</v>
      </c>
    </row>
    <row r="3383" spans="1:14" x14ac:dyDescent="0.35">
      <c r="A3383" t="s">
        <v>36</v>
      </c>
      <c r="B3383" t="s">
        <v>27</v>
      </c>
      <c r="C3383">
        <v>2011</v>
      </c>
      <c r="D3383" t="s">
        <v>31</v>
      </c>
      <c r="E3383" s="3">
        <v>37</v>
      </c>
      <c r="F3383" s="3">
        <f>264+11</f>
        <v>275</v>
      </c>
      <c r="G3383" s="1">
        <f t="shared" ref="G3383:G3446" si="1465">SUM(E3383:F3383)</f>
        <v>312</v>
      </c>
      <c r="H3383" s="2">
        <f t="shared" ref="H3383:H3446" si="1466">SUM(E3383)/G3383</f>
        <v>0.11858974358974358</v>
      </c>
      <c r="I3383" s="2">
        <f t="shared" ref="I3383:I3446" si="1467">SUM(F3383/G3383)</f>
        <v>0.88141025641025639</v>
      </c>
      <c r="J3383" s="6">
        <f>231+31</f>
        <v>262</v>
      </c>
      <c r="K3383" s="6">
        <f>99041+3573</f>
        <v>102614</v>
      </c>
      <c r="L3383" s="1">
        <f t="shared" si="1462"/>
        <v>102876</v>
      </c>
      <c r="M3383" s="2">
        <f t="shared" si="1463"/>
        <v>2.5467553170807574E-3</v>
      </c>
      <c r="N3383" s="2">
        <f t="shared" si="1464"/>
        <v>0.99745324468291929</v>
      </c>
    </row>
    <row r="3384" spans="1:14" x14ac:dyDescent="0.35">
      <c r="A3384" t="s">
        <v>36</v>
      </c>
      <c r="B3384" t="s">
        <v>28</v>
      </c>
      <c r="C3384">
        <v>2011</v>
      </c>
      <c r="D3384" t="s">
        <v>31</v>
      </c>
      <c r="E3384" s="3">
        <v>36</v>
      </c>
      <c r="F3384" s="3">
        <f>304+12</f>
        <v>316</v>
      </c>
      <c r="G3384" s="1">
        <f t="shared" si="1465"/>
        <v>352</v>
      </c>
      <c r="H3384" s="2">
        <f t="shared" si="1466"/>
        <v>0.10227272727272728</v>
      </c>
      <c r="I3384" s="2">
        <f t="shared" si="1467"/>
        <v>0.89772727272727271</v>
      </c>
      <c r="J3384" s="6">
        <f>186+0</f>
        <v>186</v>
      </c>
      <c r="K3384" s="6">
        <f>74970+3166</f>
        <v>78136</v>
      </c>
      <c r="L3384" s="1">
        <f t="shared" si="1462"/>
        <v>78322</v>
      </c>
      <c r="M3384" s="2">
        <f t="shared" si="1463"/>
        <v>2.3748116748806211E-3</v>
      </c>
      <c r="N3384" s="2">
        <f t="shared" si="1464"/>
        <v>0.99762518832511937</v>
      </c>
    </row>
    <row r="3385" spans="1:14" x14ac:dyDescent="0.35">
      <c r="A3385" t="s">
        <v>36</v>
      </c>
      <c r="B3385" t="s">
        <v>29</v>
      </c>
      <c r="C3385">
        <v>2011</v>
      </c>
      <c r="D3385" t="s">
        <v>31</v>
      </c>
      <c r="E3385" s="3">
        <v>32</v>
      </c>
      <c r="F3385" s="3">
        <f>261+12</f>
        <v>273</v>
      </c>
      <c r="G3385" s="1">
        <f t="shared" si="1465"/>
        <v>305</v>
      </c>
      <c r="H3385" s="2">
        <f t="shared" si="1466"/>
        <v>0.10491803278688525</v>
      </c>
      <c r="I3385" s="2">
        <f t="shared" si="1467"/>
        <v>0.89508196721311473</v>
      </c>
      <c r="J3385" s="6">
        <f>190+32</f>
        <v>222</v>
      </c>
      <c r="K3385" s="6">
        <f>97134+5385</f>
        <v>102519</v>
      </c>
      <c r="L3385" s="1">
        <f t="shared" si="1462"/>
        <v>102741</v>
      </c>
      <c r="M3385" s="2">
        <f t="shared" si="1463"/>
        <v>2.1607732064122405E-3</v>
      </c>
      <c r="N3385" s="2">
        <f t="shared" si="1464"/>
        <v>0.99783922679358772</v>
      </c>
    </row>
    <row r="3386" spans="1:14" x14ac:dyDescent="0.35">
      <c r="A3386" t="s">
        <v>36</v>
      </c>
      <c r="B3386" t="s">
        <v>17</v>
      </c>
      <c r="C3386">
        <v>2012</v>
      </c>
      <c r="D3386" t="s">
        <v>31</v>
      </c>
      <c r="E3386" s="3">
        <f>32+1</f>
        <v>33</v>
      </c>
      <c r="F3386" s="3">
        <f>273+17</f>
        <v>290</v>
      </c>
      <c r="G3386" s="1">
        <f t="shared" si="1465"/>
        <v>323</v>
      </c>
      <c r="H3386" s="2">
        <f t="shared" si="1466"/>
        <v>0.1021671826625387</v>
      </c>
      <c r="I3386" s="2">
        <f t="shared" si="1467"/>
        <v>0.89783281733746134</v>
      </c>
      <c r="J3386" s="6">
        <f>206+57</f>
        <v>263</v>
      </c>
      <c r="K3386" s="6">
        <f>111861+7651</f>
        <v>119512</v>
      </c>
      <c r="L3386" s="1">
        <f t="shared" si="1462"/>
        <v>119775</v>
      </c>
      <c r="M3386" s="2">
        <f t="shared" si="1463"/>
        <v>2.1957837612189522E-3</v>
      </c>
      <c r="N3386" s="2">
        <f t="shared" si="1464"/>
        <v>0.99780421623878102</v>
      </c>
    </row>
    <row r="3387" spans="1:14" x14ac:dyDescent="0.35">
      <c r="A3387" t="s">
        <v>36</v>
      </c>
      <c r="B3387" t="s">
        <v>19</v>
      </c>
      <c r="C3387">
        <v>2012</v>
      </c>
      <c r="D3387" t="s">
        <v>31</v>
      </c>
      <c r="E3387" s="3">
        <f>37+1</f>
        <v>38</v>
      </c>
      <c r="F3387" s="3">
        <f>319+14</f>
        <v>333</v>
      </c>
      <c r="G3387" s="1">
        <f t="shared" si="1465"/>
        <v>371</v>
      </c>
      <c r="H3387" s="2">
        <f t="shared" si="1466"/>
        <v>0.10242587601078167</v>
      </c>
      <c r="I3387" s="2">
        <f t="shared" si="1467"/>
        <v>0.89757412398921832</v>
      </c>
      <c r="J3387" s="6">
        <f>209+24</f>
        <v>233</v>
      </c>
      <c r="K3387" s="6">
        <f>104735+4355</f>
        <v>109090</v>
      </c>
      <c r="L3387" s="1">
        <f t="shared" si="1462"/>
        <v>109323</v>
      </c>
      <c r="M3387" s="2">
        <f t="shared" si="1463"/>
        <v>2.1312989947220623E-3</v>
      </c>
      <c r="N3387" s="2">
        <f t="shared" si="1464"/>
        <v>0.99786870100527791</v>
      </c>
    </row>
    <row r="3388" spans="1:14" x14ac:dyDescent="0.35">
      <c r="A3388" t="s">
        <v>36</v>
      </c>
      <c r="B3388" t="s">
        <v>20</v>
      </c>
      <c r="C3388">
        <v>2012</v>
      </c>
      <c r="D3388" t="s">
        <v>31</v>
      </c>
      <c r="E3388" s="3">
        <f>38+1</f>
        <v>39</v>
      </c>
      <c r="F3388" s="3">
        <f>321+14</f>
        <v>335</v>
      </c>
      <c r="G3388" s="1">
        <f t="shared" si="1465"/>
        <v>374</v>
      </c>
      <c r="H3388" s="2">
        <f t="shared" si="1466"/>
        <v>0.10427807486631016</v>
      </c>
      <c r="I3388" s="2">
        <f t="shared" si="1467"/>
        <v>0.89572192513368987</v>
      </c>
      <c r="J3388" s="6">
        <f>214+26</f>
        <v>240</v>
      </c>
      <c r="K3388" s="6">
        <f>108785+3193</f>
        <v>111978</v>
      </c>
      <c r="L3388" s="1">
        <f t="shared" si="1462"/>
        <v>112218</v>
      </c>
      <c r="M3388" s="2">
        <f t="shared" si="1463"/>
        <v>2.1386943271132974E-3</v>
      </c>
      <c r="N3388" s="2">
        <f t="shared" si="1464"/>
        <v>0.99786130567288667</v>
      </c>
    </row>
    <row r="3389" spans="1:14" x14ac:dyDescent="0.35">
      <c r="A3389" t="s">
        <v>36</v>
      </c>
      <c r="B3389" t="s">
        <v>21</v>
      </c>
      <c r="C3389">
        <v>2012</v>
      </c>
      <c r="D3389" t="s">
        <v>31</v>
      </c>
      <c r="E3389" s="3">
        <f>39+2</f>
        <v>41</v>
      </c>
      <c r="F3389" s="3">
        <f>321+13</f>
        <v>334</v>
      </c>
      <c r="G3389" s="1">
        <f t="shared" si="1465"/>
        <v>375</v>
      </c>
      <c r="H3389" s="2">
        <f t="shared" si="1466"/>
        <v>0.10933333333333334</v>
      </c>
      <c r="I3389" s="2">
        <f t="shared" si="1467"/>
        <v>0.89066666666666672</v>
      </c>
      <c r="J3389" s="6">
        <f>230+26</f>
        <v>256</v>
      </c>
      <c r="K3389" s="6">
        <f>114445+3339</f>
        <v>117784</v>
      </c>
      <c r="L3389" s="1">
        <f t="shared" si="1462"/>
        <v>118040</v>
      </c>
      <c r="M3389" s="2">
        <f t="shared" si="1463"/>
        <v>2.1687563537783803E-3</v>
      </c>
      <c r="N3389" s="2">
        <f t="shared" si="1464"/>
        <v>0.99783124364622167</v>
      </c>
    </row>
    <row r="3390" spans="1:14" x14ac:dyDescent="0.35">
      <c r="A3390" t="s">
        <v>36</v>
      </c>
      <c r="B3390" t="s">
        <v>22</v>
      </c>
      <c r="C3390">
        <v>2012</v>
      </c>
      <c r="D3390" t="s">
        <v>31</v>
      </c>
      <c r="E3390" s="3">
        <f>38+1</f>
        <v>39</v>
      </c>
      <c r="F3390" s="3">
        <f>325+15</f>
        <v>340</v>
      </c>
      <c r="G3390" s="1">
        <f t="shared" si="1465"/>
        <v>379</v>
      </c>
      <c r="H3390" s="2">
        <f t="shared" si="1466"/>
        <v>0.10290237467018469</v>
      </c>
      <c r="I3390" s="2">
        <f t="shared" si="1467"/>
        <v>0.8970976253298153</v>
      </c>
      <c r="J3390" s="6">
        <f>256+30</f>
        <v>286</v>
      </c>
      <c r="K3390" s="6">
        <f>114065+6591</f>
        <v>120656</v>
      </c>
      <c r="L3390" s="1">
        <f t="shared" si="1462"/>
        <v>120942</v>
      </c>
      <c r="M3390" s="2">
        <f t="shared" si="1463"/>
        <v>2.3647698896991946E-3</v>
      </c>
      <c r="N3390" s="2">
        <f t="shared" si="1464"/>
        <v>0.99763523011030075</v>
      </c>
    </row>
    <row r="3391" spans="1:14" x14ac:dyDescent="0.35">
      <c r="A3391" t="s">
        <v>36</v>
      </c>
      <c r="B3391" t="s">
        <v>23</v>
      </c>
      <c r="C3391">
        <v>2012</v>
      </c>
      <c r="D3391" t="s">
        <v>31</v>
      </c>
      <c r="E3391" s="3">
        <f>39+1</f>
        <v>40</v>
      </c>
      <c r="F3391" s="3">
        <f>318+14</f>
        <v>332</v>
      </c>
      <c r="G3391" s="1">
        <f t="shared" si="1465"/>
        <v>372</v>
      </c>
      <c r="H3391" s="2">
        <f t="shared" si="1466"/>
        <v>0.10752688172043011</v>
      </c>
      <c r="I3391" s="2">
        <f t="shared" si="1467"/>
        <v>0.89247311827956988</v>
      </c>
      <c r="J3391" s="6">
        <f>263+13</f>
        <v>276</v>
      </c>
      <c r="K3391" s="6">
        <f>117880+3732</f>
        <v>121612</v>
      </c>
      <c r="L3391" s="1">
        <f t="shared" si="1462"/>
        <v>121888</v>
      </c>
      <c r="M3391" s="2">
        <f t="shared" si="1463"/>
        <v>2.264373851404568E-3</v>
      </c>
      <c r="N3391" s="2">
        <f t="shared" si="1464"/>
        <v>0.99773562614859546</v>
      </c>
    </row>
    <row r="3392" spans="1:14" x14ac:dyDescent="0.35">
      <c r="A3392" t="s">
        <v>36</v>
      </c>
      <c r="B3392" t="s">
        <v>24</v>
      </c>
      <c r="C3392">
        <v>2012</v>
      </c>
      <c r="D3392" t="s">
        <v>31</v>
      </c>
      <c r="E3392" s="3">
        <f>38+1</f>
        <v>39</v>
      </c>
      <c r="F3392" s="3">
        <f>324+14</f>
        <v>338</v>
      </c>
      <c r="G3392" s="1">
        <f t="shared" si="1465"/>
        <v>377</v>
      </c>
      <c r="H3392" s="2">
        <f t="shared" si="1466"/>
        <v>0.10344827586206896</v>
      </c>
      <c r="I3392" s="2">
        <f t="shared" si="1467"/>
        <v>0.89655172413793105</v>
      </c>
      <c r="J3392" s="6">
        <f>276+24</f>
        <v>300</v>
      </c>
      <c r="K3392" s="6">
        <f>120702+3426</f>
        <v>124128</v>
      </c>
      <c r="L3392" s="1">
        <f t="shared" si="1462"/>
        <v>124428</v>
      </c>
      <c r="M3392" s="2">
        <f t="shared" si="1463"/>
        <v>2.4110328864885718E-3</v>
      </c>
      <c r="N3392" s="2">
        <f t="shared" si="1464"/>
        <v>0.99758896711351142</v>
      </c>
    </row>
    <row r="3393" spans="1:14" x14ac:dyDescent="0.35">
      <c r="A3393" t="s">
        <v>36</v>
      </c>
      <c r="B3393" t="s">
        <v>25</v>
      </c>
      <c r="C3393">
        <v>2012</v>
      </c>
      <c r="D3393" t="s">
        <v>31</v>
      </c>
      <c r="E3393" s="3">
        <f>37+1</f>
        <v>38</v>
      </c>
      <c r="F3393" s="3">
        <f>324+14</f>
        <v>338</v>
      </c>
      <c r="G3393" s="1">
        <f t="shared" si="1465"/>
        <v>376</v>
      </c>
      <c r="H3393" s="2">
        <f t="shared" si="1466"/>
        <v>0.10106382978723404</v>
      </c>
      <c r="I3393" s="2">
        <f t="shared" si="1467"/>
        <v>0.89893617021276595</v>
      </c>
      <c r="J3393" s="6">
        <f>208+15</f>
        <v>223</v>
      </c>
      <c r="K3393" s="6">
        <f>114253+4035</f>
        <v>118288</v>
      </c>
      <c r="L3393" s="1">
        <f t="shared" si="1462"/>
        <v>118511</v>
      </c>
      <c r="M3393" s="2">
        <f t="shared" si="1463"/>
        <v>1.881681869193577E-3</v>
      </c>
      <c r="N3393" s="2">
        <f t="shared" si="1464"/>
        <v>0.99811831813080643</v>
      </c>
    </row>
    <row r="3394" spans="1:14" x14ac:dyDescent="0.35">
      <c r="A3394" t="s">
        <v>36</v>
      </c>
      <c r="B3394" t="s">
        <v>26</v>
      </c>
      <c r="C3394">
        <v>2012</v>
      </c>
      <c r="D3394" t="s">
        <v>31</v>
      </c>
      <c r="E3394" s="3">
        <f>37+1</f>
        <v>38</v>
      </c>
      <c r="F3394" s="3">
        <f>318+14</f>
        <v>332</v>
      </c>
      <c r="G3394" s="1">
        <f t="shared" si="1465"/>
        <v>370</v>
      </c>
      <c r="H3394" s="2">
        <f t="shared" si="1466"/>
        <v>0.10270270270270271</v>
      </c>
      <c r="I3394" s="2">
        <f t="shared" si="1467"/>
        <v>0.89729729729729735</v>
      </c>
      <c r="J3394" s="6">
        <f>214+32</f>
        <v>246</v>
      </c>
      <c r="K3394" s="6">
        <f>119364+4201</f>
        <v>123565</v>
      </c>
      <c r="L3394" s="1">
        <f t="shared" si="1462"/>
        <v>123811</v>
      </c>
      <c r="M3394" s="2">
        <f t="shared" si="1463"/>
        <v>1.9868993869688479E-3</v>
      </c>
      <c r="N3394" s="2">
        <f t="shared" si="1464"/>
        <v>0.99801310061303117</v>
      </c>
    </row>
    <row r="3395" spans="1:14" x14ac:dyDescent="0.35">
      <c r="A3395" t="s">
        <v>36</v>
      </c>
      <c r="B3395" t="s">
        <v>27</v>
      </c>
      <c r="C3395">
        <v>2012</v>
      </c>
      <c r="D3395" t="s">
        <v>31</v>
      </c>
      <c r="E3395" s="3">
        <f>36+1</f>
        <v>37</v>
      </c>
      <c r="F3395" s="3">
        <f>326+14</f>
        <v>340</v>
      </c>
      <c r="G3395" s="1">
        <f t="shared" si="1465"/>
        <v>377</v>
      </c>
      <c r="H3395" s="2">
        <f t="shared" si="1466"/>
        <v>9.8143236074270557E-2</v>
      </c>
      <c r="I3395" s="2">
        <f t="shared" si="1467"/>
        <v>0.90185676392572944</v>
      </c>
      <c r="J3395" s="6">
        <f>182+43</f>
        <v>225</v>
      </c>
      <c r="K3395" s="6">
        <f>111168+4029</f>
        <v>115197</v>
      </c>
      <c r="L3395" s="1">
        <f t="shared" ref="L3395:L3458" si="1468">SUM(J3395:K3395)</f>
        <v>115422</v>
      </c>
      <c r="M3395" s="2">
        <f t="shared" ref="M3395:M3458" si="1469">SUM(J3395)/L3395</f>
        <v>1.9493684046368977E-3</v>
      </c>
      <c r="N3395" s="2">
        <f t="shared" ref="N3395:N3458" si="1470">SUM(K3395/L3395)</f>
        <v>0.99805063159536311</v>
      </c>
    </row>
    <row r="3396" spans="1:14" x14ac:dyDescent="0.35">
      <c r="A3396" t="s">
        <v>36</v>
      </c>
      <c r="B3396" t="s">
        <v>28</v>
      </c>
      <c r="C3396">
        <v>2012</v>
      </c>
      <c r="D3396" t="s">
        <v>31</v>
      </c>
      <c r="E3396" s="3">
        <f>35</f>
        <v>35</v>
      </c>
      <c r="F3396" s="3">
        <f>322+15</f>
        <v>337</v>
      </c>
      <c r="G3396" s="1">
        <f t="shared" si="1465"/>
        <v>372</v>
      </c>
      <c r="H3396" s="2">
        <f t="shared" si="1466"/>
        <v>9.4086021505376344E-2</v>
      </c>
      <c r="I3396" s="2">
        <f t="shared" si="1467"/>
        <v>0.90591397849462363</v>
      </c>
      <c r="J3396" s="6">
        <f>187</f>
        <v>187</v>
      </c>
      <c r="K3396" s="6">
        <f>112364+3426</f>
        <v>115790</v>
      </c>
      <c r="L3396" s="1">
        <f t="shared" si="1468"/>
        <v>115977</v>
      </c>
      <c r="M3396" s="2">
        <f t="shared" si="1469"/>
        <v>1.6123886632694413E-3</v>
      </c>
      <c r="N3396" s="2">
        <f t="shared" si="1470"/>
        <v>0.9983876113367306</v>
      </c>
    </row>
    <row r="3397" spans="1:14" x14ac:dyDescent="0.35">
      <c r="A3397" t="s">
        <v>36</v>
      </c>
      <c r="B3397" t="s">
        <v>29</v>
      </c>
      <c r="C3397">
        <v>2012</v>
      </c>
      <c r="D3397" t="s">
        <v>31</v>
      </c>
      <c r="E3397" s="3">
        <f>35</f>
        <v>35</v>
      </c>
      <c r="F3397" s="3">
        <f>321+15</f>
        <v>336</v>
      </c>
      <c r="G3397" s="1">
        <f t="shared" si="1465"/>
        <v>371</v>
      </c>
      <c r="H3397" s="2">
        <f t="shared" si="1466"/>
        <v>9.4339622641509441E-2</v>
      </c>
      <c r="I3397" s="2">
        <f t="shared" si="1467"/>
        <v>0.90566037735849059</v>
      </c>
      <c r="J3397" s="6">
        <f>228</f>
        <v>228</v>
      </c>
      <c r="K3397" s="6">
        <f>120997+4915</f>
        <v>125912</v>
      </c>
      <c r="L3397" s="1">
        <f t="shared" si="1468"/>
        <v>126140</v>
      </c>
      <c r="M3397" s="2">
        <f t="shared" si="1469"/>
        <v>1.8075154590137942E-3</v>
      </c>
      <c r="N3397" s="2">
        <f t="shared" si="1470"/>
        <v>0.99819248454098619</v>
      </c>
    </row>
    <row r="3398" spans="1:14" x14ac:dyDescent="0.35">
      <c r="A3398" t="s">
        <v>36</v>
      </c>
      <c r="B3398" t="s">
        <v>17</v>
      </c>
      <c r="C3398">
        <v>2013</v>
      </c>
      <c r="D3398" t="s">
        <v>31</v>
      </c>
      <c r="E3398" s="3">
        <f>35</f>
        <v>35</v>
      </c>
      <c r="F3398" s="3">
        <f>309+15</f>
        <v>324</v>
      </c>
      <c r="G3398" s="1">
        <f t="shared" si="1465"/>
        <v>359</v>
      </c>
      <c r="H3398" s="2">
        <f t="shared" si="1466"/>
        <v>9.7493036211699163E-2</v>
      </c>
      <c r="I3398" s="2">
        <f t="shared" si="1467"/>
        <v>0.90250696378830086</v>
      </c>
      <c r="J3398" s="6">
        <f>203</f>
        <v>203</v>
      </c>
      <c r="K3398" s="6">
        <f>116029+4403</f>
        <v>120432</v>
      </c>
      <c r="L3398" s="1">
        <f t="shared" si="1468"/>
        <v>120635</v>
      </c>
      <c r="M3398" s="2">
        <f t="shared" si="1469"/>
        <v>1.6827620508144403E-3</v>
      </c>
      <c r="N3398" s="2">
        <f t="shared" si="1470"/>
        <v>0.99831723794918559</v>
      </c>
    </row>
    <row r="3399" spans="1:14" x14ac:dyDescent="0.35">
      <c r="A3399" t="s">
        <v>36</v>
      </c>
      <c r="B3399" t="s">
        <v>19</v>
      </c>
      <c r="C3399">
        <v>2013</v>
      </c>
      <c r="D3399" t="s">
        <v>31</v>
      </c>
      <c r="E3399" s="3">
        <f>33+4</f>
        <v>37</v>
      </c>
      <c r="F3399" s="3">
        <f>335+14</f>
        <v>349</v>
      </c>
      <c r="G3399" s="1">
        <f t="shared" si="1465"/>
        <v>386</v>
      </c>
      <c r="H3399" s="2">
        <f t="shared" si="1466"/>
        <v>9.585492227979274E-2</v>
      </c>
      <c r="I3399" s="2">
        <f t="shared" si="1467"/>
        <v>0.90414507772020725</v>
      </c>
      <c r="J3399" s="6">
        <f>190+115</f>
        <v>305</v>
      </c>
      <c r="K3399" s="6">
        <f>108607+3185</f>
        <v>111792</v>
      </c>
      <c r="L3399" s="1">
        <f t="shared" si="1468"/>
        <v>112097</v>
      </c>
      <c r="M3399" s="2">
        <f t="shared" si="1469"/>
        <v>2.7208578284878275E-3</v>
      </c>
      <c r="N3399" s="2">
        <f t="shared" si="1470"/>
        <v>0.99727914217151215</v>
      </c>
    </row>
    <row r="3400" spans="1:14" x14ac:dyDescent="0.35">
      <c r="A3400" t="s">
        <v>36</v>
      </c>
      <c r="B3400" t="s">
        <v>20</v>
      </c>
      <c r="C3400">
        <v>2013</v>
      </c>
      <c r="D3400" t="s">
        <v>31</v>
      </c>
      <c r="E3400" s="3">
        <f>34+1</f>
        <v>35</v>
      </c>
      <c r="F3400" s="3">
        <f>330+14</f>
        <v>344</v>
      </c>
      <c r="G3400" s="1">
        <f t="shared" si="1465"/>
        <v>379</v>
      </c>
      <c r="H3400" s="2">
        <f t="shared" si="1466"/>
        <v>9.2348284960422161E-2</v>
      </c>
      <c r="I3400" s="2">
        <f t="shared" si="1467"/>
        <v>0.90765171503957787</v>
      </c>
      <c r="J3400" s="6">
        <f>206+30</f>
        <v>236</v>
      </c>
      <c r="K3400" s="6">
        <f>107928+3648</f>
        <v>111576</v>
      </c>
      <c r="L3400" s="1">
        <f t="shared" si="1468"/>
        <v>111812</v>
      </c>
      <c r="M3400" s="2">
        <f t="shared" si="1469"/>
        <v>2.1106857940113763E-3</v>
      </c>
      <c r="N3400" s="2">
        <f t="shared" si="1470"/>
        <v>0.99788931420598859</v>
      </c>
    </row>
    <row r="3401" spans="1:14" x14ac:dyDescent="0.35">
      <c r="A3401" t="s">
        <v>36</v>
      </c>
      <c r="B3401" t="s">
        <v>21</v>
      </c>
      <c r="C3401">
        <v>2013</v>
      </c>
      <c r="D3401" t="s">
        <v>31</v>
      </c>
      <c r="E3401" s="3">
        <f>32+1</f>
        <v>33</v>
      </c>
      <c r="F3401" s="3">
        <f>316+14</f>
        <v>330</v>
      </c>
      <c r="G3401" s="1">
        <f t="shared" si="1465"/>
        <v>363</v>
      </c>
      <c r="H3401" s="2">
        <f t="shared" si="1466"/>
        <v>9.0909090909090912E-2</v>
      </c>
      <c r="I3401" s="2">
        <f t="shared" si="1467"/>
        <v>0.90909090909090906</v>
      </c>
      <c r="J3401" s="6">
        <f>198+20</f>
        <v>218</v>
      </c>
      <c r="K3401" s="6">
        <f>99464+4911</f>
        <v>104375</v>
      </c>
      <c r="L3401" s="1">
        <f t="shared" si="1468"/>
        <v>104593</v>
      </c>
      <c r="M3401" s="2">
        <f t="shared" si="1469"/>
        <v>2.0842695017831022E-3</v>
      </c>
      <c r="N3401" s="2">
        <f t="shared" si="1470"/>
        <v>0.99791573049821691</v>
      </c>
    </row>
    <row r="3402" spans="1:14" x14ac:dyDescent="0.35">
      <c r="A3402" t="s">
        <v>36</v>
      </c>
      <c r="B3402" t="s">
        <v>22</v>
      </c>
      <c r="C3402">
        <v>2013</v>
      </c>
      <c r="D3402" t="s">
        <v>31</v>
      </c>
      <c r="E3402" s="3">
        <f>31+1</f>
        <v>32</v>
      </c>
      <c r="F3402" s="3">
        <f>324+14</f>
        <v>338</v>
      </c>
      <c r="G3402" s="1">
        <f t="shared" si="1465"/>
        <v>370</v>
      </c>
      <c r="H3402" s="2">
        <f t="shared" si="1466"/>
        <v>8.6486486486486491E-2</v>
      </c>
      <c r="I3402" s="2">
        <f t="shared" si="1467"/>
        <v>0.91351351351351351</v>
      </c>
      <c r="J3402" s="6">
        <f>182+21</f>
        <v>203</v>
      </c>
      <c r="K3402" s="6">
        <f>114070+5477</f>
        <v>119547</v>
      </c>
      <c r="L3402" s="1">
        <f t="shared" si="1468"/>
        <v>119750</v>
      </c>
      <c r="M3402" s="2">
        <f t="shared" si="1469"/>
        <v>1.6951983298538623E-3</v>
      </c>
      <c r="N3402" s="2">
        <f t="shared" si="1470"/>
        <v>0.99830480167014612</v>
      </c>
    </row>
    <row r="3403" spans="1:14" x14ac:dyDescent="0.35">
      <c r="A3403" t="s">
        <v>36</v>
      </c>
      <c r="B3403" t="s">
        <v>23</v>
      </c>
      <c r="C3403">
        <v>2013</v>
      </c>
      <c r="D3403" t="s">
        <v>31</v>
      </c>
      <c r="E3403" s="3">
        <f>31+1</f>
        <v>32</v>
      </c>
      <c r="F3403" s="3">
        <f>325+14</f>
        <v>339</v>
      </c>
      <c r="G3403" s="1">
        <f t="shared" si="1465"/>
        <v>371</v>
      </c>
      <c r="H3403" s="2">
        <f t="shared" si="1466"/>
        <v>8.6253369272237201E-2</v>
      </c>
      <c r="I3403" s="2">
        <f t="shared" si="1467"/>
        <v>0.91374663072776285</v>
      </c>
      <c r="J3403" s="6">
        <f>179+11</f>
        <v>190</v>
      </c>
      <c r="K3403" s="6">
        <f>119636+4566</f>
        <v>124202</v>
      </c>
      <c r="L3403" s="1">
        <f t="shared" si="1468"/>
        <v>124392</v>
      </c>
      <c r="M3403" s="2">
        <f t="shared" si="1469"/>
        <v>1.5274294166827448E-3</v>
      </c>
      <c r="N3403" s="2">
        <f t="shared" si="1470"/>
        <v>0.99847257058331729</v>
      </c>
    </row>
    <row r="3404" spans="1:14" x14ac:dyDescent="0.35">
      <c r="A3404" t="s">
        <v>36</v>
      </c>
      <c r="B3404" t="s">
        <v>24</v>
      </c>
      <c r="C3404">
        <v>2013</v>
      </c>
      <c r="D3404" t="s">
        <v>31</v>
      </c>
      <c r="E3404" s="3">
        <f>31+1</f>
        <v>32</v>
      </c>
      <c r="F3404" s="3">
        <f>324+14</f>
        <v>338</v>
      </c>
      <c r="G3404" s="1">
        <f t="shared" si="1465"/>
        <v>370</v>
      </c>
      <c r="H3404" s="2">
        <f t="shared" si="1466"/>
        <v>8.6486486486486491E-2</v>
      </c>
      <c r="I3404" s="2">
        <f t="shared" si="1467"/>
        <v>0.91351351351351351</v>
      </c>
      <c r="J3404" s="6">
        <f>192+24</f>
        <v>216</v>
      </c>
      <c r="K3404" s="6">
        <f>123993+5333</f>
        <v>129326</v>
      </c>
      <c r="L3404" s="1">
        <f t="shared" si="1468"/>
        <v>129542</v>
      </c>
      <c r="M3404" s="2">
        <f t="shared" si="1469"/>
        <v>1.6674128853962421E-3</v>
      </c>
      <c r="N3404" s="2">
        <f t="shared" si="1470"/>
        <v>0.99833258711460371</v>
      </c>
    </row>
    <row r="3405" spans="1:14" x14ac:dyDescent="0.35">
      <c r="A3405" t="s">
        <v>36</v>
      </c>
      <c r="B3405" t="s">
        <v>25</v>
      </c>
      <c r="C3405">
        <v>2013</v>
      </c>
      <c r="D3405" t="s">
        <v>31</v>
      </c>
      <c r="E3405" s="3">
        <f>32+1</f>
        <v>33</v>
      </c>
      <c r="F3405" s="3">
        <f>340+14</f>
        <v>354</v>
      </c>
      <c r="G3405" s="1">
        <f t="shared" si="1465"/>
        <v>387</v>
      </c>
      <c r="H3405" s="2">
        <f t="shared" si="1466"/>
        <v>8.5271317829457363E-2</v>
      </c>
      <c r="I3405" s="2">
        <f t="shared" si="1467"/>
        <v>0.9147286821705426</v>
      </c>
      <c r="J3405" s="6">
        <f>160+20</f>
        <v>180</v>
      </c>
      <c r="K3405" s="6">
        <f>120918+4304</f>
        <v>125222</v>
      </c>
      <c r="L3405" s="1">
        <f t="shared" si="1468"/>
        <v>125402</v>
      </c>
      <c r="M3405" s="2">
        <f t="shared" si="1469"/>
        <v>1.4353838056809301E-3</v>
      </c>
      <c r="N3405" s="2">
        <f t="shared" si="1470"/>
        <v>0.99856461619431902</v>
      </c>
    </row>
    <row r="3406" spans="1:14" x14ac:dyDescent="0.35">
      <c r="A3406" t="s">
        <v>36</v>
      </c>
      <c r="B3406" t="s">
        <v>26</v>
      </c>
      <c r="C3406">
        <v>2013</v>
      </c>
      <c r="D3406" t="s">
        <v>31</v>
      </c>
      <c r="E3406" s="3">
        <f>33+1</f>
        <v>34</v>
      </c>
      <c r="F3406" s="3">
        <f>332+14</f>
        <v>346</v>
      </c>
      <c r="G3406" s="1">
        <f t="shared" si="1465"/>
        <v>380</v>
      </c>
      <c r="H3406" s="2">
        <f t="shared" si="1466"/>
        <v>8.9473684210526316E-2</v>
      </c>
      <c r="I3406" s="2">
        <f t="shared" si="1467"/>
        <v>0.91052631578947374</v>
      </c>
      <c r="J3406" s="6">
        <f>173+13</f>
        <v>186</v>
      </c>
      <c r="K3406" s="6">
        <f>123498+4070</f>
        <v>127568</v>
      </c>
      <c r="L3406" s="1">
        <f t="shared" si="1468"/>
        <v>127754</v>
      </c>
      <c r="M3406" s="2">
        <f t="shared" si="1469"/>
        <v>1.4559231022120637E-3</v>
      </c>
      <c r="N3406" s="2">
        <f t="shared" si="1470"/>
        <v>0.9985440768977879</v>
      </c>
    </row>
    <row r="3407" spans="1:14" x14ac:dyDescent="0.35">
      <c r="A3407" t="s">
        <v>36</v>
      </c>
      <c r="B3407" t="s">
        <v>27</v>
      </c>
      <c r="C3407">
        <v>2013</v>
      </c>
      <c r="D3407" t="s">
        <v>31</v>
      </c>
      <c r="E3407" s="3">
        <f>28+1</f>
        <v>29</v>
      </c>
      <c r="F3407" s="3">
        <f>331+13</f>
        <v>344</v>
      </c>
      <c r="G3407" s="1">
        <f t="shared" si="1465"/>
        <v>373</v>
      </c>
      <c r="H3407" s="2">
        <f t="shared" si="1466"/>
        <v>7.7747989276139406E-2</v>
      </c>
      <c r="I3407" s="2">
        <f t="shared" si="1467"/>
        <v>0.92225201072386054</v>
      </c>
      <c r="J3407" s="6">
        <f>137+32</f>
        <v>169</v>
      </c>
      <c r="K3407" s="6">
        <f>121118+5251</f>
        <v>126369</v>
      </c>
      <c r="L3407" s="1">
        <f t="shared" si="1468"/>
        <v>126538</v>
      </c>
      <c r="M3407" s="2">
        <f t="shared" si="1469"/>
        <v>1.3355671814000538E-3</v>
      </c>
      <c r="N3407" s="2">
        <f t="shared" si="1470"/>
        <v>0.99866443281859996</v>
      </c>
    </row>
    <row r="3408" spans="1:14" x14ac:dyDescent="0.35">
      <c r="A3408" t="s">
        <v>36</v>
      </c>
      <c r="B3408" t="s">
        <v>28</v>
      </c>
      <c r="C3408">
        <v>2013</v>
      </c>
      <c r="D3408" t="s">
        <v>31</v>
      </c>
      <c r="E3408" s="3">
        <f>29+1</f>
        <v>30</v>
      </c>
      <c r="F3408" s="3">
        <f>332+13</f>
        <v>345</v>
      </c>
      <c r="G3408" s="1">
        <f t="shared" si="1465"/>
        <v>375</v>
      </c>
      <c r="H3408" s="2">
        <f t="shared" si="1466"/>
        <v>0.08</v>
      </c>
      <c r="I3408" s="2">
        <f t="shared" si="1467"/>
        <v>0.92</v>
      </c>
      <c r="J3408" s="6">
        <f>163+23</f>
        <v>186</v>
      </c>
      <c r="K3408" s="6">
        <f>120885+4978</f>
        <v>125863</v>
      </c>
      <c r="L3408" s="1">
        <f t="shared" si="1468"/>
        <v>126049</v>
      </c>
      <c r="M3408" s="2">
        <f t="shared" si="1469"/>
        <v>1.4756166252806449E-3</v>
      </c>
      <c r="N3408" s="2">
        <f t="shared" si="1470"/>
        <v>0.99852438337471938</v>
      </c>
    </row>
    <row r="3409" spans="1:14" x14ac:dyDescent="0.35">
      <c r="A3409" t="s">
        <v>36</v>
      </c>
      <c r="B3409" t="s">
        <v>29</v>
      </c>
      <c r="C3409">
        <v>2013</v>
      </c>
      <c r="D3409" t="s">
        <v>31</v>
      </c>
      <c r="E3409" s="3">
        <f>28+1</f>
        <v>29</v>
      </c>
      <c r="F3409" s="3">
        <f>320+15</f>
        <v>335</v>
      </c>
      <c r="G3409" s="1">
        <f t="shared" si="1465"/>
        <v>364</v>
      </c>
      <c r="H3409" s="2">
        <f t="shared" si="1466"/>
        <v>7.9670329670329665E-2</v>
      </c>
      <c r="I3409" s="2">
        <f t="shared" si="1467"/>
        <v>0.92032967032967028</v>
      </c>
      <c r="J3409" s="6">
        <f>182+51</f>
        <v>233</v>
      </c>
      <c r="K3409" s="6">
        <f>131974+4797</f>
        <v>136771</v>
      </c>
      <c r="L3409" s="1">
        <f t="shared" si="1468"/>
        <v>137004</v>
      </c>
      <c r="M3409" s="2">
        <f t="shared" si="1469"/>
        <v>1.7006802721088435E-3</v>
      </c>
      <c r="N3409" s="2">
        <f t="shared" si="1470"/>
        <v>0.99829931972789121</v>
      </c>
    </row>
    <row r="3410" spans="1:14" x14ac:dyDescent="0.35">
      <c r="A3410" t="s">
        <v>36</v>
      </c>
      <c r="B3410" t="s">
        <v>17</v>
      </c>
      <c r="C3410">
        <v>2014</v>
      </c>
      <c r="D3410" t="s">
        <v>31</v>
      </c>
      <c r="E3410" s="3">
        <f>27</f>
        <v>27</v>
      </c>
      <c r="F3410" s="3">
        <f>315+10</f>
        <v>325</v>
      </c>
      <c r="G3410" s="1">
        <f t="shared" si="1465"/>
        <v>352</v>
      </c>
      <c r="H3410" s="2">
        <f t="shared" si="1466"/>
        <v>7.6704545454545456E-2</v>
      </c>
      <c r="I3410" s="2">
        <f t="shared" si="1467"/>
        <v>0.92329545454545459</v>
      </c>
      <c r="J3410" s="6">
        <f>135</f>
        <v>135</v>
      </c>
      <c r="K3410" s="6">
        <f>129975+1624</f>
        <v>131599</v>
      </c>
      <c r="L3410" s="1">
        <f t="shared" si="1468"/>
        <v>131734</v>
      </c>
      <c r="M3410" s="2">
        <f t="shared" si="1469"/>
        <v>1.0247923846539238E-3</v>
      </c>
      <c r="N3410" s="2">
        <f t="shared" si="1470"/>
        <v>0.99897520761534608</v>
      </c>
    </row>
    <row r="3411" spans="1:14" x14ac:dyDescent="0.35">
      <c r="A3411" t="s">
        <v>36</v>
      </c>
      <c r="B3411" t="s">
        <v>19</v>
      </c>
      <c r="C3411">
        <v>2014</v>
      </c>
      <c r="D3411" t="s">
        <v>31</v>
      </c>
      <c r="E3411" s="3">
        <f>24</f>
        <v>24</v>
      </c>
      <c r="F3411" s="3">
        <f>349+21</f>
        <v>370</v>
      </c>
      <c r="G3411" s="1">
        <f t="shared" si="1465"/>
        <v>394</v>
      </c>
      <c r="H3411" s="2">
        <f t="shared" si="1466"/>
        <v>6.0913705583756347E-2</v>
      </c>
      <c r="I3411" s="2">
        <f t="shared" si="1467"/>
        <v>0.93908629441624369</v>
      </c>
      <c r="J3411" s="6">
        <f>117</f>
        <v>117</v>
      </c>
      <c r="K3411" s="6">
        <f>118313+6545</f>
        <v>124858</v>
      </c>
      <c r="L3411" s="1">
        <f t="shared" si="1468"/>
        <v>124975</v>
      </c>
      <c r="M3411" s="2">
        <f t="shared" si="1469"/>
        <v>9.3618723744748951E-4</v>
      </c>
      <c r="N3411" s="2">
        <f t="shared" si="1470"/>
        <v>0.99906381276255252</v>
      </c>
    </row>
    <row r="3412" spans="1:14" x14ac:dyDescent="0.35">
      <c r="A3412" t="s">
        <v>36</v>
      </c>
      <c r="B3412" t="s">
        <v>20</v>
      </c>
      <c r="C3412">
        <v>2014</v>
      </c>
      <c r="D3412" t="s">
        <v>31</v>
      </c>
      <c r="E3412" s="3">
        <f>25</f>
        <v>25</v>
      </c>
      <c r="F3412" s="3">
        <f>319+15</f>
        <v>334</v>
      </c>
      <c r="G3412" s="1">
        <f t="shared" si="1465"/>
        <v>359</v>
      </c>
      <c r="H3412" s="2">
        <f t="shared" si="1466"/>
        <v>6.9637883008356549E-2</v>
      </c>
      <c r="I3412" s="2">
        <f t="shared" si="1467"/>
        <v>0.93036211699164351</v>
      </c>
      <c r="J3412" s="6">
        <f>122</f>
        <v>122</v>
      </c>
      <c r="K3412" s="6">
        <f>114717+3470</f>
        <v>118187</v>
      </c>
      <c r="L3412" s="1">
        <f t="shared" si="1468"/>
        <v>118309</v>
      </c>
      <c r="M3412" s="2">
        <f t="shared" si="1469"/>
        <v>1.0311979646518861E-3</v>
      </c>
      <c r="N3412" s="2">
        <f t="shared" si="1470"/>
        <v>0.9989688020353481</v>
      </c>
    </row>
    <row r="3413" spans="1:14" x14ac:dyDescent="0.35">
      <c r="A3413" t="s">
        <v>36</v>
      </c>
      <c r="B3413" t="s">
        <v>21</v>
      </c>
      <c r="C3413">
        <v>2014</v>
      </c>
      <c r="D3413" t="s">
        <v>31</v>
      </c>
      <c r="E3413" s="9">
        <v>23</v>
      </c>
      <c r="F3413" s="3">
        <f>341+17</f>
        <v>358</v>
      </c>
      <c r="G3413" s="1">
        <f t="shared" si="1465"/>
        <v>381</v>
      </c>
      <c r="H3413" s="2">
        <f t="shared" si="1466"/>
        <v>6.0367454068241469E-2</v>
      </c>
      <c r="I3413" s="2">
        <f t="shared" si="1467"/>
        <v>0.93963254593175849</v>
      </c>
      <c r="J3413" s="6">
        <v>116</v>
      </c>
      <c r="K3413" s="6">
        <f>134349+6727</f>
        <v>141076</v>
      </c>
      <c r="L3413" s="1">
        <f t="shared" si="1468"/>
        <v>141192</v>
      </c>
      <c r="M3413" s="2">
        <f t="shared" si="1469"/>
        <v>8.2157629327440646E-4</v>
      </c>
      <c r="N3413" s="2">
        <f t="shared" si="1470"/>
        <v>0.9991784237067256</v>
      </c>
    </row>
    <row r="3414" spans="1:14" x14ac:dyDescent="0.35">
      <c r="A3414" t="s">
        <v>36</v>
      </c>
      <c r="B3414" t="s">
        <v>22</v>
      </c>
      <c r="C3414">
        <v>2014</v>
      </c>
      <c r="D3414" t="s">
        <v>31</v>
      </c>
      <c r="E3414" s="9">
        <v>22</v>
      </c>
      <c r="F3414" s="3">
        <f>338+17</f>
        <v>355</v>
      </c>
      <c r="G3414" s="1">
        <f t="shared" si="1465"/>
        <v>377</v>
      </c>
      <c r="H3414" s="2">
        <f t="shared" si="1466"/>
        <v>5.8355437665782495E-2</v>
      </c>
      <c r="I3414" s="2">
        <f t="shared" si="1467"/>
        <v>0.94164456233421756</v>
      </c>
      <c r="J3414" s="6">
        <v>117</v>
      </c>
      <c r="K3414" s="6">
        <f>130095+5739</f>
        <v>135834</v>
      </c>
      <c r="L3414" s="1">
        <f t="shared" si="1468"/>
        <v>135951</v>
      </c>
      <c r="M3414" s="2">
        <f t="shared" si="1469"/>
        <v>8.6060418827371623E-4</v>
      </c>
      <c r="N3414" s="2">
        <f t="shared" si="1470"/>
        <v>0.99913939581172628</v>
      </c>
    </row>
    <row r="3415" spans="1:14" x14ac:dyDescent="0.35">
      <c r="A3415" t="s">
        <v>36</v>
      </c>
      <c r="B3415" t="s">
        <v>23</v>
      </c>
      <c r="C3415">
        <v>2014</v>
      </c>
      <c r="D3415" t="s">
        <v>31</v>
      </c>
      <c r="E3415" s="9">
        <v>24</v>
      </c>
      <c r="F3415" s="3">
        <f>336+17</f>
        <v>353</v>
      </c>
      <c r="G3415" s="1">
        <f t="shared" si="1465"/>
        <v>377</v>
      </c>
      <c r="H3415" s="2">
        <f t="shared" si="1466"/>
        <v>6.3660477453580902E-2</v>
      </c>
      <c r="I3415" s="2">
        <f t="shared" si="1467"/>
        <v>0.93633952254641906</v>
      </c>
      <c r="J3415" s="6">
        <v>123</v>
      </c>
      <c r="K3415" s="6">
        <f>131214+4778</f>
        <v>135992</v>
      </c>
      <c r="L3415" s="1">
        <f t="shared" si="1468"/>
        <v>136115</v>
      </c>
      <c r="M3415" s="2">
        <f t="shared" si="1469"/>
        <v>9.0364765088344419E-4</v>
      </c>
      <c r="N3415" s="2">
        <f t="shared" si="1470"/>
        <v>0.99909635234911653</v>
      </c>
    </row>
    <row r="3416" spans="1:14" x14ac:dyDescent="0.35">
      <c r="A3416" t="s">
        <v>36</v>
      </c>
      <c r="B3416" t="s">
        <v>24</v>
      </c>
      <c r="C3416">
        <v>2014</v>
      </c>
      <c r="D3416" t="s">
        <v>31</v>
      </c>
      <c r="E3416" s="9">
        <v>22</v>
      </c>
      <c r="F3416" s="3">
        <f>344+17</f>
        <v>361</v>
      </c>
      <c r="G3416" s="1">
        <f t="shared" si="1465"/>
        <v>383</v>
      </c>
      <c r="H3416" s="2">
        <f t="shared" si="1466"/>
        <v>5.7441253263707574E-2</v>
      </c>
      <c r="I3416" s="2">
        <f t="shared" si="1467"/>
        <v>0.94255874673629247</v>
      </c>
      <c r="J3416" s="6">
        <v>109</v>
      </c>
      <c r="K3416" s="6">
        <f>132057+4418</f>
        <v>136475</v>
      </c>
      <c r="L3416" s="1">
        <f t="shared" si="1468"/>
        <v>136584</v>
      </c>
      <c r="M3416" s="2">
        <f t="shared" si="1469"/>
        <v>7.9804369472266147E-4</v>
      </c>
      <c r="N3416" s="2">
        <f t="shared" si="1470"/>
        <v>0.99920195630527731</v>
      </c>
    </row>
    <row r="3417" spans="1:14" x14ac:dyDescent="0.35">
      <c r="A3417" t="s">
        <v>36</v>
      </c>
      <c r="B3417" t="s">
        <v>25</v>
      </c>
      <c r="C3417">
        <v>2014</v>
      </c>
      <c r="D3417" t="s">
        <v>31</v>
      </c>
      <c r="E3417" s="9">
        <v>22</v>
      </c>
      <c r="F3417" s="3">
        <f>338+16</f>
        <v>354</v>
      </c>
      <c r="G3417" s="1">
        <f t="shared" si="1465"/>
        <v>376</v>
      </c>
      <c r="H3417" s="2">
        <f t="shared" si="1466"/>
        <v>5.8510638297872342E-2</v>
      </c>
      <c r="I3417" s="2">
        <f t="shared" si="1467"/>
        <v>0.94148936170212771</v>
      </c>
      <c r="J3417" s="6">
        <v>111</v>
      </c>
      <c r="K3417" s="6">
        <f>131493+3811</f>
        <v>135304</v>
      </c>
      <c r="L3417" s="1">
        <f t="shared" si="1468"/>
        <v>135415</v>
      </c>
      <c r="M3417" s="2">
        <f t="shared" si="1469"/>
        <v>8.1970239633718568E-4</v>
      </c>
      <c r="N3417" s="2">
        <f t="shared" si="1470"/>
        <v>0.99918029760366278</v>
      </c>
    </row>
    <row r="3418" spans="1:14" x14ac:dyDescent="0.35">
      <c r="A3418" t="s">
        <v>36</v>
      </c>
      <c r="B3418" t="s">
        <v>26</v>
      </c>
      <c r="C3418">
        <v>2014</v>
      </c>
      <c r="D3418" t="s">
        <v>31</v>
      </c>
      <c r="E3418" s="9">
        <v>22</v>
      </c>
      <c r="F3418" s="3">
        <f>334+16</f>
        <v>350</v>
      </c>
      <c r="G3418" s="1">
        <f t="shared" si="1465"/>
        <v>372</v>
      </c>
      <c r="H3418" s="2">
        <f t="shared" si="1466"/>
        <v>5.9139784946236562E-2</v>
      </c>
      <c r="I3418" s="2">
        <f t="shared" si="1467"/>
        <v>0.94086021505376349</v>
      </c>
      <c r="J3418" s="6">
        <v>107</v>
      </c>
      <c r="K3418" s="6">
        <f>132819+4015</f>
        <v>136834</v>
      </c>
      <c r="L3418" s="1">
        <f t="shared" si="1468"/>
        <v>136941</v>
      </c>
      <c r="M3418" s="2">
        <f t="shared" si="1469"/>
        <v>7.8135839522129971E-4</v>
      </c>
      <c r="N3418" s="2">
        <f t="shared" si="1470"/>
        <v>0.99921864160477869</v>
      </c>
    </row>
    <row r="3419" spans="1:14" x14ac:dyDescent="0.35">
      <c r="A3419" t="s">
        <v>36</v>
      </c>
      <c r="B3419" t="s">
        <v>27</v>
      </c>
      <c r="C3419">
        <v>2014</v>
      </c>
      <c r="D3419" t="s">
        <v>31</v>
      </c>
      <c r="E3419" s="9">
        <v>22</v>
      </c>
      <c r="F3419" s="3">
        <f>344+12</f>
        <v>356</v>
      </c>
      <c r="G3419" s="1">
        <f t="shared" si="1465"/>
        <v>378</v>
      </c>
      <c r="H3419" s="2">
        <f t="shared" si="1466"/>
        <v>5.8201058201058198E-2</v>
      </c>
      <c r="I3419" s="2">
        <f t="shared" si="1467"/>
        <v>0.94179894179894175</v>
      </c>
      <c r="J3419" s="6">
        <v>110</v>
      </c>
      <c r="K3419" s="6">
        <f>129151+3400</f>
        <v>132551</v>
      </c>
      <c r="L3419" s="1">
        <f t="shared" si="1468"/>
        <v>132661</v>
      </c>
      <c r="M3419" s="2">
        <f t="shared" si="1469"/>
        <v>8.2918114592834364E-4</v>
      </c>
      <c r="N3419" s="2">
        <f t="shared" si="1470"/>
        <v>0.99917081885407166</v>
      </c>
    </row>
    <row r="3420" spans="1:14" x14ac:dyDescent="0.35">
      <c r="A3420" t="s">
        <v>36</v>
      </c>
      <c r="B3420" t="s">
        <v>28</v>
      </c>
      <c r="C3420">
        <v>2014</v>
      </c>
      <c r="D3420" t="s">
        <v>31</v>
      </c>
      <c r="E3420" s="9">
        <v>22</v>
      </c>
      <c r="F3420" s="3">
        <f>338+16</f>
        <v>354</v>
      </c>
      <c r="G3420" s="1">
        <f t="shared" si="1465"/>
        <v>376</v>
      </c>
      <c r="H3420" s="2">
        <f t="shared" si="1466"/>
        <v>5.8510638297872342E-2</v>
      </c>
      <c r="I3420" s="2">
        <f t="shared" si="1467"/>
        <v>0.94148936170212771</v>
      </c>
      <c r="J3420" s="6">
        <v>102</v>
      </c>
      <c r="K3420" s="6">
        <f>129026+3357</f>
        <v>132383</v>
      </c>
      <c r="L3420" s="1">
        <f t="shared" si="1468"/>
        <v>132485</v>
      </c>
      <c r="M3420" s="2">
        <f t="shared" si="1469"/>
        <v>7.6989847907310257E-4</v>
      </c>
      <c r="N3420" s="2">
        <f t="shared" si="1470"/>
        <v>0.99923010152092695</v>
      </c>
    </row>
    <row r="3421" spans="1:14" x14ac:dyDescent="0.35">
      <c r="A3421" t="s">
        <v>36</v>
      </c>
      <c r="B3421" t="s">
        <v>29</v>
      </c>
      <c r="C3421">
        <v>2014</v>
      </c>
      <c r="D3421" t="s">
        <v>31</v>
      </c>
      <c r="E3421" s="9">
        <v>24</v>
      </c>
      <c r="F3421" s="3">
        <f>342+17</f>
        <v>359</v>
      </c>
      <c r="G3421" s="1">
        <f t="shared" si="1465"/>
        <v>383</v>
      </c>
      <c r="H3421" s="2">
        <f t="shared" si="1466"/>
        <v>6.2663185378590072E-2</v>
      </c>
      <c r="I3421" s="2">
        <f t="shared" si="1467"/>
        <v>0.93733681462140994</v>
      </c>
      <c r="J3421" s="6">
        <v>162</v>
      </c>
      <c r="K3421" s="6">
        <f>140990+4675</f>
        <v>145665</v>
      </c>
      <c r="L3421" s="1">
        <f t="shared" si="1468"/>
        <v>145827</v>
      </c>
      <c r="M3421" s="2">
        <f t="shared" si="1469"/>
        <v>1.1109053878911312E-3</v>
      </c>
      <c r="N3421" s="2">
        <f t="shared" si="1470"/>
        <v>0.99888909461210884</v>
      </c>
    </row>
    <row r="3422" spans="1:14" x14ac:dyDescent="0.35">
      <c r="A3422" t="s">
        <v>36</v>
      </c>
      <c r="B3422" t="s">
        <v>17</v>
      </c>
      <c r="C3422">
        <v>2015</v>
      </c>
      <c r="D3422" t="s">
        <v>31</v>
      </c>
      <c r="E3422" s="9">
        <v>23</v>
      </c>
      <c r="F3422" s="9">
        <f>340+16</f>
        <v>356</v>
      </c>
      <c r="G3422" s="1">
        <f t="shared" si="1465"/>
        <v>379</v>
      </c>
      <c r="H3422" s="2">
        <f t="shared" si="1466"/>
        <v>6.0686015831134567E-2</v>
      </c>
      <c r="I3422" s="2">
        <f t="shared" si="1467"/>
        <v>0.93931398416886547</v>
      </c>
      <c r="J3422" s="6">
        <v>173</v>
      </c>
      <c r="K3422" s="6">
        <f>134557+3093</f>
        <v>137650</v>
      </c>
      <c r="L3422" s="1">
        <f t="shared" si="1468"/>
        <v>137823</v>
      </c>
      <c r="M3422" s="2">
        <f t="shared" si="1469"/>
        <v>1.2552331613736459E-3</v>
      </c>
      <c r="N3422" s="2">
        <f t="shared" si="1470"/>
        <v>0.99874476683862634</v>
      </c>
    </row>
    <row r="3423" spans="1:14" x14ac:dyDescent="0.35">
      <c r="A3423" t="s">
        <v>36</v>
      </c>
      <c r="B3423" t="s">
        <v>19</v>
      </c>
      <c r="C3423">
        <v>2015</v>
      </c>
      <c r="D3423" t="s">
        <v>31</v>
      </c>
      <c r="E3423" s="9">
        <v>20</v>
      </c>
      <c r="F3423" s="9">
        <f>351+15</f>
        <v>366</v>
      </c>
      <c r="G3423" s="1">
        <f t="shared" si="1465"/>
        <v>386</v>
      </c>
      <c r="H3423" s="2">
        <f t="shared" si="1466"/>
        <v>5.181347150259067E-2</v>
      </c>
      <c r="I3423" s="2">
        <f t="shared" si="1467"/>
        <v>0.94818652849740936</v>
      </c>
      <c r="J3423" s="6">
        <v>148</v>
      </c>
      <c r="K3423" s="6">
        <f>123850+2955</f>
        <v>126805</v>
      </c>
      <c r="L3423" s="1">
        <f t="shared" si="1468"/>
        <v>126953</v>
      </c>
      <c r="M3423" s="2">
        <f t="shared" si="1469"/>
        <v>1.165785763235213E-3</v>
      </c>
      <c r="N3423" s="2">
        <f t="shared" si="1470"/>
        <v>0.99883421423676477</v>
      </c>
    </row>
    <row r="3424" spans="1:14" x14ac:dyDescent="0.35">
      <c r="A3424" t="s">
        <v>36</v>
      </c>
      <c r="B3424" t="s">
        <v>20</v>
      </c>
      <c r="C3424">
        <v>2015</v>
      </c>
      <c r="D3424" t="s">
        <v>31</v>
      </c>
      <c r="E3424" s="9">
        <v>18</v>
      </c>
      <c r="F3424" s="9">
        <f>345+24</f>
        <v>369</v>
      </c>
      <c r="G3424" s="1">
        <f t="shared" si="1465"/>
        <v>387</v>
      </c>
      <c r="H3424" s="2">
        <f t="shared" si="1466"/>
        <v>4.6511627906976744E-2</v>
      </c>
      <c r="I3424" s="2">
        <f t="shared" si="1467"/>
        <v>0.95348837209302328</v>
      </c>
      <c r="J3424" s="6">
        <v>85</v>
      </c>
      <c r="K3424" s="6">
        <f>125844+6818</f>
        <v>132662</v>
      </c>
      <c r="L3424" s="1">
        <f t="shared" si="1468"/>
        <v>132747</v>
      </c>
      <c r="M3424" s="2">
        <f t="shared" si="1469"/>
        <v>6.4031578868072351E-4</v>
      </c>
      <c r="N3424" s="2">
        <f t="shared" si="1470"/>
        <v>0.99935968421131927</v>
      </c>
    </row>
    <row r="3425" spans="1:14" x14ac:dyDescent="0.35">
      <c r="A3425" t="s">
        <v>36</v>
      </c>
      <c r="B3425" t="s">
        <v>21</v>
      </c>
      <c r="C3425">
        <v>2015</v>
      </c>
      <c r="D3425" t="s">
        <v>31</v>
      </c>
      <c r="E3425" s="9">
        <v>17</v>
      </c>
      <c r="F3425" s="9">
        <f>362+17</f>
        <v>379</v>
      </c>
      <c r="G3425" s="1">
        <f t="shared" si="1465"/>
        <v>396</v>
      </c>
      <c r="H3425" s="2">
        <f t="shared" si="1466"/>
        <v>4.2929292929292928E-2</v>
      </c>
      <c r="I3425" s="2">
        <f t="shared" si="1467"/>
        <v>0.95707070707070707</v>
      </c>
      <c r="J3425" s="6">
        <v>83</v>
      </c>
      <c r="K3425" s="6">
        <f>135540+4789</f>
        <v>140329</v>
      </c>
      <c r="L3425" s="1">
        <f t="shared" si="1468"/>
        <v>140412</v>
      </c>
      <c r="M3425" s="2">
        <f t="shared" si="1469"/>
        <v>5.9111756829900578E-4</v>
      </c>
      <c r="N3425" s="2">
        <f t="shared" si="1470"/>
        <v>0.99940888243170101</v>
      </c>
    </row>
    <row r="3426" spans="1:14" x14ac:dyDescent="0.35">
      <c r="A3426" t="s">
        <v>36</v>
      </c>
      <c r="B3426" t="s">
        <v>22</v>
      </c>
      <c r="C3426">
        <v>2015</v>
      </c>
      <c r="D3426" t="s">
        <v>31</v>
      </c>
      <c r="E3426" s="9">
        <v>17</v>
      </c>
      <c r="F3426" s="9">
        <f>360+17</f>
        <v>377</v>
      </c>
      <c r="G3426" s="1">
        <f t="shared" si="1465"/>
        <v>394</v>
      </c>
      <c r="H3426" s="2">
        <f t="shared" si="1466"/>
        <v>4.3147208121827409E-2</v>
      </c>
      <c r="I3426" s="2">
        <f t="shared" si="1467"/>
        <v>0.95685279187817263</v>
      </c>
      <c r="J3426" s="6">
        <v>85</v>
      </c>
      <c r="K3426" s="6">
        <f>126424+5295</f>
        <v>131719</v>
      </c>
      <c r="L3426" s="1">
        <f t="shared" si="1468"/>
        <v>131804</v>
      </c>
      <c r="M3426" s="2">
        <f t="shared" si="1469"/>
        <v>6.4489696822554699E-4</v>
      </c>
      <c r="N3426" s="2">
        <f t="shared" si="1470"/>
        <v>0.99935510303177444</v>
      </c>
    </row>
    <row r="3427" spans="1:14" x14ac:dyDescent="0.35">
      <c r="A3427" t="s">
        <v>36</v>
      </c>
      <c r="B3427" t="s">
        <v>23</v>
      </c>
      <c r="C3427">
        <v>2015</v>
      </c>
      <c r="D3427" t="s">
        <v>31</v>
      </c>
      <c r="E3427" s="9">
        <v>17</v>
      </c>
      <c r="F3427" s="9">
        <f>371+19</f>
        <v>390</v>
      </c>
      <c r="G3427" s="1">
        <f t="shared" si="1465"/>
        <v>407</v>
      </c>
      <c r="H3427" s="2">
        <f t="shared" si="1466"/>
        <v>4.1769041769041768E-2</v>
      </c>
      <c r="I3427" s="2">
        <f t="shared" si="1467"/>
        <v>0.95823095823095827</v>
      </c>
      <c r="J3427" s="6">
        <v>79</v>
      </c>
      <c r="K3427" s="6">
        <f>139951+9097</f>
        <v>149048</v>
      </c>
      <c r="L3427" s="1">
        <f t="shared" si="1468"/>
        <v>149127</v>
      </c>
      <c r="M3427" s="2">
        <f t="shared" si="1469"/>
        <v>5.2974981056415002E-4</v>
      </c>
      <c r="N3427" s="2">
        <f t="shared" si="1470"/>
        <v>0.9994702501894358</v>
      </c>
    </row>
    <row r="3428" spans="1:14" x14ac:dyDescent="0.35">
      <c r="A3428" t="s">
        <v>36</v>
      </c>
      <c r="B3428" t="s">
        <v>24</v>
      </c>
      <c r="C3428">
        <v>2015</v>
      </c>
      <c r="D3428" t="s">
        <v>31</v>
      </c>
      <c r="E3428" s="9">
        <v>17</v>
      </c>
      <c r="F3428" s="9">
        <f>398+20</f>
        <v>418</v>
      </c>
      <c r="G3428" s="1">
        <f t="shared" si="1465"/>
        <v>435</v>
      </c>
      <c r="H3428" s="2">
        <f t="shared" si="1466"/>
        <v>3.9080459770114942E-2</v>
      </c>
      <c r="I3428" s="2">
        <f t="shared" si="1467"/>
        <v>0.96091954022988502</v>
      </c>
      <c r="J3428" s="6">
        <v>84</v>
      </c>
      <c r="K3428" s="6">
        <f>144129+9658</f>
        <v>153787</v>
      </c>
      <c r="L3428" s="1">
        <f t="shared" si="1468"/>
        <v>153871</v>
      </c>
      <c r="M3428" s="2">
        <f t="shared" si="1469"/>
        <v>5.4591183523860901E-4</v>
      </c>
      <c r="N3428" s="2">
        <f t="shared" si="1470"/>
        <v>0.99945408816476144</v>
      </c>
    </row>
    <row r="3429" spans="1:14" x14ac:dyDescent="0.35">
      <c r="A3429" t="s">
        <v>36</v>
      </c>
      <c r="B3429" t="s">
        <v>25</v>
      </c>
      <c r="C3429">
        <v>2015</v>
      </c>
      <c r="D3429" t="s">
        <v>31</v>
      </c>
      <c r="E3429" s="9">
        <v>17</v>
      </c>
      <c r="F3429" s="9">
        <f>391+18</f>
        <v>409</v>
      </c>
      <c r="G3429" s="1">
        <f t="shared" si="1465"/>
        <v>426</v>
      </c>
      <c r="H3429" s="2">
        <f t="shared" si="1466"/>
        <v>3.9906103286384977E-2</v>
      </c>
      <c r="I3429" s="2">
        <f t="shared" si="1467"/>
        <v>0.960093896713615</v>
      </c>
      <c r="J3429" s="6">
        <v>69</v>
      </c>
      <c r="K3429" s="6">
        <f>135868+9785</f>
        <v>145653</v>
      </c>
      <c r="L3429" s="1">
        <f t="shared" si="1468"/>
        <v>145722</v>
      </c>
      <c r="M3429" s="2">
        <f t="shared" si="1469"/>
        <v>4.7350434388767655E-4</v>
      </c>
      <c r="N3429" s="2">
        <f t="shared" si="1470"/>
        <v>0.99952649565611229</v>
      </c>
    </row>
    <row r="3430" spans="1:14" x14ac:dyDescent="0.35">
      <c r="A3430" t="s">
        <v>36</v>
      </c>
      <c r="B3430" t="s">
        <v>26</v>
      </c>
      <c r="C3430">
        <v>2015</v>
      </c>
      <c r="D3430" t="s">
        <v>31</v>
      </c>
      <c r="E3430" s="9">
        <v>17</v>
      </c>
      <c r="F3430" s="9">
        <f>410+17</f>
        <v>427</v>
      </c>
      <c r="G3430" s="1">
        <f t="shared" si="1465"/>
        <v>444</v>
      </c>
      <c r="H3430" s="2">
        <f t="shared" si="1466"/>
        <v>3.8288288288288286E-2</v>
      </c>
      <c r="I3430" s="2">
        <f t="shared" si="1467"/>
        <v>0.96171171171171166</v>
      </c>
      <c r="J3430" s="6">
        <v>82</v>
      </c>
      <c r="K3430" s="6">
        <f>139841+11596</f>
        <v>151437</v>
      </c>
      <c r="L3430" s="1">
        <f t="shared" si="1468"/>
        <v>151519</v>
      </c>
      <c r="M3430" s="2">
        <f t="shared" si="1469"/>
        <v>5.4118625386915175E-4</v>
      </c>
      <c r="N3430" s="2">
        <f t="shared" si="1470"/>
        <v>0.99945881374613088</v>
      </c>
    </row>
    <row r="3431" spans="1:14" x14ac:dyDescent="0.35">
      <c r="A3431" t="s">
        <v>36</v>
      </c>
      <c r="B3431" t="s">
        <v>27</v>
      </c>
      <c r="C3431">
        <v>2015</v>
      </c>
      <c r="D3431" t="s">
        <v>31</v>
      </c>
      <c r="E3431" s="9">
        <v>17</v>
      </c>
      <c r="F3431" s="9">
        <f>413+17</f>
        <v>430</v>
      </c>
      <c r="G3431" s="1">
        <f t="shared" si="1465"/>
        <v>447</v>
      </c>
      <c r="H3431" s="2">
        <f t="shared" si="1466"/>
        <v>3.803131991051454E-2</v>
      </c>
      <c r="I3431" s="2">
        <f t="shared" si="1467"/>
        <v>0.96196868008948544</v>
      </c>
      <c r="J3431" s="6">
        <v>75</v>
      </c>
      <c r="K3431" s="6">
        <f>134532+12447</f>
        <v>146979</v>
      </c>
      <c r="L3431" s="1">
        <f t="shared" si="1468"/>
        <v>147054</v>
      </c>
      <c r="M3431" s="2">
        <f t="shared" si="1469"/>
        <v>5.1001672854869638E-4</v>
      </c>
      <c r="N3431" s="2">
        <f t="shared" si="1470"/>
        <v>0.99948998327145133</v>
      </c>
    </row>
    <row r="3432" spans="1:14" x14ac:dyDescent="0.35">
      <c r="A3432" t="s">
        <v>36</v>
      </c>
      <c r="B3432" t="s">
        <v>28</v>
      </c>
      <c r="C3432">
        <v>2015</v>
      </c>
      <c r="D3432" t="s">
        <v>31</v>
      </c>
      <c r="E3432" s="9">
        <v>17</v>
      </c>
      <c r="F3432" s="9">
        <f>418+20</f>
        <v>438</v>
      </c>
      <c r="G3432" s="1">
        <f t="shared" si="1465"/>
        <v>455</v>
      </c>
      <c r="H3432" s="2">
        <f t="shared" si="1466"/>
        <v>3.7362637362637362E-2</v>
      </c>
      <c r="I3432" s="2">
        <f t="shared" si="1467"/>
        <v>0.96263736263736266</v>
      </c>
      <c r="J3432" s="6">
        <v>81</v>
      </c>
      <c r="K3432" s="6">
        <f>132618+11108</f>
        <v>143726</v>
      </c>
      <c r="L3432" s="1">
        <f t="shared" si="1468"/>
        <v>143807</v>
      </c>
      <c r="M3432" s="2">
        <f t="shared" si="1469"/>
        <v>5.6325491804988634E-4</v>
      </c>
      <c r="N3432" s="2">
        <f t="shared" si="1470"/>
        <v>0.99943674508195013</v>
      </c>
    </row>
    <row r="3433" spans="1:14" x14ac:dyDescent="0.35">
      <c r="A3433" t="s">
        <v>36</v>
      </c>
      <c r="B3433" t="s">
        <v>29</v>
      </c>
      <c r="C3433">
        <v>2015</v>
      </c>
      <c r="D3433" t="s">
        <v>31</v>
      </c>
      <c r="E3433" s="9">
        <v>16</v>
      </c>
      <c r="F3433" s="9">
        <f>406+18</f>
        <v>424</v>
      </c>
      <c r="G3433" s="1">
        <f t="shared" si="1465"/>
        <v>440</v>
      </c>
      <c r="H3433" s="2">
        <f t="shared" si="1466"/>
        <v>3.6363636363636362E-2</v>
      </c>
      <c r="I3433" s="2">
        <f t="shared" si="1467"/>
        <v>0.96363636363636362</v>
      </c>
      <c r="J3433" s="6">
        <v>89</v>
      </c>
      <c r="K3433" s="6">
        <f>143388+11986</f>
        <v>155374</v>
      </c>
      <c r="L3433" s="1">
        <f t="shared" si="1468"/>
        <v>155463</v>
      </c>
      <c r="M3433" s="2">
        <f t="shared" si="1469"/>
        <v>5.7248348481632287E-4</v>
      </c>
      <c r="N3433" s="2">
        <f t="shared" si="1470"/>
        <v>0.99942751651518369</v>
      </c>
    </row>
    <row r="3434" spans="1:14" x14ac:dyDescent="0.35">
      <c r="A3434" t="s">
        <v>36</v>
      </c>
      <c r="B3434" t="s">
        <v>17</v>
      </c>
      <c r="C3434">
        <v>2016</v>
      </c>
      <c r="D3434" t="s">
        <v>31</v>
      </c>
      <c r="E3434" s="9">
        <v>15</v>
      </c>
      <c r="F3434" s="9">
        <f>410+18</f>
        <v>428</v>
      </c>
      <c r="G3434" s="1">
        <f t="shared" si="1465"/>
        <v>443</v>
      </c>
      <c r="H3434" s="2">
        <f t="shared" si="1466"/>
        <v>3.3860045146726865E-2</v>
      </c>
      <c r="I3434" s="2">
        <f t="shared" si="1467"/>
        <v>0.96613995485327309</v>
      </c>
      <c r="J3434" s="6">
        <v>81</v>
      </c>
      <c r="K3434" s="6">
        <f>141505+13951</f>
        <v>155456</v>
      </c>
      <c r="L3434" s="1">
        <f t="shared" si="1468"/>
        <v>155537</v>
      </c>
      <c r="M3434" s="2">
        <f t="shared" si="1469"/>
        <v>5.207764068999659E-4</v>
      </c>
      <c r="N3434" s="2">
        <f t="shared" si="1470"/>
        <v>0.99947922359310004</v>
      </c>
    </row>
    <row r="3435" spans="1:14" x14ac:dyDescent="0.35">
      <c r="A3435" t="s">
        <v>36</v>
      </c>
      <c r="B3435" t="s">
        <v>19</v>
      </c>
      <c r="C3435">
        <v>2016</v>
      </c>
      <c r="D3435" t="s">
        <v>31</v>
      </c>
      <c r="E3435" s="9">
        <v>15</v>
      </c>
      <c r="F3435" s="9">
        <f>423+18</f>
        <v>441</v>
      </c>
      <c r="G3435" s="1">
        <f t="shared" si="1465"/>
        <v>456</v>
      </c>
      <c r="H3435" s="2">
        <f t="shared" si="1466"/>
        <v>3.2894736842105261E-2</v>
      </c>
      <c r="I3435" s="2">
        <f t="shared" si="1467"/>
        <v>0.96710526315789469</v>
      </c>
      <c r="J3435" s="6">
        <v>67</v>
      </c>
      <c r="K3435" s="6">
        <f>126847+13781</f>
        <v>140628</v>
      </c>
      <c r="L3435" s="1">
        <f t="shared" si="1468"/>
        <v>140695</v>
      </c>
      <c r="M3435" s="2">
        <f t="shared" si="1469"/>
        <v>4.7620739898361706E-4</v>
      </c>
      <c r="N3435" s="2">
        <f t="shared" si="1470"/>
        <v>0.99952379260101643</v>
      </c>
    </row>
    <row r="3436" spans="1:14" x14ac:dyDescent="0.35">
      <c r="A3436" t="s">
        <v>36</v>
      </c>
      <c r="B3436" t="s">
        <v>20</v>
      </c>
      <c r="C3436">
        <v>2016</v>
      </c>
      <c r="D3436" t="s">
        <v>31</v>
      </c>
      <c r="E3436" s="9">
        <v>12</v>
      </c>
      <c r="F3436" s="9">
        <f>417+18</f>
        <v>435</v>
      </c>
      <c r="G3436" s="1">
        <f t="shared" si="1465"/>
        <v>447</v>
      </c>
      <c r="H3436" s="2">
        <f t="shared" si="1466"/>
        <v>2.6845637583892617E-2</v>
      </c>
      <c r="I3436" s="2">
        <f t="shared" si="1467"/>
        <v>0.97315436241610742</v>
      </c>
      <c r="J3436" s="6">
        <v>51</v>
      </c>
      <c r="K3436" s="6">
        <f>129409+15320</f>
        <v>144729</v>
      </c>
      <c r="L3436" s="1">
        <f t="shared" si="1468"/>
        <v>144780</v>
      </c>
      <c r="M3436" s="2">
        <f t="shared" si="1469"/>
        <v>3.5225859925404064E-4</v>
      </c>
      <c r="N3436" s="2">
        <f t="shared" si="1470"/>
        <v>0.99964774140074597</v>
      </c>
    </row>
    <row r="3437" spans="1:14" x14ac:dyDescent="0.35">
      <c r="A3437" t="s">
        <v>36</v>
      </c>
      <c r="B3437" t="s">
        <v>21</v>
      </c>
      <c r="C3437">
        <v>2016</v>
      </c>
      <c r="D3437" t="s">
        <v>31</v>
      </c>
      <c r="E3437" s="9">
        <v>11</v>
      </c>
      <c r="F3437" s="9">
        <f>420+18</f>
        <v>438</v>
      </c>
      <c r="G3437" s="1">
        <f t="shared" si="1465"/>
        <v>449</v>
      </c>
      <c r="H3437" s="2">
        <f t="shared" si="1466"/>
        <v>2.4498886414253896E-2</v>
      </c>
      <c r="I3437" s="2">
        <f t="shared" si="1467"/>
        <v>0.97550111358574609</v>
      </c>
      <c r="J3437" s="6">
        <v>48</v>
      </c>
      <c r="K3437" s="6">
        <f>132899+14466</f>
        <v>147365</v>
      </c>
      <c r="L3437" s="1">
        <f t="shared" si="1468"/>
        <v>147413</v>
      </c>
      <c r="M3437" s="2">
        <f t="shared" si="1469"/>
        <v>3.2561578693873674E-4</v>
      </c>
      <c r="N3437" s="2">
        <f t="shared" si="1470"/>
        <v>0.99967438421306132</v>
      </c>
    </row>
    <row r="3438" spans="1:14" x14ac:dyDescent="0.35">
      <c r="A3438" t="s">
        <v>36</v>
      </c>
      <c r="B3438" t="s">
        <v>22</v>
      </c>
      <c r="C3438">
        <v>2016</v>
      </c>
      <c r="D3438" t="s">
        <v>31</v>
      </c>
      <c r="E3438" s="9">
        <v>10</v>
      </c>
      <c r="F3438" s="9">
        <f>424+18</f>
        <v>442</v>
      </c>
      <c r="G3438" s="1">
        <f t="shared" si="1465"/>
        <v>452</v>
      </c>
      <c r="H3438" s="2">
        <f t="shared" si="1466"/>
        <v>2.2123893805309734E-2</v>
      </c>
      <c r="I3438" s="2">
        <f t="shared" si="1467"/>
        <v>0.97787610619469023</v>
      </c>
      <c r="J3438" s="6">
        <v>37</v>
      </c>
      <c r="K3438" s="6">
        <f>128074+12208</f>
        <v>140282</v>
      </c>
      <c r="L3438" s="1">
        <f t="shared" si="1468"/>
        <v>140319</v>
      </c>
      <c r="M3438" s="2">
        <f t="shared" si="1469"/>
        <v>2.6368488943051191E-4</v>
      </c>
      <c r="N3438" s="2">
        <f t="shared" si="1470"/>
        <v>0.99973631511056948</v>
      </c>
    </row>
    <row r="3439" spans="1:14" x14ac:dyDescent="0.35">
      <c r="A3439" t="s">
        <v>36</v>
      </c>
      <c r="B3439" t="s">
        <v>23</v>
      </c>
      <c r="C3439">
        <v>2016</v>
      </c>
      <c r="D3439" t="s">
        <v>31</v>
      </c>
      <c r="E3439" s="9">
        <v>10</v>
      </c>
      <c r="F3439" s="9">
        <f>462+18</f>
        <v>480</v>
      </c>
      <c r="G3439" s="1">
        <f t="shared" si="1465"/>
        <v>490</v>
      </c>
      <c r="H3439" s="2">
        <f t="shared" si="1466"/>
        <v>2.0408163265306121E-2</v>
      </c>
      <c r="I3439" s="2">
        <f t="shared" si="1467"/>
        <v>0.97959183673469385</v>
      </c>
      <c r="J3439" s="6">
        <v>42</v>
      </c>
      <c r="K3439" s="6">
        <f>140619+13582</f>
        <v>154201</v>
      </c>
      <c r="L3439" s="1">
        <f t="shared" si="1468"/>
        <v>154243</v>
      </c>
      <c r="M3439" s="2">
        <f t="shared" si="1469"/>
        <v>2.7229760831934028E-4</v>
      </c>
      <c r="N3439" s="2">
        <f t="shared" si="1470"/>
        <v>0.99972770239168063</v>
      </c>
    </row>
    <row r="3440" spans="1:14" x14ac:dyDescent="0.35">
      <c r="A3440" t="s">
        <v>36</v>
      </c>
      <c r="B3440" t="s">
        <v>24</v>
      </c>
      <c r="C3440">
        <v>2016</v>
      </c>
      <c r="D3440" t="s">
        <v>31</v>
      </c>
      <c r="E3440" s="9">
        <v>14</v>
      </c>
      <c r="F3440" s="9">
        <f>477+18</f>
        <v>495</v>
      </c>
      <c r="G3440" s="1">
        <f t="shared" si="1465"/>
        <v>509</v>
      </c>
      <c r="H3440" s="2">
        <f t="shared" si="1466"/>
        <v>2.75049115913556E-2</v>
      </c>
      <c r="I3440" s="2">
        <f t="shared" si="1467"/>
        <v>0.9724950884086444</v>
      </c>
      <c r="J3440" s="6">
        <v>46</v>
      </c>
      <c r="K3440" s="6">
        <f>141242+12134</f>
        <v>153376</v>
      </c>
      <c r="L3440" s="1">
        <f t="shared" si="1468"/>
        <v>153422</v>
      </c>
      <c r="M3440" s="2">
        <f t="shared" si="1469"/>
        <v>2.998266219968453E-4</v>
      </c>
      <c r="N3440" s="2">
        <f t="shared" si="1470"/>
        <v>0.99970017337800321</v>
      </c>
    </row>
    <row r="3441" spans="1:14" x14ac:dyDescent="0.35">
      <c r="A3441" t="s">
        <v>36</v>
      </c>
      <c r="B3441" t="s">
        <v>25</v>
      </c>
      <c r="C3441">
        <v>2016</v>
      </c>
      <c r="D3441" t="s">
        <v>31</v>
      </c>
      <c r="E3441" s="9">
        <v>14</v>
      </c>
      <c r="F3441" s="9">
        <f>513+18</f>
        <v>531</v>
      </c>
      <c r="G3441" s="1">
        <f t="shared" si="1465"/>
        <v>545</v>
      </c>
      <c r="H3441" s="2">
        <f t="shared" si="1466"/>
        <v>2.5688073394495414E-2</v>
      </c>
      <c r="I3441" s="2">
        <f t="shared" si="1467"/>
        <v>0.97431192660550459</v>
      </c>
      <c r="J3441" s="6">
        <v>42</v>
      </c>
      <c r="K3441" s="6">
        <f>137756+12656</f>
        <v>150412</v>
      </c>
      <c r="L3441" s="1">
        <f t="shared" si="1468"/>
        <v>150454</v>
      </c>
      <c r="M3441" s="2">
        <f t="shared" si="1469"/>
        <v>2.7915509059247347E-4</v>
      </c>
      <c r="N3441" s="2">
        <f t="shared" si="1470"/>
        <v>0.99972084490940749</v>
      </c>
    </row>
    <row r="3442" spans="1:14" x14ac:dyDescent="0.35">
      <c r="A3442" t="s">
        <v>36</v>
      </c>
      <c r="B3442" t="s">
        <v>26</v>
      </c>
      <c r="C3442">
        <v>2016</v>
      </c>
      <c r="D3442" t="s">
        <v>31</v>
      </c>
      <c r="E3442" s="9">
        <v>15</v>
      </c>
      <c r="F3442" s="9">
        <f>506+25</f>
        <v>531</v>
      </c>
      <c r="G3442" s="1">
        <f t="shared" si="1465"/>
        <v>546</v>
      </c>
      <c r="H3442" s="2">
        <f t="shared" si="1466"/>
        <v>2.7472527472527472E-2</v>
      </c>
      <c r="I3442" s="2">
        <f t="shared" si="1467"/>
        <v>0.97252747252747251</v>
      </c>
      <c r="J3442" s="6">
        <v>44</v>
      </c>
      <c r="K3442" s="6">
        <f>134231+13655</f>
        <v>147886</v>
      </c>
      <c r="L3442" s="1">
        <f t="shared" si="1468"/>
        <v>147930</v>
      </c>
      <c r="M3442" s="2">
        <f t="shared" si="1469"/>
        <v>2.9743797742175351E-4</v>
      </c>
      <c r="N3442" s="2">
        <f t="shared" si="1470"/>
        <v>0.99970256202257823</v>
      </c>
    </row>
    <row r="3443" spans="1:14" x14ac:dyDescent="0.35">
      <c r="A3443" t="s">
        <v>36</v>
      </c>
      <c r="B3443" t="s">
        <v>27</v>
      </c>
      <c r="C3443">
        <v>2016</v>
      </c>
      <c r="D3443" t="s">
        <v>31</v>
      </c>
      <c r="E3443" s="9">
        <v>14</v>
      </c>
      <c r="F3443" s="9">
        <f>510+19</f>
        <v>529</v>
      </c>
      <c r="G3443" s="1">
        <f t="shared" si="1465"/>
        <v>543</v>
      </c>
      <c r="H3443" s="2">
        <f t="shared" si="1466"/>
        <v>2.5782688766114181E-2</v>
      </c>
      <c r="I3443" s="2">
        <f t="shared" si="1467"/>
        <v>0.97421731123388577</v>
      </c>
      <c r="J3443" s="6">
        <v>54</v>
      </c>
      <c r="K3443" s="6">
        <f>142060+13094</f>
        <v>155154</v>
      </c>
      <c r="L3443" s="1">
        <f t="shared" si="1468"/>
        <v>155208</v>
      </c>
      <c r="M3443" s="2">
        <f t="shared" si="1469"/>
        <v>3.4792021029843821E-4</v>
      </c>
      <c r="N3443" s="2">
        <f t="shared" si="1470"/>
        <v>0.99965207978970161</v>
      </c>
    </row>
    <row r="3444" spans="1:14" x14ac:dyDescent="0.35">
      <c r="A3444" t="s">
        <v>36</v>
      </c>
      <c r="B3444" t="s">
        <v>28</v>
      </c>
      <c r="C3444">
        <v>2016</v>
      </c>
      <c r="D3444" t="s">
        <v>31</v>
      </c>
      <c r="E3444" s="9">
        <v>12</v>
      </c>
      <c r="F3444" s="9">
        <f>481+19</f>
        <v>500</v>
      </c>
      <c r="G3444" s="1">
        <f t="shared" si="1465"/>
        <v>512</v>
      </c>
      <c r="H3444" s="2">
        <f t="shared" si="1466"/>
        <v>2.34375E-2</v>
      </c>
      <c r="I3444" s="2">
        <f t="shared" si="1467"/>
        <v>0.9765625</v>
      </c>
      <c r="J3444" s="6">
        <v>48</v>
      </c>
      <c r="K3444" s="6">
        <f>119915+14095</f>
        <v>134010</v>
      </c>
      <c r="L3444" s="1">
        <f t="shared" si="1468"/>
        <v>134058</v>
      </c>
      <c r="M3444" s="2">
        <f t="shared" si="1469"/>
        <v>3.5805397663697804E-4</v>
      </c>
      <c r="N3444" s="2">
        <f t="shared" si="1470"/>
        <v>0.99964194602336298</v>
      </c>
    </row>
    <row r="3445" spans="1:14" x14ac:dyDescent="0.35">
      <c r="A3445" t="s">
        <v>36</v>
      </c>
      <c r="B3445" t="s">
        <v>29</v>
      </c>
      <c r="C3445">
        <v>2016</v>
      </c>
      <c r="D3445" t="s">
        <v>31</v>
      </c>
      <c r="E3445" s="9">
        <v>13</v>
      </c>
      <c r="F3445" s="9">
        <f>510+20</f>
        <v>530</v>
      </c>
      <c r="G3445" s="1">
        <f t="shared" si="1465"/>
        <v>543</v>
      </c>
      <c r="H3445" s="2">
        <f t="shared" si="1466"/>
        <v>2.3941068139963169E-2</v>
      </c>
      <c r="I3445" s="2">
        <f t="shared" si="1467"/>
        <v>0.97605893186003678</v>
      </c>
      <c r="J3445" s="6">
        <v>53</v>
      </c>
      <c r="K3445" s="6">
        <f>143821+17392</f>
        <v>161213</v>
      </c>
      <c r="L3445" s="1">
        <f t="shared" si="1468"/>
        <v>161266</v>
      </c>
      <c r="M3445" s="2">
        <f t="shared" si="1469"/>
        <v>3.2864956035370135E-4</v>
      </c>
      <c r="N3445" s="2">
        <f t="shared" si="1470"/>
        <v>0.99967135043964628</v>
      </c>
    </row>
    <row r="3446" spans="1:14" x14ac:dyDescent="0.35">
      <c r="A3446" t="s">
        <v>36</v>
      </c>
      <c r="B3446" t="s">
        <v>17</v>
      </c>
      <c r="C3446">
        <v>2017</v>
      </c>
      <c r="D3446" t="s">
        <v>31</v>
      </c>
      <c r="E3446" s="3">
        <v>13</v>
      </c>
      <c r="F3446" s="3">
        <f>472+22</f>
        <v>494</v>
      </c>
      <c r="G3446" s="1">
        <f t="shared" si="1465"/>
        <v>507</v>
      </c>
      <c r="H3446" s="2">
        <f t="shared" si="1466"/>
        <v>2.564102564102564E-2</v>
      </c>
      <c r="I3446" s="2">
        <f t="shared" si="1467"/>
        <v>0.97435897435897434</v>
      </c>
      <c r="J3446" s="6">
        <v>57</v>
      </c>
      <c r="K3446" s="6">
        <f>131073+13523</f>
        <v>144596</v>
      </c>
      <c r="L3446" s="1">
        <f t="shared" si="1468"/>
        <v>144653</v>
      </c>
      <c r="M3446" s="2">
        <f t="shared" si="1469"/>
        <v>3.9404644217541288E-4</v>
      </c>
      <c r="N3446" s="2">
        <f t="shared" si="1470"/>
        <v>0.99960595355782456</v>
      </c>
    </row>
    <row r="3447" spans="1:14" x14ac:dyDescent="0.35">
      <c r="A3447" t="s">
        <v>36</v>
      </c>
      <c r="B3447" t="s">
        <v>19</v>
      </c>
      <c r="C3447">
        <v>2017</v>
      </c>
      <c r="D3447" t="s">
        <v>31</v>
      </c>
      <c r="E3447" s="3">
        <v>10</v>
      </c>
      <c r="F3447" s="3">
        <f>498+20</f>
        <v>518</v>
      </c>
      <c r="G3447" s="1">
        <f t="shared" ref="G3447:G3510" si="1471">SUM(E3447:F3447)</f>
        <v>528</v>
      </c>
      <c r="H3447" s="2">
        <f t="shared" ref="H3447:H3510" si="1472">SUM(E3447)/G3447</f>
        <v>1.893939393939394E-2</v>
      </c>
      <c r="I3447" s="2">
        <f t="shared" ref="I3447:I3510" si="1473">SUM(F3447/G3447)</f>
        <v>0.98106060606060608</v>
      </c>
      <c r="J3447" s="6">
        <v>26</v>
      </c>
      <c r="K3447" s="6">
        <f>110989+15262</f>
        <v>126251</v>
      </c>
      <c r="L3447" s="1">
        <f t="shared" si="1468"/>
        <v>126277</v>
      </c>
      <c r="M3447" s="2">
        <f t="shared" si="1469"/>
        <v>2.0589656073552586E-4</v>
      </c>
      <c r="N3447" s="2">
        <f t="shared" si="1470"/>
        <v>0.99979410343926445</v>
      </c>
    </row>
    <row r="3448" spans="1:14" x14ac:dyDescent="0.35">
      <c r="A3448" t="s">
        <v>36</v>
      </c>
      <c r="B3448" t="s">
        <v>20</v>
      </c>
      <c r="C3448">
        <v>2017</v>
      </c>
      <c r="D3448" t="s">
        <v>31</v>
      </c>
      <c r="E3448" s="3">
        <v>13</v>
      </c>
      <c r="F3448" s="3">
        <f>510+20</f>
        <v>530</v>
      </c>
      <c r="G3448" s="1">
        <f t="shared" si="1471"/>
        <v>543</v>
      </c>
      <c r="H3448" s="2">
        <f t="shared" si="1472"/>
        <v>2.3941068139963169E-2</v>
      </c>
      <c r="I3448" s="2">
        <f t="shared" si="1473"/>
        <v>0.97605893186003678</v>
      </c>
      <c r="J3448" s="6">
        <v>52</v>
      </c>
      <c r="K3448" s="6">
        <f>132991+14204</f>
        <v>147195</v>
      </c>
      <c r="L3448" s="1">
        <f t="shared" si="1468"/>
        <v>147247</v>
      </c>
      <c r="M3448" s="2">
        <f t="shared" si="1469"/>
        <v>3.5314811167629903E-4</v>
      </c>
      <c r="N3448" s="2">
        <f t="shared" si="1470"/>
        <v>0.9996468518883237</v>
      </c>
    </row>
    <row r="3449" spans="1:14" x14ac:dyDescent="0.35">
      <c r="A3449" t="s">
        <v>36</v>
      </c>
      <c r="B3449" t="s">
        <v>21</v>
      </c>
      <c r="C3449">
        <v>2017</v>
      </c>
      <c r="D3449" t="s">
        <v>31</v>
      </c>
      <c r="E3449" s="3">
        <v>13</v>
      </c>
      <c r="F3449" s="3">
        <f>506+21</f>
        <v>527</v>
      </c>
      <c r="G3449" s="1">
        <f t="shared" si="1471"/>
        <v>540</v>
      </c>
      <c r="H3449" s="2">
        <f t="shared" si="1472"/>
        <v>2.4074074074074074E-2</v>
      </c>
      <c r="I3449" s="2">
        <f t="shared" si="1473"/>
        <v>0.97592592592592597</v>
      </c>
      <c r="J3449" s="6">
        <v>56</v>
      </c>
      <c r="K3449" s="6">
        <f>133382+13015</f>
        <v>146397</v>
      </c>
      <c r="L3449" s="1">
        <f t="shared" si="1468"/>
        <v>146453</v>
      </c>
      <c r="M3449" s="2">
        <f t="shared" si="1469"/>
        <v>3.823752330099076E-4</v>
      </c>
      <c r="N3449" s="2">
        <f t="shared" si="1470"/>
        <v>0.99961762476699012</v>
      </c>
    </row>
    <row r="3450" spans="1:14" x14ac:dyDescent="0.35">
      <c r="A3450" t="s">
        <v>36</v>
      </c>
      <c r="B3450" t="s">
        <v>22</v>
      </c>
      <c r="C3450">
        <v>2017</v>
      </c>
      <c r="D3450" t="s">
        <v>31</v>
      </c>
      <c r="E3450" s="3">
        <v>13</v>
      </c>
      <c r="F3450" s="3">
        <f>514+21</f>
        <v>535</v>
      </c>
      <c r="G3450" s="1">
        <f t="shared" si="1471"/>
        <v>548</v>
      </c>
      <c r="H3450" s="2">
        <f t="shared" si="1472"/>
        <v>2.3722627737226276E-2</v>
      </c>
      <c r="I3450" s="2">
        <f t="shared" si="1473"/>
        <v>0.97627737226277367</v>
      </c>
      <c r="J3450" s="6">
        <v>55</v>
      </c>
      <c r="K3450" s="6">
        <f>132136+15013</f>
        <v>147149</v>
      </c>
      <c r="L3450" s="1">
        <f t="shared" si="1468"/>
        <v>147204</v>
      </c>
      <c r="M3450" s="2">
        <f t="shared" si="1469"/>
        <v>3.7363115132740956E-4</v>
      </c>
      <c r="N3450" s="2">
        <f t="shared" si="1470"/>
        <v>0.99962636884867262</v>
      </c>
    </row>
    <row r="3451" spans="1:14" x14ac:dyDescent="0.35">
      <c r="A3451" t="s">
        <v>36</v>
      </c>
      <c r="B3451" t="s">
        <v>23</v>
      </c>
      <c r="C3451">
        <v>2017</v>
      </c>
      <c r="D3451" t="s">
        <v>31</v>
      </c>
      <c r="E3451" s="3">
        <v>13</v>
      </c>
      <c r="F3451" s="3">
        <f>510+21</f>
        <v>531</v>
      </c>
      <c r="G3451" s="1">
        <f t="shared" si="1471"/>
        <v>544</v>
      </c>
      <c r="H3451" s="2">
        <f t="shared" si="1472"/>
        <v>2.389705882352941E-2</v>
      </c>
      <c r="I3451" s="2">
        <f t="shared" si="1473"/>
        <v>0.97610294117647056</v>
      </c>
      <c r="J3451" s="6">
        <v>56</v>
      </c>
      <c r="K3451" s="6">
        <f>153093+16638</f>
        <v>169731</v>
      </c>
      <c r="L3451" s="1">
        <f t="shared" si="1468"/>
        <v>169787</v>
      </c>
      <c r="M3451" s="2">
        <f t="shared" si="1469"/>
        <v>3.2982501604952088E-4</v>
      </c>
      <c r="N3451" s="2">
        <f t="shared" si="1470"/>
        <v>0.9996701749839505</v>
      </c>
    </row>
    <row r="3452" spans="1:14" x14ac:dyDescent="0.35">
      <c r="A3452" t="s">
        <v>36</v>
      </c>
      <c r="B3452" t="s">
        <v>24</v>
      </c>
      <c r="C3452">
        <v>2017</v>
      </c>
      <c r="D3452" t="s">
        <v>31</v>
      </c>
      <c r="E3452" s="3">
        <v>13</v>
      </c>
      <c r="F3452" s="3">
        <f>509+23</f>
        <v>532</v>
      </c>
      <c r="G3452" s="1">
        <f t="shared" si="1471"/>
        <v>545</v>
      </c>
      <c r="H3452" s="2">
        <f t="shared" si="1472"/>
        <v>2.3853211009174313E-2</v>
      </c>
      <c r="I3452" s="2">
        <f t="shared" si="1473"/>
        <v>0.97614678899082574</v>
      </c>
      <c r="J3452" s="6">
        <v>59</v>
      </c>
      <c r="K3452" s="6">
        <f>153055+13681</f>
        <v>166736</v>
      </c>
      <c r="L3452" s="1">
        <f t="shared" si="1468"/>
        <v>166795</v>
      </c>
      <c r="M3452" s="2">
        <f t="shared" si="1469"/>
        <v>3.5372762972511165E-4</v>
      </c>
      <c r="N3452" s="2">
        <f t="shared" si="1470"/>
        <v>0.99964627237027492</v>
      </c>
    </row>
    <row r="3453" spans="1:14" x14ac:dyDescent="0.35">
      <c r="A3453" t="s">
        <v>36</v>
      </c>
      <c r="B3453" t="s">
        <v>25</v>
      </c>
      <c r="C3453">
        <v>2017</v>
      </c>
      <c r="D3453" t="s">
        <v>31</v>
      </c>
      <c r="E3453" s="3">
        <v>13</v>
      </c>
      <c r="F3453" s="3">
        <f>510+22</f>
        <v>532</v>
      </c>
      <c r="G3453" s="1">
        <f t="shared" si="1471"/>
        <v>545</v>
      </c>
      <c r="H3453" s="2">
        <f t="shared" si="1472"/>
        <v>2.3853211009174313E-2</v>
      </c>
      <c r="I3453" s="2">
        <f t="shared" si="1473"/>
        <v>0.97614678899082574</v>
      </c>
      <c r="J3453" s="6">
        <v>55</v>
      </c>
      <c r="K3453" s="6">
        <f>147472+14292</f>
        <v>161764</v>
      </c>
      <c r="L3453" s="1">
        <f t="shared" si="1468"/>
        <v>161819</v>
      </c>
      <c r="M3453" s="2">
        <f t="shared" si="1469"/>
        <v>3.3988592192511384E-4</v>
      </c>
      <c r="N3453" s="2">
        <f t="shared" si="1470"/>
        <v>0.99966011407807487</v>
      </c>
    </row>
    <row r="3454" spans="1:14" x14ac:dyDescent="0.35">
      <c r="A3454" t="s">
        <v>36</v>
      </c>
      <c r="B3454" t="s">
        <v>26</v>
      </c>
      <c r="C3454">
        <v>2017</v>
      </c>
      <c r="D3454" t="s">
        <v>31</v>
      </c>
      <c r="E3454" s="3">
        <v>13</v>
      </c>
      <c r="F3454" s="3">
        <f>509+22</f>
        <v>531</v>
      </c>
      <c r="G3454" s="1">
        <f t="shared" si="1471"/>
        <v>544</v>
      </c>
      <c r="H3454" s="2">
        <f t="shared" si="1472"/>
        <v>2.389705882352941E-2</v>
      </c>
      <c r="I3454" s="2">
        <f t="shared" si="1473"/>
        <v>0.97610294117647056</v>
      </c>
      <c r="J3454" s="6">
        <v>61</v>
      </c>
      <c r="K3454" s="6">
        <f>137723+13410</f>
        <v>151133</v>
      </c>
      <c r="L3454" s="1">
        <f t="shared" si="1468"/>
        <v>151194</v>
      </c>
      <c r="M3454" s="2">
        <f t="shared" si="1469"/>
        <v>4.0345516356469173E-4</v>
      </c>
      <c r="N3454" s="2">
        <f t="shared" si="1470"/>
        <v>0.99959654483643534</v>
      </c>
    </row>
    <row r="3455" spans="1:14" x14ac:dyDescent="0.35">
      <c r="A3455" t="s">
        <v>36</v>
      </c>
      <c r="B3455" t="s">
        <v>27</v>
      </c>
      <c r="C3455">
        <v>2017</v>
      </c>
      <c r="D3455" t="s">
        <v>31</v>
      </c>
      <c r="E3455" s="3">
        <v>13</v>
      </c>
      <c r="F3455" s="3">
        <f>511+22</f>
        <v>533</v>
      </c>
      <c r="G3455" s="1">
        <f t="shared" si="1471"/>
        <v>546</v>
      </c>
      <c r="H3455" s="2">
        <f t="shared" si="1472"/>
        <v>2.3809523809523808E-2</v>
      </c>
      <c r="I3455" s="2">
        <f t="shared" si="1473"/>
        <v>0.97619047619047616</v>
      </c>
      <c r="J3455" s="6">
        <v>55</v>
      </c>
      <c r="K3455" s="6">
        <f>145916+14670</f>
        <v>160586</v>
      </c>
      <c r="L3455" s="1">
        <f t="shared" si="1468"/>
        <v>160641</v>
      </c>
      <c r="M3455" s="2">
        <f t="shared" si="1469"/>
        <v>3.4237834674833947E-4</v>
      </c>
      <c r="N3455" s="2">
        <f t="shared" si="1470"/>
        <v>0.99965762165325167</v>
      </c>
    </row>
    <row r="3456" spans="1:14" x14ac:dyDescent="0.35">
      <c r="A3456" t="s">
        <v>36</v>
      </c>
      <c r="B3456" t="s">
        <v>28</v>
      </c>
      <c r="C3456">
        <v>2017</v>
      </c>
      <c r="D3456" t="s">
        <v>31</v>
      </c>
      <c r="E3456" s="3">
        <v>12</v>
      </c>
      <c r="F3456" s="3">
        <f>512+22</f>
        <v>534</v>
      </c>
      <c r="G3456" s="1">
        <f t="shared" si="1471"/>
        <v>546</v>
      </c>
      <c r="H3456" s="2">
        <f t="shared" si="1472"/>
        <v>2.197802197802198E-2</v>
      </c>
      <c r="I3456" s="2">
        <f t="shared" si="1473"/>
        <v>0.97802197802197799</v>
      </c>
      <c r="J3456" s="6">
        <v>53</v>
      </c>
      <c r="K3456" s="6">
        <f>138591+15692</f>
        <v>154283</v>
      </c>
      <c r="L3456" s="1">
        <f t="shared" si="1468"/>
        <v>154336</v>
      </c>
      <c r="M3456" s="2">
        <f t="shared" si="1469"/>
        <v>3.4340659340659343E-4</v>
      </c>
      <c r="N3456" s="2">
        <f t="shared" si="1470"/>
        <v>0.99965659340659341</v>
      </c>
    </row>
    <row r="3457" spans="1:14" x14ac:dyDescent="0.35">
      <c r="A3457" t="s">
        <v>36</v>
      </c>
      <c r="B3457" t="s">
        <v>29</v>
      </c>
      <c r="C3457">
        <v>2017</v>
      </c>
      <c r="D3457" t="s">
        <v>31</v>
      </c>
      <c r="E3457" s="3">
        <v>12</v>
      </c>
      <c r="F3457" s="3">
        <f>515+23</f>
        <v>538</v>
      </c>
      <c r="G3457" s="1">
        <f t="shared" si="1471"/>
        <v>550</v>
      </c>
      <c r="H3457" s="2">
        <f t="shared" si="1472"/>
        <v>2.181818181818182E-2</v>
      </c>
      <c r="I3457" s="2">
        <f t="shared" si="1473"/>
        <v>0.97818181818181815</v>
      </c>
      <c r="J3457" s="6">
        <v>64</v>
      </c>
      <c r="K3457" s="6">
        <f>159973+18064</f>
        <v>178037</v>
      </c>
      <c r="L3457" s="1">
        <f t="shared" si="1468"/>
        <v>178101</v>
      </c>
      <c r="M3457" s="2">
        <f t="shared" si="1469"/>
        <v>3.5934666284860838E-4</v>
      </c>
      <c r="N3457" s="2">
        <f t="shared" si="1470"/>
        <v>0.99964065333715135</v>
      </c>
    </row>
    <row r="3458" spans="1:14" x14ac:dyDescent="0.35">
      <c r="A3458" t="s">
        <v>36</v>
      </c>
      <c r="B3458" t="s">
        <v>17</v>
      </c>
      <c r="C3458">
        <v>2002</v>
      </c>
      <c r="D3458" t="s">
        <v>32</v>
      </c>
      <c r="E3458" s="8">
        <v>23910</v>
      </c>
      <c r="F3458" s="8">
        <v>250</v>
      </c>
      <c r="G3458" s="1">
        <f t="shared" si="1471"/>
        <v>24160</v>
      </c>
      <c r="H3458" s="2">
        <f t="shared" si="1472"/>
        <v>0.98965231788079466</v>
      </c>
      <c r="I3458" s="2">
        <f t="shared" si="1473"/>
        <v>1.0347682119205299E-2</v>
      </c>
      <c r="J3458" s="15">
        <f>J3459</f>
        <v>629.01300000000003</v>
      </c>
      <c r="K3458" s="15">
        <v>20.253</v>
      </c>
      <c r="L3458" s="1">
        <f t="shared" si="1468"/>
        <v>649.26600000000008</v>
      </c>
      <c r="M3458" s="2">
        <f t="shared" si="1469"/>
        <v>0.96880631359103964</v>
      </c>
      <c r="N3458" s="2">
        <f t="shared" si="1470"/>
        <v>3.119368640896027E-2</v>
      </c>
    </row>
    <row r="3459" spans="1:14" x14ac:dyDescent="0.35">
      <c r="A3459" t="s">
        <v>36</v>
      </c>
      <c r="B3459" t="s">
        <v>19</v>
      </c>
      <c r="C3459">
        <v>2002</v>
      </c>
      <c r="D3459" t="s">
        <v>32</v>
      </c>
      <c r="E3459" s="8">
        <v>24287</v>
      </c>
      <c r="F3459" s="8">
        <v>369</v>
      </c>
      <c r="G3459" s="1">
        <f t="shared" si="1471"/>
        <v>24656</v>
      </c>
      <c r="H3459" s="2">
        <f t="shared" si="1472"/>
        <v>0.98503406878650224</v>
      </c>
      <c r="I3459" s="2">
        <f t="shared" si="1473"/>
        <v>1.4965931213497728E-2</v>
      </c>
      <c r="J3459" s="15">
        <v>629.01300000000003</v>
      </c>
      <c r="K3459" s="15">
        <v>176.53</v>
      </c>
      <c r="L3459" s="1">
        <f t="shared" ref="L3459:L3522" si="1474">SUM(J3459:K3459)</f>
        <v>805.54300000000001</v>
      </c>
      <c r="M3459" s="2">
        <f t="shared" ref="M3459:M3522" si="1475">SUM(J3459)/L3459</f>
        <v>0.7808558947194626</v>
      </c>
      <c r="N3459" s="2">
        <f t="shared" ref="N3459:N3522" si="1476">SUM(K3459/L3459)</f>
        <v>0.21914410528053749</v>
      </c>
    </row>
    <row r="3460" spans="1:14" x14ac:dyDescent="0.35">
      <c r="A3460" t="s">
        <v>36</v>
      </c>
      <c r="B3460" t="s">
        <v>20</v>
      </c>
      <c r="C3460">
        <v>2002</v>
      </c>
      <c r="D3460" t="s">
        <v>32</v>
      </c>
      <c r="E3460" s="8">
        <v>24255</v>
      </c>
      <c r="F3460" s="8">
        <v>536</v>
      </c>
      <c r="G3460" s="1">
        <f t="shared" si="1471"/>
        <v>24791</v>
      </c>
      <c r="H3460" s="2">
        <f t="shared" si="1472"/>
        <v>0.97837925053446817</v>
      </c>
      <c r="I3460" s="2">
        <f t="shared" si="1473"/>
        <v>2.1620749465531847E-2</v>
      </c>
      <c r="J3460" s="15">
        <v>617.40100000000007</v>
      </c>
      <c r="K3460" s="15">
        <v>44.693999999999996</v>
      </c>
      <c r="L3460" s="1">
        <f t="shared" si="1474"/>
        <v>662.09500000000003</v>
      </c>
      <c r="M3460" s="2">
        <f t="shared" si="1475"/>
        <v>0.93249609195055094</v>
      </c>
      <c r="N3460" s="2">
        <f t="shared" si="1476"/>
        <v>6.7503908049449085E-2</v>
      </c>
    </row>
    <row r="3461" spans="1:14" x14ac:dyDescent="0.35">
      <c r="A3461" t="s">
        <v>36</v>
      </c>
      <c r="B3461" t="s">
        <v>21</v>
      </c>
      <c r="C3461">
        <v>2002</v>
      </c>
      <c r="D3461" t="s">
        <v>32</v>
      </c>
      <c r="E3461" s="8">
        <v>24095</v>
      </c>
      <c r="F3461" s="8">
        <v>583</v>
      </c>
      <c r="G3461" s="1">
        <f t="shared" si="1471"/>
        <v>24678</v>
      </c>
      <c r="H3461" s="2">
        <f t="shared" si="1472"/>
        <v>0.97637571926412192</v>
      </c>
      <c r="I3461" s="2">
        <f t="shared" si="1473"/>
        <v>2.3624280735878109E-2</v>
      </c>
      <c r="J3461" s="15">
        <v>4225.9960000000001</v>
      </c>
      <c r="K3461" s="15">
        <v>187.97300000000001</v>
      </c>
      <c r="L3461" s="1">
        <f t="shared" si="1474"/>
        <v>4413.9690000000001</v>
      </c>
      <c r="M3461" s="2">
        <f t="shared" si="1475"/>
        <v>0.95741406430357801</v>
      </c>
      <c r="N3461" s="2">
        <f t="shared" si="1476"/>
        <v>4.2585935696421974E-2</v>
      </c>
    </row>
    <row r="3462" spans="1:14" x14ac:dyDescent="0.35">
      <c r="A3462" t="s">
        <v>36</v>
      </c>
      <c r="B3462" t="s">
        <v>22</v>
      </c>
      <c r="C3462">
        <v>2002</v>
      </c>
      <c r="D3462" t="s">
        <v>32</v>
      </c>
      <c r="E3462" s="8">
        <v>24037</v>
      </c>
      <c r="F3462" s="8">
        <v>638</v>
      </c>
      <c r="G3462" s="1">
        <f t="shared" si="1471"/>
        <v>24675</v>
      </c>
      <c r="H3462" s="2">
        <f t="shared" si="1472"/>
        <v>0.97414387031408312</v>
      </c>
      <c r="I3462" s="2">
        <f t="shared" si="1473"/>
        <v>2.5856129685916919E-2</v>
      </c>
      <c r="J3462" s="15">
        <v>4218.9579999999996</v>
      </c>
      <c r="K3462" s="15">
        <v>171.36</v>
      </c>
      <c r="L3462" s="1">
        <f t="shared" si="1474"/>
        <v>4390.3179999999993</v>
      </c>
      <c r="M3462" s="2">
        <f t="shared" si="1475"/>
        <v>0.96096865876230386</v>
      </c>
      <c r="N3462" s="2">
        <f t="shared" si="1476"/>
        <v>3.9031341237696228E-2</v>
      </c>
    </row>
    <row r="3463" spans="1:14" x14ac:dyDescent="0.35">
      <c r="A3463" t="s">
        <v>36</v>
      </c>
      <c r="B3463" t="s">
        <v>23</v>
      </c>
      <c r="C3463">
        <v>2002</v>
      </c>
      <c r="D3463" t="s">
        <v>32</v>
      </c>
      <c r="E3463" s="8">
        <v>24003</v>
      </c>
      <c r="F3463" s="8">
        <v>656</v>
      </c>
      <c r="G3463" s="1">
        <f t="shared" si="1471"/>
        <v>24659</v>
      </c>
      <c r="H3463" s="2">
        <f t="shared" si="1472"/>
        <v>0.97339713694797037</v>
      </c>
      <c r="I3463" s="2">
        <f t="shared" si="1473"/>
        <v>2.6602863052029684E-2</v>
      </c>
      <c r="J3463" s="15">
        <v>9361.6309999999994</v>
      </c>
      <c r="K3463" s="15">
        <v>200.977</v>
      </c>
      <c r="L3463" s="1">
        <f t="shared" si="1474"/>
        <v>9562.6080000000002</v>
      </c>
      <c r="M3463" s="2">
        <f t="shared" si="1475"/>
        <v>0.97898303475369886</v>
      </c>
      <c r="N3463" s="2">
        <f t="shared" si="1476"/>
        <v>2.1016965246301009E-2</v>
      </c>
    </row>
    <row r="3464" spans="1:14" x14ac:dyDescent="0.35">
      <c r="A3464" t="s">
        <v>36</v>
      </c>
      <c r="B3464" t="s">
        <v>24</v>
      </c>
      <c r="C3464">
        <v>2002</v>
      </c>
      <c r="D3464" t="s">
        <v>32</v>
      </c>
      <c r="E3464" s="8">
        <v>24022</v>
      </c>
      <c r="F3464" s="8">
        <v>731</v>
      </c>
      <c r="G3464" s="1">
        <f t="shared" si="1471"/>
        <v>24753</v>
      </c>
      <c r="H3464" s="2">
        <f t="shared" si="1472"/>
        <v>0.97046822607360728</v>
      </c>
      <c r="I3464" s="2">
        <f t="shared" si="1473"/>
        <v>2.9531773926392762E-2</v>
      </c>
      <c r="J3464" s="15">
        <v>5332.7869999999994</v>
      </c>
      <c r="K3464" s="15">
        <v>978.46299999999997</v>
      </c>
      <c r="L3464" s="1">
        <f t="shared" si="1474"/>
        <v>6311.2499999999991</v>
      </c>
      <c r="M3464" s="2">
        <f t="shared" si="1475"/>
        <v>0.84496526044761344</v>
      </c>
      <c r="N3464" s="2">
        <f t="shared" si="1476"/>
        <v>0.15503473955238664</v>
      </c>
    </row>
    <row r="3465" spans="1:14" x14ac:dyDescent="0.35">
      <c r="A3465" t="s">
        <v>36</v>
      </c>
      <c r="B3465" t="s">
        <v>25</v>
      </c>
      <c r="C3465">
        <v>2002</v>
      </c>
      <c r="D3465" t="s">
        <v>32</v>
      </c>
      <c r="E3465" s="8">
        <v>23951</v>
      </c>
      <c r="F3465" s="8">
        <v>887</v>
      </c>
      <c r="G3465" s="1">
        <f t="shared" si="1471"/>
        <v>24838</v>
      </c>
      <c r="H3465" s="2">
        <f t="shared" si="1472"/>
        <v>0.96428859006361223</v>
      </c>
      <c r="I3465" s="2">
        <f t="shared" si="1473"/>
        <v>3.5711409936387793E-2</v>
      </c>
      <c r="J3465" s="15">
        <v>5288.6549999999997</v>
      </c>
      <c r="K3465" s="15">
        <v>409.81</v>
      </c>
      <c r="L3465" s="1">
        <f t="shared" si="1474"/>
        <v>5698.4650000000001</v>
      </c>
      <c r="M3465" s="2">
        <f t="shared" si="1475"/>
        <v>0.92808414195752709</v>
      </c>
      <c r="N3465" s="2">
        <f t="shared" si="1476"/>
        <v>7.1915858042472844E-2</v>
      </c>
    </row>
    <row r="3466" spans="1:14" x14ac:dyDescent="0.35">
      <c r="A3466" t="s">
        <v>36</v>
      </c>
      <c r="B3466" t="s">
        <v>26</v>
      </c>
      <c r="C3466">
        <v>2002</v>
      </c>
      <c r="D3466" t="s">
        <v>32</v>
      </c>
      <c r="E3466" s="8">
        <v>23787</v>
      </c>
      <c r="F3466" s="8">
        <v>940</v>
      </c>
      <c r="G3466" s="1">
        <f t="shared" si="1471"/>
        <v>24727</v>
      </c>
      <c r="H3466" s="2">
        <f t="shared" si="1472"/>
        <v>0.96198487483317829</v>
      </c>
      <c r="I3466" s="2">
        <f t="shared" si="1473"/>
        <v>3.8015125166821692E-2</v>
      </c>
      <c r="J3466" s="15">
        <v>5265.3990000000003</v>
      </c>
      <c r="K3466" s="15">
        <v>1018.128</v>
      </c>
      <c r="L3466" s="1">
        <f t="shared" si="1474"/>
        <v>6283.527</v>
      </c>
      <c r="M3466" s="2">
        <f t="shared" si="1475"/>
        <v>0.83796870770190057</v>
      </c>
      <c r="N3466" s="2">
        <f t="shared" si="1476"/>
        <v>0.16203129229809946</v>
      </c>
    </row>
    <row r="3467" spans="1:14" x14ac:dyDescent="0.35">
      <c r="A3467" t="s">
        <v>36</v>
      </c>
      <c r="B3467" t="s">
        <v>27</v>
      </c>
      <c r="C3467">
        <v>2002</v>
      </c>
      <c r="D3467" t="s">
        <v>32</v>
      </c>
      <c r="E3467" s="8">
        <v>423</v>
      </c>
      <c r="F3467" s="8">
        <v>48</v>
      </c>
      <c r="G3467" s="1">
        <f t="shared" si="1471"/>
        <v>471</v>
      </c>
      <c r="H3467" s="2">
        <f t="shared" si="1472"/>
        <v>0.89808917197452232</v>
      </c>
      <c r="I3467" s="2">
        <f t="shared" si="1473"/>
        <v>0.10191082802547771</v>
      </c>
      <c r="J3467" s="15">
        <v>5230.1660000000002</v>
      </c>
      <c r="K3467" s="15">
        <v>484.09600000000006</v>
      </c>
      <c r="L3467" s="1">
        <f t="shared" si="1474"/>
        <v>5714.2620000000006</v>
      </c>
      <c r="M3467" s="2">
        <f t="shared" si="1475"/>
        <v>0.91528284842382091</v>
      </c>
      <c r="N3467" s="2">
        <f t="shared" si="1476"/>
        <v>8.4717151576179039E-2</v>
      </c>
    </row>
    <row r="3468" spans="1:14" x14ac:dyDescent="0.35">
      <c r="A3468" t="s">
        <v>36</v>
      </c>
      <c r="B3468" t="s">
        <v>28</v>
      </c>
      <c r="C3468">
        <v>2002</v>
      </c>
      <c r="D3468" t="s">
        <v>32</v>
      </c>
      <c r="E3468" s="8">
        <v>393</v>
      </c>
      <c r="F3468" s="8">
        <v>50</v>
      </c>
      <c r="G3468" s="1">
        <f t="shared" si="1471"/>
        <v>443</v>
      </c>
      <c r="H3468" s="2">
        <f t="shared" si="1472"/>
        <v>0.88713318284424381</v>
      </c>
      <c r="I3468" s="2">
        <f t="shared" si="1473"/>
        <v>0.11286681715575621</v>
      </c>
      <c r="J3468" s="15">
        <v>5218.8670000000002</v>
      </c>
      <c r="K3468" s="15">
        <v>490.84500000000003</v>
      </c>
      <c r="L3468" s="1">
        <f t="shared" si="1474"/>
        <v>5709.7120000000004</v>
      </c>
      <c r="M3468" s="2">
        <f t="shared" si="1475"/>
        <v>0.91403331726714054</v>
      </c>
      <c r="N3468" s="2">
        <f t="shared" si="1476"/>
        <v>8.5966682732859373E-2</v>
      </c>
    </row>
    <row r="3469" spans="1:14" x14ac:dyDescent="0.35">
      <c r="A3469" t="s">
        <v>36</v>
      </c>
      <c r="B3469" t="s">
        <v>29</v>
      </c>
      <c r="C3469">
        <v>2002</v>
      </c>
      <c r="D3469" t="s">
        <v>32</v>
      </c>
      <c r="E3469" s="8">
        <v>350</v>
      </c>
      <c r="F3469" s="8">
        <v>54</v>
      </c>
      <c r="G3469" s="1">
        <f t="shared" si="1471"/>
        <v>404</v>
      </c>
      <c r="H3469" s="2">
        <f t="shared" si="1472"/>
        <v>0.86633663366336633</v>
      </c>
      <c r="I3469" s="2">
        <f t="shared" si="1473"/>
        <v>0.13366336633663367</v>
      </c>
      <c r="J3469" s="15">
        <v>5239.45</v>
      </c>
      <c r="K3469" s="15">
        <v>497.18600000000004</v>
      </c>
      <c r="L3469" s="1">
        <f t="shared" si="1474"/>
        <v>5736.6359999999995</v>
      </c>
      <c r="M3469" s="2">
        <f t="shared" si="1475"/>
        <v>0.91333143675143413</v>
      </c>
      <c r="N3469" s="2">
        <f t="shared" si="1476"/>
        <v>8.6668563248565894E-2</v>
      </c>
    </row>
    <row r="3470" spans="1:14" x14ac:dyDescent="0.35">
      <c r="A3470" t="s">
        <v>36</v>
      </c>
      <c r="B3470" t="s">
        <v>17</v>
      </c>
      <c r="C3470">
        <v>2003</v>
      </c>
      <c r="D3470" t="s">
        <v>32</v>
      </c>
      <c r="E3470" s="8">
        <f>23456</f>
        <v>23456</v>
      </c>
      <c r="F3470" s="8">
        <v>1250</v>
      </c>
      <c r="G3470" s="1">
        <f t="shared" si="1471"/>
        <v>24706</v>
      </c>
      <c r="H3470" s="2">
        <f t="shared" si="1472"/>
        <v>0.94940500283331986</v>
      </c>
      <c r="I3470" s="2">
        <f t="shared" si="1473"/>
        <v>5.0594997166680158E-2</v>
      </c>
      <c r="J3470" s="15">
        <v>5124</v>
      </c>
      <c r="K3470" s="15">
        <v>568</v>
      </c>
      <c r="L3470" s="1">
        <f t="shared" si="1474"/>
        <v>5692</v>
      </c>
      <c r="M3470" s="2">
        <f t="shared" si="1475"/>
        <v>0.90021082220660575</v>
      </c>
      <c r="N3470" s="2">
        <f t="shared" si="1476"/>
        <v>9.9789177793394232E-2</v>
      </c>
    </row>
    <row r="3471" spans="1:14" x14ac:dyDescent="0.35">
      <c r="A3471" t="s">
        <v>36</v>
      </c>
      <c r="B3471" t="s">
        <v>19</v>
      </c>
      <c r="C3471">
        <v>2003</v>
      </c>
      <c r="D3471" t="s">
        <v>32</v>
      </c>
      <c r="E3471" s="8">
        <v>20706</v>
      </c>
      <c r="F3471" s="8">
        <v>1155</v>
      </c>
      <c r="G3471" s="1">
        <f t="shared" si="1471"/>
        <v>21861</v>
      </c>
      <c r="H3471" s="2">
        <f t="shared" si="1472"/>
        <v>0.94716618635926997</v>
      </c>
      <c r="I3471" s="2">
        <f t="shared" si="1473"/>
        <v>5.2833813640730067E-2</v>
      </c>
      <c r="J3471" s="15">
        <v>4658</v>
      </c>
      <c r="K3471" s="15">
        <v>552</v>
      </c>
      <c r="L3471" s="1">
        <f t="shared" si="1474"/>
        <v>5210</v>
      </c>
      <c r="M3471" s="2">
        <f t="shared" si="1475"/>
        <v>0.89404990403071016</v>
      </c>
      <c r="N3471" s="2">
        <f t="shared" si="1476"/>
        <v>0.10595009596928982</v>
      </c>
    </row>
    <row r="3472" spans="1:14" x14ac:dyDescent="0.35">
      <c r="A3472" t="s">
        <v>36</v>
      </c>
      <c r="B3472" t="s">
        <v>20</v>
      </c>
      <c r="C3472">
        <v>2003</v>
      </c>
      <c r="D3472" t="s">
        <v>32</v>
      </c>
      <c r="E3472" s="8">
        <v>21887</v>
      </c>
      <c r="F3472" s="8">
        <v>1331</v>
      </c>
      <c r="G3472" s="1">
        <f t="shared" si="1471"/>
        <v>23218</v>
      </c>
      <c r="H3472" s="2">
        <f t="shared" si="1472"/>
        <v>0.94267378757860276</v>
      </c>
      <c r="I3472" s="2">
        <f t="shared" si="1473"/>
        <v>5.7326212421397189E-2</v>
      </c>
      <c r="J3472" s="15">
        <v>4840</v>
      </c>
      <c r="K3472" s="15">
        <v>600</v>
      </c>
      <c r="L3472" s="1">
        <f t="shared" si="1474"/>
        <v>5440</v>
      </c>
      <c r="M3472" s="2">
        <f t="shared" si="1475"/>
        <v>0.88970588235294112</v>
      </c>
      <c r="N3472" s="2">
        <f t="shared" si="1476"/>
        <v>0.11029411764705882</v>
      </c>
    </row>
    <row r="3473" spans="1:14" x14ac:dyDescent="0.35">
      <c r="A3473" t="s">
        <v>36</v>
      </c>
      <c r="B3473" t="s">
        <v>21</v>
      </c>
      <c r="C3473">
        <v>2003</v>
      </c>
      <c r="D3473" t="s">
        <v>32</v>
      </c>
      <c r="E3473" s="8">
        <v>21701</v>
      </c>
      <c r="F3473" s="8">
        <f>23032-E3473</f>
        <v>1331</v>
      </c>
      <c r="G3473" s="1">
        <f t="shared" si="1471"/>
        <v>23032</v>
      </c>
      <c r="H3473" s="2">
        <f t="shared" si="1472"/>
        <v>0.942210837096214</v>
      </c>
      <c r="I3473" s="2">
        <f t="shared" si="1473"/>
        <v>5.7789162903786037E-2</v>
      </c>
      <c r="J3473" s="15">
        <v>4772</v>
      </c>
      <c r="K3473" s="15">
        <f>5350-J3473</f>
        <v>578</v>
      </c>
      <c r="L3473" s="1">
        <f t="shared" si="1474"/>
        <v>5350</v>
      </c>
      <c r="M3473" s="2">
        <f t="shared" si="1475"/>
        <v>0.89196261682242994</v>
      </c>
      <c r="N3473" s="2">
        <f t="shared" si="1476"/>
        <v>0.1080373831775701</v>
      </c>
    </row>
    <row r="3474" spans="1:14" x14ac:dyDescent="0.35">
      <c r="A3474" t="s">
        <v>36</v>
      </c>
      <c r="B3474" t="s">
        <v>22</v>
      </c>
      <c r="C3474">
        <v>2003</v>
      </c>
      <c r="D3474" t="s">
        <v>32</v>
      </c>
      <c r="E3474" s="8">
        <v>21423</v>
      </c>
      <c r="F3474" s="8">
        <f>22813-E3474</f>
        <v>1390</v>
      </c>
      <c r="G3474" s="1">
        <f t="shared" si="1471"/>
        <v>22813</v>
      </c>
      <c r="H3474" s="2">
        <f t="shared" si="1472"/>
        <v>0.93906982860649635</v>
      </c>
      <c r="I3474" s="2">
        <f t="shared" si="1473"/>
        <v>6.0930171393503707E-2</v>
      </c>
      <c r="J3474" s="15">
        <v>4315</v>
      </c>
      <c r="K3474" s="15">
        <f>5317-J3474</f>
        <v>1002</v>
      </c>
      <c r="L3474" s="1">
        <f t="shared" si="1474"/>
        <v>5317</v>
      </c>
      <c r="M3474" s="2">
        <f t="shared" si="1475"/>
        <v>0.81154786533759637</v>
      </c>
      <c r="N3474" s="2">
        <f t="shared" si="1476"/>
        <v>0.1884521346624036</v>
      </c>
    </row>
    <row r="3475" spans="1:14" x14ac:dyDescent="0.35">
      <c r="A3475" t="s">
        <v>36</v>
      </c>
      <c r="B3475" t="s">
        <v>23</v>
      </c>
      <c r="C3475">
        <v>2003</v>
      </c>
      <c r="D3475" t="s">
        <v>32</v>
      </c>
      <c r="E3475" s="8">
        <v>21144</v>
      </c>
      <c r="F3475" s="8">
        <f>22581-E3475</f>
        <v>1437</v>
      </c>
      <c r="G3475" s="1">
        <f t="shared" si="1471"/>
        <v>22581</v>
      </c>
      <c r="H3475" s="2">
        <f t="shared" si="1472"/>
        <v>0.93636242859040786</v>
      </c>
      <c r="I3475" s="2">
        <f t="shared" si="1473"/>
        <v>6.3637571409592142E-2</v>
      </c>
      <c r="J3475" s="15">
        <v>4254</v>
      </c>
      <c r="K3475" s="15">
        <f>5277-75</f>
        <v>5202</v>
      </c>
      <c r="L3475" s="1">
        <f t="shared" si="1474"/>
        <v>9456</v>
      </c>
      <c r="M3475" s="2">
        <f t="shared" si="1475"/>
        <v>0.44987309644670048</v>
      </c>
      <c r="N3475" s="2">
        <f t="shared" si="1476"/>
        <v>0.55012690355329952</v>
      </c>
    </row>
    <row r="3476" spans="1:14" x14ac:dyDescent="0.35">
      <c r="A3476" t="s">
        <v>36</v>
      </c>
      <c r="B3476" t="s">
        <v>24</v>
      </c>
      <c r="C3476">
        <v>2003</v>
      </c>
      <c r="D3476" t="s">
        <v>32</v>
      </c>
      <c r="E3476" s="8">
        <v>21791</v>
      </c>
      <c r="F3476" s="8">
        <v>1527</v>
      </c>
      <c r="G3476" s="1">
        <f t="shared" si="1471"/>
        <v>23318</v>
      </c>
      <c r="H3476" s="2">
        <f t="shared" si="1472"/>
        <v>0.93451410927180723</v>
      </c>
      <c r="I3476" s="2">
        <f t="shared" si="1473"/>
        <v>6.5485890728192817E-2</v>
      </c>
      <c r="J3476" s="15">
        <f>4311</f>
        <v>4311</v>
      </c>
      <c r="K3476" s="15">
        <v>1066</v>
      </c>
      <c r="L3476" s="1">
        <f t="shared" si="1474"/>
        <v>5377</v>
      </c>
      <c r="M3476" s="2">
        <f t="shared" si="1475"/>
        <v>0.80174818672122006</v>
      </c>
      <c r="N3476" s="2">
        <f t="shared" si="1476"/>
        <v>0.19825181327878</v>
      </c>
    </row>
    <row r="3477" spans="1:14" x14ac:dyDescent="0.35">
      <c r="A3477" t="s">
        <v>36</v>
      </c>
      <c r="B3477" t="s">
        <v>25</v>
      </c>
      <c r="C3477">
        <v>2003</v>
      </c>
      <c r="D3477" t="s">
        <v>32</v>
      </c>
      <c r="E3477" s="8">
        <v>20674</v>
      </c>
      <c r="F3477" s="8">
        <v>1551</v>
      </c>
      <c r="G3477" s="1">
        <f t="shared" si="1471"/>
        <v>22225</v>
      </c>
      <c r="H3477" s="2">
        <f t="shared" si="1472"/>
        <v>0.9302137232845894</v>
      </c>
      <c r="I3477" s="2">
        <f t="shared" si="1473"/>
        <v>6.9786276715410572E-2</v>
      </c>
      <c r="J3477" s="15">
        <v>4194</v>
      </c>
      <c r="K3477" s="15">
        <v>1069</v>
      </c>
      <c r="L3477" s="1">
        <f t="shared" si="1474"/>
        <v>5263</v>
      </c>
      <c r="M3477" s="2">
        <f t="shared" si="1475"/>
        <v>0.79688390651719554</v>
      </c>
      <c r="N3477" s="2">
        <f t="shared" si="1476"/>
        <v>0.20311609348280449</v>
      </c>
    </row>
    <row r="3478" spans="1:14" x14ac:dyDescent="0.35">
      <c r="A3478" t="s">
        <v>36</v>
      </c>
      <c r="B3478" t="s">
        <v>26</v>
      </c>
      <c r="C3478">
        <v>2003</v>
      </c>
      <c r="D3478" t="s">
        <v>32</v>
      </c>
      <c r="E3478" s="8">
        <v>20458</v>
      </c>
      <c r="F3478" s="8">
        <v>1658</v>
      </c>
      <c r="G3478" s="1">
        <f t="shared" si="1471"/>
        <v>22116</v>
      </c>
      <c r="H3478" s="2">
        <f t="shared" si="1472"/>
        <v>0.92503165129318143</v>
      </c>
      <c r="I3478" s="2">
        <f t="shared" si="1473"/>
        <v>7.4968348706818594E-2</v>
      </c>
      <c r="J3478" s="15">
        <v>4142</v>
      </c>
      <c r="K3478" s="15">
        <v>1109</v>
      </c>
      <c r="L3478" s="1">
        <f t="shared" si="1474"/>
        <v>5251</v>
      </c>
      <c r="M3478" s="2">
        <f t="shared" si="1475"/>
        <v>0.78880213292706147</v>
      </c>
      <c r="N3478" s="2">
        <f t="shared" si="1476"/>
        <v>0.2111978670729385</v>
      </c>
    </row>
    <row r="3479" spans="1:14" x14ac:dyDescent="0.35">
      <c r="A3479" t="s">
        <v>36</v>
      </c>
      <c r="B3479" t="s">
        <v>27</v>
      </c>
      <c r="C3479">
        <v>2003</v>
      </c>
      <c r="D3479" t="s">
        <v>32</v>
      </c>
      <c r="E3479" s="8">
        <v>22433</v>
      </c>
      <c r="F3479" s="8">
        <v>1920</v>
      </c>
      <c r="G3479" s="1">
        <f t="shared" si="1471"/>
        <v>24353</v>
      </c>
      <c r="H3479" s="2">
        <f t="shared" si="1472"/>
        <v>0.92115961072557795</v>
      </c>
      <c r="I3479" s="2">
        <f t="shared" si="1473"/>
        <v>7.8840389274422037E-2</v>
      </c>
      <c r="J3479" s="15">
        <v>4332</v>
      </c>
      <c r="K3479" s="15">
        <v>1197</v>
      </c>
      <c r="L3479" s="1">
        <f t="shared" si="1474"/>
        <v>5529</v>
      </c>
      <c r="M3479" s="2">
        <f t="shared" si="1475"/>
        <v>0.78350515463917525</v>
      </c>
      <c r="N3479" s="2">
        <f t="shared" si="1476"/>
        <v>0.21649484536082475</v>
      </c>
    </row>
    <row r="3480" spans="1:14" x14ac:dyDescent="0.35">
      <c r="A3480" t="s">
        <v>36</v>
      </c>
      <c r="B3480" t="s">
        <v>28</v>
      </c>
      <c r="C3480">
        <v>2003</v>
      </c>
      <c r="D3480" t="s">
        <v>32</v>
      </c>
      <c r="E3480" s="8">
        <v>16993</v>
      </c>
      <c r="F3480" s="8">
        <v>1430</v>
      </c>
      <c r="G3480" s="1">
        <f t="shared" si="1471"/>
        <v>18423</v>
      </c>
      <c r="H3480" s="2">
        <f t="shared" si="1472"/>
        <v>0.92237963415296098</v>
      </c>
      <c r="I3480" s="2">
        <f t="shared" si="1473"/>
        <v>7.7620365847039033E-2</v>
      </c>
      <c r="J3480" s="15">
        <v>3624</v>
      </c>
      <c r="K3480" s="15">
        <v>1054</v>
      </c>
      <c r="L3480" s="1">
        <f t="shared" si="1474"/>
        <v>4678</v>
      </c>
      <c r="M3480" s="2">
        <f t="shared" si="1475"/>
        <v>0.77469003847798201</v>
      </c>
      <c r="N3480" s="2">
        <f t="shared" si="1476"/>
        <v>0.22530996152201796</v>
      </c>
    </row>
    <row r="3481" spans="1:14" x14ac:dyDescent="0.35">
      <c r="A3481" t="s">
        <v>36</v>
      </c>
      <c r="B3481" t="s">
        <v>29</v>
      </c>
      <c r="C3481">
        <v>2003</v>
      </c>
      <c r="D3481" t="s">
        <v>32</v>
      </c>
      <c r="E3481" s="8">
        <v>19871</v>
      </c>
      <c r="F3481" s="8">
        <v>1841</v>
      </c>
      <c r="G3481" s="1">
        <f t="shared" si="1471"/>
        <v>21712</v>
      </c>
      <c r="H3481" s="2">
        <f t="shared" si="1472"/>
        <v>0.91520817980840086</v>
      </c>
      <c r="I3481" s="2">
        <f t="shared" si="1473"/>
        <v>8.4791820191599115E-2</v>
      </c>
      <c r="J3481" s="15">
        <v>4032</v>
      </c>
      <c r="K3481" s="15">
        <v>1174</v>
      </c>
      <c r="L3481" s="1">
        <f t="shared" si="1474"/>
        <v>5206</v>
      </c>
      <c r="M3481" s="2">
        <f t="shared" si="1475"/>
        <v>0.77449097195543604</v>
      </c>
      <c r="N3481" s="2">
        <f t="shared" si="1476"/>
        <v>0.22550902804456396</v>
      </c>
    </row>
    <row r="3482" spans="1:14" x14ac:dyDescent="0.35">
      <c r="A3482" t="s">
        <v>36</v>
      </c>
      <c r="B3482" t="s">
        <v>17</v>
      </c>
      <c r="C3482">
        <v>2004</v>
      </c>
      <c r="D3482" t="s">
        <v>32</v>
      </c>
      <c r="E3482" s="8">
        <v>19489</v>
      </c>
      <c r="F3482" s="8">
        <v>1871</v>
      </c>
      <c r="G3482" s="1">
        <f t="shared" si="1471"/>
        <v>21360</v>
      </c>
      <c r="H3482" s="2">
        <f t="shared" si="1472"/>
        <v>0.91240636704119848</v>
      </c>
      <c r="I3482" s="2">
        <f t="shared" si="1473"/>
        <v>8.7593632958801501E-2</v>
      </c>
      <c r="J3482" s="15">
        <v>3588</v>
      </c>
      <c r="K3482" s="15">
        <v>1386</v>
      </c>
      <c r="L3482" s="1">
        <f t="shared" si="1474"/>
        <v>4974</v>
      </c>
      <c r="M3482" s="2">
        <f t="shared" si="1475"/>
        <v>0.72135102533172502</v>
      </c>
      <c r="N3482" s="2">
        <f t="shared" si="1476"/>
        <v>0.27864897466827504</v>
      </c>
    </row>
    <row r="3483" spans="1:14" x14ac:dyDescent="0.35">
      <c r="A3483" t="s">
        <v>36</v>
      </c>
      <c r="B3483" t="s">
        <v>19</v>
      </c>
      <c r="C3483">
        <v>2004</v>
      </c>
      <c r="D3483" t="s">
        <v>32</v>
      </c>
      <c r="E3483" s="8">
        <v>18401</v>
      </c>
      <c r="F3483" s="8">
        <v>1884</v>
      </c>
      <c r="G3483" s="1">
        <f t="shared" si="1471"/>
        <v>20285</v>
      </c>
      <c r="H3483" s="2">
        <f t="shared" si="1472"/>
        <v>0.90712349026374173</v>
      </c>
      <c r="I3483" s="2">
        <f t="shared" si="1473"/>
        <v>9.2876509736258314E-2</v>
      </c>
      <c r="J3483" s="15">
        <v>2789</v>
      </c>
      <c r="K3483" s="15">
        <v>1994</v>
      </c>
      <c r="L3483" s="1">
        <f t="shared" si="1474"/>
        <v>4783</v>
      </c>
      <c r="M3483" s="2">
        <f t="shared" si="1475"/>
        <v>0.58310683671335983</v>
      </c>
      <c r="N3483" s="2">
        <f t="shared" si="1476"/>
        <v>0.41689316328664017</v>
      </c>
    </row>
    <row r="3484" spans="1:14" x14ac:dyDescent="0.35">
      <c r="A3484" t="s">
        <v>36</v>
      </c>
      <c r="B3484" t="s">
        <v>20</v>
      </c>
      <c r="C3484">
        <v>2004</v>
      </c>
      <c r="D3484" t="s">
        <v>32</v>
      </c>
      <c r="E3484" s="8">
        <v>20778</v>
      </c>
      <c r="F3484" s="8">
        <v>2126</v>
      </c>
      <c r="G3484" s="1">
        <f t="shared" si="1471"/>
        <v>22904</v>
      </c>
      <c r="H3484" s="2">
        <f t="shared" si="1472"/>
        <v>0.90717778553964368</v>
      </c>
      <c r="I3484" s="2">
        <f t="shared" si="1473"/>
        <v>9.2822214460356267E-2</v>
      </c>
      <c r="J3484" s="15">
        <v>3180</v>
      </c>
      <c r="K3484" s="15">
        <v>2097</v>
      </c>
      <c r="L3484" s="1">
        <f t="shared" si="1474"/>
        <v>5277</v>
      </c>
      <c r="M3484" s="2">
        <f t="shared" si="1475"/>
        <v>0.60261512222853897</v>
      </c>
      <c r="N3484" s="2">
        <f t="shared" si="1476"/>
        <v>0.39738487777146103</v>
      </c>
    </row>
    <row r="3485" spans="1:14" x14ac:dyDescent="0.35">
      <c r="A3485" t="s">
        <v>36</v>
      </c>
      <c r="B3485" t="s">
        <v>21</v>
      </c>
      <c r="C3485">
        <v>2004</v>
      </c>
      <c r="D3485" t="s">
        <v>32</v>
      </c>
      <c r="E3485" s="8">
        <v>18285</v>
      </c>
      <c r="F3485" s="8">
        <v>1951</v>
      </c>
      <c r="G3485" s="1">
        <f t="shared" si="1471"/>
        <v>20236</v>
      </c>
      <c r="H3485" s="2">
        <f t="shared" si="1472"/>
        <v>0.90358766554655068</v>
      </c>
      <c r="I3485" s="2">
        <f t="shared" si="1473"/>
        <v>9.6412334453449294E-2</v>
      </c>
      <c r="J3485" s="15">
        <v>2845</v>
      </c>
      <c r="K3485" s="15">
        <v>2032</v>
      </c>
      <c r="L3485" s="1">
        <f t="shared" si="1474"/>
        <v>4877</v>
      </c>
      <c r="M3485" s="2">
        <f t="shared" si="1475"/>
        <v>0.58335042034037321</v>
      </c>
      <c r="N3485" s="2">
        <f t="shared" si="1476"/>
        <v>0.41664957965962685</v>
      </c>
    </row>
    <row r="3486" spans="1:14" x14ac:dyDescent="0.35">
      <c r="A3486" t="s">
        <v>36</v>
      </c>
      <c r="B3486" t="s">
        <v>22</v>
      </c>
      <c r="C3486">
        <v>2004</v>
      </c>
      <c r="D3486" t="s">
        <v>32</v>
      </c>
      <c r="E3486" s="8">
        <v>17180</v>
      </c>
      <c r="F3486" s="8">
        <v>1883</v>
      </c>
      <c r="G3486" s="1">
        <f t="shared" si="1471"/>
        <v>19063</v>
      </c>
      <c r="H3486" s="2">
        <f t="shared" si="1472"/>
        <v>0.90122226302260922</v>
      </c>
      <c r="I3486" s="2">
        <f t="shared" si="1473"/>
        <v>9.8777736977390757E-2</v>
      </c>
      <c r="J3486" s="15">
        <v>2696</v>
      </c>
      <c r="K3486" s="15">
        <v>2007</v>
      </c>
      <c r="L3486" s="1">
        <f t="shared" si="1474"/>
        <v>4703</v>
      </c>
      <c r="M3486" s="2">
        <f t="shared" si="1475"/>
        <v>0.57325111630873915</v>
      </c>
      <c r="N3486" s="2">
        <f t="shared" si="1476"/>
        <v>0.42674888369126091</v>
      </c>
    </row>
    <row r="3487" spans="1:14" x14ac:dyDescent="0.35">
      <c r="A3487" t="s">
        <v>36</v>
      </c>
      <c r="B3487" t="s">
        <v>23</v>
      </c>
      <c r="C3487">
        <v>2004</v>
      </c>
      <c r="D3487" t="s">
        <v>32</v>
      </c>
      <c r="E3487" s="8">
        <v>18753</v>
      </c>
      <c r="F3487" s="8">
        <v>2129</v>
      </c>
      <c r="G3487" s="1">
        <f t="shared" si="1471"/>
        <v>20882</v>
      </c>
      <c r="H3487" s="2">
        <f t="shared" si="1472"/>
        <v>0.89804616416052108</v>
      </c>
      <c r="I3487" s="2">
        <f t="shared" si="1473"/>
        <v>0.10195383583947898</v>
      </c>
      <c r="J3487" s="15">
        <v>2891</v>
      </c>
      <c r="K3487" s="15">
        <v>2109</v>
      </c>
      <c r="L3487" s="1">
        <f t="shared" si="1474"/>
        <v>5000</v>
      </c>
      <c r="M3487" s="2">
        <f t="shared" si="1475"/>
        <v>0.57820000000000005</v>
      </c>
      <c r="N3487" s="2">
        <f t="shared" si="1476"/>
        <v>0.42180000000000001</v>
      </c>
    </row>
    <row r="3488" spans="1:14" x14ac:dyDescent="0.35">
      <c r="A3488" t="s">
        <v>36</v>
      </c>
      <c r="B3488" t="s">
        <v>24</v>
      </c>
      <c r="C3488">
        <v>2004</v>
      </c>
      <c r="D3488" t="s">
        <v>32</v>
      </c>
      <c r="E3488" s="8">
        <v>17444</v>
      </c>
      <c r="F3488" s="8">
        <v>2075</v>
      </c>
      <c r="G3488" s="1">
        <f t="shared" si="1471"/>
        <v>19519</v>
      </c>
      <c r="H3488" s="2">
        <f t="shared" si="1472"/>
        <v>0.89369332445309702</v>
      </c>
      <c r="I3488" s="2">
        <f t="shared" si="1473"/>
        <v>0.10630667554690301</v>
      </c>
      <c r="J3488" s="15">
        <v>2710</v>
      </c>
      <c r="K3488" s="15">
        <v>2069</v>
      </c>
      <c r="L3488" s="1">
        <f t="shared" si="1474"/>
        <v>4779</v>
      </c>
      <c r="M3488" s="2">
        <f t="shared" si="1475"/>
        <v>0.56706423938062356</v>
      </c>
      <c r="N3488" s="2">
        <f t="shared" si="1476"/>
        <v>0.43293576061937644</v>
      </c>
    </row>
    <row r="3489" spans="1:14" x14ac:dyDescent="0.35">
      <c r="A3489" t="s">
        <v>36</v>
      </c>
      <c r="B3489" t="s">
        <v>25</v>
      </c>
      <c r="C3489">
        <v>2004</v>
      </c>
      <c r="D3489" t="s">
        <v>32</v>
      </c>
      <c r="E3489" s="8">
        <v>18354</v>
      </c>
      <c r="F3489" s="8">
        <v>2380</v>
      </c>
      <c r="G3489" s="1">
        <f t="shared" si="1471"/>
        <v>20734</v>
      </c>
      <c r="H3489" s="2">
        <f t="shared" si="1472"/>
        <v>0.88521269412559078</v>
      </c>
      <c r="I3489" s="2">
        <f t="shared" si="1473"/>
        <v>0.11478730587440918</v>
      </c>
      <c r="J3489" s="15">
        <v>2825</v>
      </c>
      <c r="K3489" s="15">
        <v>2158</v>
      </c>
      <c r="L3489" s="1">
        <f t="shared" si="1474"/>
        <v>4983</v>
      </c>
      <c r="M3489" s="2">
        <f t="shared" si="1475"/>
        <v>0.56692755368252057</v>
      </c>
      <c r="N3489" s="2">
        <f t="shared" si="1476"/>
        <v>0.43307244631747943</v>
      </c>
    </row>
    <row r="3490" spans="1:14" x14ac:dyDescent="0.35">
      <c r="A3490" t="s">
        <v>36</v>
      </c>
      <c r="B3490" t="s">
        <v>26</v>
      </c>
      <c r="C3490">
        <v>2004</v>
      </c>
      <c r="D3490" t="s">
        <v>32</v>
      </c>
      <c r="E3490" s="8">
        <v>17069</v>
      </c>
      <c r="F3490" s="8">
        <v>2225</v>
      </c>
      <c r="G3490" s="1">
        <f t="shared" si="1471"/>
        <v>19294</v>
      </c>
      <c r="H3490" s="2">
        <f t="shared" si="1472"/>
        <v>0.8846791748730175</v>
      </c>
      <c r="I3490" s="2">
        <f t="shared" si="1473"/>
        <v>0.11532082512698248</v>
      </c>
      <c r="J3490" s="15">
        <v>2613</v>
      </c>
      <c r="K3490" s="15">
        <v>1459</v>
      </c>
      <c r="L3490" s="1">
        <f t="shared" si="1474"/>
        <v>4072</v>
      </c>
      <c r="M3490" s="2">
        <f t="shared" si="1475"/>
        <v>0.64169941060903735</v>
      </c>
      <c r="N3490" s="2">
        <f t="shared" si="1476"/>
        <v>0.35830058939096265</v>
      </c>
    </row>
    <row r="3491" spans="1:14" x14ac:dyDescent="0.35">
      <c r="A3491" t="s">
        <v>36</v>
      </c>
      <c r="B3491" t="s">
        <v>27</v>
      </c>
      <c r="C3491">
        <v>2004</v>
      </c>
      <c r="D3491" t="s">
        <v>32</v>
      </c>
      <c r="E3491" s="8">
        <v>16684</v>
      </c>
      <c r="F3491" s="8">
        <v>2457</v>
      </c>
      <c r="G3491" s="1">
        <f t="shared" si="1471"/>
        <v>19141</v>
      </c>
      <c r="H3491" s="2">
        <f t="shared" si="1472"/>
        <v>0.87163680058513138</v>
      </c>
      <c r="I3491" s="2">
        <f t="shared" si="1473"/>
        <v>0.1283631994148686</v>
      </c>
      <c r="J3491" s="15">
        <f>2588</f>
        <v>2588</v>
      </c>
      <c r="K3491" s="15">
        <v>2158</v>
      </c>
      <c r="L3491" s="1">
        <f t="shared" si="1474"/>
        <v>4746</v>
      </c>
      <c r="M3491" s="2">
        <f t="shared" si="1475"/>
        <v>0.54530130636325325</v>
      </c>
      <c r="N3491" s="2">
        <f t="shared" si="1476"/>
        <v>0.45469869363674675</v>
      </c>
    </row>
    <row r="3492" spans="1:14" x14ac:dyDescent="0.35">
      <c r="A3492" t="s">
        <v>36</v>
      </c>
      <c r="B3492" t="s">
        <v>28</v>
      </c>
      <c r="C3492">
        <v>2004</v>
      </c>
      <c r="D3492" t="s">
        <v>32</v>
      </c>
      <c r="E3492" s="8">
        <v>15670</v>
      </c>
      <c r="F3492" s="8">
        <v>2383</v>
      </c>
      <c r="G3492" s="1">
        <f t="shared" si="1471"/>
        <v>18053</v>
      </c>
      <c r="H3492" s="2">
        <f t="shared" si="1472"/>
        <v>0.86799977843017784</v>
      </c>
      <c r="I3492" s="2">
        <f t="shared" si="1473"/>
        <v>0.13200022156982219</v>
      </c>
      <c r="J3492" s="15">
        <v>2425</v>
      </c>
      <c r="K3492" s="15">
        <v>2144</v>
      </c>
      <c r="L3492" s="1">
        <f t="shared" si="1474"/>
        <v>4569</v>
      </c>
      <c r="M3492" s="2">
        <f t="shared" si="1475"/>
        <v>0.53075071131538631</v>
      </c>
      <c r="N3492" s="2">
        <f t="shared" si="1476"/>
        <v>0.46924928868461369</v>
      </c>
    </row>
    <row r="3493" spans="1:14" x14ac:dyDescent="0.35">
      <c r="A3493" t="s">
        <v>36</v>
      </c>
      <c r="B3493" t="s">
        <v>29</v>
      </c>
      <c r="C3493">
        <v>2004</v>
      </c>
      <c r="D3493" t="s">
        <v>32</v>
      </c>
      <c r="E3493" s="8">
        <v>15457</v>
      </c>
      <c r="F3493" s="8">
        <v>2499</v>
      </c>
      <c r="G3493" s="1">
        <f t="shared" si="1471"/>
        <v>17956</v>
      </c>
      <c r="H3493" s="2">
        <f t="shared" si="1472"/>
        <v>0.86082646469146806</v>
      </c>
      <c r="I3493" s="2">
        <f t="shared" si="1473"/>
        <v>0.13917353530853196</v>
      </c>
      <c r="J3493" s="15">
        <v>2417</v>
      </c>
      <c r="K3493" s="15">
        <v>2145</v>
      </c>
      <c r="L3493" s="1">
        <f t="shared" si="1474"/>
        <v>4562</v>
      </c>
      <c r="M3493" s="2">
        <f t="shared" si="1475"/>
        <v>0.52981148619026741</v>
      </c>
      <c r="N3493" s="2">
        <f t="shared" si="1476"/>
        <v>0.47018851380973259</v>
      </c>
    </row>
    <row r="3494" spans="1:14" x14ac:dyDescent="0.35">
      <c r="A3494" t="s">
        <v>36</v>
      </c>
      <c r="B3494" t="s">
        <v>17</v>
      </c>
      <c r="C3494">
        <v>2005</v>
      </c>
      <c r="D3494" t="s">
        <v>32</v>
      </c>
      <c r="E3494" s="8">
        <v>16114</v>
      </c>
      <c r="F3494" s="8">
        <v>2703</v>
      </c>
      <c r="G3494" s="1">
        <f t="shared" si="1471"/>
        <v>18817</v>
      </c>
      <c r="H3494" s="2">
        <f t="shared" si="1472"/>
        <v>0.85635329755008771</v>
      </c>
      <c r="I3494" s="2">
        <f t="shared" si="1473"/>
        <v>0.14364670244991232</v>
      </c>
      <c r="J3494" s="15">
        <v>2498</v>
      </c>
      <c r="K3494" s="15">
        <v>2207</v>
      </c>
      <c r="L3494" s="1">
        <f t="shared" si="1474"/>
        <v>4705</v>
      </c>
      <c r="M3494" s="2">
        <f t="shared" si="1475"/>
        <v>0.53092454835281611</v>
      </c>
      <c r="N3494" s="2">
        <f t="shared" si="1476"/>
        <v>0.46907545164718384</v>
      </c>
    </row>
    <row r="3495" spans="1:14" x14ac:dyDescent="0.35">
      <c r="A3495" t="s">
        <v>36</v>
      </c>
      <c r="B3495" t="s">
        <v>19</v>
      </c>
      <c r="C3495">
        <v>2005</v>
      </c>
      <c r="D3495" t="s">
        <v>32</v>
      </c>
      <c r="E3495" s="8">
        <v>14368</v>
      </c>
      <c r="F3495" s="8">
        <v>2507</v>
      </c>
      <c r="G3495" s="1">
        <f t="shared" si="1471"/>
        <v>16875</v>
      </c>
      <c r="H3495" s="2">
        <f t="shared" si="1472"/>
        <v>0.85143703703703699</v>
      </c>
      <c r="I3495" s="2">
        <f t="shared" si="1473"/>
        <v>0.14856296296296295</v>
      </c>
      <c r="J3495" s="15">
        <v>2223</v>
      </c>
      <c r="K3495" s="15">
        <v>2106</v>
      </c>
      <c r="L3495" s="1">
        <f t="shared" si="1474"/>
        <v>4329</v>
      </c>
      <c r="M3495" s="2">
        <f t="shared" si="1475"/>
        <v>0.51351351351351349</v>
      </c>
      <c r="N3495" s="2">
        <f t="shared" si="1476"/>
        <v>0.48648648648648651</v>
      </c>
    </row>
    <row r="3496" spans="1:14" x14ac:dyDescent="0.35">
      <c r="A3496" t="s">
        <v>36</v>
      </c>
      <c r="B3496" t="s">
        <v>20</v>
      </c>
      <c r="C3496">
        <v>2005</v>
      </c>
      <c r="D3496" t="s">
        <v>32</v>
      </c>
      <c r="E3496" s="8">
        <v>15894</v>
      </c>
      <c r="F3496" s="8">
        <v>2877</v>
      </c>
      <c r="G3496" s="1">
        <f t="shared" si="1471"/>
        <v>18771</v>
      </c>
      <c r="H3496" s="2">
        <f t="shared" si="1472"/>
        <v>0.846731660540195</v>
      </c>
      <c r="I3496" s="2">
        <f t="shared" si="1473"/>
        <v>0.15326833945980503</v>
      </c>
      <c r="J3496" s="15">
        <v>2506</v>
      </c>
      <c r="K3496" s="15">
        <v>2234</v>
      </c>
      <c r="L3496" s="1">
        <f t="shared" si="1474"/>
        <v>4740</v>
      </c>
      <c r="M3496" s="2">
        <f t="shared" si="1475"/>
        <v>0.52869198312236287</v>
      </c>
      <c r="N3496" s="2">
        <f t="shared" si="1476"/>
        <v>0.47130801687763713</v>
      </c>
    </row>
    <row r="3497" spans="1:14" x14ac:dyDescent="0.35">
      <c r="A3497" t="s">
        <v>36</v>
      </c>
      <c r="B3497" t="s">
        <v>21</v>
      </c>
      <c r="C3497">
        <v>2005</v>
      </c>
      <c r="D3497" t="s">
        <v>32</v>
      </c>
      <c r="E3497" s="8">
        <v>14963</v>
      </c>
      <c r="F3497" s="8">
        <v>2787</v>
      </c>
      <c r="G3497" s="1">
        <f t="shared" si="1471"/>
        <v>17750</v>
      </c>
      <c r="H3497" s="2">
        <f t="shared" si="1472"/>
        <v>0.84298591549295776</v>
      </c>
      <c r="I3497" s="2">
        <f t="shared" si="1473"/>
        <v>0.15701408450704224</v>
      </c>
      <c r="J3497" s="15">
        <v>2353</v>
      </c>
      <c r="K3497" s="15">
        <v>2200</v>
      </c>
      <c r="L3497" s="1">
        <f t="shared" si="1474"/>
        <v>4553</v>
      </c>
      <c r="M3497" s="2">
        <f t="shared" si="1475"/>
        <v>0.51680210849989017</v>
      </c>
      <c r="N3497" s="2">
        <f t="shared" si="1476"/>
        <v>0.48319789150010983</v>
      </c>
    </row>
    <row r="3498" spans="1:14" x14ac:dyDescent="0.35">
      <c r="A3498" t="s">
        <v>36</v>
      </c>
      <c r="B3498" t="s">
        <v>22</v>
      </c>
      <c r="C3498">
        <v>2005</v>
      </c>
      <c r="D3498" t="s">
        <v>32</v>
      </c>
      <c r="E3498" s="8">
        <v>15315</v>
      </c>
      <c r="F3498" s="8">
        <v>2911</v>
      </c>
      <c r="G3498" s="1">
        <f t="shared" si="1471"/>
        <v>18226</v>
      </c>
      <c r="H3498" s="2">
        <f t="shared" si="1472"/>
        <v>0.8402831120377483</v>
      </c>
      <c r="I3498" s="2">
        <f t="shared" si="1473"/>
        <v>0.15971688796225172</v>
      </c>
      <c r="J3498" s="15">
        <v>2298</v>
      </c>
      <c r="K3498" s="15">
        <v>2224</v>
      </c>
      <c r="L3498" s="1">
        <f t="shared" si="1474"/>
        <v>4522</v>
      </c>
      <c r="M3498" s="2">
        <f t="shared" si="1475"/>
        <v>0.50818222025652371</v>
      </c>
      <c r="N3498" s="2">
        <f t="shared" si="1476"/>
        <v>0.49181777974347635</v>
      </c>
    </row>
    <row r="3499" spans="1:14" x14ac:dyDescent="0.35">
      <c r="A3499" t="s">
        <v>36</v>
      </c>
      <c r="B3499" t="s">
        <v>23</v>
      </c>
      <c r="C3499">
        <v>2005</v>
      </c>
      <c r="D3499" t="s">
        <v>32</v>
      </c>
      <c r="E3499" s="8">
        <v>15468</v>
      </c>
      <c r="F3499" s="8">
        <v>3012</v>
      </c>
      <c r="G3499" s="1">
        <f t="shared" si="1471"/>
        <v>18480</v>
      </c>
      <c r="H3499" s="2">
        <f t="shared" si="1472"/>
        <v>0.83701298701298699</v>
      </c>
      <c r="I3499" s="2">
        <f t="shared" si="1473"/>
        <v>0.16298701298701299</v>
      </c>
      <c r="J3499" s="15">
        <v>2361</v>
      </c>
      <c r="K3499" s="15">
        <v>1713</v>
      </c>
      <c r="L3499" s="1">
        <f t="shared" si="1474"/>
        <v>4074</v>
      </c>
      <c r="M3499" s="2">
        <f t="shared" si="1475"/>
        <v>0.57952871870397649</v>
      </c>
      <c r="N3499" s="2">
        <f t="shared" si="1476"/>
        <v>0.42047128129602357</v>
      </c>
    </row>
    <row r="3500" spans="1:14" x14ac:dyDescent="0.35">
      <c r="A3500" t="s">
        <v>36</v>
      </c>
      <c r="B3500" t="s">
        <v>24</v>
      </c>
      <c r="C3500">
        <v>2005</v>
      </c>
      <c r="D3500" t="s">
        <v>32</v>
      </c>
      <c r="E3500" s="8">
        <v>14440</v>
      </c>
      <c r="F3500" s="8">
        <v>2989</v>
      </c>
      <c r="G3500" s="1">
        <f t="shared" si="1471"/>
        <v>17429</v>
      </c>
      <c r="H3500" s="2">
        <f t="shared" si="1472"/>
        <v>0.82850421710941535</v>
      </c>
      <c r="I3500" s="2">
        <f t="shared" si="1473"/>
        <v>0.17149578289058465</v>
      </c>
      <c r="J3500" s="15">
        <v>2236</v>
      </c>
      <c r="K3500" s="15">
        <v>2282</v>
      </c>
      <c r="L3500" s="1">
        <f t="shared" si="1474"/>
        <v>4518</v>
      </c>
      <c r="M3500" s="2">
        <f t="shared" si="1475"/>
        <v>0.49490925188136342</v>
      </c>
      <c r="N3500" s="2">
        <f t="shared" si="1476"/>
        <v>0.50509074811863652</v>
      </c>
    </row>
    <row r="3501" spans="1:14" x14ac:dyDescent="0.35">
      <c r="A3501" t="s">
        <v>36</v>
      </c>
      <c r="B3501" t="s">
        <v>25</v>
      </c>
      <c r="C3501">
        <v>2005</v>
      </c>
      <c r="D3501" t="s">
        <v>32</v>
      </c>
      <c r="E3501" s="8">
        <v>16456</v>
      </c>
      <c r="F3501" s="8">
        <v>3569</v>
      </c>
      <c r="G3501" s="1">
        <f t="shared" si="1471"/>
        <v>20025</v>
      </c>
      <c r="H3501" s="2">
        <f t="shared" si="1472"/>
        <v>0.821772784019975</v>
      </c>
      <c r="I3501" s="2">
        <f t="shared" si="1473"/>
        <v>0.17822721598002497</v>
      </c>
      <c r="J3501" s="15">
        <v>2472</v>
      </c>
      <c r="K3501" s="15">
        <v>2452</v>
      </c>
      <c r="L3501" s="1">
        <f t="shared" si="1474"/>
        <v>4924</v>
      </c>
      <c r="M3501" s="2">
        <f t="shared" si="1475"/>
        <v>0.50203086921202278</v>
      </c>
      <c r="N3501" s="2">
        <f t="shared" si="1476"/>
        <v>0.49796913078797728</v>
      </c>
    </row>
    <row r="3502" spans="1:14" x14ac:dyDescent="0.35">
      <c r="A3502" t="s">
        <v>36</v>
      </c>
      <c r="B3502" t="s">
        <v>26</v>
      </c>
      <c r="C3502">
        <v>2005</v>
      </c>
      <c r="D3502" t="s">
        <v>32</v>
      </c>
      <c r="E3502" s="8">
        <v>14782</v>
      </c>
      <c r="F3502" s="8">
        <v>3308</v>
      </c>
      <c r="G3502" s="1">
        <f t="shared" si="1471"/>
        <v>18090</v>
      </c>
      <c r="H3502" s="2">
        <f t="shared" si="1472"/>
        <v>0.81713653952459919</v>
      </c>
      <c r="I3502" s="2">
        <f t="shared" si="1473"/>
        <v>0.18286346047540078</v>
      </c>
      <c r="J3502" s="15">
        <v>2266</v>
      </c>
      <c r="K3502" s="15">
        <v>2364</v>
      </c>
      <c r="L3502" s="1">
        <f t="shared" si="1474"/>
        <v>4630</v>
      </c>
      <c r="M3502" s="2">
        <f t="shared" si="1475"/>
        <v>0.48941684665226781</v>
      </c>
      <c r="N3502" s="2">
        <f t="shared" si="1476"/>
        <v>0.51058315334773219</v>
      </c>
    </row>
    <row r="3503" spans="1:14" x14ac:dyDescent="0.35">
      <c r="A3503" t="s">
        <v>36</v>
      </c>
      <c r="B3503" t="s">
        <v>27</v>
      </c>
      <c r="C3503">
        <v>2005</v>
      </c>
      <c r="D3503" t="s">
        <v>32</v>
      </c>
      <c r="E3503" s="8">
        <v>14586</v>
      </c>
      <c r="F3503" s="8">
        <v>3421</v>
      </c>
      <c r="G3503" s="1">
        <f t="shared" si="1471"/>
        <v>18007</v>
      </c>
      <c r="H3503" s="2">
        <f t="shared" si="1472"/>
        <v>0.81001832620647529</v>
      </c>
      <c r="I3503" s="2">
        <f t="shared" si="1473"/>
        <v>0.18998167379352474</v>
      </c>
      <c r="J3503" s="15">
        <v>2241</v>
      </c>
      <c r="K3503" s="15">
        <v>2375</v>
      </c>
      <c r="L3503" s="1">
        <f t="shared" si="1474"/>
        <v>4616</v>
      </c>
      <c r="M3503" s="2">
        <f t="shared" si="1475"/>
        <v>0.48548526863084923</v>
      </c>
      <c r="N3503" s="2">
        <f t="shared" si="1476"/>
        <v>0.51451473136915082</v>
      </c>
    </row>
    <row r="3504" spans="1:14" x14ac:dyDescent="0.35">
      <c r="A3504" t="s">
        <v>36</v>
      </c>
      <c r="B3504" t="s">
        <v>28</v>
      </c>
      <c r="C3504">
        <v>2005</v>
      </c>
      <c r="D3504" t="s">
        <v>32</v>
      </c>
      <c r="E3504" s="8">
        <v>13743</v>
      </c>
      <c r="F3504" s="8">
        <v>3279</v>
      </c>
      <c r="G3504" s="1">
        <f t="shared" si="1471"/>
        <v>17022</v>
      </c>
      <c r="H3504" s="2">
        <f t="shared" si="1472"/>
        <v>0.80736693690518158</v>
      </c>
      <c r="I3504" s="2">
        <f t="shared" si="1473"/>
        <v>0.19263306309481848</v>
      </c>
      <c r="J3504" s="15">
        <v>2120</v>
      </c>
      <c r="K3504" s="15">
        <v>2347</v>
      </c>
      <c r="L3504" s="1">
        <f t="shared" si="1474"/>
        <v>4467</v>
      </c>
      <c r="M3504" s="2">
        <f t="shared" si="1475"/>
        <v>0.47459144839937317</v>
      </c>
      <c r="N3504" s="2">
        <f t="shared" si="1476"/>
        <v>0.52540855160062683</v>
      </c>
    </row>
    <row r="3505" spans="1:14" x14ac:dyDescent="0.35">
      <c r="A3505" t="s">
        <v>36</v>
      </c>
      <c r="B3505" t="s">
        <v>29</v>
      </c>
      <c r="C3505">
        <v>2005</v>
      </c>
      <c r="D3505" t="s">
        <v>32</v>
      </c>
      <c r="E3505" s="8">
        <v>13586</v>
      </c>
      <c r="F3505" s="8">
        <v>3384</v>
      </c>
      <c r="G3505" s="1">
        <f t="shared" si="1471"/>
        <v>16970</v>
      </c>
      <c r="H3505" s="2">
        <f t="shared" si="1472"/>
        <v>0.80058927519151446</v>
      </c>
      <c r="I3505" s="2">
        <f t="shared" si="1473"/>
        <v>0.19941072480848557</v>
      </c>
      <c r="J3505" s="15">
        <v>2128</v>
      </c>
      <c r="K3505" s="15">
        <v>2336</v>
      </c>
      <c r="L3505" s="1">
        <f t="shared" si="1474"/>
        <v>4464</v>
      </c>
      <c r="M3505" s="2">
        <f t="shared" si="1475"/>
        <v>0.47670250896057348</v>
      </c>
      <c r="N3505" s="2">
        <f t="shared" si="1476"/>
        <v>0.52329749103942658</v>
      </c>
    </row>
    <row r="3506" spans="1:14" x14ac:dyDescent="0.35">
      <c r="A3506" t="s">
        <v>36</v>
      </c>
      <c r="B3506" t="s">
        <v>17</v>
      </c>
      <c r="C3506">
        <v>2006</v>
      </c>
      <c r="D3506" t="s">
        <v>32</v>
      </c>
      <c r="E3506" s="8">
        <v>14123</v>
      </c>
      <c r="F3506" s="8">
        <v>3582</v>
      </c>
      <c r="G3506" s="1">
        <f t="shared" si="1471"/>
        <v>17705</v>
      </c>
      <c r="H3506" s="2">
        <f t="shared" si="1472"/>
        <v>0.79768426998023156</v>
      </c>
      <c r="I3506" s="2">
        <f t="shared" si="1473"/>
        <v>0.20231573001976844</v>
      </c>
      <c r="J3506" s="15">
        <v>2189</v>
      </c>
      <c r="K3506" s="15">
        <v>2401</v>
      </c>
      <c r="L3506" s="1">
        <f t="shared" si="1474"/>
        <v>4590</v>
      </c>
      <c r="M3506" s="2">
        <f t="shared" si="1475"/>
        <v>0.47690631808278866</v>
      </c>
      <c r="N3506" s="2">
        <f t="shared" si="1476"/>
        <v>0.52309368191721128</v>
      </c>
    </row>
    <row r="3507" spans="1:14" x14ac:dyDescent="0.35">
      <c r="A3507" t="s">
        <v>36</v>
      </c>
      <c r="B3507" t="s">
        <v>19</v>
      </c>
      <c r="C3507">
        <v>2006</v>
      </c>
      <c r="D3507" t="s">
        <v>32</v>
      </c>
      <c r="E3507" s="8">
        <v>13258</v>
      </c>
      <c r="F3507" s="8">
        <v>3474</v>
      </c>
      <c r="G3507" s="1">
        <f t="shared" si="1471"/>
        <v>16732</v>
      </c>
      <c r="H3507" s="2">
        <f t="shared" si="1472"/>
        <v>0.79237389433420991</v>
      </c>
      <c r="I3507" s="2">
        <f t="shared" si="1473"/>
        <v>0.20762610566579009</v>
      </c>
      <c r="J3507" s="15">
        <v>2026</v>
      </c>
      <c r="K3507" s="15">
        <v>2358</v>
      </c>
      <c r="L3507" s="1">
        <f t="shared" si="1474"/>
        <v>4384</v>
      </c>
      <c r="M3507" s="2">
        <f t="shared" si="1475"/>
        <v>0.46213503649635035</v>
      </c>
      <c r="N3507" s="2">
        <f t="shared" si="1476"/>
        <v>0.53786496350364965</v>
      </c>
    </row>
    <row r="3508" spans="1:14" x14ac:dyDescent="0.35">
      <c r="A3508" t="s">
        <v>36</v>
      </c>
      <c r="B3508" t="s">
        <v>20</v>
      </c>
      <c r="C3508">
        <v>2006</v>
      </c>
      <c r="D3508" t="s">
        <v>32</v>
      </c>
      <c r="E3508" s="8">
        <v>15180</v>
      </c>
      <c r="F3508" s="8">
        <v>4079</v>
      </c>
      <c r="G3508" s="1">
        <f t="shared" si="1471"/>
        <v>19259</v>
      </c>
      <c r="H3508" s="2">
        <f t="shared" si="1472"/>
        <v>0.78820291811620546</v>
      </c>
      <c r="I3508" s="2">
        <f t="shared" si="1473"/>
        <v>0.21179708188379459</v>
      </c>
      <c r="J3508" s="15">
        <v>2347</v>
      </c>
      <c r="K3508" s="15">
        <v>2526</v>
      </c>
      <c r="L3508" s="1">
        <f t="shared" si="1474"/>
        <v>4873</v>
      </c>
      <c r="M3508" s="2">
        <f t="shared" si="1475"/>
        <v>0.48163349066283606</v>
      </c>
      <c r="N3508" s="2">
        <f t="shared" si="1476"/>
        <v>0.51836650933716399</v>
      </c>
    </row>
    <row r="3509" spans="1:14" x14ac:dyDescent="0.35">
      <c r="A3509" t="s">
        <v>36</v>
      </c>
      <c r="B3509" t="s">
        <v>21</v>
      </c>
      <c r="C3509">
        <v>2006</v>
      </c>
      <c r="D3509" t="s">
        <v>32</v>
      </c>
      <c r="E3509" s="8">
        <v>12855</v>
      </c>
      <c r="F3509" s="8">
        <v>3627</v>
      </c>
      <c r="G3509" s="1">
        <f t="shared" si="1471"/>
        <v>16482</v>
      </c>
      <c r="H3509" s="2">
        <f t="shared" si="1472"/>
        <v>0.77994175464142701</v>
      </c>
      <c r="I3509" s="2">
        <f t="shared" si="1473"/>
        <v>0.22005824535857299</v>
      </c>
      <c r="J3509" s="15">
        <v>2029</v>
      </c>
      <c r="K3509" s="15">
        <v>2411</v>
      </c>
      <c r="L3509" s="1">
        <f t="shared" si="1474"/>
        <v>4440</v>
      </c>
      <c r="M3509" s="2">
        <f t="shared" si="1475"/>
        <v>0.45698198198198198</v>
      </c>
      <c r="N3509" s="2">
        <f t="shared" si="1476"/>
        <v>0.54301801801801797</v>
      </c>
    </row>
    <row r="3510" spans="1:14" x14ac:dyDescent="0.35">
      <c r="A3510" t="s">
        <v>36</v>
      </c>
      <c r="B3510" t="s">
        <v>22</v>
      </c>
      <c r="C3510">
        <v>2006</v>
      </c>
      <c r="D3510" t="s">
        <v>32</v>
      </c>
      <c r="E3510" s="8">
        <v>13932</v>
      </c>
      <c r="F3510" s="8">
        <v>4128</v>
      </c>
      <c r="G3510" s="1">
        <f t="shared" si="1471"/>
        <v>18060</v>
      </c>
      <c r="H3510" s="2">
        <f t="shared" si="1472"/>
        <v>0.77142857142857146</v>
      </c>
      <c r="I3510" s="2">
        <f t="shared" si="1473"/>
        <v>0.22857142857142856</v>
      </c>
      <c r="J3510" s="15">
        <v>2149</v>
      </c>
      <c r="K3510" s="15">
        <v>2516</v>
      </c>
      <c r="L3510" s="1">
        <f t="shared" si="1474"/>
        <v>4665</v>
      </c>
      <c r="M3510" s="2">
        <f t="shared" si="1475"/>
        <v>0.46066452304394429</v>
      </c>
      <c r="N3510" s="2">
        <f t="shared" si="1476"/>
        <v>0.53933547695605577</v>
      </c>
    </row>
    <row r="3511" spans="1:14" x14ac:dyDescent="0.35">
      <c r="A3511" t="s">
        <v>36</v>
      </c>
      <c r="B3511" t="s">
        <v>23</v>
      </c>
      <c r="C3511">
        <v>2006</v>
      </c>
      <c r="D3511" t="s">
        <v>32</v>
      </c>
      <c r="E3511" s="8">
        <v>13539</v>
      </c>
      <c r="F3511" s="8">
        <v>4311</v>
      </c>
      <c r="G3511" s="1">
        <f t="shared" ref="G3511:G3574" si="1477">SUM(E3511:F3511)</f>
        <v>17850</v>
      </c>
      <c r="H3511" s="2">
        <f t="shared" ref="H3511:H3574" si="1478">SUM(E3511)/G3511</f>
        <v>0.75848739495798323</v>
      </c>
      <c r="I3511" s="2">
        <f t="shared" ref="I3511:I3574" si="1479">SUM(F3511/G3511)</f>
        <v>0.2415126050420168</v>
      </c>
      <c r="J3511" s="15">
        <v>2115</v>
      </c>
      <c r="K3511" s="15">
        <v>2548</v>
      </c>
      <c r="L3511" s="1">
        <f t="shared" si="1474"/>
        <v>4663</v>
      </c>
      <c r="M3511" s="2">
        <f t="shared" si="1475"/>
        <v>0.45357066266352136</v>
      </c>
      <c r="N3511" s="2">
        <f t="shared" si="1476"/>
        <v>0.54642933733647869</v>
      </c>
    </row>
    <row r="3512" spans="1:14" x14ac:dyDescent="0.35">
      <c r="A3512" t="s">
        <v>36</v>
      </c>
      <c r="B3512" t="s">
        <v>24</v>
      </c>
      <c r="C3512">
        <v>2006</v>
      </c>
      <c r="D3512" t="s">
        <v>32</v>
      </c>
      <c r="E3512" s="8">
        <v>12154</v>
      </c>
      <c r="F3512" s="8">
        <v>3909</v>
      </c>
      <c r="G3512" s="1">
        <f t="shared" si="1477"/>
        <v>16063</v>
      </c>
      <c r="H3512" s="2">
        <f t="shared" si="1478"/>
        <v>0.75664570752661398</v>
      </c>
      <c r="I3512" s="2">
        <f t="shared" si="1479"/>
        <v>0.24335429247338605</v>
      </c>
      <c r="J3512" s="15">
        <v>1913</v>
      </c>
      <c r="K3512" s="15">
        <v>2447</v>
      </c>
      <c r="L3512" s="1">
        <f t="shared" si="1474"/>
        <v>4360</v>
      </c>
      <c r="M3512" s="2">
        <f t="shared" si="1475"/>
        <v>0.43876146788990827</v>
      </c>
      <c r="N3512" s="2">
        <f t="shared" si="1476"/>
        <v>0.56123853211009178</v>
      </c>
    </row>
    <row r="3513" spans="1:14" x14ac:dyDescent="0.35">
      <c r="A3513" t="s">
        <v>36</v>
      </c>
      <c r="B3513" t="s">
        <v>25</v>
      </c>
      <c r="C3513">
        <v>2006</v>
      </c>
      <c r="D3513" t="s">
        <v>32</v>
      </c>
      <c r="E3513" s="8">
        <v>13613</v>
      </c>
      <c r="F3513" s="8">
        <v>4742</v>
      </c>
      <c r="G3513" s="1">
        <f t="shared" si="1477"/>
        <v>18355</v>
      </c>
      <c r="H3513" s="2">
        <f t="shared" si="1478"/>
        <v>0.74165077635521659</v>
      </c>
      <c r="I3513" s="2">
        <f t="shared" si="1479"/>
        <v>0.25834922364478341</v>
      </c>
      <c r="J3513" s="15">
        <v>2093</v>
      </c>
      <c r="K3513" s="15">
        <v>2656</v>
      </c>
      <c r="L3513" s="1">
        <f t="shared" si="1474"/>
        <v>4749</v>
      </c>
      <c r="M3513" s="2">
        <f t="shared" si="1475"/>
        <v>0.44072436302379447</v>
      </c>
      <c r="N3513" s="2">
        <f t="shared" si="1476"/>
        <v>0.55927563697620553</v>
      </c>
    </row>
    <row r="3514" spans="1:14" x14ac:dyDescent="0.35">
      <c r="A3514" t="s">
        <v>36</v>
      </c>
      <c r="B3514" t="s">
        <v>26</v>
      </c>
      <c r="C3514">
        <v>2006</v>
      </c>
      <c r="D3514" t="s">
        <v>32</v>
      </c>
      <c r="E3514" s="8">
        <v>11467</v>
      </c>
      <c r="F3514" s="8">
        <v>4180</v>
      </c>
      <c r="G3514" s="1">
        <f t="shared" si="1477"/>
        <v>15647</v>
      </c>
      <c r="H3514" s="2">
        <f t="shared" si="1478"/>
        <v>0.7328561385569119</v>
      </c>
      <c r="I3514" s="2">
        <f t="shared" si="1479"/>
        <v>0.2671438614430881</v>
      </c>
      <c r="J3514" s="15">
        <v>1826</v>
      </c>
      <c r="K3514" s="15">
        <v>2513</v>
      </c>
      <c r="L3514" s="1">
        <f t="shared" si="1474"/>
        <v>4339</v>
      </c>
      <c r="M3514" s="2">
        <f t="shared" si="1475"/>
        <v>0.42083429361604058</v>
      </c>
      <c r="N3514" s="2">
        <f t="shared" si="1476"/>
        <v>0.57916570638395948</v>
      </c>
    </row>
    <row r="3515" spans="1:14" x14ac:dyDescent="0.35">
      <c r="A3515" t="s">
        <v>36</v>
      </c>
      <c r="B3515" t="s">
        <v>27</v>
      </c>
      <c r="C3515">
        <v>2006</v>
      </c>
      <c r="D3515" t="s">
        <v>32</v>
      </c>
      <c r="E3515" s="8">
        <v>12556</v>
      </c>
      <c r="F3515" s="8">
        <v>4708</v>
      </c>
      <c r="G3515" s="1">
        <f t="shared" si="1477"/>
        <v>17264</v>
      </c>
      <c r="H3515" s="2">
        <f t="shared" si="1478"/>
        <v>0.72729379054680254</v>
      </c>
      <c r="I3515" s="2">
        <f t="shared" si="1479"/>
        <v>0.2727062094531974</v>
      </c>
      <c r="J3515" s="15">
        <v>1876</v>
      </c>
      <c r="K3515" s="15">
        <v>2698</v>
      </c>
      <c r="L3515" s="1">
        <f t="shared" si="1474"/>
        <v>4574</v>
      </c>
      <c r="M3515" s="2">
        <f t="shared" si="1475"/>
        <v>0.41014429383471795</v>
      </c>
      <c r="N3515" s="2">
        <f t="shared" si="1476"/>
        <v>0.58985570616528205</v>
      </c>
    </row>
    <row r="3516" spans="1:14" x14ac:dyDescent="0.35">
      <c r="A3516" t="s">
        <v>36</v>
      </c>
      <c r="B3516" t="s">
        <v>28</v>
      </c>
      <c r="C3516">
        <v>2006</v>
      </c>
      <c r="D3516" t="s">
        <v>32</v>
      </c>
      <c r="E3516" s="8">
        <v>11156</v>
      </c>
      <c r="F3516" s="8">
        <v>4378</v>
      </c>
      <c r="G3516" s="1">
        <f t="shared" si="1477"/>
        <v>15534</v>
      </c>
      <c r="H3516" s="2">
        <f t="shared" si="1478"/>
        <v>0.71816660229174711</v>
      </c>
      <c r="I3516" s="2">
        <f t="shared" si="1479"/>
        <v>0.28183339770825289</v>
      </c>
      <c r="J3516" s="15">
        <v>1680</v>
      </c>
      <c r="K3516" s="15">
        <v>2640</v>
      </c>
      <c r="L3516" s="1">
        <f t="shared" si="1474"/>
        <v>4320</v>
      </c>
      <c r="M3516" s="2">
        <f t="shared" si="1475"/>
        <v>0.3888888888888889</v>
      </c>
      <c r="N3516" s="2">
        <f t="shared" si="1476"/>
        <v>0.61111111111111116</v>
      </c>
    </row>
    <row r="3517" spans="1:14" x14ac:dyDescent="0.35">
      <c r="A3517" t="s">
        <v>36</v>
      </c>
      <c r="B3517" t="s">
        <v>29</v>
      </c>
      <c r="C3517">
        <v>2006</v>
      </c>
      <c r="D3517" t="s">
        <v>32</v>
      </c>
      <c r="E3517" s="8">
        <v>10510</v>
      </c>
      <c r="F3517" s="8">
        <v>4144</v>
      </c>
      <c r="G3517" s="1">
        <f t="shared" si="1477"/>
        <v>14654</v>
      </c>
      <c r="H3517" s="2">
        <f t="shared" si="1478"/>
        <v>0.71721031800191071</v>
      </c>
      <c r="I3517" s="2">
        <f t="shared" si="1479"/>
        <v>0.28278968199808924</v>
      </c>
      <c r="J3517" s="15">
        <v>1589</v>
      </c>
      <c r="K3517" s="15">
        <v>2575</v>
      </c>
      <c r="L3517" s="1">
        <f t="shared" si="1474"/>
        <v>4164</v>
      </c>
      <c r="M3517" s="2">
        <f t="shared" si="1475"/>
        <v>0.38160422670509125</v>
      </c>
      <c r="N3517" s="2">
        <f t="shared" si="1476"/>
        <v>0.61839577329490869</v>
      </c>
    </row>
    <row r="3518" spans="1:14" x14ac:dyDescent="0.35">
      <c r="A3518" t="s">
        <v>36</v>
      </c>
      <c r="B3518" t="s">
        <v>17</v>
      </c>
      <c r="C3518">
        <v>2007</v>
      </c>
      <c r="D3518" t="s">
        <v>32</v>
      </c>
      <c r="E3518" s="8">
        <v>11675</v>
      </c>
      <c r="F3518" s="8">
        <v>4708</v>
      </c>
      <c r="G3518" s="1">
        <f t="shared" si="1477"/>
        <v>16383</v>
      </c>
      <c r="H3518" s="2">
        <f t="shared" si="1478"/>
        <v>0.71262894463773419</v>
      </c>
      <c r="I3518" s="2">
        <f t="shared" si="1479"/>
        <v>0.28737105536226576</v>
      </c>
      <c r="J3518" s="15">
        <v>1710</v>
      </c>
      <c r="K3518" s="15">
        <v>2723</v>
      </c>
      <c r="L3518" s="1">
        <f t="shared" si="1474"/>
        <v>4433</v>
      </c>
      <c r="M3518" s="2">
        <f t="shared" si="1475"/>
        <v>0.38574328896909543</v>
      </c>
      <c r="N3518" s="2">
        <f t="shared" si="1476"/>
        <v>0.61425671103090462</v>
      </c>
    </row>
    <row r="3519" spans="1:14" x14ac:dyDescent="0.35">
      <c r="A3519" t="s">
        <v>36</v>
      </c>
      <c r="B3519" t="s">
        <v>19</v>
      </c>
      <c r="C3519">
        <v>2007</v>
      </c>
      <c r="D3519" t="s">
        <v>32</v>
      </c>
      <c r="E3519" s="8">
        <v>10831</v>
      </c>
      <c r="F3519" s="8">
        <v>4553</v>
      </c>
      <c r="G3519" s="1">
        <f t="shared" si="1477"/>
        <v>15384</v>
      </c>
      <c r="H3519" s="2">
        <f t="shared" si="1478"/>
        <v>0.70404316172646908</v>
      </c>
      <c r="I3519" s="2">
        <f t="shared" si="1479"/>
        <v>0.29595683827353092</v>
      </c>
      <c r="J3519" s="15">
        <v>1601</v>
      </c>
      <c r="K3519" s="15">
        <v>2677</v>
      </c>
      <c r="L3519" s="1">
        <f t="shared" si="1474"/>
        <v>4278</v>
      </c>
      <c r="M3519" s="2">
        <f t="shared" si="1475"/>
        <v>0.3742402992052361</v>
      </c>
      <c r="N3519" s="2">
        <f t="shared" si="1476"/>
        <v>0.62575970079476395</v>
      </c>
    </row>
    <row r="3520" spans="1:14" x14ac:dyDescent="0.35">
      <c r="A3520" t="s">
        <v>36</v>
      </c>
      <c r="B3520" t="s">
        <v>20</v>
      </c>
      <c r="C3520">
        <v>2007</v>
      </c>
      <c r="D3520" t="s">
        <v>32</v>
      </c>
      <c r="E3520" s="8">
        <v>11880</v>
      </c>
      <c r="F3520" s="8">
        <v>5031</v>
      </c>
      <c r="G3520" s="1">
        <f t="shared" si="1477"/>
        <v>16911</v>
      </c>
      <c r="H3520" s="2">
        <f t="shared" si="1478"/>
        <v>0.70250133049494412</v>
      </c>
      <c r="I3520" s="2">
        <f t="shared" si="1479"/>
        <v>0.29749866950505588</v>
      </c>
      <c r="J3520" s="15">
        <v>1720</v>
      </c>
      <c r="K3520" s="15">
        <v>2825</v>
      </c>
      <c r="L3520" s="1">
        <f t="shared" si="1474"/>
        <v>4545</v>
      </c>
      <c r="M3520" s="2">
        <f t="shared" si="1475"/>
        <v>0.37843784378437845</v>
      </c>
      <c r="N3520" s="2">
        <f t="shared" si="1476"/>
        <v>0.62156215621562161</v>
      </c>
    </row>
    <row r="3521" spans="1:14" x14ac:dyDescent="0.35">
      <c r="A3521" t="s">
        <v>36</v>
      </c>
      <c r="B3521" t="s">
        <v>21</v>
      </c>
      <c r="C3521">
        <v>2007</v>
      </c>
      <c r="D3521" t="s">
        <v>32</v>
      </c>
      <c r="E3521" s="8">
        <v>10612</v>
      </c>
      <c r="F3521" s="8">
        <v>4666</v>
      </c>
      <c r="G3521" s="1">
        <f t="shared" si="1477"/>
        <v>15278</v>
      </c>
      <c r="H3521" s="2">
        <f t="shared" si="1478"/>
        <v>0.69459353318497186</v>
      </c>
      <c r="I3521" s="2">
        <f t="shared" si="1479"/>
        <v>0.30540646681502814</v>
      </c>
      <c r="J3521" s="15">
        <v>1563</v>
      </c>
      <c r="K3521" s="15">
        <v>2729</v>
      </c>
      <c r="L3521" s="1">
        <f t="shared" si="1474"/>
        <v>4292</v>
      </c>
      <c r="M3521" s="2">
        <f t="shared" si="1475"/>
        <v>0.36416589002795902</v>
      </c>
      <c r="N3521" s="2">
        <f t="shared" si="1476"/>
        <v>0.63583410997204104</v>
      </c>
    </row>
    <row r="3522" spans="1:14" x14ac:dyDescent="0.35">
      <c r="A3522" t="s">
        <v>36</v>
      </c>
      <c r="B3522" t="s">
        <v>22</v>
      </c>
      <c r="C3522">
        <v>2007</v>
      </c>
      <c r="D3522" t="s">
        <v>32</v>
      </c>
      <c r="E3522" s="8">
        <v>11578</v>
      </c>
      <c r="F3522" s="8">
        <v>5169</v>
      </c>
      <c r="G3522" s="1">
        <f t="shared" si="1477"/>
        <v>16747</v>
      </c>
      <c r="H3522" s="2">
        <f t="shared" si="1478"/>
        <v>0.6913477040664</v>
      </c>
      <c r="I3522" s="2">
        <f t="shared" si="1479"/>
        <v>0.30865229593360005</v>
      </c>
      <c r="J3522" s="15">
        <v>1676</v>
      </c>
      <c r="K3522" s="15">
        <v>2840</v>
      </c>
      <c r="L3522" s="1">
        <f t="shared" si="1474"/>
        <v>4516</v>
      </c>
      <c r="M3522" s="2">
        <f t="shared" si="1475"/>
        <v>0.37112488928255094</v>
      </c>
      <c r="N3522" s="2">
        <f t="shared" si="1476"/>
        <v>0.62887511071744906</v>
      </c>
    </row>
    <row r="3523" spans="1:14" x14ac:dyDescent="0.35">
      <c r="A3523" t="s">
        <v>36</v>
      </c>
      <c r="B3523" t="s">
        <v>23</v>
      </c>
      <c r="C3523">
        <v>2007</v>
      </c>
      <c r="D3523" t="s">
        <v>32</v>
      </c>
      <c r="E3523" s="8">
        <v>10900</v>
      </c>
      <c r="F3523" s="8">
        <v>5009</v>
      </c>
      <c r="G3523" s="1">
        <f t="shared" si="1477"/>
        <v>15909</v>
      </c>
      <c r="H3523" s="2">
        <f t="shared" si="1478"/>
        <v>0.68514677226727005</v>
      </c>
      <c r="I3523" s="2">
        <f t="shared" si="1479"/>
        <v>0.31485322773272989</v>
      </c>
      <c r="J3523" s="15">
        <v>1589</v>
      </c>
      <c r="K3523" s="15">
        <v>2784</v>
      </c>
      <c r="L3523" s="1">
        <f t="shared" ref="L3523:L3586" si="1480">SUM(J3523:K3523)</f>
        <v>4373</v>
      </c>
      <c r="M3523" s="2">
        <f t="shared" ref="M3523:M3586" si="1481">SUM(J3523)/L3523</f>
        <v>0.3633661102218157</v>
      </c>
      <c r="N3523" s="2">
        <f t="shared" ref="N3523:N3586" si="1482">SUM(K3523/L3523)</f>
        <v>0.63663388977818436</v>
      </c>
    </row>
    <row r="3524" spans="1:14" x14ac:dyDescent="0.35">
      <c r="A3524" t="s">
        <v>36</v>
      </c>
      <c r="B3524" t="s">
        <v>24</v>
      </c>
      <c r="C3524">
        <v>2007</v>
      </c>
      <c r="D3524" t="s">
        <v>32</v>
      </c>
      <c r="E3524" s="8">
        <v>10774</v>
      </c>
      <c r="F3524" s="8">
        <v>5112</v>
      </c>
      <c r="G3524" s="1">
        <f t="shared" si="1477"/>
        <v>15886</v>
      </c>
      <c r="H3524" s="2">
        <f t="shared" si="1478"/>
        <v>0.67820722648873222</v>
      </c>
      <c r="I3524" s="2">
        <f t="shared" si="1479"/>
        <v>0.32179277351126778</v>
      </c>
      <c r="J3524" s="15">
        <v>1550</v>
      </c>
      <c r="K3524" s="15">
        <v>2827</v>
      </c>
      <c r="L3524" s="1">
        <f t="shared" si="1480"/>
        <v>4377</v>
      </c>
      <c r="M3524" s="2">
        <f t="shared" si="1481"/>
        <v>0.3541238291066941</v>
      </c>
      <c r="N3524" s="2">
        <f t="shared" si="1482"/>
        <v>0.64587617089330596</v>
      </c>
    </row>
    <row r="3525" spans="1:14" x14ac:dyDescent="0.35">
      <c r="A3525" t="s">
        <v>36</v>
      </c>
      <c r="B3525" t="s">
        <v>25</v>
      </c>
      <c r="C3525">
        <v>2007</v>
      </c>
      <c r="D3525" t="s">
        <v>32</v>
      </c>
      <c r="E3525" s="8">
        <v>11711</v>
      </c>
      <c r="F3525" s="8">
        <v>5715</v>
      </c>
      <c r="G3525" s="1">
        <f t="shared" si="1477"/>
        <v>17426</v>
      </c>
      <c r="H3525" s="2">
        <f t="shared" si="1478"/>
        <v>0.67204177665557219</v>
      </c>
      <c r="I3525" s="2">
        <f t="shared" si="1479"/>
        <v>0.32795822334442787</v>
      </c>
      <c r="J3525" s="15">
        <v>1607</v>
      </c>
      <c r="K3525" s="15">
        <v>3026</v>
      </c>
      <c r="L3525" s="1">
        <f t="shared" si="1480"/>
        <v>4633</v>
      </c>
      <c r="M3525" s="2">
        <f t="shared" si="1481"/>
        <v>0.346859486293978</v>
      </c>
      <c r="N3525" s="2">
        <f t="shared" si="1482"/>
        <v>0.653140513706022</v>
      </c>
    </row>
    <row r="3526" spans="1:14" x14ac:dyDescent="0.35">
      <c r="A3526" t="s">
        <v>36</v>
      </c>
      <c r="B3526" t="s">
        <v>26</v>
      </c>
      <c r="C3526">
        <v>2007</v>
      </c>
      <c r="D3526" t="s">
        <v>32</v>
      </c>
      <c r="E3526" s="8">
        <v>9602</v>
      </c>
      <c r="F3526" s="8">
        <v>4655</v>
      </c>
      <c r="G3526" s="1">
        <f t="shared" si="1477"/>
        <v>14257</v>
      </c>
      <c r="H3526" s="2">
        <f t="shared" si="1478"/>
        <v>0.67349372238198779</v>
      </c>
      <c r="I3526" s="2">
        <f t="shared" si="1479"/>
        <v>0.32650627761801221</v>
      </c>
      <c r="J3526" s="15">
        <v>1356</v>
      </c>
      <c r="K3526" s="15">
        <v>2753</v>
      </c>
      <c r="L3526" s="1">
        <f t="shared" si="1480"/>
        <v>4109</v>
      </c>
      <c r="M3526" s="2">
        <f t="shared" si="1481"/>
        <v>0.33000730104648335</v>
      </c>
      <c r="N3526" s="2">
        <f t="shared" si="1482"/>
        <v>0.66999269895351665</v>
      </c>
    </row>
    <row r="3527" spans="1:14" x14ac:dyDescent="0.35">
      <c r="A3527" t="s">
        <v>36</v>
      </c>
      <c r="B3527" t="s">
        <v>27</v>
      </c>
      <c r="C3527">
        <v>2007</v>
      </c>
      <c r="D3527" t="s">
        <v>32</v>
      </c>
      <c r="E3527" s="8">
        <v>10538</v>
      </c>
      <c r="F3527" s="8">
        <v>5276</v>
      </c>
      <c r="G3527" s="1">
        <f t="shared" si="1477"/>
        <v>15814</v>
      </c>
      <c r="H3527" s="2">
        <f t="shared" si="1478"/>
        <v>0.66637156949538379</v>
      </c>
      <c r="I3527" s="2">
        <f t="shared" si="1479"/>
        <v>0.33362843050461616</v>
      </c>
      <c r="J3527" s="15">
        <v>1439</v>
      </c>
      <c r="K3527" s="15">
        <v>2914</v>
      </c>
      <c r="L3527" s="1">
        <f t="shared" si="1480"/>
        <v>4353</v>
      </c>
      <c r="M3527" s="2">
        <f t="shared" si="1481"/>
        <v>0.33057661382954284</v>
      </c>
      <c r="N3527" s="2">
        <f t="shared" si="1482"/>
        <v>0.66942338617045716</v>
      </c>
    </row>
    <row r="3528" spans="1:14" x14ac:dyDescent="0.35">
      <c r="A3528" t="s">
        <v>36</v>
      </c>
      <c r="B3528" t="s">
        <v>28</v>
      </c>
      <c r="C3528">
        <v>2007</v>
      </c>
      <c r="D3528" t="s">
        <v>32</v>
      </c>
      <c r="E3528" s="8">
        <v>10454</v>
      </c>
      <c r="F3528" s="8">
        <v>5350</v>
      </c>
      <c r="G3528" s="1">
        <f t="shared" si="1477"/>
        <v>15804</v>
      </c>
      <c r="H3528" s="2">
        <f t="shared" si="1478"/>
        <v>0.66147810680840291</v>
      </c>
      <c r="I3528" s="2">
        <f t="shared" si="1479"/>
        <v>0.33852189319159709</v>
      </c>
      <c r="J3528" s="15">
        <v>1428</v>
      </c>
      <c r="K3528" s="15">
        <v>2918</v>
      </c>
      <c r="L3528" s="1">
        <f t="shared" si="1480"/>
        <v>4346</v>
      </c>
      <c r="M3528" s="2">
        <f t="shared" si="1481"/>
        <v>0.32857800276115967</v>
      </c>
      <c r="N3528" s="2">
        <f t="shared" si="1482"/>
        <v>0.67142199723884033</v>
      </c>
    </row>
    <row r="3529" spans="1:14" x14ac:dyDescent="0.35">
      <c r="A3529" t="s">
        <v>36</v>
      </c>
      <c r="B3529" t="s">
        <v>29</v>
      </c>
      <c r="C3529">
        <v>2007</v>
      </c>
      <c r="D3529" t="s">
        <v>32</v>
      </c>
      <c r="E3529" s="8">
        <v>10373</v>
      </c>
      <c r="F3529" s="8">
        <v>5373</v>
      </c>
      <c r="G3529" s="1">
        <f t="shared" si="1477"/>
        <v>15746</v>
      </c>
      <c r="H3529" s="2">
        <f t="shared" si="1478"/>
        <v>0.65877048139209959</v>
      </c>
      <c r="I3529" s="2">
        <f t="shared" si="1479"/>
        <v>0.34122951860790041</v>
      </c>
      <c r="J3529" s="15">
        <v>1392</v>
      </c>
      <c r="K3529" s="15">
        <v>2931</v>
      </c>
      <c r="L3529" s="1">
        <f t="shared" si="1480"/>
        <v>4323</v>
      </c>
      <c r="M3529" s="2">
        <f t="shared" si="1481"/>
        <v>0.32199861207494795</v>
      </c>
      <c r="N3529" s="2">
        <f t="shared" si="1482"/>
        <v>0.67800138792505205</v>
      </c>
    </row>
    <row r="3530" spans="1:14" x14ac:dyDescent="0.35">
      <c r="A3530" t="s">
        <v>36</v>
      </c>
      <c r="B3530" t="s">
        <v>17</v>
      </c>
      <c r="C3530">
        <v>2008</v>
      </c>
      <c r="D3530" t="s">
        <v>32</v>
      </c>
      <c r="E3530" s="8">
        <v>10334</v>
      </c>
      <c r="F3530" s="8">
        <v>5421</v>
      </c>
      <c r="G3530" s="1">
        <f t="shared" si="1477"/>
        <v>15755</v>
      </c>
      <c r="H3530" s="2">
        <f t="shared" si="1478"/>
        <v>0.65591875595049187</v>
      </c>
      <c r="I3530" s="2">
        <f t="shared" si="1479"/>
        <v>0.34408124404950807</v>
      </c>
      <c r="J3530" s="15">
        <v>1387</v>
      </c>
      <c r="K3530" s="15">
        <v>2941</v>
      </c>
      <c r="L3530" s="1">
        <f t="shared" si="1480"/>
        <v>4328</v>
      </c>
      <c r="M3530" s="2">
        <f t="shared" si="1481"/>
        <v>0.32047134935304988</v>
      </c>
      <c r="N3530" s="2">
        <f t="shared" si="1482"/>
        <v>0.67952865064695012</v>
      </c>
    </row>
    <row r="3531" spans="1:14" x14ac:dyDescent="0.35">
      <c r="A3531" t="s">
        <v>36</v>
      </c>
      <c r="B3531" t="s">
        <v>19</v>
      </c>
      <c r="C3531">
        <v>2008</v>
      </c>
      <c r="D3531" t="s">
        <v>32</v>
      </c>
      <c r="E3531" s="8">
        <v>10246</v>
      </c>
      <c r="F3531" s="8">
        <v>5419</v>
      </c>
      <c r="G3531" s="1">
        <f t="shared" si="1477"/>
        <v>15665</v>
      </c>
      <c r="H3531" s="2">
        <f t="shared" si="1478"/>
        <v>0.65406958187041175</v>
      </c>
      <c r="I3531" s="2">
        <f t="shared" si="1479"/>
        <v>0.34593041812958825</v>
      </c>
      <c r="J3531" s="15">
        <v>1364</v>
      </c>
      <c r="K3531" s="15">
        <v>2946</v>
      </c>
      <c r="L3531" s="1">
        <f t="shared" si="1480"/>
        <v>4310</v>
      </c>
      <c r="M3531" s="2">
        <f t="shared" si="1481"/>
        <v>0.31647331786542926</v>
      </c>
      <c r="N3531" s="2">
        <f t="shared" si="1482"/>
        <v>0.6835266821345708</v>
      </c>
    </row>
    <row r="3532" spans="1:14" x14ac:dyDescent="0.35">
      <c r="A3532" t="s">
        <v>36</v>
      </c>
      <c r="B3532" t="s">
        <v>20</v>
      </c>
      <c r="C3532">
        <v>2008</v>
      </c>
      <c r="D3532" t="s">
        <v>32</v>
      </c>
      <c r="E3532" s="8">
        <v>10198</v>
      </c>
      <c r="F3532" s="8">
        <v>5427</v>
      </c>
      <c r="G3532" s="1">
        <f t="shared" si="1477"/>
        <v>15625</v>
      </c>
      <c r="H3532" s="2">
        <f t="shared" si="1478"/>
        <v>0.65267200000000003</v>
      </c>
      <c r="I3532" s="2">
        <f t="shared" si="1479"/>
        <v>0.34732800000000003</v>
      </c>
      <c r="J3532" s="15">
        <v>1344</v>
      </c>
      <c r="K3532" s="15">
        <v>2949</v>
      </c>
      <c r="L3532" s="1">
        <f t="shared" si="1480"/>
        <v>4293</v>
      </c>
      <c r="M3532" s="2">
        <f t="shared" si="1481"/>
        <v>0.31306778476589797</v>
      </c>
      <c r="N3532" s="2">
        <f t="shared" si="1482"/>
        <v>0.68693221523410197</v>
      </c>
    </row>
    <row r="3533" spans="1:14" x14ac:dyDescent="0.35">
      <c r="A3533" t="s">
        <v>36</v>
      </c>
      <c r="B3533" t="s">
        <v>21</v>
      </c>
      <c r="C3533">
        <v>2008</v>
      </c>
      <c r="D3533" t="s">
        <v>32</v>
      </c>
      <c r="E3533" s="8">
        <v>10143</v>
      </c>
      <c r="F3533" s="8">
        <v>5472</v>
      </c>
      <c r="G3533" s="1">
        <f t="shared" si="1477"/>
        <v>15615</v>
      </c>
      <c r="H3533" s="2">
        <f t="shared" si="1478"/>
        <v>0.64956772334293944</v>
      </c>
      <c r="I3533" s="2">
        <f t="shared" si="1479"/>
        <v>0.3504322766570605</v>
      </c>
      <c r="J3533" s="15">
        <v>1326</v>
      </c>
      <c r="K3533" s="15">
        <v>2962</v>
      </c>
      <c r="L3533" s="1">
        <f t="shared" si="1480"/>
        <v>4288</v>
      </c>
      <c r="M3533" s="2">
        <f t="shared" si="1481"/>
        <v>0.30923507462686567</v>
      </c>
      <c r="N3533" s="2">
        <f t="shared" si="1482"/>
        <v>0.69076492537313428</v>
      </c>
    </row>
    <row r="3534" spans="1:14" x14ac:dyDescent="0.35">
      <c r="A3534" t="s">
        <v>36</v>
      </c>
      <c r="B3534" t="s">
        <v>22</v>
      </c>
      <c r="C3534">
        <v>2008</v>
      </c>
      <c r="D3534" t="s">
        <v>32</v>
      </c>
      <c r="E3534" s="8">
        <v>10192</v>
      </c>
      <c r="F3534" s="8">
        <v>5559</v>
      </c>
      <c r="G3534" s="1">
        <f t="shared" si="1477"/>
        <v>15751</v>
      </c>
      <c r="H3534" s="2">
        <f t="shared" si="1478"/>
        <v>0.64707002729985397</v>
      </c>
      <c r="I3534" s="2">
        <f t="shared" si="1479"/>
        <v>0.35292997270014603</v>
      </c>
      <c r="J3534" s="15">
        <v>1305</v>
      </c>
      <c r="K3534" s="15">
        <v>2958</v>
      </c>
      <c r="L3534" s="1">
        <f t="shared" si="1480"/>
        <v>4263</v>
      </c>
      <c r="M3534" s="2">
        <f t="shared" si="1481"/>
        <v>0.30612244897959184</v>
      </c>
      <c r="N3534" s="2">
        <f t="shared" si="1482"/>
        <v>0.69387755102040816</v>
      </c>
    </row>
    <row r="3535" spans="1:14" x14ac:dyDescent="0.35">
      <c r="A3535" t="s">
        <v>36</v>
      </c>
      <c r="B3535" t="s">
        <v>23</v>
      </c>
      <c r="C3535">
        <v>2008</v>
      </c>
      <c r="D3535" t="s">
        <v>32</v>
      </c>
      <c r="E3535" s="8">
        <v>9856</v>
      </c>
      <c r="F3535" s="8">
        <v>5610</v>
      </c>
      <c r="G3535" s="1">
        <f t="shared" si="1477"/>
        <v>15466</v>
      </c>
      <c r="H3535" s="2">
        <f t="shared" si="1478"/>
        <v>0.63726884779516357</v>
      </c>
      <c r="I3535" s="2">
        <f t="shared" si="1479"/>
        <v>0.36273115220483643</v>
      </c>
      <c r="J3535" s="15">
        <v>1268</v>
      </c>
      <c r="K3535" s="15">
        <v>3024</v>
      </c>
      <c r="L3535" s="1">
        <f t="shared" si="1480"/>
        <v>4292</v>
      </c>
      <c r="M3535" s="2">
        <f t="shared" si="1481"/>
        <v>0.29543336439888163</v>
      </c>
      <c r="N3535" s="2">
        <f t="shared" si="1482"/>
        <v>0.70456663560111832</v>
      </c>
    </row>
    <row r="3536" spans="1:14" x14ac:dyDescent="0.35">
      <c r="A3536" t="s">
        <v>36</v>
      </c>
      <c r="B3536" t="s">
        <v>24</v>
      </c>
      <c r="C3536">
        <v>2008</v>
      </c>
      <c r="D3536" t="s">
        <v>32</v>
      </c>
      <c r="E3536" s="8">
        <v>9680</v>
      </c>
      <c r="F3536" s="8">
        <v>5600</v>
      </c>
      <c r="G3536" s="1">
        <f t="shared" si="1477"/>
        <v>15280</v>
      </c>
      <c r="H3536" s="2">
        <f t="shared" si="1478"/>
        <v>0.63350785340314131</v>
      </c>
      <c r="I3536" s="2">
        <f t="shared" si="1479"/>
        <v>0.36649214659685864</v>
      </c>
      <c r="J3536" s="15">
        <v>1235</v>
      </c>
      <c r="K3536" s="15">
        <v>2940</v>
      </c>
      <c r="L3536" s="1">
        <f t="shared" si="1480"/>
        <v>4175</v>
      </c>
      <c r="M3536" s="2">
        <f t="shared" si="1481"/>
        <v>0.29580838323353292</v>
      </c>
      <c r="N3536" s="2">
        <f t="shared" si="1482"/>
        <v>0.70419161676646702</v>
      </c>
    </row>
    <row r="3537" spans="1:14" x14ac:dyDescent="0.35">
      <c r="A3537" t="s">
        <v>36</v>
      </c>
      <c r="B3537" t="s">
        <v>25</v>
      </c>
      <c r="C3537">
        <v>2008</v>
      </c>
      <c r="D3537" t="s">
        <v>32</v>
      </c>
      <c r="E3537" s="8">
        <v>9574</v>
      </c>
      <c r="F3537" s="8">
        <v>5666</v>
      </c>
      <c r="G3537" s="1">
        <f t="shared" si="1477"/>
        <v>15240</v>
      </c>
      <c r="H3537" s="2">
        <f t="shared" si="1478"/>
        <v>0.62821522309711286</v>
      </c>
      <c r="I3537" s="2">
        <f t="shared" si="1479"/>
        <v>0.37178477690288714</v>
      </c>
      <c r="J3537" s="15">
        <v>1221</v>
      </c>
      <c r="K3537" s="15">
        <v>2967</v>
      </c>
      <c r="L3537" s="1">
        <f t="shared" si="1480"/>
        <v>4188</v>
      </c>
      <c r="M3537" s="2">
        <f t="shared" si="1481"/>
        <v>0.29154727793696272</v>
      </c>
      <c r="N3537" s="2">
        <f t="shared" si="1482"/>
        <v>0.70845272206303722</v>
      </c>
    </row>
    <row r="3538" spans="1:14" x14ac:dyDescent="0.35">
      <c r="A3538" t="s">
        <v>36</v>
      </c>
      <c r="B3538" t="s">
        <v>26</v>
      </c>
      <c r="C3538">
        <v>2008</v>
      </c>
      <c r="D3538" t="s">
        <v>32</v>
      </c>
      <c r="E3538" s="8">
        <v>9486</v>
      </c>
      <c r="F3538" s="8">
        <v>5653</v>
      </c>
      <c r="G3538" s="1">
        <f t="shared" si="1477"/>
        <v>15139</v>
      </c>
      <c r="H3538" s="2">
        <f t="shared" si="1478"/>
        <v>0.62659356628575202</v>
      </c>
      <c r="I3538" s="2">
        <f t="shared" si="1479"/>
        <v>0.37340643371424798</v>
      </c>
      <c r="J3538" s="15">
        <v>1209</v>
      </c>
      <c r="K3538" s="15">
        <v>2956</v>
      </c>
      <c r="L3538" s="1">
        <f t="shared" si="1480"/>
        <v>4165</v>
      </c>
      <c r="M3538" s="2">
        <f t="shared" si="1481"/>
        <v>0.29027611044417767</v>
      </c>
      <c r="N3538" s="2">
        <f t="shared" si="1482"/>
        <v>0.70972388955582233</v>
      </c>
    </row>
    <row r="3539" spans="1:14" x14ac:dyDescent="0.35">
      <c r="A3539" t="s">
        <v>36</v>
      </c>
      <c r="B3539" t="s">
        <v>27</v>
      </c>
      <c r="C3539">
        <v>2008</v>
      </c>
      <c r="D3539" t="s">
        <v>32</v>
      </c>
      <c r="E3539" s="8">
        <v>9389</v>
      </c>
      <c r="F3539" s="8">
        <v>5647</v>
      </c>
      <c r="G3539" s="1">
        <f t="shared" si="1477"/>
        <v>15036</v>
      </c>
      <c r="H3539" s="2">
        <f t="shared" si="1478"/>
        <v>0.62443469007714814</v>
      </c>
      <c r="I3539" s="2">
        <f t="shared" si="1479"/>
        <v>0.37556530992285181</v>
      </c>
      <c r="J3539" s="15">
        <v>1199</v>
      </c>
      <c r="K3539" s="15">
        <v>2967.2</v>
      </c>
      <c r="L3539" s="1">
        <f t="shared" si="1480"/>
        <v>4166.2</v>
      </c>
      <c r="M3539" s="2">
        <f t="shared" si="1481"/>
        <v>0.28779223273006577</v>
      </c>
      <c r="N3539" s="2">
        <f t="shared" si="1482"/>
        <v>0.71220776726993418</v>
      </c>
    </row>
    <row r="3540" spans="1:14" x14ac:dyDescent="0.35">
      <c r="A3540" t="s">
        <v>36</v>
      </c>
      <c r="B3540" t="s">
        <v>28</v>
      </c>
      <c r="C3540">
        <v>2008</v>
      </c>
      <c r="D3540" t="s">
        <v>32</v>
      </c>
      <c r="E3540" s="8">
        <v>9304</v>
      </c>
      <c r="F3540" s="8">
        <v>5837</v>
      </c>
      <c r="G3540" s="1">
        <f t="shared" si="1477"/>
        <v>15141</v>
      </c>
      <c r="H3540" s="2">
        <f t="shared" si="1478"/>
        <v>0.6144904563767255</v>
      </c>
      <c r="I3540" s="2">
        <f t="shared" si="1479"/>
        <v>0.38550954362327455</v>
      </c>
      <c r="J3540" s="15">
        <v>1179</v>
      </c>
      <c r="K3540" s="15">
        <v>2971.17</v>
      </c>
      <c r="L3540" s="1">
        <f t="shared" si="1480"/>
        <v>4150.17</v>
      </c>
      <c r="M3540" s="2">
        <f t="shared" si="1481"/>
        <v>0.28408474833561037</v>
      </c>
      <c r="N3540" s="2">
        <f t="shared" si="1482"/>
        <v>0.71591525166438963</v>
      </c>
    </row>
    <row r="3541" spans="1:14" x14ac:dyDescent="0.35">
      <c r="A3541" t="s">
        <v>36</v>
      </c>
      <c r="B3541" t="s">
        <v>29</v>
      </c>
      <c r="C3541">
        <v>2008</v>
      </c>
      <c r="D3541" t="s">
        <v>32</v>
      </c>
      <c r="E3541" s="8">
        <v>9234</v>
      </c>
      <c r="F3541" s="8">
        <v>5940</v>
      </c>
      <c r="G3541" s="1">
        <f t="shared" si="1477"/>
        <v>15174</v>
      </c>
      <c r="H3541" s="2">
        <f t="shared" si="1478"/>
        <v>0.60854092526690395</v>
      </c>
      <c r="I3541" s="2">
        <f t="shared" si="1479"/>
        <v>0.3914590747330961</v>
      </c>
      <c r="J3541" s="15">
        <v>1157</v>
      </c>
      <c r="K3541" s="15">
        <v>2959.03</v>
      </c>
      <c r="L3541" s="1">
        <f t="shared" si="1480"/>
        <v>4116.0300000000007</v>
      </c>
      <c r="M3541" s="2">
        <f t="shared" si="1481"/>
        <v>0.28109610474170493</v>
      </c>
      <c r="N3541" s="2">
        <f t="shared" si="1482"/>
        <v>0.7189038952582949</v>
      </c>
    </row>
    <row r="3542" spans="1:14" x14ac:dyDescent="0.35">
      <c r="A3542" t="s">
        <v>36</v>
      </c>
      <c r="B3542" t="s">
        <v>17</v>
      </c>
      <c r="C3542">
        <v>2009</v>
      </c>
      <c r="D3542" t="s">
        <v>32</v>
      </c>
      <c r="E3542" s="3">
        <v>9182</v>
      </c>
      <c r="F3542" s="3">
        <v>5674</v>
      </c>
      <c r="G3542" s="1">
        <f t="shared" si="1477"/>
        <v>14856</v>
      </c>
      <c r="H3542" s="2">
        <f t="shared" si="1478"/>
        <v>0.61806677436725899</v>
      </c>
      <c r="I3542" s="2">
        <f t="shared" si="1479"/>
        <v>0.38193322563274096</v>
      </c>
      <c r="J3542" s="4">
        <v>1146</v>
      </c>
      <c r="K3542" s="4">
        <v>2929</v>
      </c>
      <c r="L3542" s="1">
        <f t="shared" si="1480"/>
        <v>4075</v>
      </c>
      <c r="M3542" s="2">
        <f t="shared" si="1481"/>
        <v>0.28122699386503069</v>
      </c>
      <c r="N3542" s="2">
        <f t="shared" si="1482"/>
        <v>0.71877300613496931</v>
      </c>
    </row>
    <row r="3543" spans="1:14" x14ac:dyDescent="0.35">
      <c r="A3543" t="s">
        <v>36</v>
      </c>
      <c r="B3543" t="s">
        <v>19</v>
      </c>
      <c r="C3543">
        <v>2009</v>
      </c>
      <c r="D3543" t="s">
        <v>32</v>
      </c>
      <c r="E3543" s="3">
        <v>9066</v>
      </c>
      <c r="F3543" s="3">
        <v>5708</v>
      </c>
      <c r="G3543" s="1">
        <f t="shared" si="1477"/>
        <v>14774</v>
      </c>
      <c r="H3543" s="2">
        <f t="shared" si="1478"/>
        <v>0.61364559361039661</v>
      </c>
      <c r="I3543" s="2">
        <f t="shared" si="1479"/>
        <v>0.38635440638960333</v>
      </c>
      <c r="J3543" s="4">
        <v>1136</v>
      </c>
      <c r="K3543" s="4">
        <v>2920</v>
      </c>
      <c r="L3543" s="1">
        <f t="shared" si="1480"/>
        <v>4056</v>
      </c>
      <c r="M3543" s="2">
        <f t="shared" si="1481"/>
        <v>0.28007889546351084</v>
      </c>
      <c r="N3543" s="2">
        <f t="shared" si="1482"/>
        <v>0.71992110453648916</v>
      </c>
    </row>
    <row r="3544" spans="1:14" x14ac:dyDescent="0.35">
      <c r="A3544" t="s">
        <v>36</v>
      </c>
      <c r="B3544" t="s">
        <v>20</v>
      </c>
      <c r="C3544">
        <v>2009</v>
      </c>
      <c r="D3544" t="s">
        <v>32</v>
      </c>
      <c r="E3544" s="3">
        <v>9026</v>
      </c>
      <c r="F3544" s="3">
        <v>5717</v>
      </c>
      <c r="G3544" s="1">
        <f t="shared" si="1477"/>
        <v>14743</v>
      </c>
      <c r="H3544" s="2">
        <f t="shared" si="1478"/>
        <v>0.61222274977955637</v>
      </c>
      <c r="I3544" s="2">
        <f t="shared" si="1479"/>
        <v>0.38777725022044363</v>
      </c>
      <c r="J3544" s="4">
        <v>1131</v>
      </c>
      <c r="K3544" s="4">
        <v>2918</v>
      </c>
      <c r="L3544" s="1">
        <f t="shared" si="1480"/>
        <v>4049</v>
      </c>
      <c r="M3544" s="2">
        <f t="shared" si="1481"/>
        <v>0.2793282291923932</v>
      </c>
      <c r="N3544" s="2">
        <f t="shared" si="1482"/>
        <v>0.7206717708076068</v>
      </c>
    </row>
    <row r="3545" spans="1:14" x14ac:dyDescent="0.35">
      <c r="A3545" t="s">
        <v>36</v>
      </c>
      <c r="B3545" t="s">
        <v>21</v>
      </c>
      <c r="C3545">
        <v>2009</v>
      </c>
      <c r="D3545" t="s">
        <v>32</v>
      </c>
      <c r="E3545" s="3">
        <v>8983</v>
      </c>
      <c r="F3545" s="3">
        <v>5691</v>
      </c>
      <c r="G3545" s="1">
        <f t="shared" si="1477"/>
        <v>14674</v>
      </c>
      <c r="H3545" s="2">
        <f t="shared" si="1478"/>
        <v>0.61217118713370589</v>
      </c>
      <c r="I3545" s="2">
        <f t="shared" si="1479"/>
        <v>0.38782881286629411</v>
      </c>
      <c r="J3545" s="4">
        <v>1119</v>
      </c>
      <c r="K3545" s="4">
        <v>2922</v>
      </c>
      <c r="L3545" s="1">
        <f t="shared" si="1480"/>
        <v>4041</v>
      </c>
      <c r="M3545" s="2">
        <f t="shared" si="1481"/>
        <v>0.27691165553080921</v>
      </c>
      <c r="N3545" s="2">
        <f t="shared" si="1482"/>
        <v>0.72308834446919079</v>
      </c>
    </row>
    <row r="3546" spans="1:14" x14ac:dyDescent="0.35">
      <c r="A3546" t="s">
        <v>36</v>
      </c>
      <c r="B3546" t="s">
        <v>22</v>
      </c>
      <c r="C3546">
        <v>2009</v>
      </c>
      <c r="D3546" t="s">
        <v>32</v>
      </c>
      <c r="E3546" s="3">
        <v>8921</v>
      </c>
      <c r="F3546" s="3">
        <v>5689</v>
      </c>
      <c r="G3546" s="1">
        <f t="shared" si="1477"/>
        <v>14610</v>
      </c>
      <c r="H3546" s="2">
        <f t="shared" si="1478"/>
        <v>0.61060917180013685</v>
      </c>
      <c r="I3546" s="2">
        <f t="shared" si="1479"/>
        <v>0.38939082819986309</v>
      </c>
      <c r="J3546" s="4">
        <v>1102</v>
      </c>
      <c r="K3546" s="4">
        <v>2884</v>
      </c>
      <c r="L3546" s="1">
        <f t="shared" si="1480"/>
        <v>3986</v>
      </c>
      <c r="M3546" s="2">
        <f t="shared" si="1481"/>
        <v>0.2764676367285499</v>
      </c>
      <c r="N3546" s="2">
        <f t="shared" si="1482"/>
        <v>0.7235323632714501</v>
      </c>
    </row>
    <row r="3547" spans="1:14" x14ac:dyDescent="0.35">
      <c r="A3547" t="s">
        <v>36</v>
      </c>
      <c r="B3547" t="s">
        <v>23</v>
      </c>
      <c r="C3547">
        <v>2009</v>
      </c>
      <c r="D3547" t="s">
        <v>32</v>
      </c>
      <c r="E3547" s="3">
        <v>8849</v>
      </c>
      <c r="F3547" s="3">
        <v>5667</v>
      </c>
      <c r="G3547" s="1">
        <f t="shared" si="1477"/>
        <v>14516</v>
      </c>
      <c r="H3547" s="2">
        <f t="shared" si="1478"/>
        <v>0.60960319647285754</v>
      </c>
      <c r="I3547" s="2">
        <f t="shared" si="1479"/>
        <v>0.39039680352714246</v>
      </c>
      <c r="J3547" s="4">
        <v>1095</v>
      </c>
      <c r="K3547" s="4">
        <v>2715</v>
      </c>
      <c r="L3547" s="1">
        <f t="shared" si="1480"/>
        <v>3810</v>
      </c>
      <c r="M3547" s="2">
        <f t="shared" si="1481"/>
        <v>0.2874015748031496</v>
      </c>
      <c r="N3547" s="2">
        <f t="shared" si="1482"/>
        <v>0.71259842519685035</v>
      </c>
    </row>
    <row r="3548" spans="1:14" x14ac:dyDescent="0.35">
      <c r="A3548" t="s">
        <v>36</v>
      </c>
      <c r="B3548" t="s">
        <v>24</v>
      </c>
      <c r="C3548">
        <v>2009</v>
      </c>
      <c r="D3548" t="s">
        <v>32</v>
      </c>
      <c r="E3548" s="3">
        <v>8778</v>
      </c>
      <c r="F3548" s="3">
        <v>5706</v>
      </c>
      <c r="G3548" s="1">
        <f t="shared" si="1477"/>
        <v>14484</v>
      </c>
      <c r="H3548" s="2">
        <f t="shared" si="1478"/>
        <v>0.60604805302402653</v>
      </c>
      <c r="I3548" s="2">
        <f t="shared" si="1479"/>
        <v>0.39395194697597347</v>
      </c>
      <c r="J3548" s="4">
        <v>1076</v>
      </c>
      <c r="K3548" s="4">
        <v>2900</v>
      </c>
      <c r="L3548" s="1">
        <f t="shared" si="1480"/>
        <v>3976</v>
      </c>
      <c r="M3548" s="2">
        <f t="shared" si="1481"/>
        <v>0.27062374245472837</v>
      </c>
      <c r="N3548" s="2">
        <f t="shared" si="1482"/>
        <v>0.72937625754527158</v>
      </c>
    </row>
    <row r="3549" spans="1:14" x14ac:dyDescent="0.35">
      <c r="A3549" t="s">
        <v>36</v>
      </c>
      <c r="B3549" t="s">
        <v>25</v>
      </c>
      <c r="C3549">
        <v>2009</v>
      </c>
      <c r="D3549" t="s">
        <v>32</v>
      </c>
      <c r="E3549" s="3">
        <v>8695</v>
      </c>
      <c r="F3549" s="3">
        <v>5737</v>
      </c>
      <c r="G3549" s="1">
        <f t="shared" si="1477"/>
        <v>14432</v>
      </c>
      <c r="H3549" s="2">
        <f t="shared" si="1478"/>
        <v>0.60248059866962311</v>
      </c>
      <c r="I3549" s="2">
        <f t="shared" si="1479"/>
        <v>0.39751940133037694</v>
      </c>
      <c r="J3549" s="4">
        <v>1069</v>
      </c>
      <c r="K3549" s="4">
        <v>2907</v>
      </c>
      <c r="L3549" s="1">
        <f t="shared" si="1480"/>
        <v>3976</v>
      </c>
      <c r="M3549" s="2">
        <f t="shared" si="1481"/>
        <v>0.26886317907444668</v>
      </c>
      <c r="N3549" s="2">
        <f t="shared" si="1482"/>
        <v>0.73113682092555332</v>
      </c>
    </row>
    <row r="3550" spans="1:14" x14ac:dyDescent="0.35">
      <c r="A3550" t="s">
        <v>36</v>
      </c>
      <c r="B3550" t="s">
        <v>26</v>
      </c>
      <c r="C3550">
        <v>2009</v>
      </c>
      <c r="D3550" t="s">
        <v>32</v>
      </c>
      <c r="E3550" s="3">
        <v>8633</v>
      </c>
      <c r="F3550" s="3">
        <v>5811</v>
      </c>
      <c r="G3550" s="1">
        <f t="shared" si="1477"/>
        <v>14444</v>
      </c>
      <c r="H3550" s="2">
        <f t="shared" si="1478"/>
        <v>0.59768762115757412</v>
      </c>
      <c r="I3550" s="2">
        <f t="shared" si="1479"/>
        <v>0.40231237884242593</v>
      </c>
      <c r="J3550" s="4">
        <v>1051</v>
      </c>
      <c r="K3550" s="4">
        <v>2905</v>
      </c>
      <c r="L3550" s="1">
        <f t="shared" si="1480"/>
        <v>3956</v>
      </c>
      <c r="M3550" s="2">
        <f t="shared" si="1481"/>
        <v>0.26567239635995954</v>
      </c>
      <c r="N3550" s="2">
        <f t="shared" si="1482"/>
        <v>0.73432760364004046</v>
      </c>
    </row>
    <row r="3551" spans="1:14" x14ac:dyDescent="0.35">
      <c r="A3551" t="s">
        <v>36</v>
      </c>
      <c r="B3551" t="s">
        <v>27</v>
      </c>
      <c r="C3551">
        <v>2009</v>
      </c>
      <c r="D3551" t="s">
        <v>32</v>
      </c>
      <c r="E3551" s="3">
        <v>8536</v>
      </c>
      <c r="F3551" s="3">
        <v>5844</v>
      </c>
      <c r="G3551" s="1">
        <f t="shared" si="1477"/>
        <v>14380</v>
      </c>
      <c r="H3551" s="2">
        <f t="shared" si="1478"/>
        <v>0.59360222531293461</v>
      </c>
      <c r="I3551" s="2">
        <f t="shared" si="1479"/>
        <v>0.40639777468706539</v>
      </c>
      <c r="J3551" s="4">
        <v>1039</v>
      </c>
      <c r="K3551" s="4">
        <v>2915</v>
      </c>
      <c r="L3551" s="1">
        <f t="shared" si="1480"/>
        <v>3954</v>
      </c>
      <c r="M3551" s="2">
        <f t="shared" si="1481"/>
        <v>0.2627718765806778</v>
      </c>
      <c r="N3551" s="2">
        <f t="shared" si="1482"/>
        <v>0.7372281234193222</v>
      </c>
    </row>
    <row r="3552" spans="1:14" x14ac:dyDescent="0.35">
      <c r="A3552" t="s">
        <v>36</v>
      </c>
      <c r="B3552" t="s">
        <v>28</v>
      </c>
      <c r="C3552">
        <v>2009</v>
      </c>
      <c r="D3552" t="s">
        <v>32</v>
      </c>
      <c r="E3552" s="3">
        <v>8423</v>
      </c>
      <c r="F3552" s="3">
        <v>5873</v>
      </c>
      <c r="G3552" s="1">
        <f t="shared" si="1477"/>
        <v>14296</v>
      </c>
      <c r="H3552" s="2">
        <f t="shared" si="1478"/>
        <v>0.5891857862339116</v>
      </c>
      <c r="I3552" s="2">
        <f t="shared" si="1479"/>
        <v>0.4108142137660884</v>
      </c>
      <c r="J3552" s="4">
        <v>1023</v>
      </c>
      <c r="K3552" s="4">
        <v>2900</v>
      </c>
      <c r="L3552" s="1">
        <f t="shared" si="1480"/>
        <v>3923</v>
      </c>
      <c r="M3552" s="2">
        <f t="shared" si="1481"/>
        <v>0.26076981901605911</v>
      </c>
      <c r="N3552" s="2">
        <f t="shared" si="1482"/>
        <v>0.73923018098394089</v>
      </c>
    </row>
    <row r="3553" spans="1:14" x14ac:dyDescent="0.35">
      <c r="A3553" t="s">
        <v>36</v>
      </c>
      <c r="B3553" t="s">
        <v>29</v>
      </c>
      <c r="C3553">
        <v>2009</v>
      </c>
      <c r="D3553" t="s">
        <v>32</v>
      </c>
      <c r="E3553" s="3">
        <v>8341</v>
      </c>
      <c r="F3553" s="3">
        <v>5918</v>
      </c>
      <c r="G3553" s="1">
        <f t="shared" si="1477"/>
        <v>14259</v>
      </c>
      <c r="H3553" s="2">
        <f t="shared" si="1478"/>
        <v>0.58496388246020059</v>
      </c>
      <c r="I3553" s="2">
        <f t="shared" si="1479"/>
        <v>0.41503611753979941</v>
      </c>
      <c r="J3553" s="4">
        <v>1009</v>
      </c>
      <c r="K3553" s="4">
        <v>2913</v>
      </c>
      <c r="L3553" s="1">
        <f t="shared" si="1480"/>
        <v>3922</v>
      </c>
      <c r="M3553" s="2">
        <f t="shared" si="1481"/>
        <v>0.25726670066292706</v>
      </c>
      <c r="N3553" s="2">
        <f t="shared" si="1482"/>
        <v>0.74273329933707288</v>
      </c>
    </row>
    <row r="3554" spans="1:14" x14ac:dyDescent="0.35">
      <c r="A3554" t="s">
        <v>36</v>
      </c>
      <c r="B3554" t="s">
        <v>17</v>
      </c>
      <c r="C3554">
        <v>2010</v>
      </c>
      <c r="D3554" t="s">
        <v>32</v>
      </c>
      <c r="E3554" s="3">
        <v>7423</v>
      </c>
      <c r="F3554" s="3">
        <v>5371</v>
      </c>
      <c r="G3554" s="1">
        <f t="shared" si="1477"/>
        <v>12794</v>
      </c>
      <c r="H3554" s="2">
        <f t="shared" si="1478"/>
        <v>0.58019384086290449</v>
      </c>
      <c r="I3554" s="2">
        <f t="shared" si="1479"/>
        <v>0.41980615913709551</v>
      </c>
      <c r="J3554" s="4">
        <v>899</v>
      </c>
      <c r="K3554" s="4">
        <v>2775</v>
      </c>
      <c r="L3554" s="1">
        <f t="shared" si="1480"/>
        <v>3674</v>
      </c>
      <c r="M3554" s="2">
        <f t="shared" si="1481"/>
        <v>0.24469243331518781</v>
      </c>
      <c r="N3554" s="2">
        <f t="shared" si="1482"/>
        <v>0.75530756668481225</v>
      </c>
    </row>
    <row r="3555" spans="1:14" x14ac:dyDescent="0.35">
      <c r="A3555" t="s">
        <v>36</v>
      </c>
      <c r="B3555" t="s">
        <v>19</v>
      </c>
      <c r="C3555">
        <v>2010</v>
      </c>
      <c r="D3555" t="s">
        <v>32</v>
      </c>
      <c r="E3555" s="3">
        <v>8185</v>
      </c>
      <c r="F3555" s="3">
        <v>5963</v>
      </c>
      <c r="G3555" s="1">
        <f t="shared" si="1477"/>
        <v>14148</v>
      </c>
      <c r="H3555" s="2">
        <f t="shared" si="1478"/>
        <v>0.57852700028272552</v>
      </c>
      <c r="I3555" s="2">
        <f t="shared" si="1479"/>
        <v>0.42147299971727453</v>
      </c>
      <c r="J3555" s="4">
        <v>980</v>
      </c>
      <c r="K3555" s="4">
        <v>2931</v>
      </c>
      <c r="L3555" s="1">
        <f t="shared" si="1480"/>
        <v>3911</v>
      </c>
      <c r="M3555" s="2">
        <f t="shared" si="1481"/>
        <v>0.25057530043467147</v>
      </c>
      <c r="N3555" s="2">
        <f t="shared" si="1482"/>
        <v>0.74942469956532853</v>
      </c>
    </row>
    <row r="3556" spans="1:14" x14ac:dyDescent="0.35">
      <c r="A3556" t="s">
        <v>36</v>
      </c>
      <c r="B3556" t="s">
        <v>20</v>
      </c>
      <c r="C3556">
        <v>2010</v>
      </c>
      <c r="D3556" t="s">
        <v>32</v>
      </c>
      <c r="E3556" s="3">
        <v>8074</v>
      </c>
      <c r="F3556" s="3">
        <v>5988</v>
      </c>
      <c r="G3556" s="1">
        <f t="shared" si="1477"/>
        <v>14062</v>
      </c>
      <c r="H3556" s="2">
        <f t="shared" si="1478"/>
        <v>0.5741715260987057</v>
      </c>
      <c r="I3556" s="2">
        <f t="shared" si="1479"/>
        <v>0.42582847390129425</v>
      </c>
      <c r="J3556" s="4">
        <v>968</v>
      </c>
      <c r="K3556" s="4">
        <v>2927</v>
      </c>
      <c r="L3556" s="1">
        <f t="shared" si="1480"/>
        <v>3895</v>
      </c>
      <c r="M3556" s="2">
        <f t="shared" si="1481"/>
        <v>0.24852374839537869</v>
      </c>
      <c r="N3556" s="2">
        <f t="shared" si="1482"/>
        <v>0.75147625160462128</v>
      </c>
    </row>
    <row r="3557" spans="1:14" x14ac:dyDescent="0.35">
      <c r="A3557" t="s">
        <v>36</v>
      </c>
      <c r="B3557" t="s">
        <v>21</v>
      </c>
      <c r="C3557">
        <v>2010</v>
      </c>
      <c r="D3557" t="s">
        <v>32</v>
      </c>
      <c r="E3557" s="3">
        <v>8012</v>
      </c>
      <c r="F3557" s="3">
        <v>6014</v>
      </c>
      <c r="G3557" s="1">
        <f t="shared" si="1477"/>
        <v>14026</v>
      </c>
      <c r="H3557" s="2">
        <f t="shared" si="1478"/>
        <v>0.57122486810209616</v>
      </c>
      <c r="I3557" s="2">
        <f t="shared" si="1479"/>
        <v>0.42877513189790389</v>
      </c>
      <c r="J3557" s="4">
        <v>958</v>
      </c>
      <c r="K3557" s="4">
        <v>2935</v>
      </c>
      <c r="L3557" s="1">
        <f t="shared" si="1480"/>
        <v>3893</v>
      </c>
      <c r="M3557" s="2">
        <f t="shared" si="1481"/>
        <v>0.24608271256100694</v>
      </c>
      <c r="N3557" s="2">
        <f t="shared" si="1482"/>
        <v>0.75391728743899311</v>
      </c>
    </row>
    <row r="3558" spans="1:14" x14ac:dyDescent="0.35">
      <c r="A3558" t="s">
        <v>36</v>
      </c>
      <c r="B3558" t="s">
        <v>22</v>
      </c>
      <c r="C3558">
        <v>2010</v>
      </c>
      <c r="D3558" t="s">
        <v>32</v>
      </c>
      <c r="E3558" s="3">
        <v>7936</v>
      </c>
      <c r="F3558" s="3">
        <v>6028</v>
      </c>
      <c r="G3558" s="1">
        <f t="shared" si="1477"/>
        <v>13964</v>
      </c>
      <c r="H3558" s="2">
        <f t="shared" si="1478"/>
        <v>0.56831853337152682</v>
      </c>
      <c r="I3558" s="2">
        <f t="shared" si="1479"/>
        <v>0.43168146662847323</v>
      </c>
      <c r="J3558" s="4">
        <v>951</v>
      </c>
      <c r="K3558" s="4">
        <v>2934</v>
      </c>
      <c r="L3558" s="1">
        <f t="shared" si="1480"/>
        <v>3885</v>
      </c>
      <c r="M3558" s="2">
        <f t="shared" si="1481"/>
        <v>0.24478764478764478</v>
      </c>
      <c r="N3558" s="2">
        <f t="shared" si="1482"/>
        <v>0.75521235521235519</v>
      </c>
    </row>
    <row r="3559" spans="1:14" x14ac:dyDescent="0.35">
      <c r="A3559" t="s">
        <v>36</v>
      </c>
      <c r="B3559" t="s">
        <v>23</v>
      </c>
      <c r="C3559">
        <v>2010</v>
      </c>
      <c r="D3559" t="s">
        <v>32</v>
      </c>
      <c r="E3559" s="3">
        <v>7881</v>
      </c>
      <c r="F3559" s="3">
        <v>6064</v>
      </c>
      <c r="G3559" s="1">
        <f t="shared" si="1477"/>
        <v>13945</v>
      </c>
      <c r="H3559" s="2">
        <f t="shared" si="1478"/>
        <v>0.56514879885263536</v>
      </c>
      <c r="I3559" s="2">
        <f t="shared" si="1479"/>
        <v>0.43485120114736464</v>
      </c>
      <c r="J3559" s="4">
        <v>950</v>
      </c>
      <c r="K3559" s="4">
        <v>2936</v>
      </c>
      <c r="L3559" s="1">
        <f t="shared" si="1480"/>
        <v>3886</v>
      </c>
      <c r="M3559" s="2">
        <f t="shared" si="1481"/>
        <v>0.2444673185795162</v>
      </c>
      <c r="N3559" s="2">
        <f t="shared" si="1482"/>
        <v>0.7555326814204838</v>
      </c>
    </row>
    <row r="3560" spans="1:14" x14ac:dyDescent="0.35">
      <c r="A3560" t="s">
        <v>36</v>
      </c>
      <c r="B3560" t="s">
        <v>24</v>
      </c>
      <c r="C3560">
        <v>2010</v>
      </c>
      <c r="D3560" t="s">
        <v>32</v>
      </c>
      <c r="E3560" s="3">
        <v>7789</v>
      </c>
      <c r="F3560" s="3">
        <v>6104</v>
      </c>
      <c r="G3560" s="1">
        <f t="shared" si="1477"/>
        <v>13893</v>
      </c>
      <c r="H3560" s="2">
        <f t="shared" si="1478"/>
        <v>0.56064204995321387</v>
      </c>
      <c r="I3560" s="2">
        <f t="shared" si="1479"/>
        <v>0.43935795004678613</v>
      </c>
      <c r="J3560" s="4">
        <v>921</v>
      </c>
      <c r="K3560" s="4">
        <v>2937</v>
      </c>
      <c r="L3560" s="1">
        <f t="shared" si="1480"/>
        <v>3858</v>
      </c>
      <c r="M3560" s="2">
        <f t="shared" si="1481"/>
        <v>0.23872472783825816</v>
      </c>
      <c r="N3560" s="2">
        <f t="shared" si="1482"/>
        <v>0.76127527216174184</v>
      </c>
    </row>
    <row r="3561" spans="1:14" x14ac:dyDescent="0.35">
      <c r="A3561" t="s">
        <v>36</v>
      </c>
      <c r="B3561" t="s">
        <v>25</v>
      </c>
      <c r="C3561">
        <v>2010</v>
      </c>
      <c r="D3561" t="s">
        <v>32</v>
      </c>
      <c r="E3561" s="3">
        <v>7327</v>
      </c>
      <c r="F3561" s="3">
        <v>5841</v>
      </c>
      <c r="G3561" s="1">
        <f t="shared" si="1477"/>
        <v>13168</v>
      </c>
      <c r="H3561" s="2">
        <f t="shared" si="1478"/>
        <v>0.55642466585662209</v>
      </c>
      <c r="I3561" s="2">
        <f t="shared" si="1479"/>
        <v>0.44357533414337791</v>
      </c>
      <c r="J3561" s="4">
        <v>860</v>
      </c>
      <c r="K3561" s="4">
        <v>2874</v>
      </c>
      <c r="L3561" s="1">
        <f t="shared" si="1480"/>
        <v>3734</v>
      </c>
      <c r="M3561" s="2">
        <f t="shared" si="1481"/>
        <v>0.23031601499732191</v>
      </c>
      <c r="N3561" s="2">
        <f t="shared" si="1482"/>
        <v>0.76968398500267809</v>
      </c>
    </row>
    <row r="3562" spans="1:14" x14ac:dyDescent="0.35">
      <c r="A3562" t="s">
        <v>36</v>
      </c>
      <c r="B3562" t="s">
        <v>26</v>
      </c>
      <c r="C3562">
        <v>2010</v>
      </c>
      <c r="D3562" t="s">
        <v>32</v>
      </c>
      <c r="E3562" s="3">
        <v>7697</v>
      </c>
      <c r="F3562" s="3">
        <v>6130</v>
      </c>
      <c r="G3562" s="1">
        <f t="shared" si="1477"/>
        <v>13827</v>
      </c>
      <c r="H3562" s="2">
        <f t="shared" si="1478"/>
        <v>0.55666449699862586</v>
      </c>
      <c r="I3562" s="2">
        <f t="shared" si="1479"/>
        <v>0.44333550300137414</v>
      </c>
      <c r="J3562" s="4">
        <v>908</v>
      </c>
      <c r="K3562" s="4">
        <v>2955</v>
      </c>
      <c r="L3562" s="1">
        <f t="shared" si="1480"/>
        <v>3863</v>
      </c>
      <c r="M3562" s="2">
        <f t="shared" si="1481"/>
        <v>0.23505047890240746</v>
      </c>
      <c r="N3562" s="2">
        <f t="shared" si="1482"/>
        <v>0.76494952109759251</v>
      </c>
    </row>
    <row r="3563" spans="1:14" x14ac:dyDescent="0.35">
      <c r="A3563" t="s">
        <v>36</v>
      </c>
      <c r="B3563" t="s">
        <v>27</v>
      </c>
      <c r="C3563">
        <v>2010</v>
      </c>
      <c r="D3563" t="s">
        <v>32</v>
      </c>
      <c r="E3563" s="3">
        <v>7252</v>
      </c>
      <c r="F3563" s="3">
        <v>5886</v>
      </c>
      <c r="G3563" s="1">
        <f t="shared" si="1477"/>
        <v>13138</v>
      </c>
      <c r="H3563" s="2">
        <f t="shared" si="1478"/>
        <v>0.55198660374486219</v>
      </c>
      <c r="I3563" s="2">
        <f t="shared" si="1479"/>
        <v>0.44801339625513775</v>
      </c>
      <c r="J3563" s="4">
        <v>849</v>
      </c>
      <c r="K3563" s="4">
        <v>2875</v>
      </c>
      <c r="L3563" s="1">
        <f t="shared" si="1480"/>
        <v>3724</v>
      </c>
      <c r="M3563" s="2">
        <f t="shared" si="1481"/>
        <v>0.22798066595059077</v>
      </c>
      <c r="N3563" s="2">
        <f t="shared" si="1482"/>
        <v>0.77201933404940926</v>
      </c>
    </row>
    <row r="3564" spans="1:14" x14ac:dyDescent="0.35">
      <c r="A3564" t="s">
        <v>36</v>
      </c>
      <c r="B3564" t="s">
        <v>28</v>
      </c>
      <c r="C3564">
        <v>2010</v>
      </c>
      <c r="D3564" t="s">
        <v>32</v>
      </c>
      <c r="E3564" s="3">
        <v>7128</v>
      </c>
      <c r="F3564" s="3">
        <v>5984</v>
      </c>
      <c r="G3564" s="1">
        <f t="shared" si="1477"/>
        <v>13112</v>
      </c>
      <c r="H3564" s="2">
        <f t="shared" si="1478"/>
        <v>0.5436241610738255</v>
      </c>
      <c r="I3564" s="2">
        <f t="shared" si="1479"/>
        <v>0.4563758389261745</v>
      </c>
      <c r="J3564" s="4">
        <v>831</v>
      </c>
      <c r="K3564" s="4">
        <v>2867</v>
      </c>
      <c r="L3564" s="1">
        <f t="shared" si="1480"/>
        <v>3698</v>
      </c>
      <c r="M3564" s="2">
        <f t="shared" si="1481"/>
        <v>0.22471606273661437</v>
      </c>
      <c r="N3564" s="2">
        <f t="shared" si="1482"/>
        <v>0.77528393726338563</v>
      </c>
    </row>
    <row r="3565" spans="1:14" x14ac:dyDescent="0.35">
      <c r="A3565" t="s">
        <v>36</v>
      </c>
      <c r="B3565" t="s">
        <v>29</v>
      </c>
      <c r="C3565">
        <v>2010</v>
      </c>
      <c r="D3565" t="s">
        <v>32</v>
      </c>
      <c r="E3565" s="3">
        <v>7338</v>
      </c>
      <c r="F3565" s="3">
        <v>6259</v>
      </c>
      <c r="G3565" s="1">
        <f t="shared" si="1477"/>
        <v>13597</v>
      </c>
      <c r="H3565" s="2">
        <f t="shared" si="1478"/>
        <v>0.53967787011840851</v>
      </c>
      <c r="I3565" s="2">
        <f t="shared" si="1479"/>
        <v>0.46032212988159155</v>
      </c>
      <c r="J3565" s="4">
        <v>866</v>
      </c>
      <c r="K3565" s="4">
        <v>2942</v>
      </c>
      <c r="L3565" s="1">
        <f t="shared" si="1480"/>
        <v>3808</v>
      </c>
      <c r="M3565" s="2">
        <f t="shared" si="1481"/>
        <v>0.22741596638655462</v>
      </c>
      <c r="N3565" s="2">
        <f t="shared" si="1482"/>
        <v>0.77258403361344541</v>
      </c>
    </row>
    <row r="3566" spans="1:14" x14ac:dyDescent="0.35">
      <c r="A3566" t="s">
        <v>36</v>
      </c>
      <c r="B3566" t="s">
        <v>17</v>
      </c>
      <c r="C3566">
        <v>2011</v>
      </c>
      <c r="D3566" t="s">
        <v>32</v>
      </c>
      <c r="E3566" s="3">
        <v>6544</v>
      </c>
      <c r="F3566" s="3">
        <v>5724</v>
      </c>
      <c r="G3566" s="1">
        <f t="shared" si="1477"/>
        <v>12268</v>
      </c>
      <c r="H3566" s="2">
        <f t="shared" si="1478"/>
        <v>0.53342028040430389</v>
      </c>
      <c r="I3566" s="2">
        <f t="shared" si="1479"/>
        <v>0.46657971959569611</v>
      </c>
      <c r="J3566" s="4">
        <v>765</v>
      </c>
      <c r="K3566" s="4">
        <v>2308</v>
      </c>
      <c r="L3566" s="1">
        <f t="shared" si="1480"/>
        <v>3073</v>
      </c>
      <c r="M3566" s="2">
        <f t="shared" si="1481"/>
        <v>0.24894240156199154</v>
      </c>
      <c r="N3566" s="2">
        <f t="shared" si="1482"/>
        <v>0.75105759843800846</v>
      </c>
    </row>
    <row r="3567" spans="1:14" x14ac:dyDescent="0.35">
      <c r="A3567" t="s">
        <v>36</v>
      </c>
      <c r="B3567" t="s">
        <v>19</v>
      </c>
      <c r="C3567">
        <v>2011</v>
      </c>
      <c r="D3567" t="s">
        <v>32</v>
      </c>
      <c r="E3567" s="3">
        <v>7202</v>
      </c>
      <c r="F3567" s="3">
        <v>6396</v>
      </c>
      <c r="G3567" s="1">
        <f t="shared" si="1477"/>
        <v>13598</v>
      </c>
      <c r="H3567" s="2">
        <f t="shared" si="1478"/>
        <v>0.5296367112810707</v>
      </c>
      <c r="I3567" s="2">
        <f t="shared" si="1479"/>
        <v>0.47036328871892924</v>
      </c>
      <c r="J3567" s="4">
        <v>840</v>
      </c>
      <c r="K3567" s="4">
        <v>2975</v>
      </c>
      <c r="L3567" s="1">
        <f t="shared" si="1480"/>
        <v>3815</v>
      </c>
      <c r="M3567" s="2">
        <f t="shared" si="1481"/>
        <v>0.22018348623853212</v>
      </c>
      <c r="N3567" s="2">
        <f t="shared" si="1482"/>
        <v>0.77981651376146788</v>
      </c>
    </row>
    <row r="3568" spans="1:14" x14ac:dyDescent="0.35">
      <c r="A3568" t="s">
        <v>36</v>
      </c>
      <c r="B3568" t="s">
        <v>20</v>
      </c>
      <c r="C3568">
        <v>2011</v>
      </c>
      <c r="D3568" t="s">
        <v>32</v>
      </c>
      <c r="E3568" s="3">
        <v>7147</v>
      </c>
      <c r="F3568" s="3">
        <v>6433</v>
      </c>
      <c r="G3568" s="1">
        <f t="shared" si="1477"/>
        <v>13580</v>
      </c>
      <c r="H3568" s="2">
        <f t="shared" si="1478"/>
        <v>0.52628865979381445</v>
      </c>
      <c r="I3568" s="2">
        <f t="shared" si="1479"/>
        <v>0.47371134020618555</v>
      </c>
      <c r="J3568" s="4">
        <v>833</v>
      </c>
      <c r="K3568" s="4">
        <v>2951</v>
      </c>
      <c r="L3568" s="1">
        <f t="shared" si="1480"/>
        <v>3784</v>
      </c>
      <c r="M3568" s="2">
        <f t="shared" si="1481"/>
        <v>0.22013742071881606</v>
      </c>
      <c r="N3568" s="2">
        <f t="shared" si="1482"/>
        <v>0.77986257928118397</v>
      </c>
    </row>
    <row r="3569" spans="1:14" x14ac:dyDescent="0.35">
      <c r="A3569" t="s">
        <v>36</v>
      </c>
      <c r="B3569" t="s">
        <v>21</v>
      </c>
      <c r="C3569">
        <v>2011</v>
      </c>
      <c r="D3569" t="s">
        <v>32</v>
      </c>
      <c r="E3569" s="3">
        <v>6688</v>
      </c>
      <c r="F3569" s="3">
        <v>6156</v>
      </c>
      <c r="G3569" s="1">
        <f t="shared" si="1477"/>
        <v>12844</v>
      </c>
      <c r="H3569" s="2">
        <f t="shared" si="1478"/>
        <v>0.52071005917159763</v>
      </c>
      <c r="I3569" s="2">
        <f t="shared" si="1479"/>
        <v>0.47928994082840237</v>
      </c>
      <c r="J3569" s="4">
        <v>777</v>
      </c>
      <c r="K3569" s="4">
        <v>2878</v>
      </c>
      <c r="L3569" s="1">
        <f t="shared" si="1480"/>
        <v>3655</v>
      </c>
      <c r="M3569" s="2">
        <f t="shared" si="1481"/>
        <v>0.21258549931600548</v>
      </c>
      <c r="N3569" s="2">
        <f t="shared" si="1482"/>
        <v>0.78741450068399454</v>
      </c>
    </row>
    <row r="3570" spans="1:14" x14ac:dyDescent="0.35">
      <c r="A3570" t="s">
        <v>36</v>
      </c>
      <c r="B3570" t="s">
        <v>22</v>
      </c>
      <c r="C3570">
        <v>2011</v>
      </c>
      <c r="D3570" t="s">
        <v>32</v>
      </c>
      <c r="E3570" s="3">
        <v>6229</v>
      </c>
      <c r="F3570" s="3">
        <v>5898</v>
      </c>
      <c r="G3570" s="1">
        <f t="shared" si="1477"/>
        <v>12127</v>
      </c>
      <c r="H3570" s="2">
        <f t="shared" si="1478"/>
        <v>0.51364723344602947</v>
      </c>
      <c r="I3570" s="2">
        <f t="shared" si="1479"/>
        <v>0.48635276655397047</v>
      </c>
      <c r="J3570" s="4">
        <v>726</v>
      </c>
      <c r="K3570" s="4">
        <v>2802</v>
      </c>
      <c r="L3570" s="1">
        <f t="shared" si="1480"/>
        <v>3528</v>
      </c>
      <c r="M3570" s="2">
        <f t="shared" si="1481"/>
        <v>0.20578231292517007</v>
      </c>
      <c r="N3570" s="2">
        <f t="shared" si="1482"/>
        <v>0.79421768707482998</v>
      </c>
    </row>
    <row r="3571" spans="1:14" x14ac:dyDescent="0.35">
      <c r="A3571" t="s">
        <v>36</v>
      </c>
      <c r="B3571" t="s">
        <v>23</v>
      </c>
      <c r="C3571">
        <v>2011</v>
      </c>
      <c r="D3571" t="s">
        <v>32</v>
      </c>
      <c r="E3571" s="3">
        <v>6965</v>
      </c>
      <c r="F3571" s="3">
        <v>6555</v>
      </c>
      <c r="G3571" s="1">
        <f t="shared" si="1477"/>
        <v>13520</v>
      </c>
      <c r="H3571" s="2">
        <f t="shared" si="1478"/>
        <v>0.5151627218934911</v>
      </c>
      <c r="I3571" s="2">
        <f t="shared" si="1479"/>
        <v>0.4848372781065089</v>
      </c>
      <c r="J3571" s="4">
        <v>805</v>
      </c>
      <c r="K3571" s="4">
        <v>2979</v>
      </c>
      <c r="L3571" s="1">
        <f t="shared" si="1480"/>
        <v>3784</v>
      </c>
      <c r="M3571" s="2">
        <f t="shared" si="1481"/>
        <v>0.21273784355179703</v>
      </c>
      <c r="N3571" s="2">
        <f t="shared" si="1482"/>
        <v>0.78726215644820297</v>
      </c>
    </row>
    <row r="3572" spans="1:14" x14ac:dyDescent="0.35">
      <c r="A3572" t="s">
        <v>36</v>
      </c>
      <c r="B3572" t="s">
        <v>24</v>
      </c>
      <c r="C3572">
        <v>2011</v>
      </c>
      <c r="D3572" t="s">
        <v>32</v>
      </c>
      <c r="E3572" s="3">
        <v>6510</v>
      </c>
      <c r="F3572" s="3">
        <v>6231</v>
      </c>
      <c r="G3572" s="1">
        <f t="shared" si="1477"/>
        <v>12741</v>
      </c>
      <c r="H3572" s="2">
        <f t="shared" si="1478"/>
        <v>0.51094890510948909</v>
      </c>
      <c r="I3572" s="2">
        <f t="shared" si="1479"/>
        <v>0.48905109489051096</v>
      </c>
      <c r="J3572" s="4">
        <v>747</v>
      </c>
      <c r="K3572" s="4">
        <v>2882</v>
      </c>
      <c r="L3572" s="1">
        <f t="shared" si="1480"/>
        <v>3629</v>
      </c>
      <c r="M3572" s="2">
        <f t="shared" si="1481"/>
        <v>0.20584182970515294</v>
      </c>
      <c r="N3572" s="2">
        <f t="shared" si="1482"/>
        <v>0.79415817029484703</v>
      </c>
    </row>
    <row r="3573" spans="1:14" x14ac:dyDescent="0.35">
      <c r="A3573" t="s">
        <v>36</v>
      </c>
      <c r="B3573" t="s">
        <v>25</v>
      </c>
      <c r="C3573">
        <v>2011</v>
      </c>
      <c r="D3573" t="s">
        <v>32</v>
      </c>
      <c r="E3573" s="3">
        <v>6796</v>
      </c>
      <c r="F3573" s="3">
        <v>6635</v>
      </c>
      <c r="G3573" s="1">
        <f t="shared" si="1477"/>
        <v>13431</v>
      </c>
      <c r="H3573" s="2">
        <f t="shared" si="1478"/>
        <v>0.50599359690268786</v>
      </c>
      <c r="I3573" s="2">
        <f t="shared" si="1479"/>
        <v>0.4940064030973122</v>
      </c>
      <c r="J3573" s="4">
        <v>783</v>
      </c>
      <c r="K3573" s="4">
        <v>2977</v>
      </c>
      <c r="L3573" s="1">
        <f t="shared" si="1480"/>
        <v>3760</v>
      </c>
      <c r="M3573" s="2">
        <f t="shared" si="1481"/>
        <v>0.20824468085106382</v>
      </c>
      <c r="N3573" s="2">
        <f t="shared" si="1482"/>
        <v>0.79175531914893615</v>
      </c>
    </row>
    <row r="3574" spans="1:14" x14ac:dyDescent="0.35">
      <c r="A3574" t="s">
        <v>36</v>
      </c>
      <c r="B3574" t="s">
        <v>26</v>
      </c>
      <c r="C3574">
        <v>2011</v>
      </c>
      <c r="D3574" t="s">
        <v>32</v>
      </c>
      <c r="E3574" s="3">
        <v>6392</v>
      </c>
      <c r="F3574" s="3">
        <v>6292</v>
      </c>
      <c r="G3574" s="1">
        <f t="shared" si="1477"/>
        <v>12684</v>
      </c>
      <c r="H3574" s="2">
        <f t="shared" si="1478"/>
        <v>0.50394197414064967</v>
      </c>
      <c r="I3574" s="2">
        <f t="shared" si="1479"/>
        <v>0.49605802585935038</v>
      </c>
      <c r="J3574" s="4">
        <v>737</v>
      </c>
      <c r="K3574" s="4">
        <v>2874</v>
      </c>
      <c r="L3574" s="1">
        <f t="shared" si="1480"/>
        <v>3611</v>
      </c>
      <c r="M3574" s="2">
        <f t="shared" si="1481"/>
        <v>0.20409858764885072</v>
      </c>
      <c r="N3574" s="2">
        <f t="shared" si="1482"/>
        <v>0.79590141235114931</v>
      </c>
    </row>
    <row r="3575" spans="1:14" x14ac:dyDescent="0.35">
      <c r="A3575" t="s">
        <v>36</v>
      </c>
      <c r="B3575" t="s">
        <v>27</v>
      </c>
      <c r="C3575">
        <v>2011</v>
      </c>
      <c r="D3575" t="s">
        <v>32</v>
      </c>
      <c r="E3575" s="3">
        <v>6282</v>
      </c>
      <c r="F3575" s="3">
        <v>6336</v>
      </c>
      <c r="G3575" s="1">
        <f t="shared" ref="G3575:G3638" si="1483">SUM(E3575:F3575)</f>
        <v>12618</v>
      </c>
      <c r="H3575" s="2">
        <f t="shared" ref="H3575:H3638" si="1484">SUM(E3575)/G3575</f>
        <v>0.49786019971469331</v>
      </c>
      <c r="I3575" s="2">
        <f t="shared" ref="I3575:I3638" si="1485">SUM(F3575/G3575)</f>
        <v>0.50213980028530669</v>
      </c>
      <c r="J3575" s="4">
        <v>715</v>
      </c>
      <c r="K3575" s="4">
        <v>2784</v>
      </c>
      <c r="L3575" s="1">
        <f t="shared" si="1480"/>
        <v>3499</v>
      </c>
      <c r="M3575" s="2">
        <f t="shared" si="1481"/>
        <v>0.20434409831380396</v>
      </c>
      <c r="N3575" s="2">
        <f t="shared" si="1482"/>
        <v>0.79565590168619604</v>
      </c>
    </row>
    <row r="3576" spans="1:14" x14ac:dyDescent="0.35">
      <c r="A3576" t="s">
        <v>36</v>
      </c>
      <c r="B3576" t="s">
        <v>28</v>
      </c>
      <c r="C3576">
        <v>2011</v>
      </c>
      <c r="D3576" t="s">
        <v>32</v>
      </c>
      <c r="E3576" s="3">
        <v>6552</v>
      </c>
      <c r="F3576" s="3">
        <v>6859</v>
      </c>
      <c r="G3576" s="1">
        <f t="shared" si="1483"/>
        <v>13411</v>
      </c>
      <c r="H3576" s="2">
        <f t="shared" si="1484"/>
        <v>0.48855417194840056</v>
      </c>
      <c r="I3576" s="2">
        <f t="shared" si="1485"/>
        <v>0.51144582805159944</v>
      </c>
      <c r="J3576" s="4">
        <v>751</v>
      </c>
      <c r="K3576" s="4">
        <v>3025</v>
      </c>
      <c r="L3576" s="1">
        <f t="shared" si="1480"/>
        <v>3776</v>
      </c>
      <c r="M3576" s="2">
        <f t="shared" si="1481"/>
        <v>0.19888771186440679</v>
      </c>
      <c r="N3576" s="2">
        <f t="shared" si="1482"/>
        <v>0.80111228813559321</v>
      </c>
    </row>
    <row r="3577" spans="1:14" x14ac:dyDescent="0.35">
      <c r="A3577" t="s">
        <v>36</v>
      </c>
      <c r="B3577" t="s">
        <v>29</v>
      </c>
      <c r="C3577">
        <v>2011</v>
      </c>
      <c r="D3577" t="s">
        <v>32</v>
      </c>
      <c r="E3577" s="3">
        <v>5791</v>
      </c>
      <c r="F3577" s="3">
        <v>6069</v>
      </c>
      <c r="G3577" s="1">
        <f t="shared" si="1483"/>
        <v>11860</v>
      </c>
      <c r="H3577" s="2">
        <f t="shared" si="1484"/>
        <v>0.48827993254637436</v>
      </c>
      <c r="I3577" s="2">
        <f t="shared" si="1485"/>
        <v>0.51172006745362564</v>
      </c>
      <c r="J3577" s="4">
        <v>668</v>
      </c>
      <c r="K3577" s="4">
        <v>2347</v>
      </c>
      <c r="L3577" s="1">
        <f t="shared" si="1480"/>
        <v>3015</v>
      </c>
      <c r="M3577" s="2">
        <f t="shared" si="1481"/>
        <v>0.22155887230514096</v>
      </c>
      <c r="N3577" s="2">
        <f t="shared" si="1482"/>
        <v>0.77844112769485907</v>
      </c>
    </row>
    <row r="3578" spans="1:14" x14ac:dyDescent="0.35">
      <c r="A3578" t="s">
        <v>36</v>
      </c>
      <c r="B3578" t="s">
        <v>17</v>
      </c>
      <c r="C3578">
        <v>2012</v>
      </c>
      <c r="D3578" t="s">
        <v>32</v>
      </c>
      <c r="E3578" s="3">
        <v>5636</v>
      </c>
      <c r="F3578" s="3">
        <v>5924</v>
      </c>
      <c r="G3578" s="1">
        <f t="shared" si="1483"/>
        <v>11560</v>
      </c>
      <c r="H3578" s="2">
        <f t="shared" si="1484"/>
        <v>0.48754325259515569</v>
      </c>
      <c r="I3578" s="2">
        <f t="shared" si="1485"/>
        <v>0.51245674740484426</v>
      </c>
      <c r="J3578" s="4">
        <v>644</v>
      </c>
      <c r="K3578" s="4">
        <v>2787</v>
      </c>
      <c r="L3578" s="1">
        <f t="shared" si="1480"/>
        <v>3431</v>
      </c>
      <c r="M3578" s="2">
        <f t="shared" si="1481"/>
        <v>0.1877003788982804</v>
      </c>
      <c r="N3578" s="2">
        <f t="shared" si="1482"/>
        <v>0.8122996211017196</v>
      </c>
    </row>
    <row r="3579" spans="1:14" x14ac:dyDescent="0.35">
      <c r="A3579" t="s">
        <v>36</v>
      </c>
      <c r="B3579" t="s">
        <v>19</v>
      </c>
      <c r="C3579">
        <v>2012</v>
      </c>
      <c r="D3579" t="s">
        <v>32</v>
      </c>
      <c r="E3579" s="3">
        <v>6174</v>
      </c>
      <c r="F3579" s="3">
        <v>6405</v>
      </c>
      <c r="G3579" s="1">
        <f t="shared" si="1483"/>
        <v>12579</v>
      </c>
      <c r="H3579" s="2">
        <f t="shared" si="1484"/>
        <v>0.49081803005008345</v>
      </c>
      <c r="I3579" s="2">
        <f t="shared" si="1485"/>
        <v>0.50918196994991649</v>
      </c>
      <c r="J3579" s="4">
        <v>700</v>
      </c>
      <c r="K3579" s="4">
        <v>2904</v>
      </c>
      <c r="L3579" s="1">
        <f t="shared" si="1480"/>
        <v>3604</v>
      </c>
      <c r="M3579" s="2">
        <f t="shared" si="1481"/>
        <v>0.19422863485016648</v>
      </c>
      <c r="N3579" s="2">
        <f t="shared" si="1482"/>
        <v>0.8057713651498335</v>
      </c>
    </row>
    <row r="3580" spans="1:14" x14ac:dyDescent="0.35">
      <c r="A3580" t="s">
        <v>36</v>
      </c>
      <c r="B3580" t="s">
        <v>20</v>
      </c>
      <c r="C3580">
        <v>2012</v>
      </c>
      <c r="D3580" t="s">
        <v>32</v>
      </c>
      <c r="E3580" s="3">
        <v>6388</v>
      </c>
      <c r="F3580" s="3">
        <v>6766</v>
      </c>
      <c r="G3580" s="1">
        <f t="shared" si="1483"/>
        <v>13154</v>
      </c>
      <c r="H3580" s="2">
        <f t="shared" si="1484"/>
        <v>0.48563174699711115</v>
      </c>
      <c r="I3580" s="2">
        <f t="shared" si="1485"/>
        <v>0.51436825300288891</v>
      </c>
      <c r="J3580" s="4">
        <v>724</v>
      </c>
      <c r="K3580" s="4">
        <v>2991</v>
      </c>
      <c r="L3580" s="1">
        <f t="shared" si="1480"/>
        <v>3715</v>
      </c>
      <c r="M3580" s="2">
        <f t="shared" si="1481"/>
        <v>0.19488559892328397</v>
      </c>
      <c r="N3580" s="2">
        <f t="shared" si="1482"/>
        <v>0.80511440107671606</v>
      </c>
    </row>
    <row r="3581" spans="1:14" x14ac:dyDescent="0.35">
      <c r="A3581" t="s">
        <v>36</v>
      </c>
      <c r="B3581" t="s">
        <v>21</v>
      </c>
      <c r="C3581">
        <v>2012</v>
      </c>
      <c r="D3581" t="s">
        <v>32</v>
      </c>
      <c r="E3581" s="3">
        <v>6329</v>
      </c>
      <c r="F3581" s="3">
        <v>6751</v>
      </c>
      <c r="G3581" s="1">
        <f t="shared" si="1483"/>
        <v>13080</v>
      </c>
      <c r="H3581" s="2">
        <f t="shared" si="1484"/>
        <v>0.48386850152905198</v>
      </c>
      <c r="I3581" s="2">
        <f t="shared" si="1485"/>
        <v>0.51613149847094797</v>
      </c>
      <c r="J3581" s="4">
        <v>724</v>
      </c>
      <c r="K3581" s="4">
        <v>2994</v>
      </c>
      <c r="L3581" s="1">
        <f t="shared" si="1480"/>
        <v>3718</v>
      </c>
      <c r="M3581" s="2">
        <f t="shared" si="1481"/>
        <v>0.19472834857450241</v>
      </c>
      <c r="N3581" s="2">
        <f t="shared" si="1482"/>
        <v>0.80527165142549761</v>
      </c>
    </row>
    <row r="3582" spans="1:14" x14ac:dyDescent="0.35">
      <c r="A3582" t="s">
        <v>36</v>
      </c>
      <c r="B3582" t="s">
        <v>22</v>
      </c>
      <c r="C3582">
        <v>2012</v>
      </c>
      <c r="D3582" t="s">
        <v>32</v>
      </c>
      <c r="E3582" s="3">
        <v>6272</v>
      </c>
      <c r="F3582" s="3">
        <v>6799</v>
      </c>
      <c r="G3582" s="1">
        <f t="shared" si="1483"/>
        <v>13071</v>
      </c>
      <c r="H3582" s="2">
        <f t="shared" si="1484"/>
        <v>0.47984086909953333</v>
      </c>
      <c r="I3582" s="2">
        <f t="shared" si="1485"/>
        <v>0.52015913090046673</v>
      </c>
      <c r="J3582" s="4">
        <v>709</v>
      </c>
      <c r="K3582" s="4">
        <v>3002</v>
      </c>
      <c r="L3582" s="1">
        <f t="shared" si="1480"/>
        <v>3711</v>
      </c>
      <c r="M3582" s="2">
        <f t="shared" si="1481"/>
        <v>0.19105362436001078</v>
      </c>
      <c r="N3582" s="2">
        <f t="shared" si="1482"/>
        <v>0.80894637563998917</v>
      </c>
    </row>
    <row r="3583" spans="1:14" x14ac:dyDescent="0.35">
      <c r="A3583" t="s">
        <v>36</v>
      </c>
      <c r="B3583" t="s">
        <v>23</v>
      </c>
      <c r="C3583">
        <v>2012</v>
      </c>
      <c r="D3583" t="s">
        <v>32</v>
      </c>
      <c r="E3583" s="3">
        <v>6230</v>
      </c>
      <c r="F3583" s="3">
        <v>6757</v>
      </c>
      <c r="G3583" s="1">
        <f t="shared" si="1483"/>
        <v>12987</v>
      </c>
      <c r="H3583" s="2">
        <f t="shared" si="1484"/>
        <v>0.4797104797104797</v>
      </c>
      <c r="I3583" s="2">
        <f t="shared" si="1485"/>
        <v>0.52028952028952025</v>
      </c>
      <c r="J3583" s="4">
        <v>704</v>
      </c>
      <c r="K3583" s="4">
        <v>2509</v>
      </c>
      <c r="L3583" s="1">
        <f t="shared" si="1480"/>
        <v>3213</v>
      </c>
      <c r="M3583" s="2">
        <f t="shared" si="1481"/>
        <v>0.21910986616868969</v>
      </c>
      <c r="N3583" s="2">
        <f t="shared" si="1482"/>
        <v>0.78089013383131034</v>
      </c>
    </row>
    <row r="3584" spans="1:14" x14ac:dyDescent="0.35">
      <c r="A3584" t="s">
        <v>36</v>
      </c>
      <c r="B3584" t="s">
        <v>24</v>
      </c>
      <c r="C3584">
        <v>2012</v>
      </c>
      <c r="D3584" t="s">
        <v>32</v>
      </c>
      <c r="E3584" s="3">
        <v>6207</v>
      </c>
      <c r="F3584" s="3">
        <v>6822</v>
      </c>
      <c r="G3584" s="1">
        <f t="shared" si="1483"/>
        <v>13029</v>
      </c>
      <c r="H3584" s="2">
        <f t="shared" si="1484"/>
        <v>0.47639880267096479</v>
      </c>
      <c r="I3584" s="2">
        <f t="shared" si="1485"/>
        <v>0.52360119732903521</v>
      </c>
      <c r="J3584" s="4">
        <v>698</v>
      </c>
      <c r="K3584" s="4">
        <v>2994</v>
      </c>
      <c r="L3584" s="1">
        <f t="shared" si="1480"/>
        <v>3692</v>
      </c>
      <c r="M3584" s="2">
        <f t="shared" si="1481"/>
        <v>0.18905742145178764</v>
      </c>
      <c r="N3584" s="2">
        <f t="shared" si="1482"/>
        <v>0.81094257854821239</v>
      </c>
    </row>
    <row r="3585" spans="1:14" x14ac:dyDescent="0.35">
      <c r="A3585" t="s">
        <v>36</v>
      </c>
      <c r="B3585" t="s">
        <v>25</v>
      </c>
      <c r="C3585">
        <v>2012</v>
      </c>
      <c r="D3585" t="s">
        <v>32</v>
      </c>
      <c r="E3585" s="3">
        <v>6180</v>
      </c>
      <c r="F3585" s="3">
        <v>6826</v>
      </c>
      <c r="G3585" s="1">
        <f t="shared" si="1483"/>
        <v>13006</v>
      </c>
      <c r="H3585" s="2">
        <f t="shared" si="1484"/>
        <v>0.47516530831923726</v>
      </c>
      <c r="I3585" s="2">
        <f t="shared" si="1485"/>
        <v>0.52483469168076269</v>
      </c>
      <c r="J3585" s="4">
        <v>686</v>
      </c>
      <c r="K3585" s="4">
        <v>3008</v>
      </c>
      <c r="L3585" s="1">
        <f t="shared" si="1480"/>
        <v>3694</v>
      </c>
      <c r="M3585" s="2">
        <f t="shared" si="1481"/>
        <v>0.1857065511640498</v>
      </c>
      <c r="N3585" s="2">
        <f t="shared" si="1482"/>
        <v>0.81429344883595023</v>
      </c>
    </row>
    <row r="3586" spans="1:14" x14ac:dyDescent="0.35">
      <c r="A3586" t="s">
        <v>36</v>
      </c>
      <c r="B3586" t="s">
        <v>26</v>
      </c>
      <c r="C3586">
        <v>2012</v>
      </c>
      <c r="D3586" t="s">
        <v>32</v>
      </c>
      <c r="E3586" s="3">
        <v>6101</v>
      </c>
      <c r="F3586" s="3">
        <v>6865</v>
      </c>
      <c r="G3586" s="1">
        <f t="shared" si="1483"/>
        <v>12966</v>
      </c>
      <c r="H3586" s="2">
        <f t="shared" si="1484"/>
        <v>0.4705383310195897</v>
      </c>
      <c r="I3586" s="2">
        <f t="shared" si="1485"/>
        <v>0.52946166898041025</v>
      </c>
      <c r="J3586" s="4">
        <v>673</v>
      </c>
      <c r="K3586" s="4">
        <v>3000</v>
      </c>
      <c r="L3586" s="1">
        <f t="shared" si="1480"/>
        <v>3673</v>
      </c>
      <c r="M3586" s="2">
        <f t="shared" si="1481"/>
        <v>0.18322896814592976</v>
      </c>
      <c r="N3586" s="2">
        <f t="shared" si="1482"/>
        <v>0.8167710318540703</v>
      </c>
    </row>
    <row r="3587" spans="1:14" x14ac:dyDescent="0.35">
      <c r="A3587" t="s">
        <v>36</v>
      </c>
      <c r="B3587" t="s">
        <v>27</v>
      </c>
      <c r="C3587">
        <v>2012</v>
      </c>
      <c r="D3587" t="s">
        <v>32</v>
      </c>
      <c r="E3587" s="3">
        <v>6055</v>
      </c>
      <c r="F3587" s="3">
        <v>6861</v>
      </c>
      <c r="G3587" s="1">
        <f t="shared" si="1483"/>
        <v>12916</v>
      </c>
      <c r="H3587" s="2">
        <f t="shared" si="1484"/>
        <v>0.46879838959430165</v>
      </c>
      <c r="I3587" s="2">
        <f t="shared" si="1485"/>
        <v>0.53120161040569835</v>
      </c>
      <c r="J3587" s="4">
        <v>667</v>
      </c>
      <c r="K3587" s="4">
        <v>3011</v>
      </c>
      <c r="L3587" s="1">
        <f t="shared" ref="L3587:L3650" si="1486">SUM(J3587:K3587)</f>
        <v>3678</v>
      </c>
      <c r="M3587" s="2">
        <f t="shared" ref="M3587:M3650" si="1487">SUM(J3587)/L3587</f>
        <v>0.18134855899945623</v>
      </c>
      <c r="N3587" s="2">
        <f t="shared" ref="N3587:N3650" si="1488">SUM(K3587/L3587)</f>
        <v>0.81865144100054377</v>
      </c>
    </row>
    <row r="3588" spans="1:14" x14ac:dyDescent="0.35">
      <c r="A3588" t="s">
        <v>36</v>
      </c>
      <c r="B3588" t="s">
        <v>28</v>
      </c>
      <c r="C3588">
        <v>2012</v>
      </c>
      <c r="D3588" t="s">
        <v>32</v>
      </c>
      <c r="E3588" s="3">
        <v>5992</v>
      </c>
      <c r="F3588" s="3">
        <v>6919</v>
      </c>
      <c r="G3588" s="1">
        <f t="shared" si="1483"/>
        <v>12911</v>
      </c>
      <c r="H3588" s="2">
        <f t="shared" si="1484"/>
        <v>0.46410037952133837</v>
      </c>
      <c r="I3588" s="2">
        <f t="shared" si="1485"/>
        <v>0.53589962047866158</v>
      </c>
      <c r="J3588" s="4">
        <v>660</v>
      </c>
      <c r="K3588" s="4">
        <v>3010</v>
      </c>
      <c r="L3588" s="1">
        <f t="shared" si="1486"/>
        <v>3670</v>
      </c>
      <c r="M3588" s="2">
        <f t="shared" si="1487"/>
        <v>0.17983651226158037</v>
      </c>
      <c r="N3588" s="2">
        <f t="shared" si="1488"/>
        <v>0.82016348773841963</v>
      </c>
    </row>
    <row r="3589" spans="1:14" x14ac:dyDescent="0.35">
      <c r="A3589" t="s">
        <v>36</v>
      </c>
      <c r="B3589" t="s">
        <v>29</v>
      </c>
      <c r="C3589">
        <v>2012</v>
      </c>
      <c r="D3589" t="s">
        <v>32</v>
      </c>
      <c r="E3589" s="3">
        <v>5940</v>
      </c>
      <c r="F3589" s="3">
        <v>6922</v>
      </c>
      <c r="G3589" s="1">
        <f t="shared" si="1483"/>
        <v>12862</v>
      </c>
      <c r="H3589" s="2">
        <f t="shared" si="1484"/>
        <v>0.46182553257658215</v>
      </c>
      <c r="I3589" s="2">
        <f t="shared" si="1485"/>
        <v>0.53817446742341779</v>
      </c>
      <c r="J3589" s="4">
        <v>655</v>
      </c>
      <c r="K3589" s="4">
        <v>3018</v>
      </c>
      <c r="L3589" s="1">
        <f t="shared" si="1486"/>
        <v>3673</v>
      </c>
      <c r="M3589" s="2">
        <f t="shared" si="1487"/>
        <v>0.17832834195480535</v>
      </c>
      <c r="N3589" s="2">
        <f t="shared" si="1488"/>
        <v>0.82167165804519471</v>
      </c>
    </row>
    <row r="3590" spans="1:14" x14ac:dyDescent="0.35">
      <c r="A3590" t="s">
        <v>36</v>
      </c>
      <c r="B3590" t="s">
        <v>17</v>
      </c>
      <c r="C3590">
        <v>2013</v>
      </c>
      <c r="D3590" t="s">
        <v>32</v>
      </c>
      <c r="E3590" s="3">
        <v>5912</v>
      </c>
      <c r="F3590" s="3">
        <v>6973</v>
      </c>
      <c r="G3590" s="1">
        <f t="shared" si="1483"/>
        <v>12885</v>
      </c>
      <c r="H3590" s="2">
        <f t="shared" si="1484"/>
        <v>0.45882809468374081</v>
      </c>
      <c r="I3590" s="2">
        <f t="shared" si="1485"/>
        <v>0.54117190531625925</v>
      </c>
      <c r="J3590" s="4">
        <v>647</v>
      </c>
      <c r="K3590" s="4">
        <v>3015</v>
      </c>
      <c r="L3590" s="1">
        <f t="shared" si="1486"/>
        <v>3662</v>
      </c>
      <c r="M3590" s="2">
        <f t="shared" si="1487"/>
        <v>0.1766794101583834</v>
      </c>
      <c r="N3590" s="2">
        <f t="shared" si="1488"/>
        <v>0.8233205898416166</v>
      </c>
    </row>
    <row r="3591" spans="1:14" x14ac:dyDescent="0.35">
      <c r="A3591" t="s">
        <v>36</v>
      </c>
      <c r="B3591" t="s">
        <v>19</v>
      </c>
      <c r="C3591">
        <v>2013</v>
      </c>
      <c r="D3591" t="s">
        <v>32</v>
      </c>
      <c r="E3591" s="3">
        <v>5812</v>
      </c>
      <c r="F3591" s="3">
        <v>6954</v>
      </c>
      <c r="G3591" s="1">
        <f t="shared" si="1483"/>
        <v>12766</v>
      </c>
      <c r="H3591" s="2">
        <f t="shared" si="1484"/>
        <v>0.45527181576061415</v>
      </c>
      <c r="I3591" s="2">
        <f t="shared" si="1485"/>
        <v>0.54472818423938585</v>
      </c>
      <c r="J3591" s="4">
        <v>634</v>
      </c>
      <c r="K3591" s="4">
        <v>3011</v>
      </c>
      <c r="L3591" s="1">
        <f t="shared" si="1486"/>
        <v>3645</v>
      </c>
      <c r="M3591" s="2">
        <f t="shared" si="1487"/>
        <v>0.17393689986282579</v>
      </c>
      <c r="N3591" s="2">
        <f t="shared" si="1488"/>
        <v>0.82606310013717421</v>
      </c>
    </row>
    <row r="3592" spans="1:14" x14ac:dyDescent="0.35">
      <c r="A3592" t="s">
        <v>36</v>
      </c>
      <c r="B3592" t="s">
        <v>20</v>
      </c>
      <c r="C3592">
        <v>2013</v>
      </c>
      <c r="D3592" t="s">
        <v>32</v>
      </c>
      <c r="E3592" s="3">
        <v>5763</v>
      </c>
      <c r="F3592" s="3">
        <v>7004</v>
      </c>
      <c r="G3592" s="1">
        <f t="shared" si="1483"/>
        <v>12767</v>
      </c>
      <c r="H3592" s="2">
        <f t="shared" si="1484"/>
        <v>0.45139813581890814</v>
      </c>
      <c r="I3592" s="2">
        <f t="shared" si="1485"/>
        <v>0.54860186418109191</v>
      </c>
      <c r="J3592" s="4">
        <v>626</v>
      </c>
      <c r="K3592" s="4">
        <v>3024</v>
      </c>
      <c r="L3592" s="1">
        <f t="shared" si="1486"/>
        <v>3650</v>
      </c>
      <c r="M3592" s="2">
        <f t="shared" si="1487"/>
        <v>0.17150684931506849</v>
      </c>
      <c r="N3592" s="2">
        <f t="shared" si="1488"/>
        <v>0.82849315068493146</v>
      </c>
    </row>
    <row r="3593" spans="1:14" x14ac:dyDescent="0.35">
      <c r="A3593" t="s">
        <v>36</v>
      </c>
      <c r="B3593" t="s">
        <v>21</v>
      </c>
      <c r="C3593">
        <v>2013</v>
      </c>
      <c r="D3593" t="s">
        <v>32</v>
      </c>
      <c r="E3593" s="3">
        <v>5688</v>
      </c>
      <c r="F3593" s="3">
        <v>7077</v>
      </c>
      <c r="G3593" s="1">
        <f t="shared" si="1483"/>
        <v>12765</v>
      </c>
      <c r="H3593" s="2">
        <f t="shared" si="1484"/>
        <v>0.44559341950646297</v>
      </c>
      <c r="I3593" s="2">
        <f t="shared" si="1485"/>
        <v>0.55440658049353697</v>
      </c>
      <c r="J3593" s="4">
        <v>616</v>
      </c>
      <c r="K3593" s="4">
        <v>3037</v>
      </c>
      <c r="L3593" s="1">
        <f t="shared" si="1486"/>
        <v>3653</v>
      </c>
      <c r="M3593" s="2">
        <f t="shared" si="1487"/>
        <v>0.16862852450041063</v>
      </c>
      <c r="N3593" s="2">
        <f t="shared" si="1488"/>
        <v>0.83137147549958934</v>
      </c>
    </row>
    <row r="3594" spans="1:14" x14ac:dyDescent="0.35">
      <c r="A3594" t="s">
        <v>36</v>
      </c>
      <c r="B3594" t="s">
        <v>22</v>
      </c>
      <c r="C3594">
        <v>2013</v>
      </c>
      <c r="D3594" t="s">
        <v>32</v>
      </c>
      <c r="E3594" s="3">
        <v>5620</v>
      </c>
      <c r="F3594" s="3">
        <v>7112</v>
      </c>
      <c r="G3594" s="1">
        <f t="shared" si="1483"/>
        <v>12732</v>
      </c>
      <c r="H3594" s="2">
        <f t="shared" si="1484"/>
        <v>0.44140747722274581</v>
      </c>
      <c r="I3594" s="2">
        <f t="shared" si="1485"/>
        <v>0.55859252277725413</v>
      </c>
      <c r="J3594" s="4">
        <v>610</v>
      </c>
      <c r="K3594" s="4">
        <v>3023</v>
      </c>
      <c r="L3594" s="1">
        <f t="shared" si="1486"/>
        <v>3633</v>
      </c>
      <c r="M3594" s="2">
        <f t="shared" si="1487"/>
        <v>0.16790531241398293</v>
      </c>
      <c r="N3594" s="2">
        <f t="shared" si="1488"/>
        <v>0.83209468758601701</v>
      </c>
    </row>
    <row r="3595" spans="1:14" x14ac:dyDescent="0.35">
      <c r="A3595" t="s">
        <v>36</v>
      </c>
      <c r="B3595" t="s">
        <v>23</v>
      </c>
      <c r="C3595">
        <v>2013</v>
      </c>
      <c r="D3595" t="s">
        <v>32</v>
      </c>
      <c r="E3595" s="3">
        <v>5566</v>
      </c>
      <c r="F3595" s="3">
        <v>7122</v>
      </c>
      <c r="G3595" s="1">
        <f t="shared" si="1483"/>
        <v>12688</v>
      </c>
      <c r="H3595" s="2">
        <f t="shared" si="1484"/>
        <v>0.43868221941992436</v>
      </c>
      <c r="I3595" s="2">
        <f t="shared" si="1485"/>
        <v>0.56131778058007564</v>
      </c>
      <c r="J3595" s="4">
        <v>604</v>
      </c>
      <c r="K3595" s="4">
        <v>3022</v>
      </c>
      <c r="L3595" s="1">
        <f t="shared" si="1486"/>
        <v>3626</v>
      </c>
      <c r="M3595" s="2">
        <f t="shared" si="1487"/>
        <v>0.16657473800330944</v>
      </c>
      <c r="N3595" s="2">
        <f t="shared" si="1488"/>
        <v>0.83342526199669054</v>
      </c>
    </row>
    <row r="3596" spans="1:14" x14ac:dyDescent="0.35">
      <c r="A3596" t="s">
        <v>36</v>
      </c>
      <c r="B3596" t="s">
        <v>24</v>
      </c>
      <c r="C3596">
        <v>2013</v>
      </c>
      <c r="D3596" t="s">
        <v>32</v>
      </c>
      <c r="E3596" s="3">
        <v>5516</v>
      </c>
      <c r="F3596" s="3">
        <v>7085</v>
      </c>
      <c r="G3596" s="1">
        <f t="shared" si="1483"/>
        <v>12601</v>
      </c>
      <c r="H3596" s="2">
        <f t="shared" si="1484"/>
        <v>0.43774303626696293</v>
      </c>
      <c r="I3596" s="2">
        <f t="shared" si="1485"/>
        <v>0.56225696373303702</v>
      </c>
      <c r="J3596" s="4">
        <v>592</v>
      </c>
      <c r="K3596" s="4">
        <v>3032</v>
      </c>
      <c r="L3596" s="1">
        <f t="shared" si="1486"/>
        <v>3624</v>
      </c>
      <c r="M3596" s="2">
        <f t="shared" si="1487"/>
        <v>0.16335540838852097</v>
      </c>
      <c r="N3596" s="2">
        <f t="shared" si="1488"/>
        <v>0.83664459161147908</v>
      </c>
    </row>
    <row r="3597" spans="1:14" x14ac:dyDescent="0.35">
      <c r="A3597" t="s">
        <v>36</v>
      </c>
      <c r="B3597" t="s">
        <v>25</v>
      </c>
      <c r="C3597">
        <v>2013</v>
      </c>
      <c r="D3597" t="s">
        <v>32</v>
      </c>
      <c r="E3597" s="3">
        <v>5490</v>
      </c>
      <c r="F3597" s="3">
        <v>7097</v>
      </c>
      <c r="G3597" s="1">
        <f t="shared" si="1483"/>
        <v>12587</v>
      </c>
      <c r="H3597" s="2">
        <f t="shared" si="1484"/>
        <v>0.43616429649638516</v>
      </c>
      <c r="I3597" s="2">
        <f t="shared" si="1485"/>
        <v>0.56383570350361489</v>
      </c>
      <c r="J3597" s="4">
        <v>595</v>
      </c>
      <c r="K3597" s="4">
        <v>3033</v>
      </c>
      <c r="L3597" s="1">
        <f t="shared" si="1486"/>
        <v>3628</v>
      </c>
      <c r="M3597" s="2">
        <f t="shared" si="1487"/>
        <v>0.16400220507166482</v>
      </c>
      <c r="N3597" s="2">
        <f t="shared" si="1488"/>
        <v>0.83599779492833515</v>
      </c>
    </row>
    <row r="3598" spans="1:14" x14ac:dyDescent="0.35">
      <c r="A3598" t="s">
        <v>36</v>
      </c>
      <c r="B3598" t="s">
        <v>26</v>
      </c>
      <c r="C3598">
        <v>2013</v>
      </c>
      <c r="D3598" t="s">
        <v>32</v>
      </c>
      <c r="E3598" s="3">
        <v>5418</v>
      </c>
      <c r="F3598" s="3">
        <v>7138</v>
      </c>
      <c r="G3598" s="1">
        <f t="shared" si="1483"/>
        <v>12556</v>
      </c>
      <c r="H3598" s="2">
        <f t="shared" si="1484"/>
        <v>0.4315068493150685</v>
      </c>
      <c r="I3598" s="2">
        <f t="shared" si="1485"/>
        <v>0.56849315068493156</v>
      </c>
      <c r="J3598" s="4">
        <v>579</v>
      </c>
      <c r="K3598" s="4">
        <v>3043</v>
      </c>
      <c r="L3598" s="1">
        <f t="shared" si="1486"/>
        <v>3622</v>
      </c>
      <c r="M3598" s="2">
        <f t="shared" si="1487"/>
        <v>0.15985643290999449</v>
      </c>
      <c r="N3598" s="2">
        <f t="shared" si="1488"/>
        <v>0.84014356709000548</v>
      </c>
    </row>
    <row r="3599" spans="1:14" x14ac:dyDescent="0.35">
      <c r="A3599" t="s">
        <v>36</v>
      </c>
      <c r="B3599" t="s">
        <v>27</v>
      </c>
      <c r="C3599">
        <v>2013</v>
      </c>
      <c r="D3599" t="s">
        <v>32</v>
      </c>
      <c r="E3599" s="3">
        <v>5398</v>
      </c>
      <c r="F3599" s="3">
        <v>7245</v>
      </c>
      <c r="G3599" s="1">
        <f t="shared" si="1483"/>
        <v>12643</v>
      </c>
      <c r="H3599" s="2">
        <f t="shared" si="1484"/>
        <v>0.42695562762002687</v>
      </c>
      <c r="I3599" s="2">
        <f t="shared" si="1485"/>
        <v>0.57304437237997308</v>
      </c>
      <c r="J3599" s="4">
        <v>570</v>
      </c>
      <c r="K3599" s="4">
        <v>3054</v>
      </c>
      <c r="L3599" s="1">
        <f t="shared" si="1486"/>
        <v>3624</v>
      </c>
      <c r="M3599" s="2">
        <f t="shared" si="1487"/>
        <v>0.15728476821192053</v>
      </c>
      <c r="N3599" s="2">
        <f t="shared" si="1488"/>
        <v>0.8427152317880795</v>
      </c>
    </row>
    <row r="3600" spans="1:14" x14ac:dyDescent="0.35">
      <c r="A3600" t="s">
        <v>36</v>
      </c>
      <c r="B3600" t="s">
        <v>28</v>
      </c>
      <c r="C3600">
        <v>2013</v>
      </c>
      <c r="D3600" t="s">
        <v>32</v>
      </c>
      <c r="E3600" s="3">
        <v>5354</v>
      </c>
      <c r="F3600" s="3">
        <v>7142</v>
      </c>
      <c r="G3600" s="1">
        <f t="shared" si="1483"/>
        <v>12496</v>
      </c>
      <c r="H3600" s="2">
        <f t="shared" si="1484"/>
        <v>0.42845710627400768</v>
      </c>
      <c r="I3600" s="2">
        <f t="shared" si="1485"/>
        <v>0.57154289372599232</v>
      </c>
      <c r="J3600" s="4">
        <v>567</v>
      </c>
      <c r="K3600" s="4">
        <v>3010</v>
      </c>
      <c r="L3600" s="1">
        <f t="shared" si="1486"/>
        <v>3577</v>
      </c>
      <c r="M3600" s="2">
        <f t="shared" si="1487"/>
        <v>0.15851272015655576</v>
      </c>
      <c r="N3600" s="2">
        <f t="shared" si="1488"/>
        <v>0.84148727984344418</v>
      </c>
    </row>
    <row r="3601" spans="1:14" x14ac:dyDescent="0.35">
      <c r="A3601" t="s">
        <v>36</v>
      </c>
      <c r="B3601" t="s">
        <v>29</v>
      </c>
      <c r="C3601">
        <v>2013</v>
      </c>
      <c r="D3601" t="s">
        <v>32</v>
      </c>
      <c r="E3601" s="3">
        <v>5276</v>
      </c>
      <c r="F3601" s="3">
        <v>7142</v>
      </c>
      <c r="G3601" s="1">
        <f t="shared" si="1483"/>
        <v>12418</v>
      </c>
      <c r="H3601" s="2">
        <f t="shared" si="1484"/>
        <v>0.42486712836205509</v>
      </c>
      <c r="I3601" s="2">
        <f t="shared" si="1485"/>
        <v>0.57513287163794491</v>
      </c>
      <c r="J3601" s="4">
        <v>558</v>
      </c>
      <c r="K3601" s="4">
        <v>3019</v>
      </c>
      <c r="L3601" s="1">
        <f t="shared" si="1486"/>
        <v>3577</v>
      </c>
      <c r="M3601" s="2">
        <f t="shared" si="1487"/>
        <v>0.15599664523343584</v>
      </c>
      <c r="N3601" s="2">
        <f t="shared" si="1488"/>
        <v>0.84400335476656418</v>
      </c>
    </row>
    <row r="3602" spans="1:14" x14ac:dyDescent="0.35">
      <c r="A3602" t="s">
        <v>36</v>
      </c>
      <c r="B3602" t="s">
        <v>17</v>
      </c>
      <c r="C3602">
        <v>2014</v>
      </c>
      <c r="D3602" t="s">
        <v>32</v>
      </c>
      <c r="E3602" s="3">
        <v>4982</v>
      </c>
      <c r="F3602" s="3">
        <v>6868</v>
      </c>
      <c r="G3602" s="1">
        <f t="shared" si="1483"/>
        <v>11850</v>
      </c>
      <c r="H3602" s="2">
        <f t="shared" si="1484"/>
        <v>0.42042194092827007</v>
      </c>
      <c r="I3602" s="2">
        <f t="shared" si="1485"/>
        <v>0.57957805907172999</v>
      </c>
      <c r="J3602" s="4">
        <v>524</v>
      </c>
      <c r="K3602" s="4">
        <v>2382</v>
      </c>
      <c r="L3602" s="1">
        <f t="shared" si="1486"/>
        <v>2906</v>
      </c>
      <c r="M3602" s="2">
        <f t="shared" si="1487"/>
        <v>0.18031658637302134</v>
      </c>
      <c r="N3602" s="2">
        <f t="shared" si="1488"/>
        <v>0.81968341362697872</v>
      </c>
    </row>
    <row r="3603" spans="1:14" x14ac:dyDescent="0.35">
      <c r="A3603" t="s">
        <v>36</v>
      </c>
      <c r="B3603" t="s">
        <v>19</v>
      </c>
      <c r="C3603">
        <v>2014</v>
      </c>
      <c r="D3603" t="s">
        <v>32</v>
      </c>
      <c r="E3603" s="3">
        <v>5103</v>
      </c>
      <c r="F3603" s="3">
        <v>6858</v>
      </c>
      <c r="G3603" s="1">
        <f t="shared" si="1483"/>
        <v>11961</v>
      </c>
      <c r="H3603" s="2">
        <f t="shared" si="1484"/>
        <v>0.42663656884875845</v>
      </c>
      <c r="I3603" s="2">
        <f t="shared" si="1485"/>
        <v>0.57336343115124155</v>
      </c>
      <c r="J3603" s="4">
        <v>535</v>
      </c>
      <c r="K3603" s="4">
        <v>2810</v>
      </c>
      <c r="L3603" s="1">
        <f t="shared" si="1486"/>
        <v>3345</v>
      </c>
      <c r="M3603" s="2">
        <f t="shared" si="1487"/>
        <v>0.15994020926756353</v>
      </c>
      <c r="N3603" s="2">
        <f t="shared" si="1488"/>
        <v>0.84005979073243642</v>
      </c>
    </row>
    <row r="3604" spans="1:14" x14ac:dyDescent="0.35">
      <c r="A3604" t="s">
        <v>36</v>
      </c>
      <c r="B3604" t="s">
        <v>20</v>
      </c>
      <c r="C3604">
        <v>2014</v>
      </c>
      <c r="D3604" t="s">
        <v>32</v>
      </c>
      <c r="E3604" s="3">
        <v>4898</v>
      </c>
      <c r="F3604" s="3">
        <v>6811</v>
      </c>
      <c r="G3604" s="1">
        <f t="shared" si="1483"/>
        <v>11709</v>
      </c>
      <c r="H3604" s="2">
        <f t="shared" si="1484"/>
        <v>0.41831070117004016</v>
      </c>
      <c r="I3604" s="2">
        <f t="shared" si="1485"/>
        <v>0.5816892988299599</v>
      </c>
      <c r="J3604" s="4">
        <v>514</v>
      </c>
      <c r="K3604" s="4">
        <v>2950</v>
      </c>
      <c r="L3604" s="1">
        <f t="shared" si="1486"/>
        <v>3464</v>
      </c>
      <c r="M3604" s="2">
        <f t="shared" si="1487"/>
        <v>0.14838337182448036</v>
      </c>
      <c r="N3604" s="2">
        <f t="shared" si="1488"/>
        <v>0.85161662817551964</v>
      </c>
    </row>
    <row r="3605" spans="1:14" x14ac:dyDescent="0.35">
      <c r="A3605" t="s">
        <v>36</v>
      </c>
      <c r="B3605" t="s">
        <v>21</v>
      </c>
      <c r="C3605">
        <v>2014</v>
      </c>
      <c r="D3605" t="s">
        <v>32</v>
      </c>
      <c r="E3605" s="3">
        <v>5128</v>
      </c>
      <c r="F3605" s="3">
        <v>7225</v>
      </c>
      <c r="G3605" s="1">
        <f t="shared" si="1483"/>
        <v>12353</v>
      </c>
      <c r="H3605" s="2">
        <f t="shared" si="1484"/>
        <v>0.41512183275317738</v>
      </c>
      <c r="I3605" s="2">
        <f t="shared" si="1485"/>
        <v>0.58487816724682262</v>
      </c>
      <c r="J3605" s="4">
        <v>536</v>
      </c>
      <c r="K3605" s="4">
        <v>3052</v>
      </c>
      <c r="L3605" s="1">
        <f t="shared" si="1486"/>
        <v>3588</v>
      </c>
      <c r="M3605" s="2">
        <f t="shared" si="1487"/>
        <v>0.14938684503901895</v>
      </c>
      <c r="N3605" s="2">
        <f t="shared" si="1488"/>
        <v>0.850613154960981</v>
      </c>
    </row>
    <row r="3606" spans="1:14" x14ac:dyDescent="0.35">
      <c r="A3606" t="s">
        <v>36</v>
      </c>
      <c r="B3606" t="s">
        <v>22</v>
      </c>
      <c r="C3606">
        <v>2014</v>
      </c>
      <c r="D3606" t="s">
        <v>32</v>
      </c>
      <c r="E3606" s="3">
        <v>5091</v>
      </c>
      <c r="F3606" s="3">
        <v>7249</v>
      </c>
      <c r="G3606" s="1">
        <f t="shared" si="1483"/>
        <v>12340</v>
      </c>
      <c r="H3606" s="2">
        <f t="shared" si="1484"/>
        <v>0.41256077795786061</v>
      </c>
      <c r="I3606" s="2">
        <f t="shared" si="1485"/>
        <v>0.58743922204213939</v>
      </c>
      <c r="J3606" s="4">
        <v>533</v>
      </c>
      <c r="K3606" s="4">
        <v>3042</v>
      </c>
      <c r="L3606" s="1">
        <f t="shared" si="1486"/>
        <v>3575</v>
      </c>
      <c r="M3606" s="2">
        <f t="shared" si="1487"/>
        <v>0.14909090909090908</v>
      </c>
      <c r="N3606" s="2">
        <f t="shared" si="1488"/>
        <v>0.85090909090909095</v>
      </c>
    </row>
    <row r="3607" spans="1:14" x14ac:dyDescent="0.35">
      <c r="A3607" t="s">
        <v>36</v>
      </c>
      <c r="B3607" t="s">
        <v>23</v>
      </c>
      <c r="C3607">
        <v>2014</v>
      </c>
      <c r="D3607" t="s">
        <v>32</v>
      </c>
      <c r="E3607" s="3">
        <v>5061</v>
      </c>
      <c r="F3607" s="3">
        <v>7284</v>
      </c>
      <c r="G3607" s="1">
        <f t="shared" si="1483"/>
        <v>12345</v>
      </c>
      <c r="H3607" s="2">
        <f t="shared" si="1484"/>
        <v>0.40996354799513973</v>
      </c>
      <c r="I3607" s="2">
        <f t="shared" si="1485"/>
        <v>0.59003645200486021</v>
      </c>
      <c r="J3607" s="4">
        <v>532</v>
      </c>
      <c r="K3607" s="4">
        <v>3044</v>
      </c>
      <c r="L3607" s="1">
        <f t="shared" si="1486"/>
        <v>3576</v>
      </c>
      <c r="M3607" s="2">
        <f t="shared" si="1487"/>
        <v>0.14876957494407159</v>
      </c>
      <c r="N3607" s="2">
        <f t="shared" si="1488"/>
        <v>0.85123042505592839</v>
      </c>
    </row>
    <row r="3608" spans="1:14" x14ac:dyDescent="0.35">
      <c r="A3608" t="s">
        <v>36</v>
      </c>
      <c r="B3608" t="s">
        <v>24</v>
      </c>
      <c r="C3608">
        <v>2014</v>
      </c>
      <c r="D3608" t="s">
        <v>32</v>
      </c>
      <c r="E3608" s="3">
        <v>5020</v>
      </c>
      <c r="F3608" s="3">
        <v>7222</v>
      </c>
      <c r="G3608" s="1">
        <f t="shared" si="1483"/>
        <v>12242</v>
      </c>
      <c r="H3608" s="2">
        <f t="shared" si="1484"/>
        <v>0.41006371507923539</v>
      </c>
      <c r="I3608" s="2">
        <f t="shared" si="1485"/>
        <v>0.58993628492076455</v>
      </c>
      <c r="J3608" s="4">
        <v>525</v>
      </c>
      <c r="K3608" s="4">
        <v>3039</v>
      </c>
      <c r="L3608" s="1">
        <f t="shared" si="1486"/>
        <v>3564</v>
      </c>
      <c r="M3608" s="2">
        <f t="shared" si="1487"/>
        <v>0.1473063973063973</v>
      </c>
      <c r="N3608" s="2">
        <f t="shared" si="1488"/>
        <v>0.85269360269360273</v>
      </c>
    </row>
    <row r="3609" spans="1:14" x14ac:dyDescent="0.35">
      <c r="A3609" t="s">
        <v>36</v>
      </c>
      <c r="B3609" t="s">
        <v>25</v>
      </c>
      <c r="C3609">
        <v>2014</v>
      </c>
      <c r="D3609" t="s">
        <v>32</v>
      </c>
      <c r="E3609" s="3">
        <v>4978</v>
      </c>
      <c r="F3609" s="3">
        <v>7255</v>
      </c>
      <c r="G3609" s="1">
        <f t="shared" si="1483"/>
        <v>12233</v>
      </c>
      <c r="H3609" s="2">
        <f t="shared" si="1484"/>
        <v>0.40693206899370554</v>
      </c>
      <c r="I3609" s="2">
        <f t="shared" si="1485"/>
        <v>0.5930679310062944</v>
      </c>
      <c r="J3609" s="4">
        <v>520</v>
      </c>
      <c r="K3609" s="4">
        <v>3045</v>
      </c>
      <c r="L3609" s="1">
        <f t="shared" si="1486"/>
        <v>3565</v>
      </c>
      <c r="M3609" s="2">
        <f t="shared" si="1487"/>
        <v>0.1458625525946704</v>
      </c>
      <c r="N3609" s="2">
        <f t="shared" si="1488"/>
        <v>0.8541374474053296</v>
      </c>
    </row>
    <row r="3610" spans="1:14" x14ac:dyDescent="0.35">
      <c r="A3610" t="s">
        <v>36</v>
      </c>
      <c r="B3610" t="s">
        <v>26</v>
      </c>
      <c r="C3610">
        <v>2014</v>
      </c>
      <c r="D3610" t="s">
        <v>32</v>
      </c>
      <c r="E3610" s="3">
        <v>4938</v>
      </c>
      <c r="F3610" s="3">
        <v>7202</v>
      </c>
      <c r="G3610" s="1">
        <f t="shared" si="1483"/>
        <v>12140</v>
      </c>
      <c r="H3610" s="2">
        <f t="shared" si="1484"/>
        <v>0.40675453047775945</v>
      </c>
      <c r="I3610" s="2">
        <f t="shared" si="1485"/>
        <v>0.59324546952224055</v>
      </c>
      <c r="J3610" s="4">
        <v>516</v>
      </c>
      <c r="K3610" s="4">
        <v>3037</v>
      </c>
      <c r="L3610" s="1">
        <f t="shared" si="1486"/>
        <v>3553</v>
      </c>
      <c r="M3610" s="2">
        <f t="shared" si="1487"/>
        <v>0.14522938361947649</v>
      </c>
      <c r="N3610" s="2">
        <f t="shared" si="1488"/>
        <v>0.85477061638052354</v>
      </c>
    </row>
    <row r="3611" spans="1:14" x14ac:dyDescent="0.35">
      <c r="A3611" t="s">
        <v>36</v>
      </c>
      <c r="B3611" t="s">
        <v>27</v>
      </c>
      <c r="C3611">
        <v>2014</v>
      </c>
      <c r="D3611" t="s">
        <v>32</v>
      </c>
      <c r="E3611" s="3">
        <v>4916</v>
      </c>
      <c r="F3611" s="3">
        <v>7260</v>
      </c>
      <c r="G3611" s="1">
        <f t="shared" si="1483"/>
        <v>12176</v>
      </c>
      <c r="H3611" s="2">
        <f t="shared" si="1484"/>
        <v>0.40374507227332457</v>
      </c>
      <c r="I3611" s="2">
        <f t="shared" si="1485"/>
        <v>0.59625492772667543</v>
      </c>
      <c r="J3611" s="4">
        <v>514</v>
      </c>
      <c r="K3611" s="4">
        <v>3039</v>
      </c>
      <c r="L3611" s="1">
        <f t="shared" si="1486"/>
        <v>3553</v>
      </c>
      <c r="M3611" s="2">
        <f t="shared" si="1487"/>
        <v>0.1446664790318041</v>
      </c>
      <c r="N3611" s="2">
        <f t="shared" si="1488"/>
        <v>0.85533352096819593</v>
      </c>
    </row>
    <row r="3612" spans="1:14" x14ac:dyDescent="0.35">
      <c r="A3612" t="s">
        <v>36</v>
      </c>
      <c r="B3612" t="s">
        <v>28</v>
      </c>
      <c r="C3612">
        <v>2014</v>
      </c>
      <c r="D3612" t="s">
        <v>32</v>
      </c>
      <c r="E3612" s="3">
        <v>4891</v>
      </c>
      <c r="F3612" s="3">
        <v>7252</v>
      </c>
      <c r="G3612" s="1">
        <f t="shared" si="1483"/>
        <v>12143</v>
      </c>
      <c r="H3612" s="2">
        <f t="shared" si="1484"/>
        <v>0.40278349666474511</v>
      </c>
      <c r="I3612" s="2">
        <f t="shared" si="1485"/>
        <v>0.59721650333525489</v>
      </c>
      <c r="J3612" s="4">
        <v>512</v>
      </c>
      <c r="K3612" s="4">
        <v>3040</v>
      </c>
      <c r="L3612" s="1">
        <f t="shared" si="1486"/>
        <v>3552</v>
      </c>
      <c r="M3612" s="2">
        <f t="shared" si="1487"/>
        <v>0.14414414414414414</v>
      </c>
      <c r="N3612" s="2">
        <f t="shared" si="1488"/>
        <v>0.85585585585585588</v>
      </c>
    </row>
    <row r="3613" spans="1:14" x14ac:dyDescent="0.35">
      <c r="A3613" t="s">
        <v>36</v>
      </c>
      <c r="B3613" t="s">
        <v>29</v>
      </c>
      <c r="C3613">
        <v>2014</v>
      </c>
      <c r="D3613" t="s">
        <v>32</v>
      </c>
      <c r="E3613" s="3">
        <v>4841</v>
      </c>
      <c r="F3613" s="3">
        <v>7264</v>
      </c>
      <c r="G3613" s="1">
        <f t="shared" si="1483"/>
        <v>12105</v>
      </c>
      <c r="H3613" s="2">
        <f t="shared" si="1484"/>
        <v>0.39991738950846756</v>
      </c>
      <c r="I3613" s="2">
        <f t="shared" si="1485"/>
        <v>0.60008261049153244</v>
      </c>
      <c r="J3613" s="4">
        <v>505</v>
      </c>
      <c r="K3613" s="4">
        <v>3036</v>
      </c>
      <c r="L3613" s="1">
        <f t="shared" si="1486"/>
        <v>3541</v>
      </c>
      <c r="M3613" s="2">
        <f t="shared" si="1487"/>
        <v>0.14261508048573848</v>
      </c>
      <c r="N3613" s="2">
        <f t="shared" si="1488"/>
        <v>0.85738491951426155</v>
      </c>
    </row>
    <row r="3614" spans="1:14" x14ac:dyDescent="0.35">
      <c r="A3614" t="s">
        <v>36</v>
      </c>
      <c r="B3614" t="s">
        <v>17</v>
      </c>
      <c r="C3614">
        <v>2015</v>
      </c>
      <c r="D3614" t="s">
        <v>32</v>
      </c>
      <c r="E3614" s="3">
        <v>4818</v>
      </c>
      <c r="F3614" s="3">
        <v>7246</v>
      </c>
      <c r="G3614" s="1">
        <f t="shared" si="1483"/>
        <v>12064</v>
      </c>
      <c r="H3614" s="2">
        <f t="shared" si="1484"/>
        <v>0.39937002652519893</v>
      </c>
      <c r="I3614" s="2">
        <f t="shared" si="1485"/>
        <v>0.60062997347480107</v>
      </c>
      <c r="J3614" s="4">
        <v>503</v>
      </c>
      <c r="K3614" s="4">
        <v>3074</v>
      </c>
      <c r="L3614" s="1">
        <f t="shared" si="1486"/>
        <v>3577</v>
      </c>
      <c r="M3614" s="2">
        <f t="shared" si="1487"/>
        <v>0.1406206318143696</v>
      </c>
      <c r="N3614" s="2">
        <f t="shared" si="1488"/>
        <v>0.85937936818563043</v>
      </c>
    </row>
    <row r="3615" spans="1:14" x14ac:dyDescent="0.35">
      <c r="A3615" t="s">
        <v>36</v>
      </c>
      <c r="B3615" t="s">
        <v>19</v>
      </c>
      <c r="C3615">
        <v>2015</v>
      </c>
      <c r="D3615" t="s">
        <v>32</v>
      </c>
      <c r="E3615" s="3">
        <v>4804</v>
      </c>
      <c r="F3615" s="3">
        <v>7247</v>
      </c>
      <c r="G3615" s="1">
        <f t="shared" si="1483"/>
        <v>12051</v>
      </c>
      <c r="H3615" s="2">
        <f t="shared" si="1484"/>
        <v>0.39863911708571903</v>
      </c>
      <c r="I3615" s="2">
        <f t="shared" si="1485"/>
        <v>0.60136088291428103</v>
      </c>
      <c r="J3615" s="4">
        <v>504</v>
      </c>
      <c r="K3615" s="4">
        <v>3041</v>
      </c>
      <c r="L3615" s="1">
        <f t="shared" si="1486"/>
        <v>3545</v>
      </c>
      <c r="M3615" s="2">
        <f t="shared" si="1487"/>
        <v>0.14217207334273624</v>
      </c>
      <c r="N3615" s="2">
        <f t="shared" si="1488"/>
        <v>0.85782792665726371</v>
      </c>
    </row>
    <row r="3616" spans="1:14" x14ac:dyDescent="0.35">
      <c r="A3616" t="s">
        <v>36</v>
      </c>
      <c r="B3616" t="s">
        <v>20</v>
      </c>
      <c r="C3616">
        <v>2015</v>
      </c>
      <c r="D3616" t="s">
        <v>32</v>
      </c>
      <c r="E3616" s="3">
        <v>4753</v>
      </c>
      <c r="F3616" s="3">
        <v>7240</v>
      </c>
      <c r="G3616" s="1">
        <f t="shared" si="1483"/>
        <v>11993</v>
      </c>
      <c r="H3616" s="2">
        <f t="shared" si="1484"/>
        <v>0.39631451680146751</v>
      </c>
      <c r="I3616" s="2">
        <f t="shared" si="1485"/>
        <v>0.60368548319853244</v>
      </c>
      <c r="J3616" s="4">
        <v>494</v>
      </c>
      <c r="K3616" s="4">
        <v>3042</v>
      </c>
      <c r="L3616" s="1">
        <f t="shared" si="1486"/>
        <v>3536</v>
      </c>
      <c r="M3616" s="2">
        <f t="shared" si="1487"/>
        <v>0.13970588235294118</v>
      </c>
      <c r="N3616" s="2">
        <f t="shared" si="1488"/>
        <v>0.86029411764705888</v>
      </c>
    </row>
    <row r="3617" spans="1:14" x14ac:dyDescent="0.35">
      <c r="A3617" t="s">
        <v>36</v>
      </c>
      <c r="B3617" t="s">
        <v>21</v>
      </c>
      <c r="C3617">
        <v>2015</v>
      </c>
      <c r="D3617" t="s">
        <v>32</v>
      </c>
      <c r="E3617" s="3">
        <v>4722</v>
      </c>
      <c r="F3617" s="3">
        <v>7315</v>
      </c>
      <c r="G3617" s="1">
        <f t="shared" si="1483"/>
        <v>12037</v>
      </c>
      <c r="H3617" s="2">
        <f t="shared" si="1484"/>
        <v>0.39229043781673173</v>
      </c>
      <c r="I3617" s="2">
        <f t="shared" si="1485"/>
        <v>0.60770956218326821</v>
      </c>
      <c r="J3617" s="4">
        <v>491</v>
      </c>
      <c r="K3617" s="4">
        <v>2970</v>
      </c>
      <c r="L3617" s="1">
        <f t="shared" si="1486"/>
        <v>3461</v>
      </c>
      <c r="M3617" s="2">
        <f t="shared" si="1487"/>
        <v>0.14186651256862179</v>
      </c>
      <c r="N3617" s="2">
        <f t="shared" si="1488"/>
        <v>0.85813348743137818</v>
      </c>
    </row>
    <row r="3618" spans="1:14" x14ac:dyDescent="0.35">
      <c r="A3618" t="s">
        <v>36</v>
      </c>
      <c r="B3618" t="s">
        <v>22</v>
      </c>
      <c r="C3618">
        <v>2015</v>
      </c>
      <c r="D3618" t="s">
        <v>32</v>
      </c>
      <c r="E3618" s="3">
        <v>4710</v>
      </c>
      <c r="F3618" s="3">
        <v>7318</v>
      </c>
      <c r="G3618" s="1">
        <f t="shared" si="1483"/>
        <v>12028</v>
      </c>
      <c r="H3618" s="2">
        <f t="shared" si="1484"/>
        <v>0.39158629863651478</v>
      </c>
      <c r="I3618" s="2">
        <f t="shared" si="1485"/>
        <v>0.60841370136348516</v>
      </c>
      <c r="J3618" s="4">
        <v>488</v>
      </c>
      <c r="K3618" s="4">
        <v>3042</v>
      </c>
      <c r="L3618" s="1">
        <f t="shared" si="1486"/>
        <v>3530</v>
      </c>
      <c r="M3618" s="2">
        <f t="shared" si="1487"/>
        <v>0.13824362606232293</v>
      </c>
      <c r="N3618" s="2">
        <f t="shared" si="1488"/>
        <v>0.86175637393767701</v>
      </c>
    </row>
    <row r="3619" spans="1:14" x14ac:dyDescent="0.35">
      <c r="A3619" t="s">
        <v>36</v>
      </c>
      <c r="B3619" t="s">
        <v>23</v>
      </c>
      <c r="C3619">
        <v>2015</v>
      </c>
      <c r="D3619" t="s">
        <v>32</v>
      </c>
      <c r="E3619" s="3">
        <v>4675</v>
      </c>
      <c r="F3619" s="3">
        <v>7310</v>
      </c>
      <c r="G3619" s="1">
        <f t="shared" si="1483"/>
        <v>11985</v>
      </c>
      <c r="H3619" s="2">
        <f t="shared" si="1484"/>
        <v>0.39007092198581561</v>
      </c>
      <c r="I3619" s="2">
        <f t="shared" si="1485"/>
        <v>0.60992907801418439</v>
      </c>
      <c r="J3619" s="4">
        <v>484</v>
      </c>
      <c r="K3619" s="4">
        <v>3045</v>
      </c>
      <c r="L3619" s="1">
        <f t="shared" si="1486"/>
        <v>3529</v>
      </c>
      <c r="M3619" s="2">
        <f t="shared" si="1487"/>
        <v>0.13714933408897706</v>
      </c>
      <c r="N3619" s="2">
        <f t="shared" si="1488"/>
        <v>0.862850665911023</v>
      </c>
    </row>
    <row r="3620" spans="1:14" x14ac:dyDescent="0.35">
      <c r="A3620" t="s">
        <v>36</v>
      </c>
      <c r="B3620" t="s">
        <v>24</v>
      </c>
      <c r="C3620">
        <v>2015</v>
      </c>
      <c r="D3620" t="s">
        <v>32</v>
      </c>
      <c r="E3620" s="3">
        <v>4653</v>
      </c>
      <c r="F3620" s="3">
        <v>7311</v>
      </c>
      <c r="G3620" s="1">
        <f t="shared" si="1483"/>
        <v>11964</v>
      </c>
      <c r="H3620" s="2">
        <f t="shared" si="1484"/>
        <v>0.38891675025075223</v>
      </c>
      <c r="I3620" s="2">
        <f t="shared" si="1485"/>
        <v>0.61108324974924777</v>
      </c>
      <c r="J3620" s="4">
        <v>480</v>
      </c>
      <c r="K3620" s="4">
        <v>3045</v>
      </c>
      <c r="L3620" s="1">
        <f t="shared" si="1486"/>
        <v>3525</v>
      </c>
      <c r="M3620" s="2">
        <f t="shared" si="1487"/>
        <v>0.13617021276595745</v>
      </c>
      <c r="N3620" s="2">
        <f t="shared" si="1488"/>
        <v>0.86382978723404258</v>
      </c>
    </row>
    <row r="3621" spans="1:14" x14ac:dyDescent="0.35">
      <c r="A3621" t="s">
        <v>36</v>
      </c>
      <c r="B3621" t="s">
        <v>25</v>
      </c>
      <c r="C3621">
        <v>2015</v>
      </c>
      <c r="D3621" t="s">
        <v>32</v>
      </c>
      <c r="E3621" s="3">
        <v>4604</v>
      </c>
      <c r="F3621" s="3">
        <v>7314</v>
      </c>
      <c r="G3621" s="1">
        <f t="shared" si="1483"/>
        <v>11918</v>
      </c>
      <c r="H3621" s="2">
        <f t="shared" si="1484"/>
        <v>0.38630642725289477</v>
      </c>
      <c r="I3621" s="2">
        <f t="shared" si="1485"/>
        <v>0.61369357274710523</v>
      </c>
      <c r="J3621" s="4">
        <v>474</v>
      </c>
      <c r="K3621" s="4">
        <v>3051</v>
      </c>
      <c r="L3621" s="1">
        <f t="shared" si="1486"/>
        <v>3525</v>
      </c>
      <c r="M3621" s="2">
        <f t="shared" si="1487"/>
        <v>0.13446808510638297</v>
      </c>
      <c r="N3621" s="2">
        <f t="shared" si="1488"/>
        <v>0.86553191489361703</v>
      </c>
    </row>
    <row r="3622" spans="1:14" x14ac:dyDescent="0.35">
      <c r="A3622" t="s">
        <v>36</v>
      </c>
      <c r="B3622" t="s">
        <v>26</v>
      </c>
      <c r="C3622">
        <v>2015</v>
      </c>
      <c r="D3622" t="s">
        <v>32</v>
      </c>
      <c r="E3622" s="3">
        <v>4535</v>
      </c>
      <c r="F3622" s="3">
        <v>7350</v>
      </c>
      <c r="G3622" s="1">
        <f t="shared" si="1483"/>
        <v>11885</v>
      </c>
      <c r="H3622" s="2">
        <f t="shared" si="1484"/>
        <v>0.38157341186369376</v>
      </c>
      <c r="I3622" s="2">
        <f t="shared" si="1485"/>
        <v>0.61842658813630624</v>
      </c>
      <c r="J3622" s="4">
        <v>468</v>
      </c>
      <c r="K3622" s="4">
        <v>3053</v>
      </c>
      <c r="L3622" s="1">
        <f t="shared" si="1486"/>
        <v>3521</v>
      </c>
      <c r="M3622" s="2">
        <f t="shared" si="1487"/>
        <v>0.13291678500426016</v>
      </c>
      <c r="N3622" s="2">
        <f t="shared" si="1488"/>
        <v>0.86708321499573981</v>
      </c>
    </row>
    <row r="3623" spans="1:14" x14ac:dyDescent="0.35">
      <c r="A3623" t="s">
        <v>36</v>
      </c>
      <c r="B3623" t="s">
        <v>27</v>
      </c>
      <c r="C3623">
        <v>2015</v>
      </c>
      <c r="D3623" t="s">
        <v>32</v>
      </c>
      <c r="E3623" s="3">
        <v>4529</v>
      </c>
      <c r="F3623" s="3">
        <v>7371</v>
      </c>
      <c r="G3623" s="1">
        <f t="shared" si="1483"/>
        <v>11900</v>
      </c>
      <c r="H3623" s="2">
        <f t="shared" si="1484"/>
        <v>0.38058823529411767</v>
      </c>
      <c r="I3623" s="2">
        <f t="shared" si="1485"/>
        <v>0.61941176470588233</v>
      </c>
      <c r="J3623" s="4">
        <v>466</v>
      </c>
      <c r="K3623" s="4">
        <v>3059</v>
      </c>
      <c r="L3623" s="1">
        <f t="shared" si="1486"/>
        <v>3525</v>
      </c>
      <c r="M3623" s="2">
        <f t="shared" si="1487"/>
        <v>0.13219858156028369</v>
      </c>
      <c r="N3623" s="2">
        <f t="shared" si="1488"/>
        <v>0.86780141843971637</v>
      </c>
    </row>
    <row r="3624" spans="1:14" x14ac:dyDescent="0.35">
      <c r="A3624" t="s">
        <v>36</v>
      </c>
      <c r="B3624" t="s">
        <v>28</v>
      </c>
      <c r="C3624">
        <v>2015</v>
      </c>
      <c r="D3624" t="s">
        <v>32</v>
      </c>
      <c r="E3624" s="3">
        <v>4466</v>
      </c>
      <c r="F3624" s="3">
        <v>7455</v>
      </c>
      <c r="G3624" s="1">
        <f t="shared" si="1483"/>
        <v>11921</v>
      </c>
      <c r="H3624" s="2">
        <f t="shared" si="1484"/>
        <v>0.37463300058719906</v>
      </c>
      <c r="I3624" s="2">
        <f t="shared" si="1485"/>
        <v>0.62536699941280094</v>
      </c>
      <c r="J3624" s="4">
        <v>459</v>
      </c>
      <c r="K3624" s="4">
        <v>3062</v>
      </c>
      <c r="L3624" s="1">
        <f t="shared" si="1486"/>
        <v>3521</v>
      </c>
      <c r="M3624" s="2">
        <f t="shared" si="1487"/>
        <v>0.13036069298494746</v>
      </c>
      <c r="N3624" s="2">
        <f t="shared" si="1488"/>
        <v>0.86963930701505254</v>
      </c>
    </row>
    <row r="3625" spans="1:14" x14ac:dyDescent="0.35">
      <c r="A3625" t="s">
        <v>36</v>
      </c>
      <c r="B3625" t="s">
        <v>29</v>
      </c>
      <c r="C3625">
        <v>2015</v>
      </c>
      <c r="D3625" t="s">
        <v>32</v>
      </c>
      <c r="E3625" s="3">
        <v>4427</v>
      </c>
      <c r="F3625" s="3">
        <v>7437</v>
      </c>
      <c r="G3625" s="1">
        <f t="shared" si="1483"/>
        <v>11864</v>
      </c>
      <c r="H3625" s="2">
        <f t="shared" si="1484"/>
        <v>0.3731456507080243</v>
      </c>
      <c r="I3625" s="2">
        <f t="shared" si="1485"/>
        <v>0.6268543492919757</v>
      </c>
      <c r="J3625" s="4">
        <v>452</v>
      </c>
      <c r="K3625" s="4">
        <v>3064</v>
      </c>
      <c r="L3625" s="1">
        <f t="shared" si="1486"/>
        <v>3516</v>
      </c>
      <c r="M3625" s="2">
        <f t="shared" si="1487"/>
        <v>0.12855517633674629</v>
      </c>
      <c r="N3625" s="2">
        <f t="shared" si="1488"/>
        <v>0.87144482366325371</v>
      </c>
    </row>
    <row r="3626" spans="1:14" x14ac:dyDescent="0.35">
      <c r="A3626" t="s">
        <v>36</v>
      </c>
      <c r="B3626" t="s">
        <v>17</v>
      </c>
      <c r="C3626">
        <v>2016</v>
      </c>
      <c r="D3626" t="s">
        <v>32</v>
      </c>
      <c r="E3626" s="3">
        <v>4399</v>
      </c>
      <c r="F3626" s="3">
        <v>7463</v>
      </c>
      <c r="G3626" s="1">
        <f t="shared" si="1483"/>
        <v>11862</v>
      </c>
      <c r="H3626" s="2">
        <f t="shared" si="1484"/>
        <v>0.37084808632608329</v>
      </c>
      <c r="I3626" s="2">
        <f t="shared" si="1485"/>
        <v>0.62915191367391676</v>
      </c>
      <c r="J3626" s="4">
        <v>449</v>
      </c>
      <c r="K3626" s="4">
        <v>3049</v>
      </c>
      <c r="L3626" s="1">
        <f t="shared" si="1486"/>
        <v>3498</v>
      </c>
      <c r="M3626" s="2">
        <f t="shared" si="1487"/>
        <v>0.12835906232132646</v>
      </c>
      <c r="N3626" s="2">
        <f t="shared" si="1488"/>
        <v>0.87164093767867357</v>
      </c>
    </row>
    <row r="3627" spans="1:14" x14ac:dyDescent="0.35">
      <c r="A3627" t="s">
        <v>36</v>
      </c>
      <c r="B3627" t="s">
        <v>19</v>
      </c>
      <c r="C3627">
        <v>2016</v>
      </c>
      <c r="D3627" t="s">
        <v>32</v>
      </c>
      <c r="E3627" s="3">
        <v>4331</v>
      </c>
      <c r="F3627" s="3">
        <v>7461</v>
      </c>
      <c r="G3627" s="1">
        <f t="shared" si="1483"/>
        <v>11792</v>
      </c>
      <c r="H3627" s="2">
        <f t="shared" si="1484"/>
        <v>0.36728290366350069</v>
      </c>
      <c r="I3627" s="2">
        <f t="shared" si="1485"/>
        <v>0.63271709633649931</v>
      </c>
      <c r="J3627" s="4">
        <v>442</v>
      </c>
      <c r="K3627" s="4">
        <v>3052</v>
      </c>
      <c r="L3627" s="1">
        <f t="shared" si="1486"/>
        <v>3494</v>
      </c>
      <c r="M3627" s="2">
        <f t="shared" si="1487"/>
        <v>0.12650257584430452</v>
      </c>
      <c r="N3627" s="2">
        <f t="shared" si="1488"/>
        <v>0.87349742415569542</v>
      </c>
    </row>
    <row r="3628" spans="1:14" x14ac:dyDescent="0.35">
      <c r="A3628" t="s">
        <v>36</v>
      </c>
      <c r="B3628" t="s">
        <v>20</v>
      </c>
      <c r="C3628">
        <v>2016</v>
      </c>
      <c r="D3628" t="s">
        <v>32</v>
      </c>
      <c r="E3628" s="3">
        <v>4319</v>
      </c>
      <c r="F3628" s="3">
        <v>7489</v>
      </c>
      <c r="G3628" s="1">
        <f t="shared" si="1483"/>
        <v>11808</v>
      </c>
      <c r="H3628" s="2">
        <f t="shared" si="1484"/>
        <v>0.36576897018970189</v>
      </c>
      <c r="I3628" s="2">
        <f t="shared" si="1485"/>
        <v>0.63423102981029811</v>
      </c>
      <c r="J3628" s="4">
        <v>436</v>
      </c>
      <c r="K3628" s="4">
        <v>3058</v>
      </c>
      <c r="L3628" s="1">
        <f t="shared" si="1486"/>
        <v>3494</v>
      </c>
      <c r="M3628" s="2">
        <f t="shared" si="1487"/>
        <v>0.1247853463079565</v>
      </c>
      <c r="N3628" s="2">
        <f t="shared" si="1488"/>
        <v>0.87521465369204354</v>
      </c>
    </row>
    <row r="3629" spans="1:14" x14ac:dyDescent="0.35">
      <c r="A3629" t="s">
        <v>36</v>
      </c>
      <c r="B3629" t="s">
        <v>21</v>
      </c>
      <c r="C3629">
        <v>2016</v>
      </c>
      <c r="D3629" t="s">
        <v>32</v>
      </c>
      <c r="E3629" s="3">
        <v>4261</v>
      </c>
      <c r="F3629" s="3">
        <v>7519</v>
      </c>
      <c r="G3629" s="1">
        <f t="shared" si="1483"/>
        <v>11780</v>
      </c>
      <c r="H3629" s="2">
        <f t="shared" si="1484"/>
        <v>0.36171477079796266</v>
      </c>
      <c r="I3629" s="2">
        <f t="shared" si="1485"/>
        <v>0.63828522920203734</v>
      </c>
      <c r="J3629" s="4">
        <v>425</v>
      </c>
      <c r="K3629" s="4">
        <v>3061</v>
      </c>
      <c r="L3629" s="1">
        <f t="shared" si="1486"/>
        <v>3486</v>
      </c>
      <c r="M3629" s="2">
        <f t="shared" si="1487"/>
        <v>0.1219162363740677</v>
      </c>
      <c r="N3629" s="2">
        <f t="shared" si="1488"/>
        <v>0.87808376362593232</v>
      </c>
    </row>
    <row r="3630" spans="1:14" x14ac:dyDescent="0.35">
      <c r="A3630" t="s">
        <v>36</v>
      </c>
      <c r="B3630" t="s">
        <v>22</v>
      </c>
      <c r="C3630">
        <v>2016</v>
      </c>
      <c r="D3630" t="s">
        <v>32</v>
      </c>
      <c r="E3630" s="3">
        <v>4233</v>
      </c>
      <c r="F3630" s="3">
        <v>7596</v>
      </c>
      <c r="G3630" s="1">
        <f t="shared" si="1483"/>
        <v>11829</v>
      </c>
      <c r="H3630" s="2">
        <f t="shared" si="1484"/>
        <v>0.35784935328430129</v>
      </c>
      <c r="I3630" s="2">
        <f t="shared" si="1485"/>
        <v>0.64215064671569866</v>
      </c>
      <c r="J3630" s="4">
        <v>421</v>
      </c>
      <c r="K3630" s="4">
        <v>3064</v>
      </c>
      <c r="L3630" s="1">
        <f t="shared" si="1486"/>
        <v>3485</v>
      </c>
      <c r="M3630" s="2">
        <f t="shared" si="1487"/>
        <v>0.12080344332855093</v>
      </c>
      <c r="N3630" s="2">
        <f t="shared" si="1488"/>
        <v>0.87919655667144903</v>
      </c>
    </row>
    <row r="3631" spans="1:14" x14ac:dyDescent="0.35">
      <c r="A3631" t="s">
        <v>36</v>
      </c>
      <c r="B3631" t="s">
        <v>23</v>
      </c>
      <c r="C3631">
        <v>2016</v>
      </c>
      <c r="D3631" t="s">
        <v>32</v>
      </c>
      <c r="E3631" s="3">
        <v>4205</v>
      </c>
      <c r="F3631" s="3">
        <v>7578</v>
      </c>
      <c r="G3631" s="1">
        <f t="shared" si="1483"/>
        <v>11783</v>
      </c>
      <c r="H3631" s="2">
        <f t="shared" si="1484"/>
        <v>0.35687006704574387</v>
      </c>
      <c r="I3631" s="2">
        <f t="shared" si="1485"/>
        <v>0.64312993295425613</v>
      </c>
      <c r="J3631" s="4">
        <v>416</v>
      </c>
      <c r="K3631" s="4">
        <v>3053</v>
      </c>
      <c r="L3631" s="1">
        <f t="shared" si="1486"/>
        <v>3469</v>
      </c>
      <c r="M3631" s="2">
        <f t="shared" si="1487"/>
        <v>0.11991928509656961</v>
      </c>
      <c r="N3631" s="2">
        <f t="shared" si="1488"/>
        <v>0.88008071490343043</v>
      </c>
    </row>
    <row r="3632" spans="1:14" x14ac:dyDescent="0.35">
      <c r="A3632" t="s">
        <v>36</v>
      </c>
      <c r="B3632" t="s">
        <v>24</v>
      </c>
      <c r="C3632">
        <v>2016</v>
      </c>
      <c r="D3632" t="s">
        <v>32</v>
      </c>
      <c r="E3632" s="12">
        <v>4163</v>
      </c>
      <c r="F3632" s="12">
        <v>7548</v>
      </c>
      <c r="G3632" s="1">
        <f t="shared" si="1483"/>
        <v>11711</v>
      </c>
      <c r="H3632" s="2">
        <f t="shared" si="1484"/>
        <v>0.35547775595593883</v>
      </c>
      <c r="I3632" s="2">
        <f t="shared" si="1485"/>
        <v>0.64452224404406111</v>
      </c>
      <c r="J3632" s="4">
        <v>409</v>
      </c>
      <c r="K3632" s="12">
        <v>3041.257000000001</v>
      </c>
      <c r="L3632" s="1">
        <f t="shared" si="1486"/>
        <v>3450.257000000001</v>
      </c>
      <c r="M3632" s="2">
        <f t="shared" si="1487"/>
        <v>0.11854189412556801</v>
      </c>
      <c r="N3632" s="2">
        <f t="shared" si="1488"/>
        <v>0.88145810587443196</v>
      </c>
    </row>
    <row r="3633" spans="1:14" x14ac:dyDescent="0.35">
      <c r="A3633" t="s">
        <v>36</v>
      </c>
      <c r="B3633" t="s">
        <v>25</v>
      </c>
      <c r="C3633">
        <v>2016</v>
      </c>
      <c r="D3633" t="s">
        <v>32</v>
      </c>
      <c r="E3633" s="12">
        <v>4133</v>
      </c>
      <c r="F3633" s="12">
        <v>7573</v>
      </c>
      <c r="G3633" s="1">
        <f t="shared" si="1483"/>
        <v>11706</v>
      </c>
      <c r="H3633" s="2">
        <f t="shared" si="1484"/>
        <v>0.35306680334871005</v>
      </c>
      <c r="I3633" s="2">
        <f t="shared" si="1485"/>
        <v>0.6469331966512899</v>
      </c>
      <c r="J3633" s="4">
        <v>404</v>
      </c>
      <c r="K3633" s="12">
        <v>3047.1400000000008</v>
      </c>
      <c r="L3633" s="1">
        <f t="shared" si="1486"/>
        <v>3451.1400000000008</v>
      </c>
      <c r="M3633" s="2">
        <f t="shared" si="1487"/>
        <v>0.11706276766517727</v>
      </c>
      <c r="N3633" s="2">
        <f t="shared" si="1488"/>
        <v>0.88293723233482269</v>
      </c>
    </row>
    <row r="3634" spans="1:14" x14ac:dyDescent="0.35">
      <c r="A3634" t="s">
        <v>36</v>
      </c>
      <c r="B3634" t="s">
        <v>26</v>
      </c>
      <c r="C3634">
        <v>2016</v>
      </c>
      <c r="D3634" t="s">
        <v>32</v>
      </c>
      <c r="E3634" s="12">
        <v>4073</v>
      </c>
      <c r="F3634" s="12">
        <v>7569</v>
      </c>
      <c r="G3634" s="1">
        <f t="shared" si="1483"/>
        <v>11642</v>
      </c>
      <c r="H3634" s="2">
        <f t="shared" si="1484"/>
        <v>0.34985397697990034</v>
      </c>
      <c r="I3634" s="2">
        <f t="shared" si="1485"/>
        <v>0.65014602302009961</v>
      </c>
      <c r="J3634" s="4">
        <v>398</v>
      </c>
      <c r="K3634" s="12">
        <v>3046.3130000000006</v>
      </c>
      <c r="L3634" s="1">
        <f t="shared" si="1486"/>
        <v>3444.3130000000006</v>
      </c>
      <c r="M3634" s="2">
        <f t="shared" si="1487"/>
        <v>0.11555279674059818</v>
      </c>
      <c r="N3634" s="2">
        <f t="shared" si="1488"/>
        <v>0.88444720325940185</v>
      </c>
    </row>
    <row r="3635" spans="1:14" x14ac:dyDescent="0.35">
      <c r="A3635" t="s">
        <v>36</v>
      </c>
      <c r="B3635" t="s">
        <v>27</v>
      </c>
      <c r="C3635">
        <v>2016</v>
      </c>
      <c r="D3635" t="s">
        <v>32</v>
      </c>
      <c r="E3635" s="12">
        <v>4041</v>
      </c>
      <c r="F3635" s="12">
        <v>7579</v>
      </c>
      <c r="G3635" s="1">
        <f t="shared" si="1483"/>
        <v>11620</v>
      </c>
      <c r="H3635" s="2">
        <f t="shared" si="1484"/>
        <v>0.34776247848537006</v>
      </c>
      <c r="I3635" s="2">
        <f t="shared" si="1485"/>
        <v>0.65223752151462999</v>
      </c>
      <c r="J3635" s="4">
        <v>390</v>
      </c>
      <c r="K3635" s="12">
        <v>3036</v>
      </c>
      <c r="L3635" s="1">
        <f t="shared" si="1486"/>
        <v>3426</v>
      </c>
      <c r="M3635" s="2">
        <f t="shared" si="1487"/>
        <v>0.11383537653239929</v>
      </c>
      <c r="N3635" s="2">
        <f t="shared" si="1488"/>
        <v>0.88616462346760072</v>
      </c>
    </row>
    <row r="3636" spans="1:14" x14ac:dyDescent="0.35">
      <c r="A3636" t="s">
        <v>36</v>
      </c>
      <c r="B3636" t="s">
        <v>28</v>
      </c>
      <c r="C3636">
        <v>2016</v>
      </c>
      <c r="D3636" t="s">
        <v>32</v>
      </c>
      <c r="E3636" s="12">
        <v>3835</v>
      </c>
      <c r="F3636" s="12">
        <v>7266</v>
      </c>
      <c r="G3636" s="1">
        <f t="shared" si="1483"/>
        <v>11101</v>
      </c>
      <c r="H3636" s="2">
        <f t="shared" si="1484"/>
        <v>0.34546437257904694</v>
      </c>
      <c r="I3636" s="2">
        <f t="shared" si="1485"/>
        <v>0.65453562742095306</v>
      </c>
      <c r="J3636" s="4">
        <v>368</v>
      </c>
      <c r="K3636" s="12">
        <v>2957</v>
      </c>
      <c r="L3636" s="1">
        <f t="shared" si="1486"/>
        <v>3325</v>
      </c>
      <c r="M3636" s="2">
        <f t="shared" si="1487"/>
        <v>0.1106766917293233</v>
      </c>
      <c r="N3636" s="2">
        <f t="shared" si="1488"/>
        <v>0.88932330827067674</v>
      </c>
    </row>
    <row r="3637" spans="1:14" x14ac:dyDescent="0.35">
      <c r="A3637" t="s">
        <v>36</v>
      </c>
      <c r="B3637" t="s">
        <v>29</v>
      </c>
      <c r="C3637">
        <v>2016</v>
      </c>
      <c r="D3637" t="s">
        <v>32</v>
      </c>
      <c r="E3637" s="12">
        <v>3953</v>
      </c>
      <c r="F3637" s="12">
        <v>7622</v>
      </c>
      <c r="G3637" s="1">
        <f t="shared" si="1483"/>
        <v>11575</v>
      </c>
      <c r="H3637" s="2">
        <f t="shared" si="1484"/>
        <v>0.341511879049676</v>
      </c>
      <c r="I3637" s="2">
        <f t="shared" si="1485"/>
        <v>0.65848812095032394</v>
      </c>
      <c r="J3637" s="4">
        <v>381</v>
      </c>
      <c r="K3637" s="12">
        <v>3039</v>
      </c>
      <c r="L3637" s="1">
        <f t="shared" si="1486"/>
        <v>3420</v>
      </c>
      <c r="M3637" s="2">
        <f t="shared" si="1487"/>
        <v>0.11140350877192982</v>
      </c>
      <c r="N3637" s="2">
        <f t="shared" si="1488"/>
        <v>0.88859649122807016</v>
      </c>
    </row>
    <row r="3638" spans="1:14" x14ac:dyDescent="0.35">
      <c r="A3638" t="s">
        <v>36</v>
      </c>
      <c r="B3638" t="s">
        <v>17</v>
      </c>
      <c r="C3638">
        <v>2017</v>
      </c>
      <c r="D3638" t="s">
        <v>32</v>
      </c>
      <c r="E3638" s="12">
        <v>3927</v>
      </c>
      <c r="F3638" s="12">
        <v>7645</v>
      </c>
      <c r="G3638" s="1">
        <f t="shared" si="1483"/>
        <v>11572</v>
      </c>
      <c r="H3638" s="2">
        <f t="shared" si="1484"/>
        <v>0.33935361216730037</v>
      </c>
      <c r="I3638" s="2">
        <f t="shared" si="1485"/>
        <v>0.66064638783269958</v>
      </c>
      <c r="J3638" s="4">
        <v>376</v>
      </c>
      <c r="K3638" s="4">
        <v>3038</v>
      </c>
      <c r="L3638" s="1">
        <f t="shared" si="1486"/>
        <v>3414</v>
      </c>
      <c r="M3638" s="2">
        <f t="shared" si="1487"/>
        <v>0.11013473930872876</v>
      </c>
      <c r="N3638" s="2">
        <f t="shared" si="1488"/>
        <v>0.88986526069127125</v>
      </c>
    </row>
    <row r="3639" spans="1:14" x14ac:dyDescent="0.35">
      <c r="A3639" t="s">
        <v>36</v>
      </c>
      <c r="B3639" t="s">
        <v>19</v>
      </c>
      <c r="C3639">
        <v>2017</v>
      </c>
      <c r="D3639" t="s">
        <v>32</v>
      </c>
      <c r="E3639" s="12">
        <v>3560</v>
      </c>
      <c r="F3639" s="12">
        <v>7017</v>
      </c>
      <c r="G3639" s="1">
        <f t="shared" ref="G3639:G3702" si="1489">SUM(E3639:F3639)</f>
        <v>10577</v>
      </c>
      <c r="H3639" s="2">
        <f t="shared" ref="H3639:H3702" si="1490">SUM(E3639)/G3639</f>
        <v>0.33657937033185215</v>
      </c>
      <c r="I3639" s="2">
        <f t="shared" ref="I3639:I3702" si="1491">SUM(F3639/G3639)</f>
        <v>0.66342062966814785</v>
      </c>
      <c r="J3639" s="4">
        <v>337</v>
      </c>
      <c r="K3639" s="4">
        <v>2873</v>
      </c>
      <c r="L3639" s="1">
        <f t="shared" si="1486"/>
        <v>3210</v>
      </c>
      <c r="M3639" s="2">
        <f t="shared" si="1487"/>
        <v>0.10498442367601246</v>
      </c>
      <c r="N3639" s="2">
        <f t="shared" si="1488"/>
        <v>0.89501557632398754</v>
      </c>
    </row>
    <row r="3640" spans="1:14" x14ac:dyDescent="0.35">
      <c r="A3640" t="s">
        <v>36</v>
      </c>
      <c r="B3640" t="s">
        <v>20</v>
      </c>
      <c r="C3640">
        <v>2017</v>
      </c>
      <c r="D3640" t="s">
        <v>32</v>
      </c>
      <c r="E3640" s="12">
        <v>3846</v>
      </c>
      <c r="F3640" s="12">
        <v>7662</v>
      </c>
      <c r="G3640" s="1">
        <f t="shared" si="1489"/>
        <v>11508</v>
      </c>
      <c r="H3640" s="2">
        <f t="shared" si="1490"/>
        <v>0.33420229405630864</v>
      </c>
      <c r="I3640" s="2">
        <f t="shared" si="1491"/>
        <v>0.66579770594369136</v>
      </c>
      <c r="J3640" s="4">
        <v>366</v>
      </c>
      <c r="K3640" s="4">
        <v>3041</v>
      </c>
      <c r="L3640" s="1">
        <f t="shared" si="1486"/>
        <v>3407</v>
      </c>
      <c r="M3640" s="2">
        <f t="shared" si="1487"/>
        <v>0.10742588787789845</v>
      </c>
      <c r="N3640" s="2">
        <f t="shared" si="1488"/>
        <v>0.89257411212210158</v>
      </c>
    </row>
    <row r="3641" spans="1:14" x14ac:dyDescent="0.35">
      <c r="A3641" t="s">
        <v>36</v>
      </c>
      <c r="B3641" t="s">
        <v>21</v>
      </c>
      <c r="C3641">
        <v>2017</v>
      </c>
      <c r="D3641" t="s">
        <v>32</v>
      </c>
      <c r="E3641" s="12">
        <v>3817</v>
      </c>
      <c r="F3641" s="12">
        <v>7666</v>
      </c>
      <c r="G3641" s="1">
        <f t="shared" si="1489"/>
        <v>11483</v>
      </c>
      <c r="H3641" s="2">
        <f t="shared" si="1490"/>
        <v>0.33240442393102848</v>
      </c>
      <c r="I3641" s="2">
        <f t="shared" si="1491"/>
        <v>0.66759557606897157</v>
      </c>
      <c r="J3641" s="4">
        <v>361</v>
      </c>
      <c r="K3641" s="4">
        <v>3047</v>
      </c>
      <c r="L3641" s="1">
        <f t="shared" si="1486"/>
        <v>3408</v>
      </c>
      <c r="M3641" s="2">
        <f t="shared" si="1487"/>
        <v>0.10592723004694836</v>
      </c>
      <c r="N3641" s="2">
        <f t="shared" si="1488"/>
        <v>0.89407276995305163</v>
      </c>
    </row>
    <row r="3642" spans="1:14" x14ac:dyDescent="0.35">
      <c r="A3642" t="s">
        <v>36</v>
      </c>
      <c r="B3642" t="s">
        <v>22</v>
      </c>
      <c r="C3642">
        <v>2017</v>
      </c>
      <c r="D3642" t="s">
        <v>32</v>
      </c>
      <c r="E3642" s="12">
        <v>3782</v>
      </c>
      <c r="F3642" s="12">
        <v>7709</v>
      </c>
      <c r="G3642" s="1">
        <f t="shared" si="1489"/>
        <v>11491</v>
      </c>
      <c r="H3642" s="2">
        <f t="shared" si="1490"/>
        <v>0.32912714298146373</v>
      </c>
      <c r="I3642" s="2">
        <f t="shared" si="1491"/>
        <v>0.67087285701853627</v>
      </c>
      <c r="J3642" s="4">
        <v>358</v>
      </c>
      <c r="K3642" s="4">
        <v>3043</v>
      </c>
      <c r="L3642" s="1">
        <f t="shared" si="1486"/>
        <v>3401</v>
      </c>
      <c r="M3642" s="2">
        <f t="shared" si="1487"/>
        <v>0.10526315789473684</v>
      </c>
      <c r="N3642" s="2">
        <f t="shared" si="1488"/>
        <v>0.89473684210526316</v>
      </c>
    </row>
    <row r="3643" spans="1:14" x14ac:dyDescent="0.35">
      <c r="A3643" t="s">
        <v>36</v>
      </c>
      <c r="B3643" t="s">
        <v>23</v>
      </c>
      <c r="C3643">
        <v>2017</v>
      </c>
      <c r="D3643" t="s">
        <v>32</v>
      </c>
      <c r="E3643" s="12">
        <v>3747</v>
      </c>
      <c r="F3643" s="12">
        <v>7762</v>
      </c>
      <c r="G3643" s="1">
        <f t="shared" si="1489"/>
        <v>11509</v>
      </c>
      <c r="H3643" s="2">
        <f t="shared" si="1490"/>
        <v>0.32557129203232255</v>
      </c>
      <c r="I3643" s="2">
        <f t="shared" si="1491"/>
        <v>0.67442870796767751</v>
      </c>
      <c r="J3643" s="4">
        <v>355</v>
      </c>
      <c r="K3643" s="4">
        <v>3033</v>
      </c>
      <c r="L3643" s="1">
        <f t="shared" si="1486"/>
        <v>3388</v>
      </c>
      <c r="M3643" s="2">
        <f t="shared" si="1487"/>
        <v>0.10478158205430933</v>
      </c>
      <c r="N3643" s="2">
        <f t="shared" si="1488"/>
        <v>0.89521841794569068</v>
      </c>
    </row>
    <row r="3644" spans="1:14" x14ac:dyDescent="0.35">
      <c r="A3644" t="s">
        <v>36</v>
      </c>
      <c r="B3644" t="s">
        <v>24</v>
      </c>
      <c r="C3644">
        <v>2017</v>
      </c>
      <c r="D3644" t="s">
        <v>32</v>
      </c>
      <c r="E3644" s="12">
        <v>3712</v>
      </c>
      <c r="F3644" s="12">
        <v>7729</v>
      </c>
      <c r="G3644" s="1">
        <f t="shared" si="1489"/>
        <v>11441</v>
      </c>
      <c r="H3644" s="2">
        <f t="shared" si="1490"/>
        <v>0.32444716370946597</v>
      </c>
      <c r="I3644" s="2">
        <f t="shared" si="1491"/>
        <v>0.67555283629053409</v>
      </c>
      <c r="J3644" s="4">
        <v>352</v>
      </c>
      <c r="K3644" s="4">
        <v>3036</v>
      </c>
      <c r="L3644" s="1">
        <f t="shared" si="1486"/>
        <v>3388</v>
      </c>
      <c r="M3644" s="2">
        <f t="shared" si="1487"/>
        <v>0.1038961038961039</v>
      </c>
      <c r="N3644" s="2">
        <f t="shared" si="1488"/>
        <v>0.89610389610389607</v>
      </c>
    </row>
    <row r="3645" spans="1:14" x14ac:dyDescent="0.35">
      <c r="A3645" t="s">
        <v>36</v>
      </c>
      <c r="B3645" t="s">
        <v>25</v>
      </c>
      <c r="C3645">
        <v>2017</v>
      </c>
      <c r="D3645" t="s">
        <v>32</v>
      </c>
      <c r="E3645" s="12">
        <v>3672</v>
      </c>
      <c r="F3645" s="12">
        <v>7718</v>
      </c>
      <c r="G3645" s="1">
        <f t="shared" si="1489"/>
        <v>11390</v>
      </c>
      <c r="H3645" s="2">
        <f t="shared" si="1490"/>
        <v>0.32238805970149254</v>
      </c>
      <c r="I3645" s="2">
        <f t="shared" si="1491"/>
        <v>0.67761194029850746</v>
      </c>
      <c r="J3645" s="4">
        <v>340</v>
      </c>
      <c r="K3645" s="4">
        <v>3032</v>
      </c>
      <c r="L3645" s="1">
        <f t="shared" si="1486"/>
        <v>3372</v>
      </c>
      <c r="M3645" s="2">
        <f t="shared" si="1487"/>
        <v>0.10083036773428232</v>
      </c>
      <c r="N3645" s="2">
        <f t="shared" si="1488"/>
        <v>0.89916963226571767</v>
      </c>
    </row>
    <row r="3646" spans="1:14" x14ac:dyDescent="0.35">
      <c r="A3646" t="s">
        <v>36</v>
      </c>
      <c r="B3646" t="s">
        <v>26</v>
      </c>
      <c r="C3646">
        <v>2017</v>
      </c>
      <c r="D3646" t="s">
        <v>32</v>
      </c>
      <c r="E3646" s="12">
        <v>3640</v>
      </c>
      <c r="F3646" s="12">
        <v>7712</v>
      </c>
      <c r="G3646" s="1">
        <f t="shared" si="1489"/>
        <v>11352</v>
      </c>
      <c r="H3646" s="2">
        <f t="shared" si="1490"/>
        <v>0.32064834390415786</v>
      </c>
      <c r="I3646" s="2">
        <f t="shared" si="1491"/>
        <v>0.67935165609584214</v>
      </c>
      <c r="J3646" s="4">
        <v>337</v>
      </c>
      <c r="K3646" s="4">
        <v>3033</v>
      </c>
      <c r="L3646" s="1">
        <f t="shared" si="1486"/>
        <v>3370</v>
      </c>
      <c r="M3646" s="2">
        <f t="shared" si="1487"/>
        <v>0.1</v>
      </c>
      <c r="N3646" s="2">
        <f t="shared" si="1488"/>
        <v>0.9</v>
      </c>
    </row>
    <row r="3647" spans="1:14" x14ac:dyDescent="0.35">
      <c r="A3647" t="s">
        <v>36</v>
      </c>
      <c r="B3647" t="s">
        <v>27</v>
      </c>
      <c r="C3647">
        <v>2017</v>
      </c>
      <c r="D3647" t="s">
        <v>32</v>
      </c>
      <c r="E3647" s="12">
        <v>3608</v>
      </c>
      <c r="F3647" s="12">
        <v>7735</v>
      </c>
      <c r="G3647" s="1">
        <f t="shared" si="1489"/>
        <v>11343</v>
      </c>
      <c r="H3647" s="2">
        <f t="shared" si="1490"/>
        <v>0.3180816362514326</v>
      </c>
      <c r="I3647" s="2">
        <f t="shared" si="1491"/>
        <v>0.6819183637485674</v>
      </c>
      <c r="J3647" s="4">
        <v>334</v>
      </c>
      <c r="K3647" s="4">
        <v>3033</v>
      </c>
      <c r="L3647" s="1">
        <f t="shared" si="1486"/>
        <v>3367</v>
      </c>
      <c r="M3647" s="2">
        <f t="shared" si="1487"/>
        <v>9.9198099198099202E-2</v>
      </c>
      <c r="N3647" s="2">
        <f t="shared" si="1488"/>
        <v>0.90080190080190081</v>
      </c>
    </row>
    <row r="3648" spans="1:14" x14ac:dyDescent="0.35">
      <c r="A3648" t="s">
        <v>36</v>
      </c>
      <c r="B3648" t="s">
        <v>28</v>
      </c>
      <c r="C3648">
        <v>2017</v>
      </c>
      <c r="D3648" t="s">
        <v>32</v>
      </c>
      <c r="E3648" s="12">
        <v>3581</v>
      </c>
      <c r="F3648" s="12">
        <v>7750</v>
      </c>
      <c r="G3648" s="1">
        <f t="shared" si="1489"/>
        <v>11331</v>
      </c>
      <c r="H3648" s="2">
        <f t="shared" si="1490"/>
        <v>0.31603565439943515</v>
      </c>
      <c r="I3648" s="2">
        <f t="shared" si="1491"/>
        <v>0.68396434560056485</v>
      </c>
      <c r="J3648" s="4">
        <v>331</v>
      </c>
      <c r="K3648" s="4">
        <v>3033</v>
      </c>
      <c r="L3648" s="1">
        <f t="shared" si="1486"/>
        <v>3364</v>
      </c>
      <c r="M3648" s="2">
        <f t="shared" si="1487"/>
        <v>9.8394768133174798E-2</v>
      </c>
      <c r="N3648" s="2">
        <f t="shared" si="1488"/>
        <v>0.90160523186682517</v>
      </c>
    </row>
    <row r="3649" spans="1:14" x14ac:dyDescent="0.35">
      <c r="A3649" t="s">
        <v>36</v>
      </c>
      <c r="B3649" t="s">
        <v>29</v>
      </c>
      <c r="C3649">
        <v>2017</v>
      </c>
      <c r="D3649" t="s">
        <v>32</v>
      </c>
      <c r="E3649" s="12">
        <v>3522</v>
      </c>
      <c r="F3649" s="12">
        <v>7786</v>
      </c>
      <c r="G3649" s="1">
        <f t="shared" si="1489"/>
        <v>11308</v>
      </c>
      <c r="H3649" s="2">
        <f t="shared" si="1490"/>
        <v>0.31146091262822778</v>
      </c>
      <c r="I3649" s="2">
        <f t="shared" si="1491"/>
        <v>0.68853908737177216</v>
      </c>
      <c r="J3649" s="4">
        <v>325</v>
      </c>
      <c r="K3649" s="4">
        <v>3037</v>
      </c>
      <c r="L3649" s="1">
        <f t="shared" si="1486"/>
        <v>3362</v>
      </c>
      <c r="M3649" s="2">
        <f t="shared" si="1487"/>
        <v>9.66686496133254E-2</v>
      </c>
      <c r="N3649" s="2">
        <f t="shared" si="1488"/>
        <v>0.90333135038667456</v>
      </c>
    </row>
    <row r="3650" spans="1:14" x14ac:dyDescent="0.35">
      <c r="A3650" t="s">
        <v>36</v>
      </c>
      <c r="B3650" t="s">
        <v>17</v>
      </c>
      <c r="C3650">
        <v>2002</v>
      </c>
      <c r="D3650" t="s">
        <v>33</v>
      </c>
      <c r="E3650" s="1">
        <f>SUM(E2882+E3074+E3266+E3458)</f>
        <v>202370</v>
      </c>
      <c r="F3650" s="1">
        <f>SUM(F2882+F3074+F3266+F3458)</f>
        <v>2152</v>
      </c>
      <c r="G3650" s="1">
        <f t="shared" si="1489"/>
        <v>204522</v>
      </c>
      <c r="H3650" s="2">
        <f t="shared" si="1490"/>
        <v>0.98947790457750262</v>
      </c>
      <c r="I3650" s="2">
        <f t="shared" si="1491"/>
        <v>1.0522095422497334E-2</v>
      </c>
      <c r="J3650" s="1">
        <f>SUM(J2882+J3074+J3266+J3458)</f>
        <v>254424.45499999999</v>
      </c>
      <c r="K3650" s="1">
        <f>SUM(K2882+K3074+K3266+K3458)</f>
        <v>10111.618000000002</v>
      </c>
      <c r="L3650" s="1">
        <f t="shared" si="1486"/>
        <v>264536.07299999997</v>
      </c>
      <c r="M3650" s="2">
        <f t="shared" si="1487"/>
        <v>0.96177603347124618</v>
      </c>
      <c r="N3650" s="2">
        <f t="shared" si="1488"/>
        <v>3.8223966528753921E-2</v>
      </c>
    </row>
    <row r="3651" spans="1:14" x14ac:dyDescent="0.35">
      <c r="A3651" t="s">
        <v>36</v>
      </c>
      <c r="B3651" t="s">
        <v>19</v>
      </c>
      <c r="C3651">
        <v>2002</v>
      </c>
      <c r="D3651" t="s">
        <v>33</v>
      </c>
      <c r="E3651" s="1">
        <f>SUM(E2883+E3075+E3267+E3459)</f>
        <v>204540</v>
      </c>
      <c r="F3651" s="1">
        <f t="shared" ref="F3651:F3714" si="1492">SUM(F2883+F3075+F3267+F3459)</f>
        <v>3230</v>
      </c>
      <c r="G3651" s="1">
        <f t="shared" si="1489"/>
        <v>207770</v>
      </c>
      <c r="H3651" s="2">
        <f t="shared" si="1490"/>
        <v>0.98445396351735093</v>
      </c>
      <c r="I3651" s="2">
        <f t="shared" si="1491"/>
        <v>1.5546036482649083E-2</v>
      </c>
      <c r="J3651" s="1">
        <f t="shared" ref="J3651:K3651" si="1493">SUM(J2883+J3075+J3267+J3459)</f>
        <v>254424.45499999999</v>
      </c>
      <c r="K3651" s="1">
        <f t="shared" si="1493"/>
        <v>35757.152000000002</v>
      </c>
      <c r="L3651" s="1">
        <f t="shared" ref="L3651:L3714" si="1494">SUM(J3651:K3651)</f>
        <v>290181.60699999996</v>
      </c>
      <c r="M3651" s="2">
        <f t="shared" ref="M3651:M3714" si="1495">SUM(J3651)/L3651</f>
        <v>0.87677664215292606</v>
      </c>
      <c r="N3651" s="2">
        <f t="shared" ref="N3651:N3714" si="1496">SUM(K3651/L3651)</f>
        <v>0.12322335784707404</v>
      </c>
    </row>
    <row r="3652" spans="1:14" x14ac:dyDescent="0.35">
      <c r="A3652" t="s">
        <v>36</v>
      </c>
      <c r="B3652" t="s">
        <v>20</v>
      </c>
      <c r="C3652">
        <v>2002</v>
      </c>
      <c r="D3652" t="s">
        <v>33</v>
      </c>
      <c r="E3652" s="1">
        <f t="shared" ref="E3652" si="1497">SUM(E2884+E3076+E3268+E3460)</f>
        <v>205088</v>
      </c>
      <c r="F3652" s="1">
        <f t="shared" si="1492"/>
        <v>4369</v>
      </c>
      <c r="G3652" s="1">
        <f t="shared" si="1489"/>
        <v>209457</v>
      </c>
      <c r="H3652" s="2">
        <f t="shared" si="1490"/>
        <v>0.97914130346562778</v>
      </c>
      <c r="I3652" s="2">
        <f t="shared" si="1491"/>
        <v>2.0858696534372209E-2</v>
      </c>
      <c r="J3652" s="1">
        <f t="shared" ref="J3652:K3652" si="1498">SUM(J2884+J3076+J3268+J3460)</f>
        <v>276287.54700000002</v>
      </c>
      <c r="K3652" s="1">
        <f t="shared" si="1498"/>
        <v>65763.566999999995</v>
      </c>
      <c r="L3652" s="1">
        <f t="shared" si="1494"/>
        <v>342051.114</v>
      </c>
      <c r="M3652" s="2">
        <f t="shared" si="1495"/>
        <v>0.80773760321681054</v>
      </c>
      <c r="N3652" s="2">
        <f t="shared" si="1496"/>
        <v>0.19226239678318954</v>
      </c>
    </row>
    <row r="3653" spans="1:14" x14ac:dyDescent="0.35">
      <c r="A3653" t="s">
        <v>36</v>
      </c>
      <c r="B3653" t="s">
        <v>21</v>
      </c>
      <c r="C3653">
        <v>2002</v>
      </c>
      <c r="D3653" t="s">
        <v>33</v>
      </c>
      <c r="E3653" s="1">
        <f t="shared" ref="E3653" si="1499">SUM(E2885+E3077+E3269+E3461)</f>
        <v>204427</v>
      </c>
      <c r="F3653" s="1">
        <f t="shared" si="1492"/>
        <v>5036</v>
      </c>
      <c r="G3653" s="1">
        <f t="shared" si="1489"/>
        <v>209463</v>
      </c>
      <c r="H3653" s="2">
        <f t="shared" si="1490"/>
        <v>0.97595756768498498</v>
      </c>
      <c r="I3653" s="2">
        <f t="shared" si="1491"/>
        <v>2.4042432315015062E-2</v>
      </c>
      <c r="J3653" s="1">
        <f t="shared" ref="J3653:K3653" si="1500">SUM(J2885+J3077+J3269+J3461)</f>
        <v>266041.473</v>
      </c>
      <c r="K3653" s="1">
        <f t="shared" si="1500"/>
        <v>74985.444999999992</v>
      </c>
      <c r="L3653" s="1">
        <f t="shared" si="1494"/>
        <v>341026.91800000001</v>
      </c>
      <c r="M3653" s="2">
        <f t="shared" si="1495"/>
        <v>0.78011869139315271</v>
      </c>
      <c r="N3653" s="2">
        <f t="shared" si="1496"/>
        <v>0.21988130860684724</v>
      </c>
    </row>
    <row r="3654" spans="1:14" x14ac:dyDescent="0.35">
      <c r="A3654" t="s">
        <v>36</v>
      </c>
      <c r="B3654" t="s">
        <v>22</v>
      </c>
      <c r="C3654">
        <v>2002</v>
      </c>
      <c r="D3654" t="s">
        <v>33</v>
      </c>
      <c r="E3654" s="1">
        <f t="shared" ref="E3654" si="1501">SUM(E2886+E3078+E3270+E3462)</f>
        <v>204520</v>
      </c>
      <c r="F3654" s="1">
        <f t="shared" si="1492"/>
        <v>5487</v>
      </c>
      <c r="G3654" s="1">
        <f t="shared" si="1489"/>
        <v>210007</v>
      </c>
      <c r="H3654" s="2">
        <f t="shared" si="1490"/>
        <v>0.97387229949477871</v>
      </c>
      <c r="I3654" s="2">
        <f t="shared" si="1491"/>
        <v>2.6127700505221254E-2</v>
      </c>
      <c r="J3654" s="1">
        <f t="shared" ref="J3654:K3654" si="1502">SUM(J2886+J3078+J3270+J3462)</f>
        <v>250672.133</v>
      </c>
      <c r="K3654" s="1">
        <f t="shared" si="1502"/>
        <v>119142.341</v>
      </c>
      <c r="L3654" s="1">
        <f t="shared" si="1494"/>
        <v>369814.47399999999</v>
      </c>
      <c r="M3654" s="2">
        <f t="shared" si="1495"/>
        <v>0.67783213103768358</v>
      </c>
      <c r="N3654" s="2">
        <f t="shared" si="1496"/>
        <v>0.32216786896231653</v>
      </c>
    </row>
    <row r="3655" spans="1:14" x14ac:dyDescent="0.35">
      <c r="A3655" t="s">
        <v>36</v>
      </c>
      <c r="B3655" t="s">
        <v>23</v>
      </c>
      <c r="C3655">
        <v>2002</v>
      </c>
      <c r="D3655" t="s">
        <v>33</v>
      </c>
      <c r="E3655" s="1">
        <f t="shared" ref="E3655" si="1503">SUM(E2887+E3079+E3271+E3463)</f>
        <v>204843</v>
      </c>
      <c r="F3655" s="1">
        <f t="shared" si="1492"/>
        <v>5963</v>
      </c>
      <c r="G3655" s="1">
        <f t="shared" si="1489"/>
        <v>210806</v>
      </c>
      <c r="H3655" s="2">
        <f t="shared" si="1490"/>
        <v>0.97171332884263262</v>
      </c>
      <c r="I3655" s="2">
        <f t="shared" si="1491"/>
        <v>2.8286671157367438E-2</v>
      </c>
      <c r="J3655" s="1">
        <f t="shared" ref="J3655:K3655" si="1504">SUM(J2887+J3079+J3271+J3463)</f>
        <v>238515.79699999999</v>
      </c>
      <c r="K3655" s="1">
        <f t="shared" si="1504"/>
        <v>29468.940999999999</v>
      </c>
      <c r="L3655" s="1">
        <f t="shared" si="1494"/>
        <v>267984.73800000001</v>
      </c>
      <c r="M3655" s="2">
        <f t="shared" si="1495"/>
        <v>0.89003500266496516</v>
      </c>
      <c r="N3655" s="2">
        <f t="shared" si="1496"/>
        <v>0.1099649973350348</v>
      </c>
    </row>
    <row r="3656" spans="1:14" x14ac:dyDescent="0.35">
      <c r="A3656" t="s">
        <v>36</v>
      </c>
      <c r="B3656" t="s">
        <v>24</v>
      </c>
      <c r="C3656">
        <v>2002</v>
      </c>
      <c r="D3656" t="s">
        <v>33</v>
      </c>
      <c r="E3656" s="1">
        <f t="shared" ref="E3656" si="1505">SUM(E2888+E3080+E3272+E3464)</f>
        <v>206178</v>
      </c>
      <c r="F3656" s="1">
        <f t="shared" si="1492"/>
        <v>6986</v>
      </c>
      <c r="G3656" s="1">
        <f t="shared" si="1489"/>
        <v>213164</v>
      </c>
      <c r="H3656" s="2">
        <f t="shared" si="1490"/>
        <v>0.96722711151976881</v>
      </c>
      <c r="I3656" s="2">
        <f t="shared" si="1491"/>
        <v>3.2772888480231181E-2</v>
      </c>
      <c r="J3656" s="1">
        <f t="shared" ref="J3656:K3656" si="1506">SUM(J2888+J3080+J3272+J3464)</f>
        <v>308601.81</v>
      </c>
      <c r="K3656" s="1">
        <f t="shared" si="1506"/>
        <v>284200.01899999997</v>
      </c>
      <c r="L3656" s="1">
        <f t="shared" si="1494"/>
        <v>592801.82899999991</v>
      </c>
      <c r="M3656" s="2">
        <f t="shared" si="1495"/>
        <v>0.52058174402157598</v>
      </c>
      <c r="N3656" s="2">
        <f t="shared" si="1496"/>
        <v>0.47941825597842413</v>
      </c>
    </row>
    <row r="3657" spans="1:14" x14ac:dyDescent="0.35">
      <c r="A3657" t="s">
        <v>36</v>
      </c>
      <c r="B3657" t="s">
        <v>25</v>
      </c>
      <c r="C3657">
        <v>2002</v>
      </c>
      <c r="D3657" t="s">
        <v>33</v>
      </c>
      <c r="E3657" s="1">
        <f t="shared" ref="E3657" si="1507">SUM(E2889+E3081+E3273+E3465)</f>
        <v>206220</v>
      </c>
      <c r="F3657" s="1">
        <f t="shared" si="1492"/>
        <v>8542</v>
      </c>
      <c r="G3657" s="1">
        <f t="shared" si="1489"/>
        <v>214762</v>
      </c>
      <c r="H3657" s="2">
        <f t="shared" si="1490"/>
        <v>0.96022573825909607</v>
      </c>
      <c r="I3657" s="2">
        <f t="shared" si="1491"/>
        <v>3.9774261740903885E-2</v>
      </c>
      <c r="J3657" s="1">
        <f t="shared" ref="J3657:K3657" si="1508">SUM(J2889+J3081+J3273+J3465)</f>
        <v>326963.83100000006</v>
      </c>
      <c r="K3657" s="1">
        <f t="shared" si="1508"/>
        <v>137513.42799999999</v>
      </c>
      <c r="L3657" s="1">
        <f t="shared" si="1494"/>
        <v>464477.25900000008</v>
      </c>
      <c r="M3657" s="2">
        <f t="shared" si="1495"/>
        <v>0.70393937413413821</v>
      </c>
      <c r="N3657" s="2">
        <f t="shared" si="1496"/>
        <v>0.29606062586586174</v>
      </c>
    </row>
    <row r="3658" spans="1:14" x14ac:dyDescent="0.35">
      <c r="A3658" t="s">
        <v>36</v>
      </c>
      <c r="B3658" t="s">
        <v>26</v>
      </c>
      <c r="C3658">
        <v>2002</v>
      </c>
      <c r="D3658" t="s">
        <v>33</v>
      </c>
      <c r="E3658" s="1">
        <f t="shared" ref="E3658" si="1509">SUM(E2890+E3082+E3274+E3466)</f>
        <v>203592</v>
      </c>
      <c r="F3658" s="1">
        <f t="shared" si="1492"/>
        <v>9194</v>
      </c>
      <c r="G3658" s="1">
        <f t="shared" si="1489"/>
        <v>212786</v>
      </c>
      <c r="H3658" s="2">
        <f t="shared" si="1490"/>
        <v>0.95679227016815016</v>
      </c>
      <c r="I3658" s="2">
        <f t="shared" si="1491"/>
        <v>4.3207729831849839E-2</v>
      </c>
      <c r="J3658" s="1">
        <f t="shared" ref="J3658:K3658" si="1510">SUM(J2890+J3082+J3274+J3466)</f>
        <v>324911.98600000003</v>
      </c>
      <c r="K3658" s="1">
        <f t="shared" si="1510"/>
        <v>170727.74100000001</v>
      </c>
      <c r="L3658" s="1">
        <f t="shared" si="1494"/>
        <v>495639.72700000007</v>
      </c>
      <c r="M3658" s="2">
        <f t="shared" si="1495"/>
        <v>0.65554064434387038</v>
      </c>
      <c r="N3658" s="2">
        <f t="shared" si="1496"/>
        <v>0.34445935565612962</v>
      </c>
    </row>
    <row r="3659" spans="1:14" x14ac:dyDescent="0.35">
      <c r="A3659" t="s">
        <v>36</v>
      </c>
      <c r="B3659" t="s">
        <v>27</v>
      </c>
      <c r="C3659">
        <v>2002</v>
      </c>
      <c r="D3659" t="s">
        <v>33</v>
      </c>
      <c r="E3659" s="1">
        <f t="shared" ref="E3659" si="1511">SUM(E2891+E3083+E3275+E3467)</f>
        <v>177883</v>
      </c>
      <c r="F3659" s="1">
        <f t="shared" si="1492"/>
        <v>10375</v>
      </c>
      <c r="G3659" s="1">
        <f t="shared" si="1489"/>
        <v>188258</v>
      </c>
      <c r="H3659" s="2">
        <f t="shared" si="1490"/>
        <v>0.94488946020886233</v>
      </c>
      <c r="I3659" s="2">
        <f t="shared" si="1491"/>
        <v>5.5110539791137697E-2</v>
      </c>
      <c r="J3659" s="1">
        <f t="shared" ref="J3659:K3659" si="1512">SUM(J2891+J3083+J3275+J3467)</f>
        <v>239565.86699999994</v>
      </c>
      <c r="K3659" s="1">
        <f t="shared" si="1512"/>
        <v>139457.28099999999</v>
      </c>
      <c r="L3659" s="1">
        <f t="shared" si="1494"/>
        <v>379023.14799999993</v>
      </c>
      <c r="M3659" s="2">
        <f t="shared" si="1495"/>
        <v>0.63206130882539124</v>
      </c>
      <c r="N3659" s="2">
        <f t="shared" si="1496"/>
        <v>0.3679386911746087</v>
      </c>
    </row>
    <row r="3660" spans="1:14" x14ac:dyDescent="0.35">
      <c r="A3660" t="s">
        <v>36</v>
      </c>
      <c r="B3660" t="s">
        <v>28</v>
      </c>
      <c r="C3660">
        <v>2002</v>
      </c>
      <c r="D3660" t="s">
        <v>33</v>
      </c>
      <c r="E3660" s="1">
        <f t="shared" ref="E3660" si="1513">SUM(E2892+E3084+E3276+E3468)</f>
        <v>176348</v>
      </c>
      <c r="F3660" s="1">
        <f t="shared" si="1492"/>
        <v>11154</v>
      </c>
      <c r="G3660" s="1">
        <f t="shared" si="1489"/>
        <v>187502</v>
      </c>
      <c r="H3660" s="2">
        <f t="shared" si="1490"/>
        <v>0.94051263453189837</v>
      </c>
      <c r="I3660" s="2">
        <f t="shared" si="1491"/>
        <v>5.9487365468101676E-2</v>
      </c>
      <c r="J3660" s="1">
        <f t="shared" ref="J3660:K3660" si="1514">SUM(J2892+J3084+J3276+J3468)</f>
        <v>184408.63200000001</v>
      </c>
      <c r="K3660" s="1">
        <f t="shared" si="1514"/>
        <v>119826.217</v>
      </c>
      <c r="L3660" s="1">
        <f t="shared" si="1494"/>
        <v>304234.84900000005</v>
      </c>
      <c r="M3660" s="2">
        <f t="shared" si="1495"/>
        <v>0.60613908171972763</v>
      </c>
      <c r="N3660" s="2">
        <f t="shared" si="1496"/>
        <v>0.39386091828027231</v>
      </c>
    </row>
    <row r="3661" spans="1:14" x14ac:dyDescent="0.35">
      <c r="A3661" t="s">
        <v>36</v>
      </c>
      <c r="B3661" t="s">
        <v>29</v>
      </c>
      <c r="C3661">
        <v>2002</v>
      </c>
      <c r="D3661" t="s">
        <v>33</v>
      </c>
      <c r="E3661" s="1">
        <f t="shared" ref="E3661" si="1515">SUM(E2893+E3085+E3277+E3469)</f>
        <v>174882</v>
      </c>
      <c r="F3661" s="1">
        <f t="shared" si="1492"/>
        <v>12168</v>
      </c>
      <c r="G3661" s="1">
        <f t="shared" si="1489"/>
        <v>187050</v>
      </c>
      <c r="H3661" s="2">
        <f t="shared" si="1490"/>
        <v>0.93494787489975939</v>
      </c>
      <c r="I3661" s="2">
        <f t="shared" si="1491"/>
        <v>6.5052125100240582E-2</v>
      </c>
      <c r="J3661" s="1">
        <f t="shared" ref="J3661:K3661" si="1516">SUM(J2893+J3085+J3277+J3469)</f>
        <v>235543.454</v>
      </c>
      <c r="K3661" s="1">
        <f t="shared" si="1516"/>
        <v>153512.08999999997</v>
      </c>
      <c r="L3661" s="1">
        <f t="shared" si="1494"/>
        <v>389055.54399999999</v>
      </c>
      <c r="M3661" s="2">
        <f t="shared" si="1495"/>
        <v>0.60542371811054307</v>
      </c>
      <c r="N3661" s="2">
        <f t="shared" si="1496"/>
        <v>0.39457628188945681</v>
      </c>
    </row>
    <row r="3662" spans="1:14" x14ac:dyDescent="0.35">
      <c r="A3662" t="s">
        <v>36</v>
      </c>
      <c r="B3662" t="s">
        <v>17</v>
      </c>
      <c r="C3662">
        <v>2003</v>
      </c>
      <c r="D3662" t="s">
        <v>33</v>
      </c>
      <c r="E3662" s="1">
        <f t="shared" ref="E3662" si="1517">SUM(E2894+E3086+E3278+E3470)</f>
        <v>203200</v>
      </c>
      <c r="F3662" s="1">
        <f t="shared" si="1492"/>
        <v>16327</v>
      </c>
      <c r="G3662" s="1">
        <f t="shared" si="1489"/>
        <v>219527</v>
      </c>
      <c r="H3662" s="2">
        <f t="shared" si="1490"/>
        <v>0.92562646052649555</v>
      </c>
      <c r="I3662" s="2">
        <f t="shared" si="1491"/>
        <v>7.4373539473504405E-2</v>
      </c>
      <c r="J3662" s="1">
        <f t="shared" ref="J3662:K3662" si="1518">SUM(J2894+J3086+J3278+J3470)</f>
        <v>255305</v>
      </c>
      <c r="K3662" s="1">
        <f t="shared" si="1518"/>
        <v>148943</v>
      </c>
      <c r="L3662" s="1">
        <f t="shared" si="1494"/>
        <v>404248</v>
      </c>
      <c r="M3662" s="2">
        <f t="shared" si="1495"/>
        <v>0.63155538184480808</v>
      </c>
      <c r="N3662" s="2">
        <f t="shared" si="1496"/>
        <v>0.36844461815519186</v>
      </c>
    </row>
    <row r="3663" spans="1:14" x14ac:dyDescent="0.35">
      <c r="A3663" t="s">
        <v>36</v>
      </c>
      <c r="B3663" t="s">
        <v>19</v>
      </c>
      <c r="C3663">
        <v>2003</v>
      </c>
      <c r="D3663" t="s">
        <v>33</v>
      </c>
      <c r="E3663" s="1">
        <f t="shared" ref="E3663" si="1519">SUM(E2895+E3087+E3279+E3471)</f>
        <v>181004</v>
      </c>
      <c r="F3663" s="1">
        <f t="shared" si="1492"/>
        <v>15740</v>
      </c>
      <c r="G3663" s="1">
        <f t="shared" si="1489"/>
        <v>196744</v>
      </c>
      <c r="H3663" s="2">
        <f t="shared" si="1490"/>
        <v>0.91999756028138091</v>
      </c>
      <c r="I3663" s="2">
        <f t="shared" si="1491"/>
        <v>8.0002439718619117E-2</v>
      </c>
      <c r="J3663" s="1">
        <f t="shared" ref="J3663:K3663" si="1520">SUM(J2895+J3087+J3279+J3471)</f>
        <v>199358</v>
      </c>
      <c r="K3663" s="1">
        <f t="shared" si="1520"/>
        <v>134476</v>
      </c>
      <c r="L3663" s="1">
        <f t="shared" si="1494"/>
        <v>333834</v>
      </c>
      <c r="M3663" s="2">
        <f t="shared" si="1495"/>
        <v>0.59717704008579109</v>
      </c>
      <c r="N3663" s="2">
        <f t="shared" si="1496"/>
        <v>0.40282295991420886</v>
      </c>
    </row>
    <row r="3664" spans="1:14" x14ac:dyDescent="0.35">
      <c r="A3664" t="s">
        <v>36</v>
      </c>
      <c r="B3664" t="s">
        <v>20</v>
      </c>
      <c r="C3664">
        <v>2003</v>
      </c>
      <c r="D3664" t="s">
        <v>33</v>
      </c>
      <c r="E3664" s="1">
        <f t="shared" ref="E3664" si="1521">SUM(E2896+E3088+E3280+E3472)</f>
        <v>191233</v>
      </c>
      <c r="F3664" s="1">
        <f t="shared" si="1492"/>
        <v>18028</v>
      </c>
      <c r="G3664" s="1">
        <f t="shared" si="1489"/>
        <v>209261</v>
      </c>
      <c r="H3664" s="2">
        <f t="shared" si="1490"/>
        <v>0.91384921222779214</v>
      </c>
      <c r="I3664" s="2">
        <f t="shared" si="1491"/>
        <v>8.6150787772207915E-2</v>
      </c>
      <c r="J3664" s="1">
        <f t="shared" ref="J3664:K3664" si="1522">SUM(J2896+J3088+J3280+J3472)</f>
        <v>196479</v>
      </c>
      <c r="K3664" s="1">
        <f t="shared" si="1522"/>
        <v>137142</v>
      </c>
      <c r="L3664" s="1">
        <f t="shared" si="1494"/>
        <v>333621</v>
      </c>
      <c r="M3664" s="2">
        <f t="shared" si="1495"/>
        <v>0.58892875448487958</v>
      </c>
      <c r="N3664" s="2">
        <f t="shared" si="1496"/>
        <v>0.41107124551512048</v>
      </c>
    </row>
    <row r="3665" spans="1:14" x14ac:dyDescent="0.35">
      <c r="A3665" t="s">
        <v>36</v>
      </c>
      <c r="B3665" t="s">
        <v>21</v>
      </c>
      <c r="C3665">
        <v>2003</v>
      </c>
      <c r="D3665" t="s">
        <v>33</v>
      </c>
      <c r="E3665" s="1">
        <f t="shared" ref="E3665" si="1523">SUM(E2897+E3089+E3281+E3473)</f>
        <v>189257</v>
      </c>
      <c r="F3665" s="1">
        <f t="shared" si="1492"/>
        <v>18427</v>
      </c>
      <c r="G3665" s="1">
        <f t="shared" si="1489"/>
        <v>207684</v>
      </c>
      <c r="H3665" s="2">
        <f t="shared" si="1490"/>
        <v>0.91127385836174191</v>
      </c>
      <c r="I3665" s="2">
        <f t="shared" si="1491"/>
        <v>8.8726141638258121E-2</v>
      </c>
      <c r="J3665" s="1">
        <f t="shared" ref="J3665:K3665" si="1524">SUM(J2897+J3089+J3281+J3473)</f>
        <v>174324</v>
      </c>
      <c r="K3665" s="1">
        <f t="shared" si="1524"/>
        <v>136423</v>
      </c>
      <c r="L3665" s="1">
        <f t="shared" si="1494"/>
        <v>310747</v>
      </c>
      <c r="M3665" s="2">
        <f t="shared" si="1495"/>
        <v>0.56098369413059501</v>
      </c>
      <c r="N3665" s="2">
        <f t="shared" si="1496"/>
        <v>0.43901630586940499</v>
      </c>
    </row>
    <row r="3666" spans="1:14" x14ac:dyDescent="0.35">
      <c r="A3666" t="s">
        <v>36</v>
      </c>
      <c r="B3666" t="s">
        <v>22</v>
      </c>
      <c r="C3666">
        <v>2003</v>
      </c>
      <c r="D3666" t="s">
        <v>33</v>
      </c>
      <c r="E3666" s="1">
        <f t="shared" ref="E3666" si="1525">SUM(E2898+E3090+E3282+E3474)</f>
        <v>188749</v>
      </c>
      <c r="F3666" s="1">
        <f t="shared" si="1492"/>
        <v>20170</v>
      </c>
      <c r="G3666" s="1">
        <f t="shared" si="1489"/>
        <v>208919</v>
      </c>
      <c r="H3666" s="2">
        <f t="shared" si="1490"/>
        <v>0.90345540616219688</v>
      </c>
      <c r="I3666" s="2">
        <f t="shared" si="1491"/>
        <v>9.6544593837803172E-2</v>
      </c>
      <c r="J3666" s="1">
        <f t="shared" ref="J3666:K3666" si="1526">SUM(J2898+J3090+J3282+J3474)</f>
        <v>209407</v>
      </c>
      <c r="K3666" s="1">
        <f t="shared" si="1526"/>
        <v>147043</v>
      </c>
      <c r="L3666" s="1">
        <f t="shared" si="1494"/>
        <v>356450</v>
      </c>
      <c r="M3666" s="2">
        <f t="shared" si="1495"/>
        <v>0.58747930986113062</v>
      </c>
      <c r="N3666" s="2">
        <f t="shared" si="1496"/>
        <v>0.41252069013886938</v>
      </c>
    </row>
    <row r="3667" spans="1:14" x14ac:dyDescent="0.35">
      <c r="A3667" t="s">
        <v>36</v>
      </c>
      <c r="B3667" t="s">
        <v>23</v>
      </c>
      <c r="C3667">
        <v>2003</v>
      </c>
      <c r="D3667" t="s">
        <v>33</v>
      </c>
      <c r="E3667" s="1">
        <f t="shared" ref="E3667" si="1527">SUM(E2899+E3091+E3283+E3475)</f>
        <v>185821</v>
      </c>
      <c r="F3667" s="1">
        <f t="shared" si="1492"/>
        <v>22915</v>
      </c>
      <c r="G3667" s="1">
        <f t="shared" si="1489"/>
        <v>208736</v>
      </c>
      <c r="H3667" s="2">
        <f t="shared" si="1490"/>
        <v>0.89022018243139656</v>
      </c>
      <c r="I3667" s="2">
        <f t="shared" si="1491"/>
        <v>0.1097798175686034</v>
      </c>
      <c r="J3667" s="1">
        <f t="shared" ref="J3667:K3667" si="1528">SUM(J2899+J3091+J3283+J3475)</f>
        <v>235895</v>
      </c>
      <c r="K3667" s="1">
        <f t="shared" si="1528"/>
        <v>170067</v>
      </c>
      <c r="L3667" s="1">
        <f t="shared" si="1494"/>
        <v>405962</v>
      </c>
      <c r="M3667" s="2">
        <f t="shared" si="1495"/>
        <v>0.58107655396317881</v>
      </c>
      <c r="N3667" s="2">
        <f t="shared" si="1496"/>
        <v>0.41892344603682119</v>
      </c>
    </row>
    <row r="3668" spans="1:14" x14ac:dyDescent="0.35">
      <c r="A3668" t="s">
        <v>36</v>
      </c>
      <c r="B3668" t="s">
        <v>24</v>
      </c>
      <c r="C3668">
        <v>2003</v>
      </c>
      <c r="D3668" t="s">
        <v>33</v>
      </c>
      <c r="E3668" s="1">
        <f t="shared" ref="E3668" si="1529">SUM(E2900+E3092+E3284+E3476)</f>
        <v>192323</v>
      </c>
      <c r="F3668" s="1">
        <f t="shared" si="1492"/>
        <v>26850</v>
      </c>
      <c r="G3668" s="1">
        <f t="shared" si="1489"/>
        <v>219173</v>
      </c>
      <c r="H3668" s="2">
        <f t="shared" si="1490"/>
        <v>0.87749403439292251</v>
      </c>
      <c r="I3668" s="2">
        <f t="shared" si="1491"/>
        <v>0.12250596560707751</v>
      </c>
      <c r="J3668" s="1">
        <f t="shared" ref="J3668:K3668" si="1530">SUM(J2900+J3092+J3284+J3476)</f>
        <v>269529</v>
      </c>
      <c r="K3668" s="1">
        <f t="shared" si="1530"/>
        <v>185577</v>
      </c>
      <c r="L3668" s="1">
        <f t="shared" si="1494"/>
        <v>455106</v>
      </c>
      <c r="M3668" s="2">
        <f t="shared" si="1495"/>
        <v>0.59223345769996438</v>
      </c>
      <c r="N3668" s="2">
        <f t="shared" si="1496"/>
        <v>0.40776654230003562</v>
      </c>
    </row>
    <row r="3669" spans="1:14" x14ac:dyDescent="0.35">
      <c r="A3669" t="s">
        <v>36</v>
      </c>
      <c r="B3669" t="s">
        <v>25</v>
      </c>
      <c r="C3669">
        <v>2003</v>
      </c>
      <c r="D3669" t="s">
        <v>33</v>
      </c>
      <c r="E3669" s="1">
        <f t="shared" ref="E3669" si="1531">SUM(E2901+E3093+E3285+E3477)</f>
        <v>180951</v>
      </c>
      <c r="F3669" s="1">
        <f t="shared" si="1492"/>
        <v>27727</v>
      </c>
      <c r="G3669" s="1">
        <f t="shared" si="1489"/>
        <v>208678</v>
      </c>
      <c r="H3669" s="2">
        <f t="shared" si="1490"/>
        <v>0.86713021976442173</v>
      </c>
      <c r="I3669" s="2">
        <f t="shared" si="1491"/>
        <v>0.13286978023557827</v>
      </c>
      <c r="J3669" s="1">
        <f t="shared" ref="J3669:K3669" si="1532">SUM(J2901+J3093+J3285+J3477)</f>
        <v>276561</v>
      </c>
      <c r="K3669" s="1">
        <f t="shared" si="1532"/>
        <v>198746</v>
      </c>
      <c r="L3669" s="1">
        <f t="shared" si="1494"/>
        <v>475307</v>
      </c>
      <c r="M3669" s="2">
        <f t="shared" si="1495"/>
        <v>0.58185762044320832</v>
      </c>
      <c r="N3669" s="2">
        <f t="shared" si="1496"/>
        <v>0.41814237955679173</v>
      </c>
    </row>
    <row r="3670" spans="1:14" x14ac:dyDescent="0.35">
      <c r="A3670" t="s">
        <v>36</v>
      </c>
      <c r="B3670" t="s">
        <v>26</v>
      </c>
      <c r="C3670">
        <v>2003</v>
      </c>
      <c r="D3670" t="s">
        <v>33</v>
      </c>
      <c r="E3670" s="1">
        <f t="shared" ref="E3670" si="1533">SUM(E2902+E3094+E3286+E3478)</f>
        <v>178587</v>
      </c>
      <c r="F3670" s="1">
        <f t="shared" si="1492"/>
        <v>29884</v>
      </c>
      <c r="G3670" s="1">
        <f t="shared" si="1489"/>
        <v>208471</v>
      </c>
      <c r="H3670" s="2">
        <f t="shared" si="1490"/>
        <v>0.85665152467249639</v>
      </c>
      <c r="I3670" s="2">
        <f t="shared" si="1491"/>
        <v>0.14334847532750358</v>
      </c>
      <c r="J3670" s="1">
        <f t="shared" ref="J3670:K3670" si="1534">SUM(J2902+J3094+J3286+J3478)</f>
        <v>232382</v>
      </c>
      <c r="K3670" s="1">
        <f t="shared" si="1534"/>
        <v>199484</v>
      </c>
      <c r="L3670" s="1">
        <f t="shared" si="1494"/>
        <v>431866</v>
      </c>
      <c r="M3670" s="2">
        <f t="shared" si="1495"/>
        <v>0.53808820328527829</v>
      </c>
      <c r="N3670" s="2">
        <f t="shared" si="1496"/>
        <v>0.46191179671472171</v>
      </c>
    </row>
    <row r="3671" spans="1:14" x14ac:dyDescent="0.35">
      <c r="A3671" t="s">
        <v>36</v>
      </c>
      <c r="B3671" t="s">
        <v>27</v>
      </c>
      <c r="C3671">
        <v>2003</v>
      </c>
      <c r="D3671" t="s">
        <v>33</v>
      </c>
      <c r="E3671" s="1">
        <f t="shared" ref="E3671" si="1535">SUM(E2903+E3095+E3287+E3479)</f>
        <v>188239</v>
      </c>
      <c r="F3671" s="1">
        <f t="shared" si="1492"/>
        <v>35814</v>
      </c>
      <c r="G3671" s="1">
        <f t="shared" si="1489"/>
        <v>224053</v>
      </c>
      <c r="H3671" s="2">
        <f t="shared" si="1490"/>
        <v>0.84015389215944447</v>
      </c>
      <c r="I3671" s="2">
        <f t="shared" si="1491"/>
        <v>0.15984610784055558</v>
      </c>
      <c r="J3671" s="1">
        <f t="shared" ref="J3671:K3671" si="1536">SUM(J2903+J3095+J3287+J3479)</f>
        <v>175178</v>
      </c>
      <c r="K3671" s="1">
        <f t="shared" si="1536"/>
        <v>190926</v>
      </c>
      <c r="L3671" s="1">
        <f t="shared" si="1494"/>
        <v>366104</v>
      </c>
      <c r="M3671" s="2">
        <f t="shared" si="1495"/>
        <v>0.47849245023272075</v>
      </c>
      <c r="N3671" s="2">
        <f t="shared" si="1496"/>
        <v>0.5215075497672792</v>
      </c>
    </row>
    <row r="3672" spans="1:14" x14ac:dyDescent="0.35">
      <c r="A3672" t="s">
        <v>36</v>
      </c>
      <c r="B3672" t="s">
        <v>28</v>
      </c>
      <c r="C3672">
        <v>2003</v>
      </c>
      <c r="D3672" t="s">
        <v>33</v>
      </c>
      <c r="E3672" s="1">
        <f t="shared" ref="E3672" si="1537">SUM(E2904+E3096+E3288+E3480)</f>
        <v>139498</v>
      </c>
      <c r="F3672" s="1">
        <f t="shared" si="1492"/>
        <v>30455</v>
      </c>
      <c r="G3672" s="1">
        <f t="shared" si="1489"/>
        <v>169953</v>
      </c>
      <c r="H3672" s="2">
        <f t="shared" si="1490"/>
        <v>0.82080339858666806</v>
      </c>
      <c r="I3672" s="2">
        <f t="shared" si="1491"/>
        <v>0.17919660141333191</v>
      </c>
      <c r="J3672" s="1">
        <f t="shared" ref="J3672:K3672" si="1538">SUM(J2904+J3096+J3288+J3480)</f>
        <v>125879</v>
      </c>
      <c r="K3672" s="1">
        <f t="shared" si="1538"/>
        <v>147483</v>
      </c>
      <c r="L3672" s="1">
        <f t="shared" si="1494"/>
        <v>273362</v>
      </c>
      <c r="M3672" s="2">
        <f t="shared" si="1495"/>
        <v>0.46048463209956031</v>
      </c>
      <c r="N3672" s="2">
        <f t="shared" si="1496"/>
        <v>0.53951536790043975</v>
      </c>
    </row>
    <row r="3673" spans="1:14" x14ac:dyDescent="0.35">
      <c r="A3673" t="s">
        <v>36</v>
      </c>
      <c r="B3673" t="s">
        <v>29</v>
      </c>
      <c r="C3673">
        <v>2003</v>
      </c>
      <c r="D3673" t="s">
        <v>33</v>
      </c>
      <c r="E3673" s="1">
        <f t="shared" ref="E3673" si="1539">SUM(E2905+E3097+E3289+E3481)</f>
        <v>164913</v>
      </c>
      <c r="F3673" s="1">
        <f t="shared" si="1492"/>
        <v>38112</v>
      </c>
      <c r="G3673" s="1">
        <f t="shared" si="1489"/>
        <v>203025</v>
      </c>
      <c r="H3673" s="2">
        <f t="shared" si="1490"/>
        <v>0.8122792759512375</v>
      </c>
      <c r="I3673" s="2">
        <f t="shared" si="1491"/>
        <v>0.18772072404876247</v>
      </c>
      <c r="J3673" s="1">
        <f t="shared" ref="J3673:K3673" si="1540">SUM(J2905+J3097+J3289+J3481)</f>
        <v>172873</v>
      </c>
      <c r="K3673" s="1">
        <f t="shared" si="1540"/>
        <v>175863</v>
      </c>
      <c r="L3673" s="1">
        <f t="shared" si="1494"/>
        <v>348736</v>
      </c>
      <c r="M3673" s="2">
        <f t="shared" si="1495"/>
        <v>0.49571308955771703</v>
      </c>
      <c r="N3673" s="2">
        <f t="shared" si="1496"/>
        <v>0.50428691044228302</v>
      </c>
    </row>
    <row r="3674" spans="1:14" x14ac:dyDescent="0.35">
      <c r="A3674" t="s">
        <v>36</v>
      </c>
      <c r="B3674" t="s">
        <v>17</v>
      </c>
      <c r="C3674">
        <v>2004</v>
      </c>
      <c r="D3674" t="s">
        <v>33</v>
      </c>
      <c r="E3674" s="1">
        <f t="shared" ref="E3674" si="1541">SUM(E2906+E3098+E3290+E3482)</f>
        <v>168043</v>
      </c>
      <c r="F3674" s="1">
        <f t="shared" si="1492"/>
        <v>40169</v>
      </c>
      <c r="G3674" s="1">
        <f t="shared" si="1489"/>
        <v>208212</v>
      </c>
      <c r="H3674" s="2">
        <f t="shared" si="1490"/>
        <v>0.80707644131942446</v>
      </c>
      <c r="I3674" s="2">
        <f t="shared" si="1491"/>
        <v>0.19292355868057556</v>
      </c>
      <c r="J3674" s="1">
        <f t="shared" ref="J3674:K3674" si="1542">SUM(J2906+J3098+J3290+J3482)</f>
        <v>187998</v>
      </c>
      <c r="K3674" s="1">
        <f t="shared" si="1542"/>
        <v>194371</v>
      </c>
      <c r="L3674" s="1">
        <f t="shared" si="1494"/>
        <v>382369</v>
      </c>
      <c r="M3674" s="2">
        <f t="shared" si="1495"/>
        <v>0.49166642693314572</v>
      </c>
      <c r="N3674" s="2">
        <f t="shared" si="1496"/>
        <v>0.50833357306685423</v>
      </c>
    </row>
    <row r="3675" spans="1:14" x14ac:dyDescent="0.35">
      <c r="A3675" t="s">
        <v>36</v>
      </c>
      <c r="B3675" t="s">
        <v>19</v>
      </c>
      <c r="C3675">
        <v>2004</v>
      </c>
      <c r="D3675" t="s">
        <v>33</v>
      </c>
      <c r="E3675" s="1">
        <f t="shared" ref="E3675" si="1543">SUM(E2907+E3099+E3291+E3483)</f>
        <v>158831</v>
      </c>
      <c r="F3675" s="1">
        <f t="shared" si="1492"/>
        <v>39114</v>
      </c>
      <c r="G3675" s="1">
        <f t="shared" si="1489"/>
        <v>197945</v>
      </c>
      <c r="H3675" s="2">
        <f t="shared" si="1490"/>
        <v>0.80239965647023159</v>
      </c>
      <c r="I3675" s="2">
        <f t="shared" si="1491"/>
        <v>0.19760034352976838</v>
      </c>
      <c r="J3675" s="1">
        <f t="shared" ref="J3675:K3675" si="1544">SUM(J2907+J3099+J3291+J3483)</f>
        <v>156464</v>
      </c>
      <c r="K3675" s="1">
        <f t="shared" si="1544"/>
        <v>166052</v>
      </c>
      <c r="L3675" s="1">
        <f t="shared" si="1494"/>
        <v>322516</v>
      </c>
      <c r="M3675" s="2">
        <f t="shared" si="1495"/>
        <v>0.48513562117848419</v>
      </c>
      <c r="N3675" s="2">
        <f t="shared" si="1496"/>
        <v>0.51486437882151581</v>
      </c>
    </row>
    <row r="3676" spans="1:14" x14ac:dyDescent="0.35">
      <c r="A3676" t="s">
        <v>36</v>
      </c>
      <c r="B3676" t="s">
        <v>20</v>
      </c>
      <c r="C3676">
        <v>2004</v>
      </c>
      <c r="D3676" t="s">
        <v>33</v>
      </c>
      <c r="E3676" s="1">
        <f t="shared" ref="E3676" si="1545">SUM(E2908+E3100+E3292+E3484)</f>
        <v>182157</v>
      </c>
      <c r="F3676" s="1">
        <f t="shared" si="1492"/>
        <v>46840</v>
      </c>
      <c r="G3676" s="1">
        <f t="shared" si="1489"/>
        <v>228997</v>
      </c>
      <c r="H3676" s="2">
        <f t="shared" si="1490"/>
        <v>0.79545583566596945</v>
      </c>
      <c r="I3676" s="2">
        <f t="shared" si="1491"/>
        <v>0.20454416433403058</v>
      </c>
      <c r="J3676" s="1">
        <f t="shared" ref="J3676:K3676" si="1546">SUM(J2908+J3100+J3292+J3484)</f>
        <v>158008</v>
      </c>
      <c r="K3676" s="1">
        <f t="shared" si="1546"/>
        <v>195805</v>
      </c>
      <c r="L3676" s="1">
        <f t="shared" si="1494"/>
        <v>353813</v>
      </c>
      <c r="M3676" s="2">
        <f t="shared" si="1495"/>
        <v>0.44658619101050556</v>
      </c>
      <c r="N3676" s="2">
        <f t="shared" si="1496"/>
        <v>0.55341380898949444</v>
      </c>
    </row>
    <row r="3677" spans="1:14" x14ac:dyDescent="0.35">
      <c r="A3677" t="s">
        <v>36</v>
      </c>
      <c r="B3677" t="s">
        <v>21</v>
      </c>
      <c r="C3677">
        <v>2004</v>
      </c>
      <c r="D3677" t="s">
        <v>33</v>
      </c>
      <c r="E3677" s="1">
        <f t="shared" ref="E3677" si="1547">SUM(E2909+E3101+E3293+E3485)</f>
        <v>162350</v>
      </c>
      <c r="F3677" s="1">
        <f t="shared" si="1492"/>
        <v>42652</v>
      </c>
      <c r="G3677" s="1">
        <f t="shared" si="1489"/>
        <v>205002</v>
      </c>
      <c r="H3677" s="2">
        <f t="shared" si="1490"/>
        <v>0.79194349323421231</v>
      </c>
      <c r="I3677" s="2">
        <f t="shared" si="1491"/>
        <v>0.20805650676578766</v>
      </c>
      <c r="J3677" s="1">
        <f t="shared" ref="J3677:K3677" si="1548">SUM(J2909+J3101+J3293+J3485)</f>
        <v>129878</v>
      </c>
      <c r="K3677" s="1">
        <f t="shared" si="1548"/>
        <v>172196</v>
      </c>
      <c r="L3677" s="1">
        <f t="shared" si="1494"/>
        <v>302074</v>
      </c>
      <c r="M3677" s="2">
        <f t="shared" si="1495"/>
        <v>0.4299542496209538</v>
      </c>
      <c r="N3677" s="2">
        <f t="shared" si="1496"/>
        <v>0.57004575037904615</v>
      </c>
    </row>
    <row r="3678" spans="1:14" x14ac:dyDescent="0.35">
      <c r="A3678" t="s">
        <v>36</v>
      </c>
      <c r="B3678" t="s">
        <v>22</v>
      </c>
      <c r="C3678">
        <v>2004</v>
      </c>
      <c r="D3678" t="s">
        <v>33</v>
      </c>
      <c r="E3678" s="1">
        <f t="shared" ref="E3678" si="1549">SUM(E2910+E3102+E3294+E3486)</f>
        <v>151963</v>
      </c>
      <c r="F3678" s="1">
        <f t="shared" si="1492"/>
        <v>41613</v>
      </c>
      <c r="G3678" s="1">
        <f t="shared" si="1489"/>
        <v>193576</v>
      </c>
      <c r="H3678" s="2">
        <f t="shared" si="1490"/>
        <v>0.78503016902921852</v>
      </c>
      <c r="I3678" s="2">
        <f t="shared" si="1491"/>
        <v>0.21496983097078151</v>
      </c>
      <c r="J3678" s="1">
        <f t="shared" ref="J3678:K3678" si="1550">SUM(J2910+J3102+J3294+J3486)</f>
        <v>126485</v>
      </c>
      <c r="K3678" s="1">
        <f t="shared" si="1550"/>
        <v>182228</v>
      </c>
      <c r="L3678" s="1">
        <f t="shared" si="1494"/>
        <v>308713</v>
      </c>
      <c r="M3678" s="2">
        <f t="shared" si="1495"/>
        <v>0.40971711589728971</v>
      </c>
      <c r="N3678" s="2">
        <f t="shared" si="1496"/>
        <v>0.59028288410271024</v>
      </c>
    </row>
    <row r="3679" spans="1:14" x14ac:dyDescent="0.35">
      <c r="A3679" t="s">
        <v>36</v>
      </c>
      <c r="B3679" t="s">
        <v>23</v>
      </c>
      <c r="C3679">
        <v>2004</v>
      </c>
      <c r="D3679" t="s">
        <v>33</v>
      </c>
      <c r="E3679" s="1">
        <f t="shared" ref="E3679" si="1551">SUM(E2911+E3103+E3295+E3487)</f>
        <v>166876</v>
      </c>
      <c r="F3679" s="1">
        <f t="shared" si="1492"/>
        <v>48013</v>
      </c>
      <c r="G3679" s="1">
        <f t="shared" si="1489"/>
        <v>214889</v>
      </c>
      <c r="H3679" s="2">
        <f t="shared" si="1490"/>
        <v>0.77656836785503214</v>
      </c>
      <c r="I3679" s="2">
        <f t="shared" si="1491"/>
        <v>0.22343163214496786</v>
      </c>
      <c r="J3679" s="1">
        <f t="shared" ref="J3679:K3679" si="1552">SUM(J2911+J3103+J3295+J3487)</f>
        <v>186797</v>
      </c>
      <c r="K3679" s="1">
        <f t="shared" si="1552"/>
        <v>242395</v>
      </c>
      <c r="L3679" s="1">
        <f t="shared" si="1494"/>
        <v>429192</v>
      </c>
      <c r="M3679" s="2">
        <f t="shared" si="1495"/>
        <v>0.43522945441667132</v>
      </c>
      <c r="N3679" s="2">
        <f t="shared" si="1496"/>
        <v>0.56477054558332862</v>
      </c>
    </row>
    <row r="3680" spans="1:14" x14ac:dyDescent="0.35">
      <c r="A3680" t="s">
        <v>36</v>
      </c>
      <c r="B3680" t="s">
        <v>24</v>
      </c>
      <c r="C3680">
        <v>2004</v>
      </c>
      <c r="D3680" t="s">
        <v>33</v>
      </c>
      <c r="E3680" s="1">
        <f t="shared" ref="E3680" si="1553">SUM(E2912+E3104+E3296+E3488)</f>
        <v>154851</v>
      </c>
      <c r="F3680" s="1">
        <f t="shared" si="1492"/>
        <v>46773</v>
      </c>
      <c r="G3680" s="1">
        <f t="shared" si="1489"/>
        <v>201624</v>
      </c>
      <c r="H3680" s="2">
        <f t="shared" si="1490"/>
        <v>0.76801868825139863</v>
      </c>
      <c r="I3680" s="2">
        <f t="shared" si="1491"/>
        <v>0.23198131174860134</v>
      </c>
      <c r="J3680" s="1">
        <f t="shared" ref="J3680:K3680" si="1554">SUM(J2912+J3104+J3296+J3488)</f>
        <v>191052</v>
      </c>
      <c r="K3680" s="1">
        <f t="shared" si="1554"/>
        <v>246000</v>
      </c>
      <c r="L3680" s="1">
        <f t="shared" si="1494"/>
        <v>437052</v>
      </c>
      <c r="M3680" s="2">
        <f t="shared" si="1495"/>
        <v>0.43713791493918341</v>
      </c>
      <c r="N3680" s="2">
        <f t="shared" si="1496"/>
        <v>0.56286208506081659</v>
      </c>
    </row>
    <row r="3681" spans="1:14" x14ac:dyDescent="0.35">
      <c r="A3681" t="s">
        <v>36</v>
      </c>
      <c r="B3681" t="s">
        <v>25</v>
      </c>
      <c r="C3681">
        <v>2004</v>
      </c>
      <c r="D3681" t="s">
        <v>33</v>
      </c>
      <c r="E3681" s="1">
        <f t="shared" ref="E3681" si="1555">SUM(E2913+E3105+E3297+E3489)</f>
        <v>163318</v>
      </c>
      <c r="F3681" s="1">
        <f t="shared" si="1492"/>
        <v>52850</v>
      </c>
      <c r="G3681" s="1">
        <f t="shared" si="1489"/>
        <v>216168</v>
      </c>
      <c r="H3681" s="2">
        <f t="shared" si="1490"/>
        <v>0.75551422967321713</v>
      </c>
      <c r="I3681" s="2">
        <f t="shared" si="1491"/>
        <v>0.24448577032678287</v>
      </c>
      <c r="J3681" s="1">
        <f t="shared" ref="J3681:K3681" si="1556">SUM(J2913+J3105+J3297+J3489)</f>
        <v>188989</v>
      </c>
      <c r="K3681" s="1">
        <f t="shared" si="1556"/>
        <v>257333</v>
      </c>
      <c r="L3681" s="1">
        <f t="shared" si="1494"/>
        <v>446322</v>
      </c>
      <c r="M3681" s="2">
        <f t="shared" si="1495"/>
        <v>0.42343644274761272</v>
      </c>
      <c r="N3681" s="2">
        <f t="shared" si="1496"/>
        <v>0.57656355725238728</v>
      </c>
    </row>
    <row r="3682" spans="1:14" x14ac:dyDescent="0.35">
      <c r="A3682" t="s">
        <v>36</v>
      </c>
      <c r="B3682" t="s">
        <v>26</v>
      </c>
      <c r="C3682">
        <v>2004</v>
      </c>
      <c r="D3682" t="s">
        <v>33</v>
      </c>
      <c r="E3682" s="1">
        <f t="shared" ref="E3682" si="1557">SUM(E2914+E3106+E3298+E3490)</f>
        <v>151663</v>
      </c>
      <c r="F3682" s="1">
        <f t="shared" si="1492"/>
        <v>52100</v>
      </c>
      <c r="G3682" s="1">
        <f t="shared" si="1489"/>
        <v>203763</v>
      </c>
      <c r="H3682" s="2">
        <f t="shared" si="1490"/>
        <v>0.7443107924402369</v>
      </c>
      <c r="I3682" s="2">
        <f t="shared" si="1491"/>
        <v>0.25568920755976304</v>
      </c>
      <c r="J3682" s="1">
        <f t="shared" ref="J3682:K3682" si="1558">SUM(J2914+J3106+J3298+J3490)</f>
        <v>158399</v>
      </c>
      <c r="K3682" s="1">
        <f t="shared" si="1558"/>
        <v>233164</v>
      </c>
      <c r="L3682" s="1">
        <f t="shared" si="1494"/>
        <v>391563</v>
      </c>
      <c r="M3682" s="2">
        <f t="shared" si="1495"/>
        <v>0.40453005008134069</v>
      </c>
      <c r="N3682" s="2">
        <f t="shared" si="1496"/>
        <v>0.59546994991865931</v>
      </c>
    </row>
    <row r="3683" spans="1:14" x14ac:dyDescent="0.35">
      <c r="A3683" t="s">
        <v>36</v>
      </c>
      <c r="B3683" t="s">
        <v>27</v>
      </c>
      <c r="C3683">
        <v>2004</v>
      </c>
      <c r="D3683" t="s">
        <v>33</v>
      </c>
      <c r="E3683" s="1">
        <f t="shared" ref="E3683" si="1559">SUM(E2915+E3107+E3299+E3491)</f>
        <v>148829</v>
      </c>
      <c r="F3683" s="1">
        <f t="shared" si="1492"/>
        <v>53769</v>
      </c>
      <c r="G3683" s="1">
        <f t="shared" si="1489"/>
        <v>202598</v>
      </c>
      <c r="H3683" s="2">
        <f t="shared" si="1490"/>
        <v>0.73460251335156324</v>
      </c>
      <c r="I3683" s="2">
        <f t="shared" si="1491"/>
        <v>0.26539748664843682</v>
      </c>
      <c r="J3683" s="1">
        <f t="shared" ref="J3683:K3683" si="1560">SUM(J2915+J3107+J3299+J3491)</f>
        <v>124147</v>
      </c>
      <c r="K3683" s="1">
        <f t="shared" si="1560"/>
        <v>228972</v>
      </c>
      <c r="L3683" s="1">
        <f t="shared" si="1494"/>
        <v>353119</v>
      </c>
      <c r="M3683" s="2">
        <f t="shared" si="1495"/>
        <v>0.35157269928834189</v>
      </c>
      <c r="N3683" s="2">
        <f t="shared" si="1496"/>
        <v>0.64842730071165811</v>
      </c>
    </row>
    <row r="3684" spans="1:14" x14ac:dyDescent="0.35">
      <c r="A3684" t="s">
        <v>36</v>
      </c>
      <c r="B3684" t="s">
        <v>28</v>
      </c>
      <c r="C3684">
        <v>2004</v>
      </c>
      <c r="D3684" t="s">
        <v>33</v>
      </c>
      <c r="E3684" s="1">
        <f t="shared" ref="E3684" si="1561">SUM(E2916+E3108+E3300+E3492)</f>
        <v>140235</v>
      </c>
      <c r="F3684" s="1">
        <f t="shared" si="1492"/>
        <v>52063</v>
      </c>
      <c r="G3684" s="1">
        <f t="shared" si="1489"/>
        <v>192298</v>
      </c>
      <c r="H3684" s="2">
        <f t="shared" si="1490"/>
        <v>0.72925875464123391</v>
      </c>
      <c r="I3684" s="2">
        <f t="shared" si="1491"/>
        <v>0.27074124535876609</v>
      </c>
      <c r="J3684" s="1">
        <f t="shared" ref="J3684:K3684" si="1562">SUM(J2916+J3108+J3300+J3492)</f>
        <v>103201</v>
      </c>
      <c r="K3684" s="1">
        <f t="shared" si="1562"/>
        <v>196898</v>
      </c>
      <c r="L3684" s="1">
        <f t="shared" si="1494"/>
        <v>300099</v>
      </c>
      <c r="M3684" s="2">
        <f t="shared" si="1495"/>
        <v>0.34388984968293795</v>
      </c>
      <c r="N3684" s="2">
        <f t="shared" si="1496"/>
        <v>0.65611015031706199</v>
      </c>
    </row>
    <row r="3685" spans="1:14" x14ac:dyDescent="0.35">
      <c r="A3685" t="s">
        <v>36</v>
      </c>
      <c r="B3685" t="s">
        <v>29</v>
      </c>
      <c r="C3685">
        <v>2004</v>
      </c>
      <c r="D3685" t="s">
        <v>33</v>
      </c>
      <c r="E3685" s="1">
        <f t="shared" ref="E3685" si="1563">SUM(E2917+E3109+E3301+E3493)</f>
        <v>138280</v>
      </c>
      <c r="F3685" s="1">
        <f t="shared" si="1492"/>
        <v>53377</v>
      </c>
      <c r="G3685" s="1">
        <f t="shared" si="1489"/>
        <v>191657</v>
      </c>
      <c r="H3685" s="2">
        <f t="shared" si="1490"/>
        <v>0.72149725812258358</v>
      </c>
      <c r="I3685" s="2">
        <f t="shared" si="1491"/>
        <v>0.27850274187741642</v>
      </c>
      <c r="J3685" s="1">
        <f t="shared" ref="J3685:K3685" si="1564">SUM(J2917+J3109+J3301+J3493)</f>
        <v>126683</v>
      </c>
      <c r="K3685" s="1">
        <f t="shared" si="1564"/>
        <v>204948</v>
      </c>
      <c r="L3685" s="1">
        <f t="shared" si="1494"/>
        <v>331631</v>
      </c>
      <c r="M3685" s="2">
        <f t="shared" si="1495"/>
        <v>0.38199987335321489</v>
      </c>
      <c r="N3685" s="2">
        <f t="shared" si="1496"/>
        <v>0.61800012664678516</v>
      </c>
    </row>
    <row r="3686" spans="1:14" x14ac:dyDescent="0.35">
      <c r="A3686" t="s">
        <v>36</v>
      </c>
      <c r="B3686" t="s">
        <v>17</v>
      </c>
      <c r="C3686">
        <v>2005</v>
      </c>
      <c r="D3686" t="s">
        <v>33</v>
      </c>
      <c r="E3686" s="1">
        <f t="shared" ref="E3686" si="1565">SUM(E2918+E3110+E3302+E3494)</f>
        <v>145428</v>
      </c>
      <c r="F3686" s="1">
        <f t="shared" si="1492"/>
        <v>57387</v>
      </c>
      <c r="G3686" s="1">
        <f t="shared" si="1489"/>
        <v>202815</v>
      </c>
      <c r="H3686" s="2">
        <f t="shared" si="1490"/>
        <v>0.71704755565416756</v>
      </c>
      <c r="I3686" s="2">
        <f t="shared" si="1491"/>
        <v>0.28295244434583239</v>
      </c>
      <c r="J3686" s="1">
        <f t="shared" ref="J3686:K3686" si="1566">SUM(J2918+J3110+J3302+J3494)</f>
        <v>153829</v>
      </c>
      <c r="K3686" s="1">
        <f t="shared" si="1566"/>
        <v>239162</v>
      </c>
      <c r="L3686" s="1">
        <f t="shared" si="1494"/>
        <v>392991</v>
      </c>
      <c r="M3686" s="2">
        <f t="shared" si="1495"/>
        <v>0.39143135593435979</v>
      </c>
      <c r="N3686" s="2">
        <f t="shared" si="1496"/>
        <v>0.60856864406564015</v>
      </c>
    </row>
    <row r="3687" spans="1:14" x14ac:dyDescent="0.35">
      <c r="A3687" t="s">
        <v>36</v>
      </c>
      <c r="B3687" t="s">
        <v>19</v>
      </c>
      <c r="C3687">
        <v>2005</v>
      </c>
      <c r="D3687" t="s">
        <v>33</v>
      </c>
      <c r="E3687" s="1">
        <f t="shared" ref="E3687" si="1567">SUM(E2919+E3111+E3303+E3495)</f>
        <v>130769</v>
      </c>
      <c r="F3687" s="1">
        <f t="shared" si="1492"/>
        <v>52465</v>
      </c>
      <c r="G3687" s="1">
        <f t="shared" si="1489"/>
        <v>183234</v>
      </c>
      <c r="H3687" s="2">
        <f t="shared" si="1490"/>
        <v>0.7136721350841001</v>
      </c>
      <c r="I3687" s="2">
        <f t="shared" si="1491"/>
        <v>0.2863278649158999</v>
      </c>
      <c r="J3687" s="1">
        <f t="shared" ref="J3687:K3687" si="1568">SUM(J2919+J3111+J3303+J3495)</f>
        <v>116122</v>
      </c>
      <c r="K3687" s="1">
        <f t="shared" si="1568"/>
        <v>204745</v>
      </c>
      <c r="L3687" s="1">
        <f t="shared" si="1494"/>
        <v>320867</v>
      </c>
      <c r="M3687" s="2">
        <f t="shared" si="1495"/>
        <v>0.36190072522260003</v>
      </c>
      <c r="N3687" s="2">
        <f t="shared" si="1496"/>
        <v>0.63809927477740003</v>
      </c>
    </row>
    <row r="3688" spans="1:14" x14ac:dyDescent="0.35">
      <c r="A3688" t="s">
        <v>36</v>
      </c>
      <c r="B3688" t="s">
        <v>20</v>
      </c>
      <c r="C3688">
        <v>2005</v>
      </c>
      <c r="D3688" t="s">
        <v>33</v>
      </c>
      <c r="E3688" s="1">
        <f t="shared" ref="E3688" si="1569">SUM(E2920+E3112+E3304+E3496)</f>
        <v>143625</v>
      </c>
      <c r="F3688" s="1">
        <f t="shared" si="1492"/>
        <v>59139</v>
      </c>
      <c r="G3688" s="1">
        <f t="shared" si="1489"/>
        <v>202764</v>
      </c>
      <c r="H3688" s="2">
        <f t="shared" si="1490"/>
        <v>0.70833579925430545</v>
      </c>
      <c r="I3688" s="2">
        <f t="shared" si="1491"/>
        <v>0.29166420074569449</v>
      </c>
      <c r="J3688" s="1">
        <f t="shared" ref="J3688:K3688" si="1570">SUM(J2920+J3112+J3304+J3496)</f>
        <v>110596</v>
      </c>
      <c r="K3688" s="1">
        <f t="shared" si="1570"/>
        <v>203614</v>
      </c>
      <c r="L3688" s="1">
        <f t="shared" si="1494"/>
        <v>314210</v>
      </c>
      <c r="M3688" s="2">
        <f t="shared" si="1495"/>
        <v>0.35198115909741895</v>
      </c>
      <c r="N3688" s="2">
        <f t="shared" si="1496"/>
        <v>0.64801884090258111</v>
      </c>
    </row>
    <row r="3689" spans="1:14" x14ac:dyDescent="0.35">
      <c r="A3689" t="s">
        <v>36</v>
      </c>
      <c r="B3689" t="s">
        <v>21</v>
      </c>
      <c r="C3689">
        <v>2005</v>
      </c>
      <c r="D3689" t="s">
        <v>33</v>
      </c>
      <c r="E3689" s="1">
        <f t="shared" ref="E3689" si="1571">SUM(E2921+E3113+E3305+E3497)</f>
        <v>135306</v>
      </c>
      <c r="F3689" s="1">
        <f t="shared" si="1492"/>
        <v>56787</v>
      </c>
      <c r="G3689" s="1">
        <f t="shared" si="1489"/>
        <v>192093</v>
      </c>
      <c r="H3689" s="2">
        <f t="shared" si="1490"/>
        <v>0.70437756711592825</v>
      </c>
      <c r="I3689" s="2">
        <f t="shared" si="1491"/>
        <v>0.29562243288407175</v>
      </c>
      <c r="J3689" s="1">
        <f t="shared" ref="J3689:K3689" si="1572">SUM(J2921+J3113+J3305+J3497)</f>
        <v>94203</v>
      </c>
      <c r="K3689" s="1">
        <f t="shared" si="1572"/>
        <v>198894</v>
      </c>
      <c r="L3689" s="1">
        <f t="shared" si="1494"/>
        <v>293097</v>
      </c>
      <c r="M3689" s="2">
        <f t="shared" si="1495"/>
        <v>0.3214055415101485</v>
      </c>
      <c r="N3689" s="2">
        <f t="shared" si="1496"/>
        <v>0.67859445848985145</v>
      </c>
    </row>
    <row r="3690" spans="1:14" x14ac:dyDescent="0.35">
      <c r="A3690" t="s">
        <v>36</v>
      </c>
      <c r="B3690" t="s">
        <v>22</v>
      </c>
      <c r="C3690">
        <v>2005</v>
      </c>
      <c r="D3690" t="s">
        <v>33</v>
      </c>
      <c r="E3690" s="1">
        <f t="shared" ref="E3690" si="1573">SUM(E2922+E3114+E3306+E3498)</f>
        <v>139870</v>
      </c>
      <c r="F3690" s="1">
        <f t="shared" si="1492"/>
        <v>59121</v>
      </c>
      <c r="G3690" s="1">
        <f t="shared" si="1489"/>
        <v>198991</v>
      </c>
      <c r="H3690" s="2">
        <f t="shared" si="1490"/>
        <v>0.70289611087938653</v>
      </c>
      <c r="I3690" s="2">
        <f t="shared" si="1491"/>
        <v>0.29710388912061347</v>
      </c>
      <c r="J3690" s="1">
        <f t="shared" ref="J3690:K3690" si="1574">SUM(J2922+J3114+J3306+J3498)</f>
        <v>98289</v>
      </c>
      <c r="K3690" s="1">
        <f t="shared" si="1574"/>
        <v>210298</v>
      </c>
      <c r="L3690" s="1">
        <f t="shared" si="1494"/>
        <v>308587</v>
      </c>
      <c r="M3690" s="2">
        <f t="shared" si="1495"/>
        <v>0.31851309355222351</v>
      </c>
      <c r="N3690" s="2">
        <f t="shared" si="1496"/>
        <v>0.68148690644777643</v>
      </c>
    </row>
    <row r="3691" spans="1:14" x14ac:dyDescent="0.35">
      <c r="A3691" t="s">
        <v>36</v>
      </c>
      <c r="B3691" t="s">
        <v>23</v>
      </c>
      <c r="C3691">
        <v>2005</v>
      </c>
      <c r="D3691" t="s">
        <v>33</v>
      </c>
      <c r="E3691" s="1">
        <f t="shared" ref="E3691" si="1575">SUM(E2923+E3115+E3307+E3499)</f>
        <v>142773</v>
      </c>
      <c r="F3691" s="1">
        <f t="shared" si="1492"/>
        <v>61752</v>
      </c>
      <c r="G3691" s="1">
        <f t="shared" si="1489"/>
        <v>204525</v>
      </c>
      <c r="H3691" s="2">
        <f t="shared" si="1490"/>
        <v>0.69807114044737806</v>
      </c>
      <c r="I3691" s="2">
        <f t="shared" si="1491"/>
        <v>0.30192885955262194</v>
      </c>
      <c r="J3691" s="1">
        <f t="shared" ref="J3691:K3691" si="1576">SUM(J2923+J3115+J3307+J3499)</f>
        <v>136544</v>
      </c>
      <c r="K3691" s="1">
        <f t="shared" si="1576"/>
        <v>264561</v>
      </c>
      <c r="L3691" s="1">
        <f t="shared" si="1494"/>
        <v>401105</v>
      </c>
      <c r="M3691" s="2">
        <f t="shared" si="1495"/>
        <v>0.34041959088019347</v>
      </c>
      <c r="N3691" s="2">
        <f t="shared" si="1496"/>
        <v>0.65958040911980653</v>
      </c>
    </row>
    <row r="3692" spans="1:14" x14ac:dyDescent="0.35">
      <c r="A3692" t="s">
        <v>36</v>
      </c>
      <c r="B3692" t="s">
        <v>24</v>
      </c>
      <c r="C3692">
        <v>2005</v>
      </c>
      <c r="D3692" t="s">
        <v>33</v>
      </c>
      <c r="E3692" s="1">
        <f t="shared" ref="E3692" si="1577">SUM(E2924+E3116+E3308+E3500)</f>
        <v>132762</v>
      </c>
      <c r="F3692" s="1">
        <f t="shared" si="1492"/>
        <v>59961</v>
      </c>
      <c r="G3692" s="1">
        <f t="shared" si="1489"/>
        <v>192723</v>
      </c>
      <c r="H3692" s="2">
        <f t="shared" si="1490"/>
        <v>0.68887470618452395</v>
      </c>
      <c r="I3692" s="2">
        <f t="shared" si="1491"/>
        <v>0.3111252938154761</v>
      </c>
      <c r="J3692" s="1">
        <f t="shared" ref="J3692:K3692" si="1578">SUM(J2924+J3116+J3308+J3500)</f>
        <v>162421</v>
      </c>
      <c r="K3692" s="1">
        <f t="shared" si="1578"/>
        <v>288879</v>
      </c>
      <c r="L3692" s="1">
        <f t="shared" si="1494"/>
        <v>451300</v>
      </c>
      <c r="M3692" s="2">
        <f t="shared" si="1495"/>
        <v>0.35989585641480171</v>
      </c>
      <c r="N3692" s="2">
        <f t="shared" si="1496"/>
        <v>0.64010414358519829</v>
      </c>
    </row>
    <row r="3693" spans="1:14" x14ac:dyDescent="0.35">
      <c r="A3693" t="s">
        <v>36</v>
      </c>
      <c r="B3693" t="s">
        <v>25</v>
      </c>
      <c r="C3693">
        <v>2005</v>
      </c>
      <c r="D3693" t="s">
        <v>33</v>
      </c>
      <c r="E3693" s="1">
        <f t="shared" ref="E3693" si="1579">SUM(E2925+E3117+E3309+E3501)</f>
        <v>154209</v>
      </c>
      <c r="F3693" s="1">
        <f t="shared" si="1492"/>
        <v>71115</v>
      </c>
      <c r="G3693" s="1">
        <f t="shared" si="1489"/>
        <v>225324</v>
      </c>
      <c r="H3693" s="2">
        <f t="shared" si="1490"/>
        <v>0.6843878148799063</v>
      </c>
      <c r="I3693" s="2">
        <f t="shared" si="1491"/>
        <v>0.31561218512009376</v>
      </c>
      <c r="J3693" s="1">
        <f t="shared" ref="J3693:K3693" si="1580">SUM(J2925+J3117+J3309+J3501)</f>
        <v>162879</v>
      </c>
      <c r="K3693" s="1">
        <f t="shared" si="1580"/>
        <v>297625</v>
      </c>
      <c r="L3693" s="1">
        <f t="shared" si="1494"/>
        <v>460504</v>
      </c>
      <c r="M3693" s="2">
        <f t="shared" si="1495"/>
        <v>0.35369725344405262</v>
      </c>
      <c r="N3693" s="2">
        <f t="shared" si="1496"/>
        <v>0.64630274655594744</v>
      </c>
    </row>
    <row r="3694" spans="1:14" x14ac:dyDescent="0.35">
      <c r="A3694" t="s">
        <v>36</v>
      </c>
      <c r="B3694" t="s">
        <v>26</v>
      </c>
      <c r="C3694">
        <v>2005</v>
      </c>
      <c r="D3694" t="s">
        <v>33</v>
      </c>
      <c r="E3694" s="1">
        <f t="shared" ref="E3694" si="1581">SUM(E2926+E3118+E3310+E3502)</f>
        <v>136545</v>
      </c>
      <c r="F3694" s="1">
        <f t="shared" si="1492"/>
        <v>66159</v>
      </c>
      <c r="G3694" s="1">
        <f t="shared" si="1489"/>
        <v>202704</v>
      </c>
      <c r="H3694" s="2">
        <f t="shared" si="1490"/>
        <v>0.67361768884679141</v>
      </c>
      <c r="I3694" s="2">
        <f t="shared" si="1491"/>
        <v>0.32638231115320859</v>
      </c>
      <c r="J3694" s="1">
        <f t="shared" ref="J3694:K3694" si="1582">SUM(J2926+J3118+J3310+J3502)</f>
        <v>145510</v>
      </c>
      <c r="K3694" s="1">
        <f t="shared" si="1582"/>
        <v>291852</v>
      </c>
      <c r="L3694" s="1">
        <f t="shared" si="1494"/>
        <v>437362</v>
      </c>
      <c r="M3694" s="2">
        <f t="shared" si="1495"/>
        <v>0.33269922855666473</v>
      </c>
      <c r="N3694" s="2">
        <f t="shared" si="1496"/>
        <v>0.66730077144333522</v>
      </c>
    </row>
    <row r="3695" spans="1:14" x14ac:dyDescent="0.35">
      <c r="A3695" t="s">
        <v>36</v>
      </c>
      <c r="B3695" t="s">
        <v>27</v>
      </c>
      <c r="C3695">
        <v>2005</v>
      </c>
      <c r="D3695" t="s">
        <v>33</v>
      </c>
      <c r="E3695" s="1">
        <f t="shared" ref="E3695" si="1583">SUM(E2927+E3119+E3311+E3503)</f>
        <v>133742</v>
      </c>
      <c r="F3695" s="1">
        <f t="shared" si="1492"/>
        <v>67057</v>
      </c>
      <c r="G3695" s="1">
        <f t="shared" si="1489"/>
        <v>200799</v>
      </c>
      <c r="H3695" s="2">
        <f t="shared" si="1490"/>
        <v>0.6660491337108253</v>
      </c>
      <c r="I3695" s="2">
        <f t="shared" si="1491"/>
        <v>0.33395086628917475</v>
      </c>
      <c r="J3695" s="1">
        <f t="shared" ref="J3695:K3695" si="1584">SUM(J2927+J3119+J3311+J3503)</f>
        <v>118123</v>
      </c>
      <c r="K3695" s="1">
        <f t="shared" si="1584"/>
        <v>260199</v>
      </c>
      <c r="L3695" s="1">
        <f t="shared" si="1494"/>
        <v>378322</v>
      </c>
      <c r="M3695" s="2">
        <f t="shared" si="1495"/>
        <v>0.31222873636743304</v>
      </c>
      <c r="N3695" s="2">
        <f t="shared" si="1496"/>
        <v>0.68777126363256702</v>
      </c>
    </row>
    <row r="3696" spans="1:14" x14ac:dyDescent="0.35">
      <c r="A3696" t="s">
        <v>36</v>
      </c>
      <c r="B3696" t="s">
        <v>28</v>
      </c>
      <c r="C3696">
        <v>2005</v>
      </c>
      <c r="D3696" t="s">
        <v>33</v>
      </c>
      <c r="E3696" s="1">
        <f t="shared" ref="E3696" si="1585">SUM(E2928+E3120+E3312+E3504)</f>
        <v>127130</v>
      </c>
      <c r="F3696" s="1">
        <f t="shared" si="1492"/>
        <v>65573</v>
      </c>
      <c r="G3696" s="1">
        <f t="shared" si="1489"/>
        <v>192703</v>
      </c>
      <c r="H3696" s="2">
        <f t="shared" si="1490"/>
        <v>0.6597198798150522</v>
      </c>
      <c r="I3696" s="2">
        <f t="shared" si="1491"/>
        <v>0.3402801201849478</v>
      </c>
      <c r="J3696" s="1">
        <f t="shared" ref="J3696:K3696" si="1586">SUM(J2928+J3120+J3312+J3504)</f>
        <v>88782</v>
      </c>
      <c r="K3696" s="1">
        <f t="shared" si="1586"/>
        <v>221279</v>
      </c>
      <c r="L3696" s="1">
        <f t="shared" si="1494"/>
        <v>310061</v>
      </c>
      <c r="M3696" s="2">
        <f t="shared" si="1495"/>
        <v>0.28633720461457585</v>
      </c>
      <c r="N3696" s="2">
        <f t="shared" si="1496"/>
        <v>0.71366279538542421</v>
      </c>
    </row>
    <row r="3697" spans="1:14" x14ac:dyDescent="0.35">
      <c r="A3697" t="s">
        <v>36</v>
      </c>
      <c r="B3697" t="s">
        <v>29</v>
      </c>
      <c r="C3697">
        <v>2005</v>
      </c>
      <c r="D3697" t="s">
        <v>33</v>
      </c>
      <c r="E3697" s="1">
        <f t="shared" ref="E3697" si="1587">SUM(E2929+E3121+E3313+E3505)</f>
        <v>125119</v>
      </c>
      <c r="F3697" s="1">
        <f t="shared" si="1492"/>
        <v>66304</v>
      </c>
      <c r="G3697" s="1">
        <f t="shared" si="1489"/>
        <v>191423</v>
      </c>
      <c r="H3697" s="2">
        <f t="shared" si="1490"/>
        <v>0.6536257398536226</v>
      </c>
      <c r="I3697" s="2">
        <f t="shared" si="1491"/>
        <v>0.3463742601463774</v>
      </c>
      <c r="J3697" s="1">
        <f t="shared" ref="J3697:K3697" si="1588">SUM(J2929+J3121+J3313+J3505)</f>
        <v>111970</v>
      </c>
      <c r="K3697" s="1">
        <f t="shared" si="1588"/>
        <v>244265</v>
      </c>
      <c r="L3697" s="1">
        <f t="shared" si="1494"/>
        <v>356235</v>
      </c>
      <c r="M3697" s="2">
        <f t="shared" si="1495"/>
        <v>0.31431498870127866</v>
      </c>
      <c r="N3697" s="2">
        <f t="shared" si="1496"/>
        <v>0.68568501129872139</v>
      </c>
    </row>
    <row r="3698" spans="1:14" x14ac:dyDescent="0.35">
      <c r="A3698" t="s">
        <v>36</v>
      </c>
      <c r="B3698" t="s">
        <v>17</v>
      </c>
      <c r="C3698">
        <v>2006</v>
      </c>
      <c r="D3698" t="s">
        <v>33</v>
      </c>
      <c r="E3698" s="1">
        <f t="shared" ref="E3698" si="1589">SUM(E2930+E3122+E3314+E3506)</f>
        <v>131544</v>
      </c>
      <c r="F3698" s="1">
        <f t="shared" si="1492"/>
        <v>71452</v>
      </c>
      <c r="G3698" s="1">
        <f t="shared" si="1489"/>
        <v>202996</v>
      </c>
      <c r="H3698" s="2">
        <f t="shared" si="1490"/>
        <v>0.64801276872450686</v>
      </c>
      <c r="I3698" s="2">
        <f t="shared" si="1491"/>
        <v>0.35198723127549314</v>
      </c>
      <c r="J3698" s="1">
        <f t="shared" ref="J3698:K3698" si="1590">SUM(J2930+J3122+J3314+J3506)</f>
        <v>122984</v>
      </c>
      <c r="K3698" s="1">
        <f t="shared" si="1590"/>
        <v>264906</v>
      </c>
      <c r="L3698" s="1">
        <f t="shared" si="1494"/>
        <v>387890</v>
      </c>
      <c r="M3698" s="2">
        <f t="shared" si="1495"/>
        <v>0.31705896001443706</v>
      </c>
      <c r="N3698" s="2">
        <f t="shared" si="1496"/>
        <v>0.68294103998556288</v>
      </c>
    </row>
    <row r="3699" spans="1:14" x14ac:dyDescent="0.35">
      <c r="A3699" t="s">
        <v>36</v>
      </c>
      <c r="B3699" t="s">
        <v>19</v>
      </c>
      <c r="C3699">
        <v>2006</v>
      </c>
      <c r="D3699" t="s">
        <v>33</v>
      </c>
      <c r="E3699" s="1">
        <f t="shared" ref="E3699" si="1591">SUM(E2931+E3123+E3315+E3507)</f>
        <v>122934</v>
      </c>
      <c r="F3699" s="1">
        <f t="shared" si="1492"/>
        <v>68552</v>
      </c>
      <c r="G3699" s="1">
        <f t="shared" si="1489"/>
        <v>191486</v>
      </c>
      <c r="H3699" s="2">
        <f t="shared" si="1490"/>
        <v>0.64199993733223315</v>
      </c>
      <c r="I3699" s="2">
        <f t="shared" si="1491"/>
        <v>0.35800006266776685</v>
      </c>
      <c r="J3699" s="1">
        <f t="shared" ref="J3699:K3699" si="1592">SUM(J2931+J3123+J3315+J3507)</f>
        <v>93184</v>
      </c>
      <c r="K3699" s="1">
        <f t="shared" si="1592"/>
        <v>217156</v>
      </c>
      <c r="L3699" s="1">
        <f t="shared" si="1494"/>
        <v>310340</v>
      </c>
      <c r="M3699" s="2">
        <f t="shared" si="1495"/>
        <v>0.30026422633240962</v>
      </c>
      <c r="N3699" s="2">
        <f t="shared" si="1496"/>
        <v>0.69973577366759043</v>
      </c>
    </row>
    <row r="3700" spans="1:14" x14ac:dyDescent="0.35">
      <c r="A3700" t="s">
        <v>36</v>
      </c>
      <c r="B3700" t="s">
        <v>20</v>
      </c>
      <c r="C3700">
        <v>2006</v>
      </c>
      <c r="D3700" t="s">
        <v>33</v>
      </c>
      <c r="E3700" s="1">
        <f t="shared" ref="E3700" si="1593">SUM(E2932+E3124+E3316+E3508)</f>
        <v>142037</v>
      </c>
      <c r="F3700" s="1">
        <f t="shared" si="1492"/>
        <v>80786</v>
      </c>
      <c r="G3700" s="1">
        <f t="shared" si="1489"/>
        <v>222823</v>
      </c>
      <c r="H3700" s="2">
        <f t="shared" si="1490"/>
        <v>0.63744317238346127</v>
      </c>
      <c r="I3700" s="2">
        <f t="shared" si="1491"/>
        <v>0.36255682761653868</v>
      </c>
      <c r="J3700" s="1">
        <f t="shared" ref="J3700:K3700" si="1594">SUM(J2932+J3124+J3316+J3508)</f>
        <v>100442</v>
      </c>
      <c r="K3700" s="1">
        <f t="shared" si="1594"/>
        <v>250046</v>
      </c>
      <c r="L3700" s="1">
        <f t="shared" si="1494"/>
        <v>350488</v>
      </c>
      <c r="M3700" s="2">
        <f t="shared" si="1495"/>
        <v>0.28657757184268789</v>
      </c>
      <c r="N3700" s="2">
        <f t="shared" si="1496"/>
        <v>0.71342242815731205</v>
      </c>
    </row>
    <row r="3701" spans="1:14" x14ac:dyDescent="0.35">
      <c r="A3701" t="s">
        <v>36</v>
      </c>
      <c r="B3701" t="s">
        <v>21</v>
      </c>
      <c r="C3701">
        <v>2006</v>
      </c>
      <c r="D3701" t="s">
        <v>33</v>
      </c>
      <c r="E3701" s="1">
        <f t="shared" ref="E3701" si="1595">SUM(E2933+E3125+E3317+E3509)</f>
        <v>119756</v>
      </c>
      <c r="F3701" s="1">
        <f t="shared" si="1492"/>
        <v>71054</v>
      </c>
      <c r="G3701" s="1">
        <f t="shared" si="1489"/>
        <v>190810</v>
      </c>
      <c r="H3701" s="2">
        <f t="shared" si="1490"/>
        <v>0.62761909753157596</v>
      </c>
      <c r="I3701" s="2">
        <f t="shared" si="1491"/>
        <v>0.37238090246842409</v>
      </c>
      <c r="J3701" s="1">
        <f t="shared" ref="J3701:K3701" si="1596">SUM(J2933+J3125+J3317+J3509)</f>
        <v>77618</v>
      </c>
      <c r="K3701" s="1">
        <f t="shared" si="1596"/>
        <v>218664</v>
      </c>
      <c r="L3701" s="1">
        <f t="shared" si="1494"/>
        <v>296282</v>
      </c>
      <c r="M3701" s="2">
        <f t="shared" si="1495"/>
        <v>0.26197339021607791</v>
      </c>
      <c r="N3701" s="2">
        <f t="shared" si="1496"/>
        <v>0.73802660978392209</v>
      </c>
    </row>
    <row r="3702" spans="1:14" x14ac:dyDescent="0.35">
      <c r="A3702" t="s">
        <v>36</v>
      </c>
      <c r="B3702" t="s">
        <v>22</v>
      </c>
      <c r="C3702">
        <v>2006</v>
      </c>
      <c r="D3702" t="s">
        <v>33</v>
      </c>
      <c r="E3702" s="1">
        <f t="shared" ref="E3702" si="1597">SUM(E2934+E3126+E3318+E3510)</f>
        <v>132562</v>
      </c>
      <c r="F3702" s="1">
        <f t="shared" si="1492"/>
        <v>80606</v>
      </c>
      <c r="G3702" s="1">
        <f t="shared" si="1489"/>
        <v>213168</v>
      </c>
      <c r="H3702" s="2">
        <f t="shared" si="1490"/>
        <v>0.62186632139908427</v>
      </c>
      <c r="I3702" s="2">
        <f t="shared" si="1491"/>
        <v>0.37813367860091573</v>
      </c>
      <c r="J3702" s="1">
        <f t="shared" ref="J3702:K3702" si="1598">SUM(J2934+J3126+J3318+J3510)</f>
        <v>98179</v>
      </c>
      <c r="K3702" s="1">
        <f t="shared" si="1598"/>
        <v>274010</v>
      </c>
      <c r="L3702" s="1">
        <f t="shared" si="1494"/>
        <v>372189</v>
      </c>
      <c r="M3702" s="2">
        <f t="shared" si="1495"/>
        <v>0.26378802167715865</v>
      </c>
      <c r="N3702" s="2">
        <f t="shared" si="1496"/>
        <v>0.73621197832284135</v>
      </c>
    </row>
    <row r="3703" spans="1:14" x14ac:dyDescent="0.35">
      <c r="A3703" t="s">
        <v>36</v>
      </c>
      <c r="B3703" t="s">
        <v>23</v>
      </c>
      <c r="C3703">
        <v>2006</v>
      </c>
      <c r="D3703" t="s">
        <v>33</v>
      </c>
      <c r="E3703" s="1">
        <f t="shared" ref="E3703" si="1599">SUM(E2935+E3127+E3319+E3511)</f>
        <v>129061</v>
      </c>
      <c r="F3703" s="1">
        <f t="shared" si="1492"/>
        <v>83195</v>
      </c>
      <c r="G3703" s="1">
        <f t="shared" ref="G3703:G3766" si="1600">SUM(E3703:F3703)</f>
        <v>212256</v>
      </c>
      <c r="H3703" s="2">
        <f t="shared" ref="H3703:H3766" si="1601">SUM(E3703)/G3703</f>
        <v>0.60804406000301525</v>
      </c>
      <c r="I3703" s="2">
        <f t="shared" ref="I3703:I3766" si="1602">SUM(F3703/G3703)</f>
        <v>0.39195593999698475</v>
      </c>
      <c r="J3703" s="1">
        <f t="shared" ref="J3703:K3703" si="1603">SUM(J2935+J3127+J3319+J3511)</f>
        <v>133778</v>
      </c>
      <c r="K3703" s="1">
        <f t="shared" si="1603"/>
        <v>325611</v>
      </c>
      <c r="L3703" s="1">
        <f t="shared" si="1494"/>
        <v>459389</v>
      </c>
      <c r="M3703" s="2">
        <f t="shared" si="1495"/>
        <v>0.29120854003905189</v>
      </c>
      <c r="N3703" s="2">
        <f t="shared" si="1496"/>
        <v>0.70879145996094817</v>
      </c>
    </row>
    <row r="3704" spans="1:14" x14ac:dyDescent="0.35">
      <c r="A3704" t="s">
        <v>36</v>
      </c>
      <c r="B3704" t="s">
        <v>24</v>
      </c>
      <c r="C3704">
        <v>2006</v>
      </c>
      <c r="D3704" t="s">
        <v>33</v>
      </c>
      <c r="E3704" s="1">
        <f t="shared" ref="E3704" si="1604">SUM(E2936+E3128+E3320+E3512)</f>
        <v>115000</v>
      </c>
      <c r="F3704" s="1">
        <f t="shared" si="1492"/>
        <v>77764</v>
      </c>
      <c r="G3704" s="1">
        <f t="shared" si="1600"/>
        <v>192764</v>
      </c>
      <c r="H3704" s="2">
        <f t="shared" si="1601"/>
        <v>0.59658442447759952</v>
      </c>
      <c r="I3704" s="2">
        <f t="shared" si="1602"/>
        <v>0.40341557552240043</v>
      </c>
      <c r="J3704" s="1">
        <f t="shared" ref="J3704:K3704" si="1605">SUM(J2936+J3128+J3320+J3512)</f>
        <v>125380</v>
      </c>
      <c r="K3704" s="1">
        <f t="shared" si="1605"/>
        <v>316194</v>
      </c>
      <c r="L3704" s="1">
        <f t="shared" si="1494"/>
        <v>441574</v>
      </c>
      <c r="M3704" s="2">
        <f t="shared" si="1495"/>
        <v>0.28393881886161776</v>
      </c>
      <c r="N3704" s="2">
        <f t="shared" si="1496"/>
        <v>0.71606118113838224</v>
      </c>
    </row>
    <row r="3705" spans="1:14" x14ac:dyDescent="0.35">
      <c r="A3705" t="s">
        <v>36</v>
      </c>
      <c r="B3705" t="s">
        <v>25</v>
      </c>
      <c r="C3705">
        <v>2006</v>
      </c>
      <c r="D3705" t="s">
        <v>33</v>
      </c>
      <c r="E3705" s="1">
        <f t="shared" ref="E3705" si="1606">SUM(E2937+E3129+E3321+E3513)</f>
        <v>130543</v>
      </c>
      <c r="F3705" s="1">
        <f t="shared" si="1492"/>
        <v>92541</v>
      </c>
      <c r="G3705" s="1">
        <f t="shared" si="1600"/>
        <v>223084</v>
      </c>
      <c r="H3705" s="2">
        <f t="shared" si="1601"/>
        <v>0.58517419447383046</v>
      </c>
      <c r="I3705" s="2">
        <f t="shared" si="1602"/>
        <v>0.41482580552616949</v>
      </c>
      <c r="J3705" s="1">
        <f t="shared" ref="J3705:K3705" si="1607">SUM(J2937+J3129+J3321+J3513)</f>
        <v>150662</v>
      </c>
      <c r="K3705" s="1">
        <f t="shared" si="1607"/>
        <v>371453</v>
      </c>
      <c r="L3705" s="1">
        <f t="shared" si="1494"/>
        <v>522115</v>
      </c>
      <c r="M3705" s="2">
        <f t="shared" si="1495"/>
        <v>0.28856094921616887</v>
      </c>
      <c r="N3705" s="2">
        <f t="shared" si="1496"/>
        <v>0.71143905078383118</v>
      </c>
    </row>
    <row r="3706" spans="1:14" x14ac:dyDescent="0.35">
      <c r="A3706" t="s">
        <v>36</v>
      </c>
      <c r="B3706" t="s">
        <v>26</v>
      </c>
      <c r="C3706">
        <v>2006</v>
      </c>
      <c r="D3706" t="s">
        <v>33</v>
      </c>
      <c r="E3706" s="1">
        <f t="shared" ref="E3706" si="1608">SUM(E2938+E3130+E3322+E3514)</f>
        <v>117451</v>
      </c>
      <c r="F3706" s="1">
        <f t="shared" si="1492"/>
        <v>85524</v>
      </c>
      <c r="G3706" s="1">
        <f t="shared" si="1600"/>
        <v>202975</v>
      </c>
      <c r="H3706" s="2">
        <f t="shared" si="1601"/>
        <v>0.57864761670156428</v>
      </c>
      <c r="I3706" s="2">
        <f t="shared" si="1602"/>
        <v>0.42135238329843577</v>
      </c>
      <c r="J3706" s="1">
        <f t="shared" ref="J3706:K3706" si="1609">SUM(J2938+J3130+J3322+J3514)</f>
        <v>116069</v>
      </c>
      <c r="K3706" s="1">
        <f t="shared" si="1609"/>
        <v>317338</v>
      </c>
      <c r="L3706" s="1">
        <f t="shared" si="1494"/>
        <v>433407</v>
      </c>
      <c r="M3706" s="2">
        <f t="shared" si="1495"/>
        <v>0.26780601143959371</v>
      </c>
      <c r="N3706" s="2">
        <f t="shared" si="1496"/>
        <v>0.73219398856040629</v>
      </c>
    </row>
    <row r="3707" spans="1:14" x14ac:dyDescent="0.35">
      <c r="A3707" t="s">
        <v>36</v>
      </c>
      <c r="B3707" t="s">
        <v>27</v>
      </c>
      <c r="C3707">
        <v>2006</v>
      </c>
      <c r="D3707" t="s">
        <v>33</v>
      </c>
      <c r="E3707" s="1">
        <f t="shared" ref="E3707" si="1610">SUM(E2939+E3131+E3323+E3515)</f>
        <v>118691</v>
      </c>
      <c r="F3707" s="1">
        <f t="shared" si="1492"/>
        <v>92532</v>
      </c>
      <c r="G3707" s="1">
        <f t="shared" si="1600"/>
        <v>211223</v>
      </c>
      <c r="H3707" s="2">
        <f t="shared" si="1601"/>
        <v>0.56192270728093063</v>
      </c>
      <c r="I3707" s="2">
        <f t="shared" si="1602"/>
        <v>0.43807729271906942</v>
      </c>
      <c r="J3707" s="1">
        <f t="shared" ref="J3707:K3707" si="1611">SUM(J2939+J3131+J3323+J3515)</f>
        <v>84320</v>
      </c>
      <c r="K3707" s="1">
        <f t="shared" si="1611"/>
        <v>282694</v>
      </c>
      <c r="L3707" s="1">
        <f t="shared" si="1494"/>
        <v>367014</v>
      </c>
      <c r="M3707" s="2">
        <f t="shared" si="1495"/>
        <v>0.2297460042396203</v>
      </c>
      <c r="N3707" s="2">
        <f t="shared" si="1496"/>
        <v>0.77025399576037967</v>
      </c>
    </row>
    <row r="3708" spans="1:14" x14ac:dyDescent="0.35">
      <c r="A3708" t="s">
        <v>36</v>
      </c>
      <c r="B3708" t="s">
        <v>28</v>
      </c>
      <c r="C3708">
        <v>2006</v>
      </c>
      <c r="D3708" t="s">
        <v>33</v>
      </c>
      <c r="E3708" s="1">
        <f t="shared" ref="E3708" si="1612">SUM(E2940+E3132+E3324+E3516)</f>
        <v>104886</v>
      </c>
      <c r="F3708" s="1">
        <f t="shared" si="1492"/>
        <v>85413</v>
      </c>
      <c r="G3708" s="1">
        <f t="shared" si="1600"/>
        <v>190299</v>
      </c>
      <c r="H3708" s="2">
        <f t="shared" si="1601"/>
        <v>0.55116422051613512</v>
      </c>
      <c r="I3708" s="2">
        <f t="shared" si="1602"/>
        <v>0.44883577948386488</v>
      </c>
      <c r="J3708" s="1">
        <f t="shared" ref="J3708:K3708" si="1613">SUM(J2940+J3132+J3324+J3516)</f>
        <v>63576</v>
      </c>
      <c r="K3708" s="1">
        <f t="shared" si="1613"/>
        <v>225091</v>
      </c>
      <c r="L3708" s="1">
        <f t="shared" si="1494"/>
        <v>288667</v>
      </c>
      <c r="M3708" s="2">
        <f t="shared" si="1495"/>
        <v>0.22023993043887941</v>
      </c>
      <c r="N3708" s="2">
        <f t="shared" si="1496"/>
        <v>0.77976006956112065</v>
      </c>
    </row>
    <row r="3709" spans="1:14" x14ac:dyDescent="0.35">
      <c r="A3709" t="s">
        <v>36</v>
      </c>
      <c r="B3709" t="s">
        <v>29</v>
      </c>
      <c r="C3709">
        <v>2006</v>
      </c>
      <c r="D3709" t="s">
        <v>33</v>
      </c>
      <c r="E3709" s="1">
        <f t="shared" ref="E3709" si="1614">SUM(E2941+E3133+E3325+E3517)</f>
        <v>98800</v>
      </c>
      <c r="F3709" s="1">
        <f t="shared" si="1492"/>
        <v>81723</v>
      </c>
      <c r="G3709" s="1">
        <f t="shared" si="1600"/>
        <v>180523</v>
      </c>
      <c r="H3709" s="2">
        <f t="shared" si="1601"/>
        <v>0.54729868216238375</v>
      </c>
      <c r="I3709" s="2">
        <f t="shared" si="1602"/>
        <v>0.45270131783761625</v>
      </c>
      <c r="J3709" s="1">
        <f t="shared" ref="J3709:K3709" si="1615">SUM(J2941+J3133+J3325+J3517)</f>
        <v>75872</v>
      </c>
      <c r="K3709" s="1">
        <f t="shared" si="1615"/>
        <v>257625</v>
      </c>
      <c r="L3709" s="1">
        <f t="shared" si="1494"/>
        <v>333497</v>
      </c>
      <c r="M3709" s="2">
        <f t="shared" si="1495"/>
        <v>0.22750429539096303</v>
      </c>
      <c r="N3709" s="2">
        <f t="shared" si="1496"/>
        <v>0.77249570460903694</v>
      </c>
    </row>
    <row r="3710" spans="1:14" x14ac:dyDescent="0.35">
      <c r="A3710" t="s">
        <v>36</v>
      </c>
      <c r="B3710" t="s">
        <v>17</v>
      </c>
      <c r="C3710">
        <v>2007</v>
      </c>
      <c r="D3710" t="s">
        <v>33</v>
      </c>
      <c r="E3710" s="1">
        <f t="shared" ref="E3710" si="1616">SUM(E2942+E3134+E3326+E3518)</f>
        <v>110449</v>
      </c>
      <c r="F3710" s="1">
        <f t="shared" si="1492"/>
        <v>91704</v>
      </c>
      <c r="G3710" s="1">
        <f t="shared" si="1600"/>
        <v>202153</v>
      </c>
      <c r="H3710" s="2">
        <f t="shared" si="1601"/>
        <v>0.54636339802031131</v>
      </c>
      <c r="I3710" s="2">
        <f t="shared" si="1602"/>
        <v>0.45363660197968864</v>
      </c>
      <c r="J3710" s="1">
        <f t="shared" ref="J3710:K3710" si="1617">SUM(J2942+J3134+J3326+J3518)</f>
        <v>104129</v>
      </c>
      <c r="K3710" s="1">
        <f t="shared" si="1617"/>
        <v>295459</v>
      </c>
      <c r="L3710" s="1">
        <f t="shared" si="1494"/>
        <v>399588</v>
      </c>
      <c r="M3710" s="2">
        <f t="shared" si="1495"/>
        <v>0.26059090863589496</v>
      </c>
      <c r="N3710" s="2">
        <f t="shared" si="1496"/>
        <v>0.73940909136410504</v>
      </c>
    </row>
    <row r="3711" spans="1:14" x14ac:dyDescent="0.35">
      <c r="A3711" t="s">
        <v>36</v>
      </c>
      <c r="B3711" t="s">
        <v>19</v>
      </c>
      <c r="C3711">
        <v>2007</v>
      </c>
      <c r="D3711" t="s">
        <v>33</v>
      </c>
      <c r="E3711" s="1">
        <f t="shared" ref="E3711" si="1618">SUM(E2943+E3135+E3327+E3519)</f>
        <v>102901</v>
      </c>
      <c r="F3711" s="1">
        <f t="shared" si="1492"/>
        <v>88098</v>
      </c>
      <c r="G3711" s="1">
        <f t="shared" si="1600"/>
        <v>190999</v>
      </c>
      <c r="H3711" s="2">
        <f t="shared" si="1601"/>
        <v>0.53875151178801983</v>
      </c>
      <c r="I3711" s="2">
        <f t="shared" si="1602"/>
        <v>0.46124848821198017</v>
      </c>
      <c r="J3711" s="1">
        <f t="shared" ref="J3711:K3711" si="1619">SUM(J2943+J3135+J3327+J3519)</f>
        <v>92069</v>
      </c>
      <c r="K3711" s="1">
        <f t="shared" si="1619"/>
        <v>267571</v>
      </c>
      <c r="L3711" s="1">
        <f t="shared" si="1494"/>
        <v>359640</v>
      </c>
      <c r="M3711" s="2">
        <f t="shared" si="1495"/>
        <v>0.2560032254476699</v>
      </c>
      <c r="N3711" s="2">
        <f t="shared" si="1496"/>
        <v>0.74399677455233015</v>
      </c>
    </row>
    <row r="3712" spans="1:14" x14ac:dyDescent="0.35">
      <c r="A3712" t="s">
        <v>36</v>
      </c>
      <c r="B3712" t="s">
        <v>20</v>
      </c>
      <c r="C3712">
        <v>2007</v>
      </c>
      <c r="D3712" t="s">
        <v>33</v>
      </c>
      <c r="E3712" s="1">
        <f t="shared" ref="E3712" si="1620">SUM(E2944+E3136+E3328+E3520)</f>
        <v>113529</v>
      </c>
      <c r="F3712" s="1">
        <f t="shared" si="1492"/>
        <v>97320</v>
      </c>
      <c r="G3712" s="1">
        <f t="shared" si="1600"/>
        <v>210849</v>
      </c>
      <c r="H3712" s="2">
        <f t="shared" si="1601"/>
        <v>0.53843745998321069</v>
      </c>
      <c r="I3712" s="2">
        <f t="shared" si="1602"/>
        <v>0.46156254001678926</v>
      </c>
      <c r="J3712" s="1">
        <f t="shared" ref="J3712:K3712" si="1621">SUM(J2944+J3136+J3328+J3520)</f>
        <v>75546</v>
      </c>
      <c r="K3712" s="1">
        <f t="shared" si="1621"/>
        <v>263254</v>
      </c>
      <c r="L3712" s="1">
        <f t="shared" si="1494"/>
        <v>338800</v>
      </c>
      <c r="M3712" s="2">
        <f t="shared" si="1495"/>
        <v>0.22298110979929162</v>
      </c>
      <c r="N3712" s="2">
        <f t="shared" si="1496"/>
        <v>0.77701889020070836</v>
      </c>
    </row>
    <row r="3713" spans="1:14" x14ac:dyDescent="0.35">
      <c r="A3713" t="s">
        <v>36</v>
      </c>
      <c r="B3713" t="s">
        <v>21</v>
      </c>
      <c r="C3713">
        <v>2007</v>
      </c>
      <c r="D3713" t="s">
        <v>33</v>
      </c>
      <c r="E3713" s="1">
        <f t="shared" ref="E3713" si="1622">SUM(E2945+E3137+E3329+E3521)</f>
        <v>101355</v>
      </c>
      <c r="F3713" s="1">
        <f t="shared" si="1492"/>
        <v>90301</v>
      </c>
      <c r="G3713" s="1">
        <f t="shared" si="1600"/>
        <v>191656</v>
      </c>
      <c r="H3713" s="2">
        <f t="shared" si="1601"/>
        <v>0.52883812664356977</v>
      </c>
      <c r="I3713" s="2">
        <f t="shared" si="1602"/>
        <v>0.47116187335643028</v>
      </c>
      <c r="J3713" s="1">
        <f t="shared" ref="J3713:K3713" si="1623">SUM(J2945+J3137+J3329+J3521)</f>
        <v>62031</v>
      </c>
      <c r="K3713" s="1">
        <f t="shared" si="1623"/>
        <v>241672</v>
      </c>
      <c r="L3713" s="1">
        <f t="shared" si="1494"/>
        <v>303703</v>
      </c>
      <c r="M3713" s="2">
        <f t="shared" si="1495"/>
        <v>0.20424888789376464</v>
      </c>
      <c r="N3713" s="2">
        <f t="shared" si="1496"/>
        <v>0.79575111210623539</v>
      </c>
    </row>
    <row r="3714" spans="1:14" x14ac:dyDescent="0.35">
      <c r="A3714" t="s">
        <v>36</v>
      </c>
      <c r="B3714" t="s">
        <v>22</v>
      </c>
      <c r="C3714">
        <v>2007</v>
      </c>
      <c r="D3714" t="s">
        <v>33</v>
      </c>
      <c r="E3714" s="1">
        <f t="shared" ref="E3714" si="1624">SUM(E2946+E3138+E3330+E3522)</f>
        <v>110235</v>
      </c>
      <c r="F3714" s="1">
        <f t="shared" si="1492"/>
        <v>101033</v>
      </c>
      <c r="G3714" s="1">
        <f t="shared" si="1600"/>
        <v>211268</v>
      </c>
      <c r="H3714" s="2">
        <f t="shared" si="1601"/>
        <v>0.52177802601435141</v>
      </c>
      <c r="I3714" s="2">
        <f t="shared" si="1602"/>
        <v>0.47822197398564859</v>
      </c>
      <c r="J3714" s="1">
        <f t="shared" ref="J3714:K3714" si="1625">SUM(J2946+J3138+J3330+J3522)</f>
        <v>66037</v>
      </c>
      <c r="K3714" s="1">
        <f t="shared" si="1625"/>
        <v>265462</v>
      </c>
      <c r="L3714" s="1">
        <f t="shared" si="1494"/>
        <v>331499</v>
      </c>
      <c r="M3714" s="2">
        <f t="shared" si="1495"/>
        <v>0.19920723742756388</v>
      </c>
      <c r="N3714" s="2">
        <f t="shared" si="1496"/>
        <v>0.80079276257243615</v>
      </c>
    </row>
    <row r="3715" spans="1:14" x14ac:dyDescent="0.35">
      <c r="A3715" t="s">
        <v>36</v>
      </c>
      <c r="B3715" t="s">
        <v>23</v>
      </c>
      <c r="C3715">
        <v>2007</v>
      </c>
      <c r="D3715" t="s">
        <v>33</v>
      </c>
      <c r="E3715" s="1">
        <f t="shared" ref="E3715:F3715" si="1626">SUM(E2947+E3139+E3331+E3523)</f>
        <v>104311</v>
      </c>
      <c r="F3715" s="1">
        <f t="shared" si="1626"/>
        <v>98016</v>
      </c>
      <c r="G3715" s="1">
        <f t="shared" si="1600"/>
        <v>202327</v>
      </c>
      <c r="H3715" s="2">
        <f t="shared" si="1601"/>
        <v>0.51555650012109111</v>
      </c>
      <c r="I3715" s="2">
        <f t="shared" si="1602"/>
        <v>0.48444349987890889</v>
      </c>
      <c r="J3715" s="1">
        <f t="shared" ref="J3715:K3715" si="1627">SUM(J2947+J3139+J3331+J3523)</f>
        <v>77024</v>
      </c>
      <c r="K3715" s="1">
        <f t="shared" si="1627"/>
        <v>295707</v>
      </c>
      <c r="L3715" s="1">
        <f t="shared" ref="L3715:L3778" si="1628">SUM(J3715:K3715)</f>
        <v>372731</v>
      </c>
      <c r="M3715" s="2">
        <f t="shared" ref="M3715:M3778" si="1629">SUM(J3715)/L3715</f>
        <v>0.20664768962066477</v>
      </c>
      <c r="N3715" s="2">
        <f t="shared" ref="N3715:N3778" si="1630">SUM(K3715/L3715)</f>
        <v>0.79335231037933518</v>
      </c>
    </row>
    <row r="3716" spans="1:14" x14ac:dyDescent="0.35">
      <c r="A3716" t="s">
        <v>36</v>
      </c>
      <c r="B3716" t="s">
        <v>24</v>
      </c>
      <c r="C3716">
        <v>2007</v>
      </c>
      <c r="D3716" t="s">
        <v>33</v>
      </c>
      <c r="E3716" s="1">
        <f t="shared" ref="E3716:F3716" si="1631">SUM(E2948+E3140+E3332+E3524)</f>
        <v>101615</v>
      </c>
      <c r="F3716" s="1">
        <f t="shared" si="1631"/>
        <v>100376</v>
      </c>
      <c r="G3716" s="1">
        <f t="shared" si="1600"/>
        <v>201991</v>
      </c>
      <c r="H3716" s="2">
        <f t="shared" si="1601"/>
        <v>0.50306696833027209</v>
      </c>
      <c r="I3716" s="2">
        <f t="shared" si="1602"/>
        <v>0.49693303166972785</v>
      </c>
      <c r="J3716" s="1">
        <f t="shared" ref="J3716:K3716" si="1632">SUM(J2948+J3140+J3332+J3524)</f>
        <v>88781</v>
      </c>
      <c r="K3716" s="1">
        <f t="shared" si="1632"/>
        <v>324662</v>
      </c>
      <c r="L3716" s="1">
        <f t="shared" si="1628"/>
        <v>413443</v>
      </c>
      <c r="M3716" s="2">
        <f t="shared" si="1629"/>
        <v>0.21473576768744421</v>
      </c>
      <c r="N3716" s="2">
        <f t="shared" si="1630"/>
        <v>0.78526423231255582</v>
      </c>
    </row>
    <row r="3717" spans="1:14" x14ac:dyDescent="0.35">
      <c r="A3717" t="s">
        <v>36</v>
      </c>
      <c r="B3717" t="s">
        <v>25</v>
      </c>
      <c r="C3717">
        <v>2007</v>
      </c>
      <c r="D3717" t="s">
        <v>33</v>
      </c>
      <c r="E3717" s="1">
        <f t="shared" ref="E3717:F3717" si="1633">SUM(E2949+E3141+E3333+E3525)</f>
        <v>111130</v>
      </c>
      <c r="F3717" s="1">
        <f t="shared" si="1633"/>
        <v>111450</v>
      </c>
      <c r="G3717" s="1">
        <f t="shared" si="1600"/>
        <v>222580</v>
      </c>
      <c r="H3717" s="2">
        <f t="shared" si="1601"/>
        <v>0.49928115733668793</v>
      </c>
      <c r="I3717" s="2">
        <f t="shared" si="1602"/>
        <v>0.50071884266331201</v>
      </c>
      <c r="J3717" s="1">
        <f t="shared" ref="J3717:K3717" si="1634">SUM(J2949+J3141+J3333+J3525)</f>
        <v>100408</v>
      </c>
      <c r="K3717" s="1">
        <f t="shared" si="1634"/>
        <v>351278</v>
      </c>
      <c r="L3717" s="1">
        <f t="shared" si="1628"/>
        <v>451686</v>
      </c>
      <c r="M3717" s="2">
        <f t="shared" si="1629"/>
        <v>0.22229601980136643</v>
      </c>
      <c r="N3717" s="2">
        <f t="shared" si="1630"/>
        <v>0.77770398019863352</v>
      </c>
    </row>
    <row r="3718" spans="1:14" x14ac:dyDescent="0.35">
      <c r="A3718" t="s">
        <v>36</v>
      </c>
      <c r="B3718" t="s">
        <v>26</v>
      </c>
      <c r="C3718">
        <v>2007</v>
      </c>
      <c r="D3718" t="s">
        <v>33</v>
      </c>
      <c r="E3718" s="1">
        <f t="shared" ref="E3718:F3718" si="1635">SUM(E2950+E3142+E3334+E3526)</f>
        <v>89271</v>
      </c>
      <c r="F3718" s="1">
        <f t="shared" si="1635"/>
        <v>92287</v>
      </c>
      <c r="G3718" s="1">
        <f t="shared" si="1600"/>
        <v>181558</v>
      </c>
      <c r="H3718" s="2">
        <f t="shared" si="1601"/>
        <v>0.49169411427753112</v>
      </c>
      <c r="I3718" s="2">
        <f t="shared" si="1602"/>
        <v>0.50830588572246882</v>
      </c>
      <c r="J3718" s="1">
        <f t="shared" ref="J3718:K3718" si="1636">SUM(J2950+J3142+J3334+J3526)</f>
        <v>82849</v>
      </c>
      <c r="K3718" s="1">
        <f t="shared" si="1636"/>
        <v>311487</v>
      </c>
      <c r="L3718" s="1">
        <f t="shared" si="1628"/>
        <v>394336</v>
      </c>
      <c r="M3718" s="2">
        <f t="shared" si="1629"/>
        <v>0.21009748032135031</v>
      </c>
      <c r="N3718" s="2">
        <f t="shared" si="1630"/>
        <v>0.78990251967864966</v>
      </c>
    </row>
    <row r="3719" spans="1:14" x14ac:dyDescent="0.35">
      <c r="A3719" t="s">
        <v>36</v>
      </c>
      <c r="B3719" t="s">
        <v>27</v>
      </c>
      <c r="C3719">
        <v>2007</v>
      </c>
      <c r="D3719" t="s">
        <v>33</v>
      </c>
      <c r="E3719" s="1">
        <f t="shared" ref="E3719:F3719" si="1637">SUM(E2951+E3143+E3335+E3527)</f>
        <v>98254</v>
      </c>
      <c r="F3719" s="1">
        <f t="shared" si="1637"/>
        <v>104950</v>
      </c>
      <c r="G3719" s="1">
        <f t="shared" si="1600"/>
        <v>203204</v>
      </c>
      <c r="H3719" s="2">
        <f t="shared" si="1601"/>
        <v>0.48352394637900831</v>
      </c>
      <c r="I3719" s="2">
        <f t="shared" si="1602"/>
        <v>0.51647605362099169</v>
      </c>
      <c r="J3719" s="1">
        <f t="shared" ref="J3719:K3719" si="1638">SUM(J2951+J3143+J3335+J3527)</f>
        <v>79485</v>
      </c>
      <c r="K3719" s="1">
        <f t="shared" si="1638"/>
        <v>321878</v>
      </c>
      <c r="L3719" s="1">
        <f t="shared" si="1628"/>
        <v>401363</v>
      </c>
      <c r="M3719" s="2">
        <f t="shared" si="1629"/>
        <v>0.19803768658296853</v>
      </c>
      <c r="N3719" s="2">
        <f t="shared" si="1630"/>
        <v>0.8019623134170315</v>
      </c>
    </row>
    <row r="3720" spans="1:14" x14ac:dyDescent="0.35">
      <c r="A3720" t="s">
        <v>36</v>
      </c>
      <c r="B3720" t="s">
        <v>28</v>
      </c>
      <c r="C3720">
        <v>2007</v>
      </c>
      <c r="D3720" t="s">
        <v>33</v>
      </c>
      <c r="E3720" s="1">
        <f t="shared" ref="E3720:F3720" si="1639">SUM(E2952+E3144+E3336+E3528)</f>
        <v>97217</v>
      </c>
      <c r="F3720" s="1">
        <f t="shared" si="1639"/>
        <v>105987</v>
      </c>
      <c r="G3720" s="1">
        <f t="shared" si="1600"/>
        <v>203204</v>
      </c>
      <c r="H3720" s="2">
        <f t="shared" si="1601"/>
        <v>0.4784207003799138</v>
      </c>
      <c r="I3720" s="2">
        <f t="shared" si="1602"/>
        <v>0.5215792996200862</v>
      </c>
      <c r="J3720" s="1">
        <f t="shared" ref="J3720:K3720" si="1640">SUM(J2952+J3144+J3336+J3528)</f>
        <v>59220</v>
      </c>
      <c r="K3720" s="1">
        <f t="shared" si="1640"/>
        <v>272489</v>
      </c>
      <c r="L3720" s="1">
        <f t="shared" si="1628"/>
        <v>331709</v>
      </c>
      <c r="M3720" s="2">
        <f t="shared" si="1629"/>
        <v>0.17852997657585415</v>
      </c>
      <c r="N3720" s="2">
        <f t="shared" si="1630"/>
        <v>0.82147002342414588</v>
      </c>
    </row>
    <row r="3721" spans="1:14" x14ac:dyDescent="0.35">
      <c r="A3721" t="s">
        <v>36</v>
      </c>
      <c r="B3721" t="s">
        <v>29</v>
      </c>
      <c r="C3721">
        <v>2007</v>
      </c>
      <c r="D3721" t="s">
        <v>33</v>
      </c>
      <c r="E3721" s="1">
        <f t="shared" ref="E3721:F3721" si="1641">SUM(E2953+E3145+E3337+E3529)</f>
        <v>95985</v>
      </c>
      <c r="F3721" s="1">
        <f t="shared" si="1641"/>
        <v>107343</v>
      </c>
      <c r="G3721" s="1">
        <f t="shared" si="1600"/>
        <v>203328</v>
      </c>
      <c r="H3721" s="2">
        <f t="shared" si="1601"/>
        <v>0.47206975920679889</v>
      </c>
      <c r="I3721" s="2">
        <f t="shared" si="1602"/>
        <v>0.52793024079320117</v>
      </c>
      <c r="J3721" s="1">
        <f t="shared" ref="J3721:K3721" si="1642">SUM(J2953+J3145+J3337+J3529)</f>
        <v>72132</v>
      </c>
      <c r="K3721" s="1">
        <f t="shared" si="1642"/>
        <v>299378</v>
      </c>
      <c r="L3721" s="1">
        <f t="shared" si="1628"/>
        <v>371510</v>
      </c>
      <c r="M3721" s="2">
        <f t="shared" si="1629"/>
        <v>0.19415897284056957</v>
      </c>
      <c r="N3721" s="2">
        <f t="shared" si="1630"/>
        <v>0.8058410271594304</v>
      </c>
    </row>
    <row r="3722" spans="1:14" x14ac:dyDescent="0.35">
      <c r="A3722" t="s">
        <v>36</v>
      </c>
      <c r="B3722" t="s">
        <v>17</v>
      </c>
      <c r="C3722">
        <v>2008</v>
      </c>
      <c r="D3722" t="s">
        <v>33</v>
      </c>
      <c r="E3722" s="1">
        <f t="shared" ref="E3722:F3722" si="1643">SUM(E2954+E3146+E3338+E3530)</f>
        <v>94989</v>
      </c>
      <c r="F3722" s="1">
        <f t="shared" si="1643"/>
        <v>107931</v>
      </c>
      <c r="G3722" s="1">
        <f t="shared" si="1600"/>
        <v>202920</v>
      </c>
      <c r="H3722" s="2">
        <f t="shared" si="1601"/>
        <v>0.46811058545239503</v>
      </c>
      <c r="I3722" s="2">
        <f t="shared" si="1602"/>
        <v>0.53188941454760497</v>
      </c>
      <c r="J3722" s="1">
        <f t="shared" ref="J3722:K3722" si="1644">SUM(J2954+J3146+J3338+J3530)</f>
        <v>87374</v>
      </c>
      <c r="K3722" s="1">
        <f t="shared" si="1644"/>
        <v>329861</v>
      </c>
      <c r="L3722" s="1">
        <f t="shared" si="1628"/>
        <v>417235</v>
      </c>
      <c r="M3722" s="2">
        <f t="shared" si="1629"/>
        <v>0.20941196208371782</v>
      </c>
      <c r="N3722" s="2">
        <f t="shared" si="1630"/>
        <v>0.79058803791628218</v>
      </c>
    </row>
    <row r="3723" spans="1:14" x14ac:dyDescent="0.35">
      <c r="A3723" t="s">
        <v>36</v>
      </c>
      <c r="B3723" t="s">
        <v>19</v>
      </c>
      <c r="C3723">
        <v>2008</v>
      </c>
      <c r="D3723" t="s">
        <v>33</v>
      </c>
      <c r="E3723" s="1">
        <f t="shared" ref="E3723:F3723" si="1645">SUM(E2955+E3147+E3339+E3531)</f>
        <v>94252</v>
      </c>
      <c r="F3723" s="1">
        <f t="shared" si="1645"/>
        <v>108632</v>
      </c>
      <c r="G3723" s="1">
        <f t="shared" si="1600"/>
        <v>202884</v>
      </c>
      <c r="H3723" s="2">
        <f t="shared" si="1601"/>
        <v>0.46456102994814769</v>
      </c>
      <c r="I3723" s="2">
        <f t="shared" si="1602"/>
        <v>0.53543897005185226</v>
      </c>
      <c r="J3723" s="1">
        <f t="shared" ref="J3723:K3723" si="1646">SUM(J2955+J3147+J3339+J3531)</f>
        <v>72963</v>
      </c>
      <c r="K3723" s="1">
        <f t="shared" si="1646"/>
        <v>293285</v>
      </c>
      <c r="L3723" s="1">
        <f t="shared" si="1628"/>
        <v>366248</v>
      </c>
      <c r="M3723" s="2">
        <f t="shared" si="1629"/>
        <v>0.19921747012952973</v>
      </c>
      <c r="N3723" s="2">
        <f t="shared" si="1630"/>
        <v>0.80078252987047027</v>
      </c>
    </row>
    <row r="3724" spans="1:14" x14ac:dyDescent="0.35">
      <c r="A3724" t="s">
        <v>36</v>
      </c>
      <c r="B3724" t="s">
        <v>20</v>
      </c>
      <c r="C3724">
        <v>2008</v>
      </c>
      <c r="D3724" t="s">
        <v>33</v>
      </c>
      <c r="E3724" s="1">
        <f t="shared" ref="E3724:F3724" si="1647">SUM(E2956+E3148+E3340+E3532)</f>
        <v>93665</v>
      </c>
      <c r="F3724" s="1">
        <f t="shared" si="1647"/>
        <v>109827</v>
      </c>
      <c r="G3724" s="1">
        <f t="shared" si="1600"/>
        <v>203492</v>
      </c>
      <c r="H3724" s="2">
        <f t="shared" si="1601"/>
        <v>0.46028836514457572</v>
      </c>
      <c r="I3724" s="2">
        <f t="shared" si="1602"/>
        <v>0.53971163485542428</v>
      </c>
      <c r="J3724" s="1">
        <f t="shared" ref="J3724:K3724" si="1648">SUM(J2956+J3148+J3340+J3532)</f>
        <v>62516</v>
      </c>
      <c r="K3724" s="1">
        <f t="shared" si="1648"/>
        <v>278494</v>
      </c>
      <c r="L3724" s="1">
        <f t="shared" si="1628"/>
        <v>341010</v>
      </c>
      <c r="M3724" s="2">
        <f t="shared" si="1629"/>
        <v>0.18332600217002434</v>
      </c>
      <c r="N3724" s="2">
        <f t="shared" si="1630"/>
        <v>0.81667399782997563</v>
      </c>
    </row>
    <row r="3725" spans="1:14" x14ac:dyDescent="0.35">
      <c r="A3725" t="s">
        <v>36</v>
      </c>
      <c r="B3725" t="s">
        <v>21</v>
      </c>
      <c r="C3725">
        <v>2008</v>
      </c>
      <c r="D3725" t="s">
        <v>33</v>
      </c>
      <c r="E3725" s="1">
        <f t="shared" ref="E3725:F3725" si="1649">SUM(E2957+E3149+E3341+E3533)</f>
        <v>92648</v>
      </c>
      <c r="F3725" s="1">
        <f t="shared" si="1649"/>
        <v>111080</v>
      </c>
      <c r="G3725" s="1">
        <f t="shared" si="1600"/>
        <v>203728</v>
      </c>
      <c r="H3725" s="2">
        <f t="shared" si="1601"/>
        <v>0.45476321369669365</v>
      </c>
      <c r="I3725" s="2">
        <f t="shared" si="1602"/>
        <v>0.54523678630330641</v>
      </c>
      <c r="J3725" s="1">
        <f t="shared" ref="J3725:K3725" si="1650">SUM(J2957+J3149+J3341+J3533)</f>
        <v>53913</v>
      </c>
      <c r="K3725" s="1">
        <f t="shared" si="1650"/>
        <v>272751</v>
      </c>
      <c r="L3725" s="1">
        <f t="shared" si="1628"/>
        <v>326664</v>
      </c>
      <c r="M3725" s="2">
        <f t="shared" si="1629"/>
        <v>0.16504114319300567</v>
      </c>
      <c r="N3725" s="2">
        <f t="shared" si="1630"/>
        <v>0.83495885680699433</v>
      </c>
    </row>
    <row r="3726" spans="1:14" x14ac:dyDescent="0.35">
      <c r="A3726" t="s">
        <v>36</v>
      </c>
      <c r="B3726" t="s">
        <v>22</v>
      </c>
      <c r="C3726">
        <v>2008</v>
      </c>
      <c r="D3726" t="s">
        <v>33</v>
      </c>
      <c r="E3726" s="1">
        <f t="shared" ref="E3726:F3726" si="1651">SUM(E2958+E3150+E3342+E3534)</f>
        <v>91581</v>
      </c>
      <c r="F3726" s="1">
        <f t="shared" si="1651"/>
        <v>113288</v>
      </c>
      <c r="G3726" s="1">
        <f t="shared" si="1600"/>
        <v>204869</v>
      </c>
      <c r="H3726" s="2">
        <f t="shared" si="1601"/>
        <v>0.44702224348242048</v>
      </c>
      <c r="I3726" s="2">
        <f t="shared" si="1602"/>
        <v>0.55297775651757952</v>
      </c>
      <c r="J3726" s="1">
        <f t="shared" ref="J3726:K3726" si="1652">SUM(J2958+J3150+J3342+J3534)</f>
        <v>55310</v>
      </c>
      <c r="K3726" s="1">
        <f t="shared" si="1652"/>
        <v>290151</v>
      </c>
      <c r="L3726" s="1">
        <f t="shared" si="1628"/>
        <v>345461</v>
      </c>
      <c r="M3726" s="2">
        <f t="shared" si="1629"/>
        <v>0.16010490330312249</v>
      </c>
      <c r="N3726" s="2">
        <f t="shared" si="1630"/>
        <v>0.83989509669687745</v>
      </c>
    </row>
    <row r="3727" spans="1:14" x14ac:dyDescent="0.35">
      <c r="A3727" t="s">
        <v>36</v>
      </c>
      <c r="B3727" t="s">
        <v>23</v>
      </c>
      <c r="C3727">
        <v>2008</v>
      </c>
      <c r="D3727" t="s">
        <v>33</v>
      </c>
      <c r="E3727" s="1">
        <f t="shared" ref="E3727:F3727" si="1653">SUM(E2959+E3151+E3343+E3535)</f>
        <v>89752</v>
      </c>
      <c r="F3727" s="1">
        <f t="shared" si="1653"/>
        <v>113767</v>
      </c>
      <c r="G3727" s="1">
        <f t="shared" si="1600"/>
        <v>203519</v>
      </c>
      <c r="H3727" s="2">
        <f t="shared" si="1601"/>
        <v>0.4410005945390848</v>
      </c>
      <c r="I3727" s="2">
        <f t="shared" si="1602"/>
        <v>0.5589994054609152</v>
      </c>
      <c r="J3727" s="1">
        <f t="shared" ref="J3727:K3727" si="1654">SUM(J2959+J3151+J3343+J3535)</f>
        <v>81941</v>
      </c>
      <c r="K3727" s="1">
        <f t="shared" si="1654"/>
        <v>362893</v>
      </c>
      <c r="L3727" s="1">
        <f t="shared" si="1628"/>
        <v>444834</v>
      </c>
      <c r="M3727" s="2">
        <f t="shared" si="1629"/>
        <v>0.18420579362189041</v>
      </c>
      <c r="N3727" s="2">
        <f t="shared" si="1630"/>
        <v>0.81579420637810962</v>
      </c>
    </row>
    <row r="3728" spans="1:14" x14ac:dyDescent="0.35">
      <c r="A3728" t="s">
        <v>36</v>
      </c>
      <c r="B3728" t="s">
        <v>24</v>
      </c>
      <c r="C3728">
        <v>2008</v>
      </c>
      <c r="D3728" t="s">
        <v>33</v>
      </c>
      <c r="E3728" s="1">
        <f t="shared" ref="E3728:F3728" si="1655">SUM(E2960+E3152+E3344+E3536)</f>
        <v>88843</v>
      </c>
      <c r="F3728" s="1">
        <f t="shared" si="1655"/>
        <v>115174</v>
      </c>
      <c r="G3728" s="1">
        <f t="shared" si="1600"/>
        <v>204017</v>
      </c>
      <c r="H3728" s="2">
        <f t="shared" si="1601"/>
        <v>0.43546861290970851</v>
      </c>
      <c r="I3728" s="2">
        <f t="shared" si="1602"/>
        <v>0.56453138709029149</v>
      </c>
      <c r="J3728" s="1">
        <f t="shared" ref="J3728:K3728" si="1656">SUM(J2960+J3152+J3344+J3536)</f>
        <v>86824</v>
      </c>
      <c r="K3728" s="1">
        <f t="shared" si="1656"/>
        <v>375838</v>
      </c>
      <c r="L3728" s="1">
        <f t="shared" si="1628"/>
        <v>462662</v>
      </c>
      <c r="M3728" s="2">
        <f t="shared" si="1629"/>
        <v>0.1876618352058306</v>
      </c>
      <c r="N3728" s="2">
        <f t="shared" si="1630"/>
        <v>0.81233816479416943</v>
      </c>
    </row>
    <row r="3729" spans="1:14" x14ac:dyDescent="0.35">
      <c r="A3729" t="s">
        <v>36</v>
      </c>
      <c r="B3729" t="s">
        <v>25</v>
      </c>
      <c r="C3729">
        <v>2008</v>
      </c>
      <c r="D3729" t="s">
        <v>33</v>
      </c>
      <c r="E3729" s="1">
        <f t="shared" ref="E3729:F3729" si="1657">SUM(E2961+E3153+E3345+E3537)</f>
        <v>87869</v>
      </c>
      <c r="F3729" s="1">
        <f t="shared" si="1657"/>
        <v>116446</v>
      </c>
      <c r="G3729" s="1">
        <f t="shared" si="1600"/>
        <v>204315</v>
      </c>
      <c r="H3729" s="2">
        <f t="shared" si="1601"/>
        <v>0.43006631916403593</v>
      </c>
      <c r="I3729" s="2">
        <f t="shared" si="1602"/>
        <v>0.56993368083596407</v>
      </c>
      <c r="J3729" s="1">
        <f t="shared" ref="J3729:K3729" si="1658">SUM(J2961+J3153+J3345+J3537)</f>
        <v>89540</v>
      </c>
      <c r="K3729" s="1">
        <f t="shared" si="1658"/>
        <v>384255</v>
      </c>
      <c r="L3729" s="1">
        <f t="shared" si="1628"/>
        <v>473795</v>
      </c>
      <c r="M3729" s="2">
        <f t="shared" si="1629"/>
        <v>0.18898468747031943</v>
      </c>
      <c r="N3729" s="2">
        <f t="shared" si="1630"/>
        <v>0.81101531252968051</v>
      </c>
    </row>
    <row r="3730" spans="1:14" x14ac:dyDescent="0.35">
      <c r="A3730" t="s">
        <v>36</v>
      </c>
      <c r="B3730" t="s">
        <v>26</v>
      </c>
      <c r="C3730">
        <v>2008</v>
      </c>
      <c r="D3730" t="s">
        <v>33</v>
      </c>
      <c r="E3730" s="1">
        <f t="shared" ref="E3730:F3730" si="1659">SUM(E2962+E3154+E3346+E3538)</f>
        <v>87053</v>
      </c>
      <c r="F3730" s="1">
        <f t="shared" si="1659"/>
        <v>117056</v>
      </c>
      <c r="G3730" s="1">
        <f t="shared" si="1600"/>
        <v>204109</v>
      </c>
      <c r="H3730" s="2">
        <f t="shared" si="1601"/>
        <v>0.42650250601394352</v>
      </c>
      <c r="I3730" s="2">
        <f t="shared" si="1602"/>
        <v>0.57349749398605643</v>
      </c>
      <c r="J3730" s="1">
        <f t="shared" ref="J3730:K3730" si="1660">SUM(J2962+J3154+J3346+J3538)</f>
        <v>74432</v>
      </c>
      <c r="K3730" s="1">
        <f t="shared" si="1660"/>
        <v>358380</v>
      </c>
      <c r="L3730" s="1">
        <f t="shared" si="1628"/>
        <v>432812</v>
      </c>
      <c r="M3730" s="2">
        <f t="shared" si="1629"/>
        <v>0.17197305065478777</v>
      </c>
      <c r="N3730" s="2">
        <f t="shared" si="1630"/>
        <v>0.82802694934521226</v>
      </c>
    </row>
    <row r="3731" spans="1:14" x14ac:dyDescent="0.35">
      <c r="A3731" t="s">
        <v>36</v>
      </c>
      <c r="B3731" t="s">
        <v>27</v>
      </c>
      <c r="C3731">
        <v>2008</v>
      </c>
      <c r="D3731" t="s">
        <v>33</v>
      </c>
      <c r="E3731" s="1">
        <f t="shared" ref="E3731:F3731" si="1661">SUM(E2963+E3155+E3347+E3539)</f>
        <v>86086</v>
      </c>
      <c r="F3731" s="1">
        <f t="shared" si="1661"/>
        <v>116762</v>
      </c>
      <c r="G3731" s="1">
        <f t="shared" si="1600"/>
        <v>202848</v>
      </c>
      <c r="H3731" s="2">
        <f t="shared" si="1601"/>
        <v>0.42438673292317403</v>
      </c>
      <c r="I3731" s="2">
        <f t="shared" si="1602"/>
        <v>0.57561326707682603</v>
      </c>
      <c r="J3731" s="1">
        <f t="shared" ref="J3731:K3731" si="1662">SUM(J2963+J3155+J3347+J3539)</f>
        <v>56824</v>
      </c>
      <c r="K3731" s="1">
        <f t="shared" si="1662"/>
        <v>312614.41000000003</v>
      </c>
      <c r="L3731" s="1">
        <f t="shared" si="1628"/>
        <v>369438.41000000003</v>
      </c>
      <c r="M3731" s="2">
        <f t="shared" si="1629"/>
        <v>0.15381183564535153</v>
      </c>
      <c r="N3731" s="2">
        <f t="shared" si="1630"/>
        <v>0.8461881643546485</v>
      </c>
    </row>
    <row r="3732" spans="1:14" x14ac:dyDescent="0.35">
      <c r="A3732" t="s">
        <v>36</v>
      </c>
      <c r="B3732" t="s">
        <v>28</v>
      </c>
      <c r="C3732">
        <v>2008</v>
      </c>
      <c r="D3732" t="s">
        <v>33</v>
      </c>
      <c r="E3732" s="1">
        <f t="shared" ref="E3732:F3732" si="1663">SUM(E2964+E3156+E3348+E3540)</f>
        <v>85544</v>
      </c>
      <c r="F3732" s="1">
        <f t="shared" si="1663"/>
        <v>121116</v>
      </c>
      <c r="G3732" s="1">
        <f t="shared" si="1600"/>
        <v>206660</v>
      </c>
      <c r="H3732" s="2">
        <f t="shared" si="1601"/>
        <v>0.41393593341720702</v>
      </c>
      <c r="I3732" s="2">
        <f t="shared" si="1602"/>
        <v>0.58606406658279298</v>
      </c>
      <c r="J3732" s="1">
        <f t="shared" ref="J3732:K3732" si="1664">SUM(J2964+J3156+J3348+J3540)</f>
        <v>46932</v>
      </c>
      <c r="K3732" s="1">
        <f t="shared" si="1664"/>
        <v>282775.76</v>
      </c>
      <c r="L3732" s="1">
        <f t="shared" si="1628"/>
        <v>329707.76</v>
      </c>
      <c r="M3732" s="2">
        <f t="shared" si="1629"/>
        <v>0.14234423842496155</v>
      </c>
      <c r="N3732" s="2">
        <f t="shared" si="1630"/>
        <v>0.85765576157503842</v>
      </c>
    </row>
    <row r="3733" spans="1:14" x14ac:dyDescent="0.35">
      <c r="A3733" t="s">
        <v>36</v>
      </c>
      <c r="B3733" t="s">
        <v>29</v>
      </c>
      <c r="C3733">
        <v>2008</v>
      </c>
      <c r="D3733" t="s">
        <v>33</v>
      </c>
      <c r="E3733" s="1">
        <f t="shared" ref="E3733:F3733" si="1665">SUM(E2965+E3157+E3349+E3541)</f>
        <v>84744</v>
      </c>
      <c r="F3733" s="1">
        <f t="shared" si="1665"/>
        <v>119974</v>
      </c>
      <c r="G3733" s="1">
        <f t="shared" si="1600"/>
        <v>204718</v>
      </c>
      <c r="H3733" s="2">
        <f t="shared" si="1601"/>
        <v>0.41395480612354557</v>
      </c>
      <c r="I3733" s="2">
        <f t="shared" si="1602"/>
        <v>0.58604519387645448</v>
      </c>
      <c r="J3733" s="1">
        <f t="shared" ref="J3733:K3733" si="1666">SUM(J2965+J3157+J3349+J3541)</f>
        <v>60472</v>
      </c>
      <c r="K3733" s="1">
        <f t="shared" si="1666"/>
        <v>321362.5</v>
      </c>
      <c r="L3733" s="1">
        <f t="shared" si="1628"/>
        <v>381834.5</v>
      </c>
      <c r="M3733" s="2">
        <f t="shared" si="1629"/>
        <v>0.15837227908950083</v>
      </c>
      <c r="N3733" s="2">
        <f t="shared" si="1630"/>
        <v>0.8416277209104992</v>
      </c>
    </row>
    <row r="3734" spans="1:14" x14ac:dyDescent="0.35">
      <c r="A3734" t="s">
        <v>36</v>
      </c>
      <c r="B3734" t="s">
        <v>17</v>
      </c>
      <c r="C3734">
        <v>2009</v>
      </c>
      <c r="D3734" t="s">
        <v>33</v>
      </c>
      <c r="E3734" s="1">
        <f t="shared" ref="E3734:F3734" si="1667">SUM(E2966+E3158+E3350+E3542)</f>
        <v>84397</v>
      </c>
      <c r="F3734" s="1">
        <f t="shared" si="1667"/>
        <v>117216</v>
      </c>
      <c r="G3734" s="1">
        <f t="shared" si="1600"/>
        <v>201613</v>
      </c>
      <c r="H3734" s="2">
        <f t="shared" si="1601"/>
        <v>0.41860891906771885</v>
      </c>
      <c r="I3734" s="2">
        <f t="shared" si="1602"/>
        <v>0.5813910809322812</v>
      </c>
      <c r="J3734" s="1">
        <f t="shared" ref="J3734:K3734" si="1668">SUM(J2966+J3158+J3350+J3542)</f>
        <v>71860</v>
      </c>
      <c r="K3734" s="1">
        <f t="shared" si="1668"/>
        <v>350312</v>
      </c>
      <c r="L3734" s="1">
        <f t="shared" si="1628"/>
        <v>422172</v>
      </c>
      <c r="M3734" s="2">
        <f t="shared" si="1629"/>
        <v>0.17021498346645442</v>
      </c>
      <c r="N3734" s="2">
        <f t="shared" si="1630"/>
        <v>0.82978501653354553</v>
      </c>
    </row>
    <row r="3735" spans="1:14" x14ac:dyDescent="0.35">
      <c r="A3735" t="s">
        <v>36</v>
      </c>
      <c r="B3735" t="s">
        <v>19</v>
      </c>
      <c r="C3735">
        <v>2009</v>
      </c>
      <c r="D3735" t="s">
        <v>33</v>
      </c>
      <c r="E3735" s="1">
        <f t="shared" ref="E3735:F3735" si="1669">SUM(E2967+E3159+E3351+E3543)</f>
        <v>83834</v>
      </c>
      <c r="F3735" s="1">
        <f t="shared" si="1669"/>
        <v>117970</v>
      </c>
      <c r="G3735" s="1">
        <f t="shared" si="1600"/>
        <v>201804</v>
      </c>
      <c r="H3735" s="2">
        <f t="shared" si="1601"/>
        <v>0.4154228855721393</v>
      </c>
      <c r="I3735" s="2">
        <f t="shared" si="1602"/>
        <v>0.58457711442786064</v>
      </c>
      <c r="J3735" s="1">
        <f t="shared" ref="J3735:K3735" si="1670">SUM(J2967+J3159+J3351+J3543)</f>
        <v>59746</v>
      </c>
      <c r="K3735" s="1">
        <f t="shared" si="1670"/>
        <v>296852</v>
      </c>
      <c r="L3735" s="1">
        <f t="shared" si="1628"/>
        <v>356598</v>
      </c>
      <c r="M3735" s="2">
        <f t="shared" si="1629"/>
        <v>0.16754440574540519</v>
      </c>
      <c r="N3735" s="2">
        <f t="shared" si="1630"/>
        <v>0.83245559425459481</v>
      </c>
    </row>
    <row r="3736" spans="1:14" x14ac:dyDescent="0.35">
      <c r="A3736" t="s">
        <v>36</v>
      </c>
      <c r="B3736" t="s">
        <v>20</v>
      </c>
      <c r="C3736">
        <v>2009</v>
      </c>
      <c r="D3736" t="s">
        <v>33</v>
      </c>
      <c r="E3736" s="1">
        <f t="shared" ref="E3736:F3736" si="1671">SUM(E2968+E3160+E3352+E3544)</f>
        <v>83588</v>
      </c>
      <c r="F3736" s="1">
        <f t="shared" si="1671"/>
        <v>118333</v>
      </c>
      <c r="G3736" s="1">
        <f t="shared" si="1600"/>
        <v>201921</v>
      </c>
      <c r="H3736" s="2">
        <f t="shared" si="1601"/>
        <v>0.41396387696178211</v>
      </c>
      <c r="I3736" s="2">
        <f t="shared" si="1602"/>
        <v>0.58603612303821795</v>
      </c>
      <c r="J3736" s="1">
        <f t="shared" ref="J3736:K3736" si="1672">SUM(J2968+J3160+J3352+J3544)</f>
        <v>52016</v>
      </c>
      <c r="K3736" s="1">
        <f t="shared" si="1672"/>
        <v>282472</v>
      </c>
      <c r="L3736" s="1">
        <f t="shared" si="1628"/>
        <v>334488</v>
      </c>
      <c r="M3736" s="2">
        <f t="shared" si="1629"/>
        <v>0.15550931573031021</v>
      </c>
      <c r="N3736" s="2">
        <f t="shared" si="1630"/>
        <v>0.84449068426968976</v>
      </c>
    </row>
    <row r="3737" spans="1:14" x14ac:dyDescent="0.35">
      <c r="A3737" t="s">
        <v>36</v>
      </c>
      <c r="B3737" t="s">
        <v>21</v>
      </c>
      <c r="C3737">
        <v>2009</v>
      </c>
      <c r="D3737" t="s">
        <v>33</v>
      </c>
      <c r="E3737" s="1">
        <f t="shared" ref="E3737:F3737" si="1673">SUM(E2969+E3161+E3353+E3545)</f>
        <v>82983</v>
      </c>
      <c r="F3737" s="1">
        <f t="shared" si="1673"/>
        <v>118917</v>
      </c>
      <c r="G3737" s="1">
        <f t="shared" si="1600"/>
        <v>201900</v>
      </c>
      <c r="H3737" s="2">
        <f t="shared" si="1601"/>
        <v>0.4110104011887073</v>
      </c>
      <c r="I3737" s="2">
        <f t="shared" si="1602"/>
        <v>0.58898959881129276</v>
      </c>
      <c r="J3737" s="1">
        <f t="shared" ref="J3737:K3737" si="1674">SUM(J2969+J3161+J3353+J3545)</f>
        <v>53242</v>
      </c>
      <c r="K3737" s="1">
        <f t="shared" si="1674"/>
        <v>282603</v>
      </c>
      <c r="L3737" s="1">
        <f t="shared" si="1628"/>
        <v>335845</v>
      </c>
      <c r="M3737" s="2">
        <f t="shared" si="1629"/>
        <v>0.15853146540814958</v>
      </c>
      <c r="N3737" s="2">
        <f t="shared" si="1630"/>
        <v>0.84146853459185045</v>
      </c>
    </row>
    <row r="3738" spans="1:14" x14ac:dyDescent="0.35">
      <c r="A3738" t="s">
        <v>36</v>
      </c>
      <c r="B3738" t="s">
        <v>22</v>
      </c>
      <c r="C3738">
        <v>2009</v>
      </c>
      <c r="D3738" t="s">
        <v>33</v>
      </c>
      <c r="E3738" s="1">
        <f t="shared" ref="E3738:F3738" si="1675">SUM(E2970+E3162+E3354+E3546)</f>
        <v>82680</v>
      </c>
      <c r="F3738" s="1">
        <f t="shared" si="1675"/>
        <v>119876</v>
      </c>
      <c r="G3738" s="1">
        <f t="shared" si="1600"/>
        <v>202556</v>
      </c>
      <c r="H3738" s="2">
        <f t="shared" si="1601"/>
        <v>0.40818341594423269</v>
      </c>
      <c r="I3738" s="2">
        <f t="shared" si="1602"/>
        <v>0.59181658405576731</v>
      </c>
      <c r="J3738" s="1">
        <f t="shared" ref="J3738:K3738" si="1676">SUM(J2970+J3162+J3354+J3546)</f>
        <v>52779</v>
      </c>
      <c r="K3738" s="1">
        <f t="shared" si="1676"/>
        <v>304311</v>
      </c>
      <c r="L3738" s="1">
        <f t="shared" si="1628"/>
        <v>357090</v>
      </c>
      <c r="M3738" s="2">
        <f t="shared" si="1629"/>
        <v>0.14780307485507854</v>
      </c>
      <c r="N3738" s="2">
        <f t="shared" si="1630"/>
        <v>0.8521969251449214</v>
      </c>
    </row>
    <row r="3739" spans="1:14" x14ac:dyDescent="0.35">
      <c r="A3739" t="s">
        <v>36</v>
      </c>
      <c r="B3739" t="s">
        <v>23</v>
      </c>
      <c r="C3739">
        <v>2009</v>
      </c>
      <c r="D3739" t="s">
        <v>33</v>
      </c>
      <c r="E3739" s="1">
        <f t="shared" ref="E3739:F3739" si="1677">SUM(E2971+E3163+E3355+E3547)</f>
        <v>81884</v>
      </c>
      <c r="F3739" s="1">
        <f t="shared" si="1677"/>
        <v>120369</v>
      </c>
      <c r="G3739" s="1">
        <f t="shared" si="1600"/>
        <v>202253</v>
      </c>
      <c r="H3739" s="2">
        <f t="shared" si="1601"/>
        <v>0.40485926043124204</v>
      </c>
      <c r="I3739" s="2">
        <f t="shared" si="1602"/>
        <v>0.5951407395687579</v>
      </c>
      <c r="J3739" s="1">
        <f t="shared" ref="J3739:K3739" si="1678">SUM(J2971+J3163+J3355+J3547)</f>
        <v>63347</v>
      </c>
      <c r="K3739" s="1">
        <f t="shared" si="1678"/>
        <v>342101</v>
      </c>
      <c r="L3739" s="1">
        <f t="shared" si="1628"/>
        <v>405448</v>
      </c>
      <c r="M3739" s="2">
        <f t="shared" si="1629"/>
        <v>0.15623951776799985</v>
      </c>
      <c r="N3739" s="2">
        <f t="shared" si="1630"/>
        <v>0.84376048223200018</v>
      </c>
    </row>
    <row r="3740" spans="1:14" x14ac:dyDescent="0.35">
      <c r="A3740" t="s">
        <v>36</v>
      </c>
      <c r="B3740" t="s">
        <v>24</v>
      </c>
      <c r="C3740">
        <v>2009</v>
      </c>
      <c r="D3740" t="s">
        <v>33</v>
      </c>
      <c r="E3740" s="1">
        <f t="shared" ref="E3740:F3740" si="1679">SUM(E2972+E3164+E3356+E3548)</f>
        <v>81241</v>
      </c>
      <c r="F3740" s="1">
        <f t="shared" si="1679"/>
        <v>121057</v>
      </c>
      <c r="G3740" s="1">
        <f t="shared" si="1600"/>
        <v>202298</v>
      </c>
      <c r="H3740" s="2">
        <f t="shared" si="1601"/>
        <v>0.4015907225973564</v>
      </c>
      <c r="I3740" s="2">
        <f t="shared" si="1602"/>
        <v>0.5984092774026436</v>
      </c>
      <c r="J3740" s="1">
        <f t="shared" ref="J3740:K3740" si="1680">SUM(J2972+J3164+J3356+J3548)</f>
        <v>83738</v>
      </c>
      <c r="K3740" s="1">
        <f t="shared" si="1680"/>
        <v>407179</v>
      </c>
      <c r="L3740" s="1">
        <f t="shared" si="1628"/>
        <v>490917</v>
      </c>
      <c r="M3740" s="2">
        <f t="shared" si="1629"/>
        <v>0.17057465926011933</v>
      </c>
      <c r="N3740" s="2">
        <f t="shared" si="1630"/>
        <v>0.82942534073988072</v>
      </c>
    </row>
    <row r="3741" spans="1:14" x14ac:dyDescent="0.35">
      <c r="A3741" t="s">
        <v>36</v>
      </c>
      <c r="B3741" t="s">
        <v>25</v>
      </c>
      <c r="C3741">
        <v>2009</v>
      </c>
      <c r="D3741" t="s">
        <v>33</v>
      </c>
      <c r="E3741" s="1">
        <f t="shared" ref="E3741:F3741" si="1681">SUM(E2973+E3165+E3357+E3549)</f>
        <v>80690</v>
      </c>
      <c r="F3741" s="1">
        <f t="shared" si="1681"/>
        <v>122845</v>
      </c>
      <c r="G3741" s="1">
        <f t="shared" si="1600"/>
        <v>203535</v>
      </c>
      <c r="H3741" s="2">
        <f t="shared" si="1601"/>
        <v>0.39644287223327684</v>
      </c>
      <c r="I3741" s="2">
        <f t="shared" si="1602"/>
        <v>0.60355712776672321</v>
      </c>
      <c r="J3741" s="1">
        <f t="shared" ref="J3741:K3741" si="1682">SUM(J2973+J3165+J3357+J3549)</f>
        <v>80124</v>
      </c>
      <c r="K3741" s="1">
        <f t="shared" si="1682"/>
        <v>395264</v>
      </c>
      <c r="L3741" s="1">
        <f t="shared" si="1628"/>
        <v>475388</v>
      </c>
      <c r="M3741" s="2">
        <f t="shared" si="1629"/>
        <v>0.168544431075248</v>
      </c>
      <c r="N3741" s="2">
        <f t="shared" si="1630"/>
        <v>0.83145556892475203</v>
      </c>
    </row>
    <row r="3742" spans="1:14" x14ac:dyDescent="0.35">
      <c r="A3742" t="s">
        <v>36</v>
      </c>
      <c r="B3742" t="s">
        <v>26</v>
      </c>
      <c r="C3742">
        <v>2009</v>
      </c>
      <c r="D3742" t="s">
        <v>33</v>
      </c>
      <c r="E3742" s="1">
        <f t="shared" ref="E3742:F3742" si="1683">SUM(E2974+E3166+E3358+E3550)</f>
        <v>79623</v>
      </c>
      <c r="F3742" s="1">
        <f t="shared" si="1683"/>
        <v>122975</v>
      </c>
      <c r="G3742" s="1">
        <f t="shared" si="1600"/>
        <v>202598</v>
      </c>
      <c r="H3742" s="2">
        <f t="shared" si="1601"/>
        <v>0.39300980266340241</v>
      </c>
      <c r="I3742" s="2">
        <f t="shared" si="1602"/>
        <v>0.60699019733659765</v>
      </c>
      <c r="J3742" s="1">
        <f t="shared" ref="J3742:K3742" si="1684">SUM(J2974+J3166+J3358+J3550)</f>
        <v>72520</v>
      </c>
      <c r="K3742" s="1">
        <f t="shared" si="1684"/>
        <v>388426</v>
      </c>
      <c r="L3742" s="1">
        <f t="shared" si="1628"/>
        <v>460946</v>
      </c>
      <c r="M3742" s="2">
        <f t="shared" si="1629"/>
        <v>0.1573286241772355</v>
      </c>
      <c r="N3742" s="2">
        <f t="shared" si="1630"/>
        <v>0.84267137582276452</v>
      </c>
    </row>
    <row r="3743" spans="1:14" x14ac:dyDescent="0.35">
      <c r="A3743" t="s">
        <v>36</v>
      </c>
      <c r="B3743" t="s">
        <v>27</v>
      </c>
      <c r="C3743">
        <v>2009</v>
      </c>
      <c r="D3743" t="s">
        <v>33</v>
      </c>
      <c r="E3743" s="1">
        <f t="shared" ref="E3743:F3743" si="1685">SUM(E2975+E3167+E3359+E3551)</f>
        <v>78784</v>
      </c>
      <c r="F3743" s="1">
        <f t="shared" si="1685"/>
        <v>123155</v>
      </c>
      <c r="G3743" s="1">
        <f t="shared" si="1600"/>
        <v>201939</v>
      </c>
      <c r="H3743" s="2">
        <f t="shared" si="1601"/>
        <v>0.39013761581467671</v>
      </c>
      <c r="I3743" s="2">
        <f t="shared" si="1602"/>
        <v>0.60986238418532324</v>
      </c>
      <c r="J3743" s="1">
        <f t="shared" ref="J3743:K3743" si="1686">SUM(J2975+J3167+J3359+J3551)</f>
        <v>48325</v>
      </c>
      <c r="K3743" s="1">
        <f t="shared" si="1686"/>
        <v>322078</v>
      </c>
      <c r="L3743" s="1">
        <f t="shared" si="1628"/>
        <v>370403</v>
      </c>
      <c r="M3743" s="2">
        <f t="shared" si="1629"/>
        <v>0.13046600594487626</v>
      </c>
      <c r="N3743" s="2">
        <f t="shared" si="1630"/>
        <v>0.86953399405512377</v>
      </c>
    </row>
    <row r="3744" spans="1:14" x14ac:dyDescent="0.35">
      <c r="A3744" t="s">
        <v>36</v>
      </c>
      <c r="B3744" t="s">
        <v>28</v>
      </c>
      <c r="C3744">
        <v>2009</v>
      </c>
      <c r="D3744" t="s">
        <v>33</v>
      </c>
      <c r="E3744" s="1">
        <f t="shared" ref="E3744:F3744" si="1687">SUM(E2976+E3168+E3360+E3552)</f>
        <v>77608</v>
      </c>
      <c r="F3744" s="1">
        <f t="shared" si="1687"/>
        <v>123978</v>
      </c>
      <c r="G3744" s="1">
        <f t="shared" si="1600"/>
        <v>201586</v>
      </c>
      <c r="H3744" s="2">
        <f t="shared" si="1601"/>
        <v>0.38498705267230859</v>
      </c>
      <c r="I3744" s="2">
        <f t="shared" si="1602"/>
        <v>0.61501294732769141</v>
      </c>
      <c r="J3744" s="1">
        <f t="shared" ref="J3744:K3744" si="1688">SUM(J2976+J3168+J3360+J3552)</f>
        <v>39551</v>
      </c>
      <c r="K3744" s="1">
        <f t="shared" si="1688"/>
        <v>287727</v>
      </c>
      <c r="L3744" s="1">
        <f t="shared" si="1628"/>
        <v>327278</v>
      </c>
      <c r="M3744" s="2">
        <f t="shared" si="1629"/>
        <v>0.12084833077689304</v>
      </c>
      <c r="N3744" s="2">
        <f t="shared" si="1630"/>
        <v>0.87915166922310695</v>
      </c>
    </row>
    <row r="3745" spans="1:14" x14ac:dyDescent="0.35">
      <c r="A3745" t="s">
        <v>36</v>
      </c>
      <c r="B3745" t="s">
        <v>29</v>
      </c>
      <c r="C3745">
        <v>2009</v>
      </c>
      <c r="D3745" t="s">
        <v>33</v>
      </c>
      <c r="E3745" s="1">
        <f t="shared" ref="E3745:F3745" si="1689">SUM(E2977+E3169+E3361+E3553)</f>
        <v>76864</v>
      </c>
      <c r="F3745" s="1">
        <f t="shared" si="1689"/>
        <v>124385</v>
      </c>
      <c r="G3745" s="1">
        <f t="shared" si="1600"/>
        <v>201249</v>
      </c>
      <c r="H3745" s="2">
        <f t="shared" si="1601"/>
        <v>0.381934817067414</v>
      </c>
      <c r="I3745" s="2">
        <f t="shared" si="1602"/>
        <v>0.61806518293258605</v>
      </c>
      <c r="J3745" s="1">
        <f t="shared" ref="J3745:K3745" si="1690">SUM(J2977+J3169+J3361+J3553)</f>
        <v>54340</v>
      </c>
      <c r="K3745" s="1">
        <f t="shared" si="1690"/>
        <v>347417</v>
      </c>
      <c r="L3745" s="1">
        <f t="shared" si="1628"/>
        <v>401757</v>
      </c>
      <c r="M3745" s="2">
        <f t="shared" si="1629"/>
        <v>0.13525588850972106</v>
      </c>
      <c r="N3745" s="2">
        <f t="shared" si="1630"/>
        <v>0.86474411149027897</v>
      </c>
    </row>
    <row r="3746" spans="1:14" x14ac:dyDescent="0.35">
      <c r="A3746" t="s">
        <v>36</v>
      </c>
      <c r="B3746" t="s">
        <v>17</v>
      </c>
      <c r="C3746">
        <v>2010</v>
      </c>
      <c r="D3746" t="s">
        <v>33</v>
      </c>
      <c r="E3746" s="1">
        <f t="shared" ref="E3746:F3746" si="1691">SUM(E2978+E3170+E3362+E3554)</f>
        <v>68764</v>
      </c>
      <c r="F3746" s="1">
        <f t="shared" si="1691"/>
        <v>113559</v>
      </c>
      <c r="G3746" s="1">
        <f t="shared" si="1600"/>
        <v>182323</v>
      </c>
      <c r="H3746" s="2">
        <f t="shared" si="1601"/>
        <v>0.37715482961557234</v>
      </c>
      <c r="I3746" s="2">
        <f t="shared" si="1602"/>
        <v>0.62284517038442766</v>
      </c>
      <c r="J3746" s="1">
        <f t="shared" ref="J3746:K3746" si="1692">SUM(J2978+J3170+J3362+J3554)</f>
        <v>64983</v>
      </c>
      <c r="K3746" s="1">
        <f t="shared" si="1692"/>
        <v>362879</v>
      </c>
      <c r="L3746" s="1">
        <f t="shared" si="1628"/>
        <v>427862</v>
      </c>
      <c r="M3746" s="2">
        <f t="shared" si="1629"/>
        <v>0.15187840939368302</v>
      </c>
      <c r="N3746" s="2">
        <f t="shared" si="1630"/>
        <v>0.84812159060631698</v>
      </c>
    </row>
    <row r="3747" spans="1:14" x14ac:dyDescent="0.35">
      <c r="A3747" t="s">
        <v>36</v>
      </c>
      <c r="B3747" t="s">
        <v>19</v>
      </c>
      <c r="C3747">
        <v>2010</v>
      </c>
      <c r="D3747" t="s">
        <v>33</v>
      </c>
      <c r="E3747" s="1">
        <f t="shared" ref="E3747:F3747" si="1693">SUM(E2979+E3171+E3363+E3555)</f>
        <v>75674</v>
      </c>
      <c r="F3747" s="1">
        <f t="shared" si="1693"/>
        <v>126141</v>
      </c>
      <c r="G3747" s="1">
        <f t="shared" si="1600"/>
        <v>201815</v>
      </c>
      <c r="H3747" s="2">
        <f t="shared" si="1601"/>
        <v>0.37496717290587916</v>
      </c>
      <c r="I3747" s="2">
        <f t="shared" si="1602"/>
        <v>0.62503282709412089</v>
      </c>
      <c r="J3747" s="1">
        <f t="shared" ref="J3747:K3747" si="1694">SUM(J2979+J3171+J3363+J3555)</f>
        <v>59390</v>
      </c>
      <c r="K3747" s="1">
        <f t="shared" si="1694"/>
        <v>344907</v>
      </c>
      <c r="L3747" s="1">
        <f t="shared" si="1628"/>
        <v>404297</v>
      </c>
      <c r="M3747" s="2">
        <f t="shared" si="1629"/>
        <v>0.14689695941350048</v>
      </c>
      <c r="N3747" s="2">
        <f t="shared" si="1630"/>
        <v>0.85310304058649955</v>
      </c>
    </row>
    <row r="3748" spans="1:14" x14ac:dyDescent="0.35">
      <c r="A3748" t="s">
        <v>36</v>
      </c>
      <c r="B3748" t="s">
        <v>20</v>
      </c>
      <c r="C3748">
        <v>2010</v>
      </c>
      <c r="D3748" t="s">
        <v>33</v>
      </c>
      <c r="E3748" s="1">
        <f t="shared" ref="E3748:F3748" si="1695">SUM(E2980+E3172+E3364+E3556)</f>
        <v>74987</v>
      </c>
      <c r="F3748" s="1">
        <f t="shared" si="1695"/>
        <v>126721</v>
      </c>
      <c r="G3748" s="1">
        <f t="shared" si="1600"/>
        <v>201708</v>
      </c>
      <c r="H3748" s="2">
        <f t="shared" si="1601"/>
        <v>0.37176016816388047</v>
      </c>
      <c r="I3748" s="2">
        <f t="shared" si="1602"/>
        <v>0.62823983183611953</v>
      </c>
      <c r="J3748" s="1">
        <f t="shared" ref="J3748:K3748" si="1696">SUM(J2980+J3172+J3364+J3556)</f>
        <v>50461</v>
      </c>
      <c r="K3748" s="1">
        <f t="shared" si="1696"/>
        <v>319254</v>
      </c>
      <c r="L3748" s="1">
        <f t="shared" si="1628"/>
        <v>369715</v>
      </c>
      <c r="M3748" s="2">
        <f t="shared" si="1629"/>
        <v>0.13648621235275821</v>
      </c>
      <c r="N3748" s="2">
        <f t="shared" si="1630"/>
        <v>0.86351378764724185</v>
      </c>
    </row>
    <row r="3749" spans="1:14" x14ac:dyDescent="0.35">
      <c r="A3749" t="s">
        <v>36</v>
      </c>
      <c r="B3749" t="s">
        <v>21</v>
      </c>
      <c r="C3749">
        <v>2010</v>
      </c>
      <c r="D3749" t="s">
        <v>33</v>
      </c>
      <c r="E3749" s="1">
        <f t="shared" ref="E3749:F3749" si="1697">SUM(E2981+E3173+E3365+E3557)</f>
        <v>74496</v>
      </c>
      <c r="F3749" s="1">
        <f t="shared" si="1697"/>
        <v>127195</v>
      </c>
      <c r="G3749" s="1">
        <f t="shared" si="1600"/>
        <v>201691</v>
      </c>
      <c r="H3749" s="2">
        <f t="shared" si="1601"/>
        <v>0.36935708583922933</v>
      </c>
      <c r="I3749" s="2">
        <f t="shared" si="1602"/>
        <v>0.63064291416077067</v>
      </c>
      <c r="J3749" s="1">
        <f t="shared" ref="J3749:K3749" si="1698">SUM(J2981+J3173+J3365+J3557)</f>
        <v>40703</v>
      </c>
      <c r="K3749" s="1">
        <f t="shared" si="1698"/>
        <v>310329</v>
      </c>
      <c r="L3749" s="1">
        <f t="shared" si="1628"/>
        <v>351032</v>
      </c>
      <c r="M3749" s="2">
        <f t="shared" si="1629"/>
        <v>0.11595239180473575</v>
      </c>
      <c r="N3749" s="2">
        <f t="shared" si="1630"/>
        <v>0.88404760819526429</v>
      </c>
    </row>
    <row r="3750" spans="1:14" x14ac:dyDescent="0.35">
      <c r="A3750" t="s">
        <v>36</v>
      </c>
      <c r="B3750" t="s">
        <v>22</v>
      </c>
      <c r="C3750">
        <v>2010</v>
      </c>
      <c r="D3750" t="s">
        <v>33</v>
      </c>
      <c r="E3750" s="1">
        <f t="shared" ref="E3750:F3750" si="1699">SUM(E2982+E3174+E3366+E3558)</f>
        <v>74391</v>
      </c>
      <c r="F3750" s="1">
        <f t="shared" si="1699"/>
        <v>127699</v>
      </c>
      <c r="G3750" s="1">
        <f t="shared" si="1600"/>
        <v>202090</v>
      </c>
      <c r="H3750" s="2">
        <f t="shared" si="1601"/>
        <v>0.36810826859320106</v>
      </c>
      <c r="I3750" s="2">
        <f t="shared" si="1602"/>
        <v>0.631891731406799</v>
      </c>
      <c r="J3750" s="1">
        <f t="shared" ref="J3750:K3750" si="1700">SUM(J2982+J3174+J3366+J3558)</f>
        <v>37817</v>
      </c>
      <c r="K3750" s="1">
        <f t="shared" si="1700"/>
        <v>306161</v>
      </c>
      <c r="L3750" s="1">
        <f t="shared" si="1628"/>
        <v>343978</v>
      </c>
      <c r="M3750" s="2">
        <f t="shared" si="1629"/>
        <v>0.10994017059230532</v>
      </c>
      <c r="N3750" s="2">
        <f t="shared" si="1630"/>
        <v>0.89005982940769468</v>
      </c>
    </row>
    <row r="3751" spans="1:14" x14ac:dyDescent="0.35">
      <c r="A3751" t="s">
        <v>36</v>
      </c>
      <c r="B3751" t="s">
        <v>23</v>
      </c>
      <c r="C3751">
        <v>2010</v>
      </c>
      <c r="D3751" t="s">
        <v>33</v>
      </c>
      <c r="E3751" s="1">
        <f t="shared" ref="E3751:F3751" si="1701">SUM(E2983+E3175+E3367+E3559)</f>
        <v>73996</v>
      </c>
      <c r="F3751" s="1">
        <f t="shared" si="1701"/>
        <v>127890</v>
      </c>
      <c r="G3751" s="1">
        <f t="shared" si="1600"/>
        <v>201886</v>
      </c>
      <c r="H3751" s="2">
        <f t="shared" si="1601"/>
        <v>0.36652368168174115</v>
      </c>
      <c r="I3751" s="2">
        <f t="shared" si="1602"/>
        <v>0.63347631831825879</v>
      </c>
      <c r="J3751" s="1">
        <f t="shared" ref="J3751:K3751" si="1702">SUM(J2983+J3175+J3367+J3559)</f>
        <v>57960</v>
      </c>
      <c r="K3751" s="1">
        <f t="shared" si="1702"/>
        <v>389992</v>
      </c>
      <c r="L3751" s="1">
        <f t="shared" si="1628"/>
        <v>447952</v>
      </c>
      <c r="M3751" s="2">
        <f t="shared" si="1629"/>
        <v>0.12938886309247419</v>
      </c>
      <c r="N3751" s="2">
        <f t="shared" si="1630"/>
        <v>0.87061113690752578</v>
      </c>
    </row>
    <row r="3752" spans="1:14" x14ac:dyDescent="0.35">
      <c r="A3752" t="s">
        <v>36</v>
      </c>
      <c r="B3752" t="s">
        <v>24</v>
      </c>
      <c r="C3752">
        <v>2010</v>
      </c>
      <c r="D3752" t="s">
        <v>33</v>
      </c>
      <c r="E3752" s="1">
        <f t="shared" ref="E3752:F3752" si="1703">SUM(E2984+E3176+E3368+E3560)</f>
        <v>73468</v>
      </c>
      <c r="F3752" s="1">
        <f t="shared" si="1703"/>
        <v>128332</v>
      </c>
      <c r="G3752" s="1">
        <f t="shared" si="1600"/>
        <v>201800</v>
      </c>
      <c r="H3752" s="2">
        <f t="shared" si="1601"/>
        <v>0.36406342913776019</v>
      </c>
      <c r="I3752" s="2">
        <f t="shared" si="1602"/>
        <v>0.63593657086223987</v>
      </c>
      <c r="J3752" s="1">
        <f t="shared" ref="J3752:K3752" si="1704">SUM(J2984+J3176+J3368+J3560)</f>
        <v>67808</v>
      </c>
      <c r="K3752" s="1">
        <f t="shared" si="1704"/>
        <v>422856</v>
      </c>
      <c r="L3752" s="1">
        <f t="shared" si="1628"/>
        <v>490664</v>
      </c>
      <c r="M3752" s="2">
        <f t="shared" si="1629"/>
        <v>0.13819640324132196</v>
      </c>
      <c r="N3752" s="2">
        <f t="shared" si="1630"/>
        <v>0.86180359675867801</v>
      </c>
    </row>
    <row r="3753" spans="1:14" x14ac:dyDescent="0.35">
      <c r="A3753" t="s">
        <v>36</v>
      </c>
      <c r="B3753" t="s">
        <v>25</v>
      </c>
      <c r="C3753">
        <v>2010</v>
      </c>
      <c r="D3753" t="s">
        <v>33</v>
      </c>
      <c r="E3753" s="1">
        <f t="shared" ref="E3753:F3753" si="1705">SUM(E2985+E3177+E3369+E3561)</f>
        <v>68784</v>
      </c>
      <c r="F3753" s="1">
        <f t="shared" si="1705"/>
        <v>121066</v>
      </c>
      <c r="G3753" s="1">
        <f t="shared" si="1600"/>
        <v>189850</v>
      </c>
      <c r="H3753" s="2">
        <f t="shared" si="1601"/>
        <v>0.36230708454042665</v>
      </c>
      <c r="I3753" s="2">
        <f t="shared" si="1602"/>
        <v>0.6376929154595733</v>
      </c>
      <c r="J3753" s="1">
        <f t="shared" ref="J3753:K3753" si="1706">SUM(J2985+J3177+J3369+J3561)</f>
        <v>65293</v>
      </c>
      <c r="K3753" s="1">
        <f t="shared" si="1706"/>
        <v>391916</v>
      </c>
      <c r="L3753" s="1">
        <f t="shared" si="1628"/>
        <v>457209</v>
      </c>
      <c r="M3753" s="2">
        <f t="shared" si="1629"/>
        <v>0.14280777500005468</v>
      </c>
      <c r="N3753" s="2">
        <f t="shared" si="1630"/>
        <v>0.8571922249999453</v>
      </c>
    </row>
    <row r="3754" spans="1:14" x14ac:dyDescent="0.35">
      <c r="A3754" t="s">
        <v>36</v>
      </c>
      <c r="B3754" t="s">
        <v>26</v>
      </c>
      <c r="C3754">
        <v>2010</v>
      </c>
      <c r="D3754" t="s">
        <v>33</v>
      </c>
      <c r="E3754" s="1">
        <f t="shared" ref="E3754:F3754" si="1707">SUM(E2986+E3178+E3370+E3562)</f>
        <v>72460</v>
      </c>
      <c r="F3754" s="1">
        <f t="shared" si="1707"/>
        <v>129303</v>
      </c>
      <c r="G3754" s="1">
        <f t="shared" si="1600"/>
        <v>201763</v>
      </c>
      <c r="H3754" s="2">
        <f t="shared" si="1601"/>
        <v>0.35913423174714887</v>
      </c>
      <c r="I3754" s="2">
        <f t="shared" si="1602"/>
        <v>0.64086576825285113</v>
      </c>
      <c r="J3754" s="1">
        <f t="shared" ref="J3754:K3754" si="1708">SUM(J2986+J3178+J3370+J3562)</f>
        <v>70172</v>
      </c>
      <c r="K3754" s="1">
        <f t="shared" si="1708"/>
        <v>438077</v>
      </c>
      <c r="L3754" s="1">
        <f t="shared" si="1628"/>
        <v>508249</v>
      </c>
      <c r="M3754" s="2">
        <f t="shared" si="1629"/>
        <v>0.13806618409480392</v>
      </c>
      <c r="N3754" s="2">
        <f t="shared" si="1630"/>
        <v>0.86193381590519602</v>
      </c>
    </row>
    <row r="3755" spans="1:14" x14ac:dyDescent="0.35">
      <c r="A3755" t="s">
        <v>36</v>
      </c>
      <c r="B3755" t="s">
        <v>27</v>
      </c>
      <c r="C3755">
        <v>2010</v>
      </c>
      <c r="D3755" t="s">
        <v>33</v>
      </c>
      <c r="E3755" s="1">
        <f t="shared" ref="E3755:F3755" si="1709">SUM(E2987+E3179+E3371+E3563)</f>
        <v>68555</v>
      </c>
      <c r="F3755" s="1">
        <f t="shared" si="1709"/>
        <v>123833</v>
      </c>
      <c r="G3755" s="1">
        <f t="shared" si="1600"/>
        <v>192388</v>
      </c>
      <c r="H3755" s="2">
        <f t="shared" si="1601"/>
        <v>0.35633719358795768</v>
      </c>
      <c r="I3755" s="2">
        <f t="shared" si="1602"/>
        <v>0.64366280641204232</v>
      </c>
      <c r="J3755" s="1">
        <f t="shared" ref="J3755:K3755" si="1710">SUM(J2987+J3179+J3371+J3563)</f>
        <v>46067</v>
      </c>
      <c r="K3755" s="1">
        <f t="shared" si="1710"/>
        <v>332078</v>
      </c>
      <c r="L3755" s="1">
        <f t="shared" si="1628"/>
        <v>378145</v>
      </c>
      <c r="M3755" s="2">
        <f t="shared" si="1629"/>
        <v>0.121823639080247</v>
      </c>
      <c r="N3755" s="2">
        <f t="shared" si="1630"/>
        <v>0.87817636091975304</v>
      </c>
    </row>
    <row r="3756" spans="1:14" x14ac:dyDescent="0.35">
      <c r="A3756" t="s">
        <v>36</v>
      </c>
      <c r="B3756" t="s">
        <v>28</v>
      </c>
      <c r="C3756">
        <v>2010</v>
      </c>
      <c r="D3756" t="s">
        <v>33</v>
      </c>
      <c r="E3756" s="1">
        <f t="shared" ref="E3756:F3756" si="1711">SUM(E2988+E3180+E3372+E3564)</f>
        <v>67546</v>
      </c>
      <c r="F3756" s="1">
        <f t="shared" si="1711"/>
        <v>123278</v>
      </c>
      <c r="G3756" s="1">
        <f t="shared" si="1600"/>
        <v>190824</v>
      </c>
      <c r="H3756" s="2">
        <f t="shared" si="1601"/>
        <v>0.35397015050517755</v>
      </c>
      <c r="I3756" s="2">
        <f t="shared" si="1602"/>
        <v>0.64602984949482245</v>
      </c>
      <c r="J3756" s="1">
        <f t="shared" ref="J3756:K3756" si="1712">SUM(J2988+J3180+J3372+J3564)</f>
        <v>34160</v>
      </c>
      <c r="K3756" s="1">
        <f t="shared" si="1712"/>
        <v>287693</v>
      </c>
      <c r="L3756" s="1">
        <f t="shared" si="1628"/>
        <v>321853</v>
      </c>
      <c r="M3756" s="2">
        <f t="shared" si="1629"/>
        <v>0.10613540964353292</v>
      </c>
      <c r="N3756" s="2">
        <f t="shared" si="1630"/>
        <v>0.89386459035646704</v>
      </c>
    </row>
    <row r="3757" spans="1:14" x14ac:dyDescent="0.35">
      <c r="A3757" t="s">
        <v>36</v>
      </c>
      <c r="B3757" t="s">
        <v>29</v>
      </c>
      <c r="C3757">
        <v>2010</v>
      </c>
      <c r="D3757" t="s">
        <v>33</v>
      </c>
      <c r="E3757" s="1">
        <f t="shared" ref="E3757:F3757" si="1713">SUM(E2989+E3181+E3373+E3565)</f>
        <v>69852</v>
      </c>
      <c r="F3757" s="1">
        <f t="shared" si="1713"/>
        <v>130201</v>
      </c>
      <c r="G3757" s="1">
        <f t="shared" si="1600"/>
        <v>200053</v>
      </c>
      <c r="H3757" s="2">
        <f t="shared" si="1601"/>
        <v>0.34916747062028564</v>
      </c>
      <c r="I3757" s="2">
        <f t="shared" si="1602"/>
        <v>0.65083252937971436</v>
      </c>
      <c r="J3757" s="1">
        <f t="shared" ref="J3757:K3757" si="1714">SUM(J2989+J3181+J3373+J3565)</f>
        <v>46764</v>
      </c>
      <c r="K3757" s="1">
        <f t="shared" si="1714"/>
        <v>331449</v>
      </c>
      <c r="L3757" s="1">
        <f t="shared" si="1628"/>
        <v>378213</v>
      </c>
      <c r="M3757" s="2">
        <f t="shared" si="1629"/>
        <v>0.12364461295619135</v>
      </c>
      <c r="N3757" s="2">
        <f t="shared" si="1630"/>
        <v>0.87635538704380866</v>
      </c>
    </row>
    <row r="3758" spans="1:14" x14ac:dyDescent="0.35">
      <c r="A3758" t="s">
        <v>36</v>
      </c>
      <c r="B3758" t="s">
        <v>17</v>
      </c>
      <c r="C3758">
        <v>2011</v>
      </c>
      <c r="D3758" t="s">
        <v>33</v>
      </c>
      <c r="E3758" s="1">
        <f t="shared" ref="E3758:F3758" si="1715">SUM(E2990+E3182+E3374+E3566)</f>
        <v>62395</v>
      </c>
      <c r="F3758" s="1">
        <f t="shared" si="1715"/>
        <v>115817</v>
      </c>
      <c r="G3758" s="1">
        <f t="shared" si="1600"/>
        <v>178212</v>
      </c>
      <c r="H3758" s="2">
        <f t="shared" si="1601"/>
        <v>0.35011671492379864</v>
      </c>
      <c r="I3758" s="2">
        <f t="shared" si="1602"/>
        <v>0.64988328507620141</v>
      </c>
      <c r="J3758" s="1">
        <f t="shared" ref="J3758:K3758" si="1716">SUM(J2990+J3182+J3374+J3566)</f>
        <v>50810</v>
      </c>
      <c r="K3758" s="1">
        <f t="shared" si="1716"/>
        <v>334564</v>
      </c>
      <c r="L3758" s="1">
        <f t="shared" si="1628"/>
        <v>385374</v>
      </c>
      <c r="M3758" s="2">
        <f t="shared" si="1629"/>
        <v>0.13184594705403063</v>
      </c>
      <c r="N3758" s="2">
        <f t="shared" si="1630"/>
        <v>0.86815405294596937</v>
      </c>
    </row>
    <row r="3759" spans="1:14" x14ac:dyDescent="0.35">
      <c r="A3759" t="s">
        <v>36</v>
      </c>
      <c r="B3759" t="s">
        <v>19</v>
      </c>
      <c r="C3759">
        <v>2011</v>
      </c>
      <c r="D3759" t="s">
        <v>33</v>
      </c>
      <c r="E3759" s="1">
        <f t="shared" ref="E3759:F3759" si="1717">SUM(E2991+E3183+E3375+E3567)</f>
        <v>68809</v>
      </c>
      <c r="F3759" s="1">
        <f t="shared" si="1717"/>
        <v>131873</v>
      </c>
      <c r="G3759" s="1">
        <f t="shared" si="1600"/>
        <v>200682</v>
      </c>
      <c r="H3759" s="2">
        <f t="shared" si="1601"/>
        <v>0.34287579354401493</v>
      </c>
      <c r="I3759" s="2">
        <f t="shared" si="1602"/>
        <v>0.65712420645598513</v>
      </c>
      <c r="J3759" s="1">
        <f t="shared" ref="J3759:K3759" si="1718">SUM(J2991+J3183+J3375+J3567)</f>
        <v>56728</v>
      </c>
      <c r="K3759" s="1">
        <f t="shared" si="1718"/>
        <v>361191</v>
      </c>
      <c r="L3759" s="1">
        <f t="shared" si="1628"/>
        <v>417919</v>
      </c>
      <c r="M3759" s="2">
        <f t="shared" si="1629"/>
        <v>0.13573922219377438</v>
      </c>
      <c r="N3759" s="2">
        <f t="shared" si="1630"/>
        <v>0.86426077780622557</v>
      </c>
    </row>
    <row r="3760" spans="1:14" x14ac:dyDescent="0.35">
      <c r="A3760" t="s">
        <v>36</v>
      </c>
      <c r="B3760" t="s">
        <v>20</v>
      </c>
      <c r="C3760">
        <v>2011</v>
      </c>
      <c r="D3760" t="s">
        <v>33</v>
      </c>
      <c r="E3760" s="1">
        <f t="shared" ref="E3760:F3760" si="1719">SUM(E2992+E3184+E3376+E3568)</f>
        <v>68532</v>
      </c>
      <c r="F3760" s="1">
        <f t="shared" si="1719"/>
        <v>132100</v>
      </c>
      <c r="G3760" s="1">
        <f t="shared" si="1600"/>
        <v>200632</v>
      </c>
      <c r="H3760" s="2">
        <f t="shared" si="1601"/>
        <v>0.34158060528729217</v>
      </c>
      <c r="I3760" s="2">
        <f t="shared" si="1602"/>
        <v>0.65841939471270783</v>
      </c>
      <c r="J3760" s="1">
        <f t="shared" ref="J3760:K3760" si="1720">SUM(J2992+J3184+J3376+J3568)</f>
        <v>38671</v>
      </c>
      <c r="K3760" s="1">
        <f t="shared" si="1720"/>
        <v>299567</v>
      </c>
      <c r="L3760" s="1">
        <f t="shared" si="1628"/>
        <v>338238</v>
      </c>
      <c r="M3760" s="2">
        <f t="shared" si="1629"/>
        <v>0.11433073752801282</v>
      </c>
      <c r="N3760" s="2">
        <f t="shared" si="1630"/>
        <v>0.88566926247198718</v>
      </c>
    </row>
    <row r="3761" spans="1:14" x14ac:dyDescent="0.35">
      <c r="A3761" t="s">
        <v>36</v>
      </c>
      <c r="B3761" t="s">
        <v>21</v>
      </c>
      <c r="C3761">
        <v>2011</v>
      </c>
      <c r="D3761" t="s">
        <v>33</v>
      </c>
      <c r="E3761" s="1">
        <f t="shared" ref="E3761:F3761" si="1721">SUM(E2993+E3185+E3377+E3569)</f>
        <v>64892</v>
      </c>
      <c r="F3761" s="1">
        <f t="shared" si="1721"/>
        <v>126259</v>
      </c>
      <c r="G3761" s="1">
        <f t="shared" si="1600"/>
        <v>191151</v>
      </c>
      <c r="H3761" s="2">
        <f t="shared" si="1601"/>
        <v>0.33948030614540337</v>
      </c>
      <c r="I3761" s="2">
        <f t="shared" si="1602"/>
        <v>0.66051969385459663</v>
      </c>
      <c r="J3761" s="1">
        <f t="shared" ref="J3761:K3761" si="1722">SUM(J2993+J3185+J3377+J3569)</f>
        <v>36102</v>
      </c>
      <c r="K3761" s="1">
        <f t="shared" si="1722"/>
        <v>296947</v>
      </c>
      <c r="L3761" s="1">
        <f t="shared" si="1628"/>
        <v>333049</v>
      </c>
      <c r="M3761" s="2">
        <f t="shared" si="1629"/>
        <v>0.10839846388969791</v>
      </c>
      <c r="N3761" s="2">
        <f t="shared" si="1630"/>
        <v>0.89160153611030213</v>
      </c>
    </row>
    <row r="3762" spans="1:14" x14ac:dyDescent="0.35">
      <c r="A3762" t="s">
        <v>36</v>
      </c>
      <c r="B3762" t="s">
        <v>22</v>
      </c>
      <c r="C3762">
        <v>2011</v>
      </c>
      <c r="D3762" t="s">
        <v>33</v>
      </c>
      <c r="E3762" s="1">
        <f t="shared" ref="E3762:F3762" si="1723">SUM(E2994+E3186+E3378+E3570)</f>
        <v>61153</v>
      </c>
      <c r="F3762" s="1">
        <f t="shared" si="1723"/>
        <v>120615</v>
      </c>
      <c r="G3762" s="1">
        <f t="shared" si="1600"/>
        <v>181768</v>
      </c>
      <c r="H3762" s="2">
        <f t="shared" si="1601"/>
        <v>0.33643435588222348</v>
      </c>
      <c r="I3762" s="2">
        <f t="shared" si="1602"/>
        <v>0.66356564411777652</v>
      </c>
      <c r="J3762" s="1">
        <f t="shared" ref="J3762:K3762" si="1724">SUM(J2994+J3186+J3378+J3570)</f>
        <v>40054</v>
      </c>
      <c r="K3762" s="1">
        <f t="shared" si="1724"/>
        <v>319874</v>
      </c>
      <c r="L3762" s="1">
        <f t="shared" si="1628"/>
        <v>359928</v>
      </c>
      <c r="M3762" s="2">
        <f t="shared" si="1629"/>
        <v>0.11128336778466805</v>
      </c>
      <c r="N3762" s="2">
        <f t="shared" si="1630"/>
        <v>0.88871663221533193</v>
      </c>
    </row>
    <row r="3763" spans="1:14" x14ac:dyDescent="0.35">
      <c r="A3763" t="s">
        <v>36</v>
      </c>
      <c r="B3763" t="s">
        <v>23</v>
      </c>
      <c r="C3763">
        <v>2011</v>
      </c>
      <c r="D3763" t="s">
        <v>33</v>
      </c>
      <c r="E3763" s="1">
        <f t="shared" ref="E3763:F3763" si="1725">SUM(E2995+E3187+E3379+E3571)</f>
        <v>67808</v>
      </c>
      <c r="F3763" s="1">
        <f t="shared" si="1725"/>
        <v>133849</v>
      </c>
      <c r="G3763" s="1">
        <f t="shared" si="1600"/>
        <v>201657</v>
      </c>
      <c r="H3763" s="2">
        <f t="shared" si="1601"/>
        <v>0.33625413449570313</v>
      </c>
      <c r="I3763" s="2">
        <f t="shared" si="1602"/>
        <v>0.66374586550429693</v>
      </c>
      <c r="J3763" s="1">
        <f t="shared" ref="J3763:K3763" si="1726">SUM(J2995+J3187+J3379+J3571)</f>
        <v>64424</v>
      </c>
      <c r="K3763" s="1">
        <f t="shared" si="1726"/>
        <v>426632</v>
      </c>
      <c r="L3763" s="1">
        <f t="shared" si="1628"/>
        <v>491056</v>
      </c>
      <c r="M3763" s="2">
        <f t="shared" si="1629"/>
        <v>0.13119481281157341</v>
      </c>
      <c r="N3763" s="2">
        <f t="shared" si="1630"/>
        <v>0.86880518718842659</v>
      </c>
    </row>
    <row r="3764" spans="1:14" x14ac:dyDescent="0.35">
      <c r="A3764" t="s">
        <v>36</v>
      </c>
      <c r="B3764" t="s">
        <v>24</v>
      </c>
      <c r="C3764">
        <v>2011</v>
      </c>
      <c r="D3764" t="s">
        <v>33</v>
      </c>
      <c r="E3764" s="1">
        <f t="shared" ref="E3764:F3764" si="1727">SUM(E2996+E3188+E3380+E3572)</f>
        <v>64329</v>
      </c>
      <c r="F3764" s="1">
        <f t="shared" si="1727"/>
        <v>127312</v>
      </c>
      <c r="G3764" s="1">
        <f t="shared" si="1600"/>
        <v>191641</v>
      </c>
      <c r="H3764" s="2">
        <f t="shared" si="1601"/>
        <v>0.33567451641350232</v>
      </c>
      <c r="I3764" s="2">
        <f t="shared" si="1602"/>
        <v>0.66432548358649768</v>
      </c>
      <c r="J3764" s="1">
        <f t="shared" ref="J3764:K3764" si="1728">SUM(J2996+J3188+J3380+J3572)</f>
        <v>78448</v>
      </c>
      <c r="K3764" s="1">
        <f t="shared" si="1728"/>
        <v>452241</v>
      </c>
      <c r="L3764" s="1">
        <f t="shared" si="1628"/>
        <v>530689</v>
      </c>
      <c r="M3764" s="2">
        <f t="shared" si="1629"/>
        <v>0.14782292453772361</v>
      </c>
      <c r="N3764" s="2">
        <f t="shared" si="1630"/>
        <v>0.85217707546227639</v>
      </c>
    </row>
    <row r="3765" spans="1:14" x14ac:dyDescent="0.35">
      <c r="A3765" t="s">
        <v>36</v>
      </c>
      <c r="B3765" t="s">
        <v>25</v>
      </c>
      <c r="C3765">
        <v>2011</v>
      </c>
      <c r="D3765" t="s">
        <v>33</v>
      </c>
      <c r="E3765" s="1">
        <f t="shared" ref="E3765:F3765" si="1729">SUM(E2997+E3189+E3381+E3573)</f>
        <v>67158</v>
      </c>
      <c r="F3765" s="1">
        <f t="shared" si="1729"/>
        <v>134149</v>
      </c>
      <c r="G3765" s="1">
        <f t="shared" si="1600"/>
        <v>201307</v>
      </c>
      <c r="H3765" s="2">
        <f t="shared" si="1601"/>
        <v>0.33360985956772493</v>
      </c>
      <c r="I3765" s="2">
        <f t="shared" si="1602"/>
        <v>0.66639014043227507</v>
      </c>
      <c r="J3765" s="1">
        <f t="shared" ref="J3765:K3765" si="1730">SUM(J2997+J3189+J3381+J3573)</f>
        <v>80841</v>
      </c>
      <c r="K3765" s="1">
        <f t="shared" si="1730"/>
        <v>462456</v>
      </c>
      <c r="L3765" s="1">
        <f t="shared" si="1628"/>
        <v>543297</v>
      </c>
      <c r="M3765" s="2">
        <f t="shared" si="1629"/>
        <v>0.14879706679771837</v>
      </c>
      <c r="N3765" s="2">
        <f t="shared" si="1630"/>
        <v>0.85120293320228158</v>
      </c>
    </row>
    <row r="3766" spans="1:14" x14ac:dyDescent="0.35">
      <c r="A3766" t="s">
        <v>36</v>
      </c>
      <c r="B3766" t="s">
        <v>26</v>
      </c>
      <c r="C3766">
        <v>2011</v>
      </c>
      <c r="D3766" t="s">
        <v>33</v>
      </c>
      <c r="E3766" s="1">
        <f t="shared" ref="E3766:F3766" si="1731">SUM(E2998+E3190+E3382+E3574)</f>
        <v>63437</v>
      </c>
      <c r="F3766" s="1">
        <f t="shared" si="1731"/>
        <v>128280</v>
      </c>
      <c r="G3766" s="1">
        <f t="shared" si="1600"/>
        <v>191717</v>
      </c>
      <c r="H3766" s="2">
        <f t="shared" si="1601"/>
        <v>0.33088875790879263</v>
      </c>
      <c r="I3766" s="2">
        <f t="shared" si="1602"/>
        <v>0.66911124209120731</v>
      </c>
      <c r="J3766" s="1">
        <f t="shared" ref="J3766:K3766" si="1732">SUM(J2998+J3190+J3382+J3574)</f>
        <v>66598</v>
      </c>
      <c r="K3766" s="1">
        <f t="shared" si="1732"/>
        <v>424998</v>
      </c>
      <c r="L3766" s="1">
        <f t="shared" si="1628"/>
        <v>491596</v>
      </c>
      <c r="M3766" s="2">
        <f t="shared" si="1629"/>
        <v>0.13547303070000569</v>
      </c>
      <c r="N3766" s="2">
        <f t="shared" si="1630"/>
        <v>0.86452696929999429</v>
      </c>
    </row>
    <row r="3767" spans="1:14" x14ac:dyDescent="0.35">
      <c r="A3767" t="s">
        <v>36</v>
      </c>
      <c r="B3767" t="s">
        <v>27</v>
      </c>
      <c r="C3767">
        <v>2011</v>
      </c>
      <c r="D3767" t="s">
        <v>33</v>
      </c>
      <c r="E3767" s="1">
        <f t="shared" ref="E3767:F3767" si="1733">SUM(E2999+E3191+E3383+E3575)</f>
        <v>62123</v>
      </c>
      <c r="F3767" s="1">
        <f t="shared" si="1733"/>
        <v>126513</v>
      </c>
      <c r="G3767" s="1">
        <f t="shared" ref="G3767:G3830" si="1734">SUM(E3767:F3767)</f>
        <v>188636</v>
      </c>
      <c r="H3767" s="2">
        <f t="shared" ref="H3767:H3830" si="1735">SUM(E3767)/G3767</f>
        <v>0.32932738183591681</v>
      </c>
      <c r="I3767" s="2">
        <f t="shared" ref="I3767:I3830" si="1736">SUM(F3767/G3767)</f>
        <v>0.67067261816408319</v>
      </c>
      <c r="J3767" s="1">
        <f t="shared" ref="J3767:K3767" si="1737">SUM(J2999+J3191+J3383+J3575)</f>
        <v>43402</v>
      </c>
      <c r="K3767" s="1">
        <f t="shared" si="1737"/>
        <v>338713</v>
      </c>
      <c r="L3767" s="1">
        <f t="shared" si="1628"/>
        <v>382115</v>
      </c>
      <c r="M3767" s="2">
        <f t="shared" si="1629"/>
        <v>0.11358360702929746</v>
      </c>
      <c r="N3767" s="2">
        <f t="shared" si="1630"/>
        <v>0.88641639297070252</v>
      </c>
    </row>
    <row r="3768" spans="1:14" x14ac:dyDescent="0.35">
      <c r="A3768" t="s">
        <v>36</v>
      </c>
      <c r="B3768" t="s">
        <v>28</v>
      </c>
      <c r="C3768">
        <v>2011</v>
      </c>
      <c r="D3768" t="s">
        <v>33</v>
      </c>
      <c r="E3768" s="1">
        <f t="shared" ref="E3768:F3768" si="1738">SUM(E3000+E3192+E3384+E3576)</f>
        <v>64954</v>
      </c>
      <c r="F3768" s="1">
        <f t="shared" si="1738"/>
        <v>132620</v>
      </c>
      <c r="G3768" s="1">
        <f t="shared" si="1734"/>
        <v>197574</v>
      </c>
      <c r="H3768" s="2">
        <f t="shared" si="1735"/>
        <v>0.32875783250832602</v>
      </c>
      <c r="I3768" s="2">
        <f t="shared" si="1736"/>
        <v>0.67124216749167398</v>
      </c>
      <c r="J3768" s="1">
        <f t="shared" ref="J3768:K3768" si="1739">SUM(J3000+J3192+J3384+J3576)</f>
        <v>35631</v>
      </c>
      <c r="K3768" s="1">
        <f t="shared" si="1739"/>
        <v>280059</v>
      </c>
      <c r="L3768" s="1">
        <f t="shared" si="1628"/>
        <v>315690</v>
      </c>
      <c r="M3768" s="2">
        <f t="shared" si="1629"/>
        <v>0.11286705312173334</v>
      </c>
      <c r="N3768" s="2">
        <f t="shared" si="1630"/>
        <v>0.8871329468782666</v>
      </c>
    </row>
    <row r="3769" spans="1:14" x14ac:dyDescent="0.35">
      <c r="A3769" t="s">
        <v>36</v>
      </c>
      <c r="B3769" t="s">
        <v>29</v>
      </c>
      <c r="C3769">
        <v>2011</v>
      </c>
      <c r="D3769" t="s">
        <v>33</v>
      </c>
      <c r="E3769" s="1">
        <f t="shared" ref="E3769:F3769" si="1740">SUM(E3001+E3193+E3385+E3577)</f>
        <v>57833</v>
      </c>
      <c r="F3769" s="1">
        <f t="shared" si="1740"/>
        <v>118898</v>
      </c>
      <c r="G3769" s="1">
        <f t="shared" si="1734"/>
        <v>176731</v>
      </c>
      <c r="H3769" s="2">
        <f t="shared" si="1735"/>
        <v>0.32723743995111215</v>
      </c>
      <c r="I3769" s="2">
        <f t="shared" si="1736"/>
        <v>0.6727625600488879</v>
      </c>
      <c r="J3769" s="1">
        <f t="shared" ref="J3769:K3769" si="1741">SUM(J3001+J3193+J3385+J3577)</f>
        <v>43517</v>
      </c>
      <c r="K3769" s="1">
        <f t="shared" si="1741"/>
        <v>319040</v>
      </c>
      <c r="L3769" s="1">
        <f t="shared" si="1628"/>
        <v>362557</v>
      </c>
      <c r="M3769" s="2">
        <f t="shared" si="1629"/>
        <v>0.12002802317980345</v>
      </c>
      <c r="N3769" s="2">
        <f t="shared" si="1630"/>
        <v>0.87997197682019657</v>
      </c>
    </row>
    <row r="3770" spans="1:14" x14ac:dyDescent="0.35">
      <c r="A3770" t="s">
        <v>36</v>
      </c>
      <c r="B3770" t="s">
        <v>17</v>
      </c>
      <c r="C3770">
        <v>2012</v>
      </c>
      <c r="D3770" t="s">
        <v>33</v>
      </c>
      <c r="E3770" s="1">
        <f t="shared" ref="E3770:F3770" si="1742">SUM(E3002+E3194+E3386+E3578)</f>
        <v>57340</v>
      </c>
      <c r="F3770" s="1">
        <f t="shared" si="1742"/>
        <v>117989</v>
      </c>
      <c r="G3770" s="1">
        <f t="shared" si="1734"/>
        <v>175329</v>
      </c>
      <c r="H3770" s="2">
        <f t="shared" si="1735"/>
        <v>0.32704230332688833</v>
      </c>
      <c r="I3770" s="2">
        <f t="shared" si="1736"/>
        <v>0.67295769667311167</v>
      </c>
      <c r="J3770" s="1">
        <f t="shared" ref="J3770:K3770" si="1743">SUM(J3002+J3194+J3386+J3578)</f>
        <v>50150</v>
      </c>
      <c r="K3770" s="1">
        <f t="shared" si="1743"/>
        <v>355453</v>
      </c>
      <c r="L3770" s="1">
        <f t="shared" si="1628"/>
        <v>405603</v>
      </c>
      <c r="M3770" s="2">
        <f t="shared" si="1629"/>
        <v>0.12364306970116098</v>
      </c>
      <c r="N3770" s="2">
        <f t="shared" si="1630"/>
        <v>0.87635693029883899</v>
      </c>
    </row>
    <row r="3771" spans="1:14" x14ac:dyDescent="0.35">
      <c r="A3771" t="s">
        <v>36</v>
      </c>
      <c r="B3771" t="s">
        <v>19</v>
      </c>
      <c r="C3771">
        <v>2012</v>
      </c>
      <c r="D3771" t="s">
        <v>33</v>
      </c>
      <c r="E3771" s="1">
        <f t="shared" ref="E3771:F3771" si="1744">SUM(E3003+E3195+E3387+E3579)</f>
        <v>62268</v>
      </c>
      <c r="F3771" s="1">
        <f t="shared" si="1744"/>
        <v>129215</v>
      </c>
      <c r="G3771" s="1">
        <f t="shared" si="1734"/>
        <v>191483</v>
      </c>
      <c r="H3771" s="2">
        <f t="shared" si="1735"/>
        <v>0.32518813680587833</v>
      </c>
      <c r="I3771" s="2">
        <f t="shared" si="1736"/>
        <v>0.67481186319412167</v>
      </c>
      <c r="J3771" s="1">
        <f t="shared" ref="J3771:K3771" si="1745">SUM(J3003+J3195+J3387+J3579)</f>
        <v>42795</v>
      </c>
      <c r="K3771" s="1">
        <f t="shared" si="1745"/>
        <v>326100</v>
      </c>
      <c r="L3771" s="1">
        <f t="shared" si="1628"/>
        <v>368895</v>
      </c>
      <c r="M3771" s="2">
        <f t="shared" si="1629"/>
        <v>0.11600862033912089</v>
      </c>
      <c r="N3771" s="2">
        <f t="shared" si="1630"/>
        <v>0.88399137966087915</v>
      </c>
    </row>
    <row r="3772" spans="1:14" x14ac:dyDescent="0.35">
      <c r="A3772" t="s">
        <v>36</v>
      </c>
      <c r="B3772" t="s">
        <v>20</v>
      </c>
      <c r="C3772">
        <v>2012</v>
      </c>
      <c r="D3772" t="s">
        <v>33</v>
      </c>
      <c r="E3772" s="1">
        <f t="shared" ref="E3772:F3772" si="1746">SUM(E3004+E3196+E3388+E3580)</f>
        <v>65251</v>
      </c>
      <c r="F3772" s="1">
        <f t="shared" si="1746"/>
        <v>136322</v>
      </c>
      <c r="G3772" s="1">
        <f t="shared" si="1734"/>
        <v>201573</v>
      </c>
      <c r="H3772" s="2">
        <f t="shared" si="1735"/>
        <v>0.32370902849091893</v>
      </c>
      <c r="I3772" s="2">
        <f t="shared" si="1736"/>
        <v>0.67629097150908113</v>
      </c>
      <c r="J3772" s="1">
        <f t="shared" ref="J3772:K3772" si="1747">SUM(J3004+J3196+J3388+J3580)</f>
        <v>39542</v>
      </c>
      <c r="K3772" s="1">
        <f t="shared" si="1747"/>
        <v>324198</v>
      </c>
      <c r="L3772" s="1">
        <f t="shared" si="1628"/>
        <v>363740</v>
      </c>
      <c r="M3772" s="2">
        <f t="shared" si="1629"/>
        <v>0.10870951778743058</v>
      </c>
      <c r="N3772" s="2">
        <f t="shared" si="1630"/>
        <v>0.89129048221256946</v>
      </c>
    </row>
    <row r="3773" spans="1:14" x14ac:dyDescent="0.35">
      <c r="A3773" t="s">
        <v>36</v>
      </c>
      <c r="B3773" t="s">
        <v>21</v>
      </c>
      <c r="C3773">
        <v>2012</v>
      </c>
      <c r="D3773" t="s">
        <v>33</v>
      </c>
      <c r="E3773" s="1">
        <f t="shared" ref="E3773:F3773" si="1748">SUM(E3005+E3197+E3389+E3581)</f>
        <v>65267</v>
      </c>
      <c r="F3773" s="1">
        <f t="shared" si="1748"/>
        <v>136264</v>
      </c>
      <c r="G3773" s="1">
        <f t="shared" si="1734"/>
        <v>201531</v>
      </c>
      <c r="H3773" s="2">
        <f t="shared" si="1735"/>
        <v>0.32385588321399683</v>
      </c>
      <c r="I3773" s="2">
        <f t="shared" si="1736"/>
        <v>0.67614411678600317</v>
      </c>
      <c r="J3773" s="1">
        <f t="shared" ref="J3773:K3773" si="1749">SUM(J3005+J3197+J3389+J3581)</f>
        <v>37136</v>
      </c>
      <c r="K3773" s="1">
        <f t="shared" si="1749"/>
        <v>335445</v>
      </c>
      <c r="L3773" s="1">
        <f t="shared" si="1628"/>
        <v>372581</v>
      </c>
      <c r="M3773" s="2">
        <f t="shared" si="1629"/>
        <v>9.9672286026394261E-2</v>
      </c>
      <c r="N3773" s="2">
        <f t="shared" si="1630"/>
        <v>0.90032771397360578</v>
      </c>
    </row>
    <row r="3774" spans="1:14" x14ac:dyDescent="0.35">
      <c r="A3774" t="s">
        <v>36</v>
      </c>
      <c r="B3774" t="s">
        <v>22</v>
      </c>
      <c r="C3774">
        <v>2012</v>
      </c>
      <c r="D3774" t="s">
        <v>33</v>
      </c>
      <c r="E3774" s="1">
        <f t="shared" ref="E3774:F3774" si="1750">SUM(E3006+E3198+E3390+E3582)</f>
        <v>65098</v>
      </c>
      <c r="F3774" s="1">
        <f t="shared" si="1750"/>
        <v>136612</v>
      </c>
      <c r="G3774" s="1">
        <f t="shared" si="1734"/>
        <v>201710</v>
      </c>
      <c r="H3774" s="2">
        <f t="shared" si="1735"/>
        <v>0.32273065291755493</v>
      </c>
      <c r="I3774" s="2">
        <f t="shared" si="1736"/>
        <v>0.67726934708244513</v>
      </c>
      <c r="J3774" s="1">
        <f t="shared" ref="J3774:K3774" si="1751">SUM(J3006+J3198+J3390+J3582)</f>
        <v>43199</v>
      </c>
      <c r="K3774" s="1">
        <f t="shared" si="1751"/>
        <v>363404</v>
      </c>
      <c r="L3774" s="1">
        <f t="shared" si="1628"/>
        <v>406603</v>
      </c>
      <c r="M3774" s="2">
        <f t="shared" si="1629"/>
        <v>0.10624368241257443</v>
      </c>
      <c r="N3774" s="2">
        <f t="shared" si="1630"/>
        <v>0.89375631758742557</v>
      </c>
    </row>
    <row r="3775" spans="1:14" x14ac:dyDescent="0.35">
      <c r="A3775" t="s">
        <v>36</v>
      </c>
      <c r="B3775" t="s">
        <v>23</v>
      </c>
      <c r="C3775">
        <v>2012</v>
      </c>
      <c r="D3775" t="s">
        <v>33</v>
      </c>
      <c r="E3775" s="1">
        <f t="shared" ref="E3775:F3775" si="1752">SUM(E3007+E3199+E3391+E3583)</f>
        <v>64490</v>
      </c>
      <c r="F3775" s="1">
        <f t="shared" si="1752"/>
        <v>135357</v>
      </c>
      <c r="G3775" s="1">
        <f t="shared" si="1734"/>
        <v>199847</v>
      </c>
      <c r="H3775" s="2">
        <f t="shared" si="1735"/>
        <v>0.32269686310027168</v>
      </c>
      <c r="I3775" s="2">
        <f t="shared" si="1736"/>
        <v>0.67730313689972832</v>
      </c>
      <c r="J3775" s="1">
        <f t="shared" ref="J3775:K3775" si="1753">SUM(J3007+J3199+J3391+J3583)</f>
        <v>55562</v>
      </c>
      <c r="K3775" s="1">
        <f t="shared" si="1753"/>
        <v>413256</v>
      </c>
      <c r="L3775" s="1">
        <f t="shared" si="1628"/>
        <v>468818</v>
      </c>
      <c r="M3775" s="2">
        <f t="shared" si="1629"/>
        <v>0.11851507407992014</v>
      </c>
      <c r="N3775" s="2">
        <f t="shared" si="1630"/>
        <v>0.88148492592007988</v>
      </c>
    </row>
    <row r="3776" spans="1:14" x14ac:dyDescent="0.35">
      <c r="A3776" t="s">
        <v>36</v>
      </c>
      <c r="B3776" t="s">
        <v>24</v>
      </c>
      <c r="C3776">
        <v>2012</v>
      </c>
      <c r="D3776" t="s">
        <v>33</v>
      </c>
      <c r="E3776" s="1">
        <f t="shared" ref="E3776:F3776" si="1754">SUM(E3008+E3200+E3392+E3584)</f>
        <v>64739</v>
      </c>
      <c r="F3776" s="1">
        <f t="shared" si="1754"/>
        <v>137689</v>
      </c>
      <c r="G3776" s="1">
        <f t="shared" si="1734"/>
        <v>202428</v>
      </c>
      <c r="H3776" s="2">
        <f t="shared" si="1735"/>
        <v>0.31981247653486672</v>
      </c>
      <c r="I3776" s="2">
        <f t="shared" si="1736"/>
        <v>0.68018752346513334</v>
      </c>
      <c r="J3776" s="1">
        <f t="shared" ref="J3776:K3776" si="1755">SUM(J3008+J3200+J3392+J3584)</f>
        <v>67640</v>
      </c>
      <c r="K3776" s="1">
        <f t="shared" si="1755"/>
        <v>453287</v>
      </c>
      <c r="L3776" s="1">
        <f t="shared" si="1628"/>
        <v>520927</v>
      </c>
      <c r="M3776" s="2">
        <f t="shared" si="1629"/>
        <v>0.12984544859452476</v>
      </c>
      <c r="N3776" s="2">
        <f t="shared" si="1630"/>
        <v>0.87015455140547526</v>
      </c>
    </row>
    <row r="3777" spans="1:14" x14ac:dyDescent="0.35">
      <c r="A3777" t="s">
        <v>36</v>
      </c>
      <c r="B3777" t="s">
        <v>25</v>
      </c>
      <c r="C3777">
        <v>2012</v>
      </c>
      <c r="D3777" t="s">
        <v>33</v>
      </c>
      <c r="E3777" s="1">
        <f t="shared" ref="E3777:F3777" si="1756">SUM(E3009+E3201+E3393+E3585)</f>
        <v>64658</v>
      </c>
      <c r="F3777" s="1">
        <f t="shared" si="1756"/>
        <v>137928</v>
      </c>
      <c r="G3777" s="1">
        <f t="shared" si="1734"/>
        <v>202586</v>
      </c>
      <c r="H3777" s="2">
        <f t="shared" si="1735"/>
        <v>0.31916321957094762</v>
      </c>
      <c r="I3777" s="2">
        <f t="shared" si="1736"/>
        <v>0.68083678042905238</v>
      </c>
      <c r="J3777" s="1">
        <f t="shared" ref="J3777:K3777" si="1757">SUM(J3009+J3201+J3393+J3585)</f>
        <v>70832</v>
      </c>
      <c r="K3777" s="1">
        <f t="shared" si="1757"/>
        <v>459063</v>
      </c>
      <c r="L3777" s="1">
        <f t="shared" si="1628"/>
        <v>529895</v>
      </c>
      <c r="M3777" s="2">
        <f t="shared" si="1629"/>
        <v>0.13367176516102247</v>
      </c>
      <c r="N3777" s="2">
        <f t="shared" si="1630"/>
        <v>0.86632823483897758</v>
      </c>
    </row>
    <row r="3778" spans="1:14" x14ac:dyDescent="0.35">
      <c r="A3778" t="s">
        <v>36</v>
      </c>
      <c r="B3778" t="s">
        <v>26</v>
      </c>
      <c r="C3778">
        <v>2012</v>
      </c>
      <c r="D3778" t="s">
        <v>33</v>
      </c>
      <c r="E3778" s="1">
        <f t="shared" ref="E3778:F3778" si="1758">SUM(E3010+E3202+E3394+E3586)</f>
        <v>64161</v>
      </c>
      <c r="F3778" s="1">
        <f t="shared" si="1758"/>
        <v>137854</v>
      </c>
      <c r="G3778" s="1">
        <f t="shared" si="1734"/>
        <v>202015</v>
      </c>
      <c r="H3778" s="2">
        <f t="shared" si="1735"/>
        <v>0.31760512833205456</v>
      </c>
      <c r="I3778" s="2">
        <f t="shared" si="1736"/>
        <v>0.68239487166794544</v>
      </c>
      <c r="J3778" s="1">
        <f t="shared" ref="J3778:K3778" si="1759">SUM(J3010+J3202+J3394+J3586)</f>
        <v>62089</v>
      </c>
      <c r="K3778" s="1">
        <f t="shared" si="1759"/>
        <v>441048</v>
      </c>
      <c r="L3778" s="1">
        <f t="shared" si="1628"/>
        <v>503137</v>
      </c>
      <c r="M3778" s="2">
        <f t="shared" si="1629"/>
        <v>0.12340376477977172</v>
      </c>
      <c r="N3778" s="2">
        <f t="shared" si="1630"/>
        <v>0.87659623522022834</v>
      </c>
    </row>
    <row r="3779" spans="1:14" x14ac:dyDescent="0.35">
      <c r="A3779" t="s">
        <v>36</v>
      </c>
      <c r="B3779" t="s">
        <v>27</v>
      </c>
      <c r="C3779">
        <v>2012</v>
      </c>
      <c r="D3779" t="s">
        <v>33</v>
      </c>
      <c r="E3779" s="1">
        <f t="shared" ref="E3779:F3779" si="1760">SUM(E3011+E3203+E3395+E3587)</f>
        <v>64202</v>
      </c>
      <c r="F3779" s="1">
        <f t="shared" si="1760"/>
        <v>137917</v>
      </c>
      <c r="G3779" s="1">
        <f t="shared" si="1734"/>
        <v>202119</v>
      </c>
      <c r="H3779" s="2">
        <f t="shared" si="1735"/>
        <v>0.31764455592992247</v>
      </c>
      <c r="I3779" s="2">
        <f t="shared" si="1736"/>
        <v>0.68235544407007753</v>
      </c>
      <c r="J3779" s="1">
        <f t="shared" ref="J3779:K3779" si="1761">SUM(J3011+J3203+J3395+J3587)</f>
        <v>42077</v>
      </c>
      <c r="K3779" s="1">
        <f t="shared" si="1761"/>
        <v>361483</v>
      </c>
      <c r="L3779" s="1">
        <f t="shared" ref="L3779:L3841" si="1762">SUM(J3779:K3779)</f>
        <v>403560</v>
      </c>
      <c r="M3779" s="2">
        <f t="shared" ref="M3779:M3841" si="1763">SUM(J3779)/L3779</f>
        <v>0.10426454554465259</v>
      </c>
      <c r="N3779" s="2">
        <f t="shared" ref="N3779:N3841" si="1764">SUM(K3779/L3779)</f>
        <v>0.89573545445534741</v>
      </c>
    </row>
    <row r="3780" spans="1:14" x14ac:dyDescent="0.35">
      <c r="A3780" t="s">
        <v>36</v>
      </c>
      <c r="B3780" t="s">
        <v>28</v>
      </c>
      <c r="C3780">
        <v>2012</v>
      </c>
      <c r="D3780" t="s">
        <v>33</v>
      </c>
      <c r="E3780" s="1">
        <f t="shared" ref="E3780:F3780" si="1765">SUM(E3012+E3204+E3396+E3588)</f>
        <v>63847</v>
      </c>
      <c r="F3780" s="1">
        <f t="shared" si="1765"/>
        <v>138726</v>
      </c>
      <c r="G3780" s="1">
        <f t="shared" si="1734"/>
        <v>202573</v>
      </c>
      <c r="H3780" s="2">
        <f t="shared" si="1735"/>
        <v>0.31518020664155638</v>
      </c>
      <c r="I3780" s="2">
        <f t="shared" si="1736"/>
        <v>0.68481979335844367</v>
      </c>
      <c r="J3780" s="1">
        <f t="shared" ref="J3780:K3780" si="1766">SUM(J3012+J3204+J3396+J3588)</f>
        <v>35162</v>
      </c>
      <c r="K3780" s="1">
        <f t="shared" si="1766"/>
        <v>334468</v>
      </c>
      <c r="L3780" s="1">
        <f t="shared" si="1762"/>
        <v>369630</v>
      </c>
      <c r="M3780" s="2">
        <f t="shared" si="1763"/>
        <v>9.5127559992424851E-2</v>
      </c>
      <c r="N3780" s="2">
        <f t="shared" si="1764"/>
        <v>0.90487244000757516</v>
      </c>
    </row>
    <row r="3781" spans="1:14" x14ac:dyDescent="0.35">
      <c r="A3781" t="s">
        <v>36</v>
      </c>
      <c r="B3781" t="s">
        <v>29</v>
      </c>
      <c r="C3781">
        <v>2012</v>
      </c>
      <c r="D3781" t="s">
        <v>33</v>
      </c>
      <c r="E3781" s="1">
        <f t="shared" ref="E3781:F3781" si="1767">SUM(E3013+E3205+E3397+E3589)</f>
        <v>63080</v>
      </c>
      <c r="F3781" s="1">
        <f t="shared" si="1767"/>
        <v>138691</v>
      </c>
      <c r="G3781" s="1">
        <f t="shared" si="1734"/>
        <v>201771</v>
      </c>
      <c r="H3781" s="2">
        <f t="shared" si="1735"/>
        <v>0.31263164676787053</v>
      </c>
      <c r="I3781" s="2">
        <f t="shared" si="1736"/>
        <v>0.68736835323212953</v>
      </c>
      <c r="J3781" s="1">
        <f t="shared" ref="J3781:K3781" si="1768">SUM(J3013+J3205+J3397+J3589)</f>
        <v>40057</v>
      </c>
      <c r="K3781" s="1">
        <f t="shared" si="1768"/>
        <v>362090</v>
      </c>
      <c r="L3781" s="1">
        <f t="shared" si="1762"/>
        <v>402147</v>
      </c>
      <c r="M3781" s="2">
        <f t="shared" si="1763"/>
        <v>9.9607854839150856E-2</v>
      </c>
      <c r="N3781" s="2">
        <f t="shared" si="1764"/>
        <v>0.90039214516084909</v>
      </c>
    </row>
    <row r="3782" spans="1:14" x14ac:dyDescent="0.35">
      <c r="A3782" t="s">
        <v>36</v>
      </c>
      <c r="B3782" t="s">
        <v>17</v>
      </c>
      <c r="C3782">
        <v>2013</v>
      </c>
      <c r="D3782" t="s">
        <v>33</v>
      </c>
      <c r="E3782" s="1">
        <f t="shared" ref="E3782:F3782" si="1769">SUM(E3014+E3206+E3398+E3590)</f>
        <v>62958</v>
      </c>
      <c r="F3782" s="1">
        <f t="shared" si="1769"/>
        <v>138939</v>
      </c>
      <c r="G3782" s="1">
        <f t="shared" si="1734"/>
        <v>201897</v>
      </c>
      <c r="H3782" s="2">
        <f t="shared" si="1735"/>
        <v>0.31183227091041471</v>
      </c>
      <c r="I3782" s="2">
        <f t="shared" si="1736"/>
        <v>0.68816772908958523</v>
      </c>
      <c r="J3782" s="1">
        <f t="shared" ref="J3782:K3782" si="1770">SUM(J3014+J3206+J3398+J3590)</f>
        <v>57476</v>
      </c>
      <c r="K3782" s="1">
        <f t="shared" si="1770"/>
        <v>399297</v>
      </c>
      <c r="L3782" s="1">
        <f t="shared" si="1762"/>
        <v>456773</v>
      </c>
      <c r="M3782" s="2">
        <f t="shared" si="1763"/>
        <v>0.1258305547832293</v>
      </c>
      <c r="N3782" s="2">
        <f t="shared" si="1764"/>
        <v>0.87416944521677065</v>
      </c>
    </row>
    <row r="3783" spans="1:14" x14ac:dyDescent="0.35">
      <c r="A3783" t="s">
        <v>36</v>
      </c>
      <c r="B3783" t="s">
        <v>19</v>
      </c>
      <c r="C3783">
        <v>2013</v>
      </c>
      <c r="D3783" t="s">
        <v>33</v>
      </c>
      <c r="E3783" s="1">
        <f t="shared" ref="E3783:F3783" si="1771">SUM(E3015+E3207+E3399+E3591)</f>
        <v>62588</v>
      </c>
      <c r="F3783" s="1">
        <f t="shared" si="1771"/>
        <v>139751</v>
      </c>
      <c r="G3783" s="1">
        <f t="shared" si="1734"/>
        <v>202339</v>
      </c>
      <c r="H3783" s="2">
        <f t="shared" si="1735"/>
        <v>0.30932247367042437</v>
      </c>
      <c r="I3783" s="2">
        <f t="shared" si="1736"/>
        <v>0.69067752632957558</v>
      </c>
      <c r="J3783" s="1">
        <f t="shared" ref="J3783:K3783" si="1772">SUM(J3015+J3207+J3399+J3591)</f>
        <v>42164</v>
      </c>
      <c r="K3783" s="1">
        <f t="shared" si="1772"/>
        <v>342236</v>
      </c>
      <c r="L3783" s="1">
        <f t="shared" si="1762"/>
        <v>384400</v>
      </c>
      <c r="M3783" s="2">
        <f t="shared" si="1763"/>
        <v>0.10968782518210198</v>
      </c>
      <c r="N3783" s="2">
        <f t="shared" si="1764"/>
        <v>0.89031217481789804</v>
      </c>
    </row>
    <row r="3784" spans="1:14" x14ac:dyDescent="0.35">
      <c r="A3784" t="s">
        <v>36</v>
      </c>
      <c r="B3784" t="s">
        <v>20</v>
      </c>
      <c r="C3784">
        <v>2013</v>
      </c>
      <c r="D3784" t="s">
        <v>33</v>
      </c>
      <c r="E3784" s="1">
        <f t="shared" ref="E3784:F3784" si="1773">SUM(E3016+E3208+E3400+E3592)</f>
        <v>61875</v>
      </c>
      <c r="F3784" s="1">
        <f t="shared" si="1773"/>
        <v>139993</v>
      </c>
      <c r="G3784" s="1">
        <f t="shared" si="1734"/>
        <v>201868</v>
      </c>
      <c r="H3784" s="2">
        <f t="shared" si="1735"/>
        <v>0.30651217627360455</v>
      </c>
      <c r="I3784" s="2">
        <f t="shared" si="1736"/>
        <v>0.6934878237263955</v>
      </c>
      <c r="J3784" s="1">
        <f t="shared" ref="J3784:K3784" si="1774">SUM(J3016+J3208+J3400+J3592)</f>
        <v>38874</v>
      </c>
      <c r="K3784" s="1">
        <f t="shared" si="1774"/>
        <v>332365</v>
      </c>
      <c r="L3784" s="1">
        <f t="shared" si="1762"/>
        <v>371239</v>
      </c>
      <c r="M3784" s="2">
        <f t="shared" si="1763"/>
        <v>0.10471421375448162</v>
      </c>
      <c r="N3784" s="2">
        <f t="shared" si="1764"/>
        <v>0.89528578624551836</v>
      </c>
    </row>
    <row r="3785" spans="1:14" x14ac:dyDescent="0.35">
      <c r="A3785" t="s">
        <v>36</v>
      </c>
      <c r="B3785" t="s">
        <v>21</v>
      </c>
      <c r="C3785">
        <v>2013</v>
      </c>
      <c r="D3785" t="s">
        <v>33</v>
      </c>
      <c r="E3785" s="1">
        <f t="shared" ref="E3785:F3785" si="1775">SUM(E3017+E3209+E3401+E3593)</f>
        <v>61692</v>
      </c>
      <c r="F3785" s="1">
        <f t="shared" si="1775"/>
        <v>141434</v>
      </c>
      <c r="G3785" s="1">
        <f t="shared" si="1734"/>
        <v>203126</v>
      </c>
      <c r="H3785" s="2">
        <f t="shared" si="1735"/>
        <v>0.30371296633616574</v>
      </c>
      <c r="I3785" s="2">
        <f t="shared" si="1736"/>
        <v>0.69628703366383426</v>
      </c>
      <c r="J3785" s="1">
        <f t="shared" ref="J3785:K3785" si="1776">SUM(J3017+J3209+J3401+J3593)</f>
        <v>35854</v>
      </c>
      <c r="K3785" s="1">
        <f t="shared" si="1776"/>
        <v>325257</v>
      </c>
      <c r="L3785" s="1">
        <f t="shared" si="1762"/>
        <v>361111</v>
      </c>
      <c r="M3785" s="2">
        <f t="shared" si="1763"/>
        <v>9.9288030550163248E-2</v>
      </c>
      <c r="N3785" s="2">
        <f t="shared" si="1764"/>
        <v>0.90071196944983678</v>
      </c>
    </row>
    <row r="3786" spans="1:14" x14ac:dyDescent="0.35">
      <c r="A3786" t="s">
        <v>36</v>
      </c>
      <c r="B3786" t="s">
        <v>22</v>
      </c>
      <c r="C3786">
        <v>2013</v>
      </c>
      <c r="D3786" t="s">
        <v>33</v>
      </c>
      <c r="E3786" s="1">
        <f t="shared" ref="E3786:F3786" si="1777">SUM(E3018+E3210+E3402+E3594)</f>
        <v>61623</v>
      </c>
      <c r="F3786" s="1">
        <f t="shared" si="1777"/>
        <v>140797</v>
      </c>
      <c r="G3786" s="1">
        <f t="shared" si="1734"/>
        <v>202420</v>
      </c>
      <c r="H3786" s="2">
        <f t="shared" si="1735"/>
        <v>0.30443138029838951</v>
      </c>
      <c r="I3786" s="2">
        <f t="shared" si="1736"/>
        <v>0.69556861970161055</v>
      </c>
      <c r="J3786" s="1">
        <f t="shared" ref="J3786:K3786" si="1778">SUM(J3018+J3210+J3402+J3594)</f>
        <v>36476</v>
      </c>
      <c r="K3786" s="1">
        <f t="shared" si="1778"/>
        <v>342166</v>
      </c>
      <c r="L3786" s="1">
        <f t="shared" si="1762"/>
        <v>378642</v>
      </c>
      <c r="M3786" s="2">
        <f t="shared" si="1763"/>
        <v>9.6333740049968045E-2</v>
      </c>
      <c r="N3786" s="2">
        <f t="shared" si="1764"/>
        <v>0.90366625995003191</v>
      </c>
    </row>
    <row r="3787" spans="1:14" x14ac:dyDescent="0.35">
      <c r="A3787" t="s">
        <v>36</v>
      </c>
      <c r="B3787" t="s">
        <v>23</v>
      </c>
      <c r="C3787">
        <v>2013</v>
      </c>
      <c r="D3787" t="s">
        <v>33</v>
      </c>
      <c r="E3787" s="1">
        <f t="shared" ref="E3787:F3787" si="1779">SUM(E3019+E3211+E3403+E3595)</f>
        <v>61119</v>
      </c>
      <c r="F3787" s="1">
        <f t="shared" si="1779"/>
        <v>142505</v>
      </c>
      <c r="G3787" s="1">
        <f t="shared" si="1734"/>
        <v>203624</v>
      </c>
      <c r="H3787" s="2">
        <f t="shared" si="1735"/>
        <v>0.30015617019604762</v>
      </c>
      <c r="I3787" s="2">
        <f t="shared" si="1736"/>
        <v>0.69984382980395243</v>
      </c>
      <c r="J3787" s="1">
        <f t="shared" ref="J3787:K3787" si="1780">SUM(J3019+J3211+J3403+J3595)</f>
        <v>50946</v>
      </c>
      <c r="K3787" s="1">
        <f t="shared" si="1780"/>
        <v>414536</v>
      </c>
      <c r="L3787" s="1">
        <f t="shared" si="1762"/>
        <v>465482</v>
      </c>
      <c r="M3787" s="2">
        <f t="shared" si="1763"/>
        <v>0.10944784116249393</v>
      </c>
      <c r="N3787" s="2">
        <f t="shared" si="1764"/>
        <v>0.89055215883750605</v>
      </c>
    </row>
    <row r="3788" spans="1:14" x14ac:dyDescent="0.35">
      <c r="A3788" t="s">
        <v>36</v>
      </c>
      <c r="B3788" t="s">
        <v>24</v>
      </c>
      <c r="C3788">
        <v>2013</v>
      </c>
      <c r="D3788" t="s">
        <v>33</v>
      </c>
      <c r="E3788" s="1">
        <f t="shared" ref="E3788:F3788" si="1781">SUM(E3020+E3212+E3404+E3596)</f>
        <v>60783</v>
      </c>
      <c r="F3788" s="1">
        <f t="shared" si="1781"/>
        <v>142870</v>
      </c>
      <c r="G3788" s="1">
        <f t="shared" si="1734"/>
        <v>203653</v>
      </c>
      <c r="H3788" s="2">
        <f t="shared" si="1735"/>
        <v>0.29846356302141386</v>
      </c>
      <c r="I3788" s="2">
        <f t="shared" si="1736"/>
        <v>0.70153643697858614</v>
      </c>
      <c r="J3788" s="1">
        <f t="shared" ref="J3788:K3788" si="1782">SUM(J3020+J3212+J3404+J3596)</f>
        <v>59291</v>
      </c>
      <c r="K3788" s="1">
        <f t="shared" si="1782"/>
        <v>450970</v>
      </c>
      <c r="L3788" s="1">
        <f t="shared" si="1762"/>
        <v>510261</v>
      </c>
      <c r="M3788" s="2">
        <f t="shared" si="1763"/>
        <v>0.11619739701838863</v>
      </c>
      <c r="N3788" s="2">
        <f t="shared" si="1764"/>
        <v>0.8838026029816114</v>
      </c>
    </row>
    <row r="3789" spans="1:14" x14ac:dyDescent="0.35">
      <c r="A3789" t="s">
        <v>36</v>
      </c>
      <c r="B3789" t="s">
        <v>25</v>
      </c>
      <c r="C3789">
        <v>2013</v>
      </c>
      <c r="D3789" t="s">
        <v>33</v>
      </c>
      <c r="E3789" s="1">
        <f t="shared" ref="E3789:F3789" si="1783">SUM(E3021+E3213+E3405+E3597)</f>
        <v>60641</v>
      </c>
      <c r="F3789" s="1">
        <f t="shared" si="1783"/>
        <v>143358</v>
      </c>
      <c r="G3789" s="1">
        <f t="shared" si="1734"/>
        <v>203999</v>
      </c>
      <c r="H3789" s="2">
        <f t="shared" si="1735"/>
        <v>0.29726126108461315</v>
      </c>
      <c r="I3789" s="2">
        <f t="shared" si="1736"/>
        <v>0.70273873891538685</v>
      </c>
      <c r="J3789" s="1">
        <f t="shared" ref="J3789:K3789" si="1784">SUM(J3021+J3213+J3405+J3597)</f>
        <v>60970</v>
      </c>
      <c r="K3789" s="1">
        <f t="shared" si="1784"/>
        <v>452864</v>
      </c>
      <c r="L3789" s="1">
        <f t="shared" si="1762"/>
        <v>513834</v>
      </c>
      <c r="M3789" s="2">
        <f t="shared" si="1763"/>
        <v>0.11865699817450771</v>
      </c>
      <c r="N3789" s="2">
        <f t="shared" si="1764"/>
        <v>0.8813430018254923</v>
      </c>
    </row>
    <row r="3790" spans="1:14" x14ac:dyDescent="0.35">
      <c r="A3790" t="s">
        <v>36</v>
      </c>
      <c r="B3790" t="s">
        <v>26</v>
      </c>
      <c r="C3790">
        <v>2013</v>
      </c>
      <c r="D3790" t="s">
        <v>33</v>
      </c>
      <c r="E3790" s="1">
        <f t="shared" ref="E3790:F3790" si="1785">SUM(E3022+E3214+E3406+E3598)</f>
        <v>59987</v>
      </c>
      <c r="F3790" s="1">
        <f t="shared" si="1785"/>
        <v>143356</v>
      </c>
      <c r="G3790" s="1">
        <f t="shared" si="1734"/>
        <v>203343</v>
      </c>
      <c r="H3790" s="2">
        <f t="shared" si="1735"/>
        <v>0.29500400800617677</v>
      </c>
      <c r="I3790" s="2">
        <f t="shared" si="1736"/>
        <v>0.70499599199382323</v>
      </c>
      <c r="J3790" s="1">
        <f t="shared" ref="J3790:K3790" si="1786">SUM(J3022+J3214+J3406+J3598)</f>
        <v>59602</v>
      </c>
      <c r="K3790" s="1">
        <f t="shared" si="1786"/>
        <v>463881</v>
      </c>
      <c r="L3790" s="1">
        <f t="shared" si="1762"/>
        <v>523483</v>
      </c>
      <c r="M3790" s="2">
        <f t="shared" si="1763"/>
        <v>0.11385661043434075</v>
      </c>
      <c r="N3790" s="2">
        <f t="shared" si="1764"/>
        <v>0.8861433895656593</v>
      </c>
    </row>
    <row r="3791" spans="1:14" x14ac:dyDescent="0.35">
      <c r="A3791" t="s">
        <v>36</v>
      </c>
      <c r="B3791" t="s">
        <v>27</v>
      </c>
      <c r="C3791">
        <v>2013</v>
      </c>
      <c r="D3791" t="s">
        <v>33</v>
      </c>
      <c r="E3791" s="1">
        <f t="shared" ref="E3791:F3791" si="1787">SUM(E3023+E3215+E3407+E3599)</f>
        <v>59358</v>
      </c>
      <c r="F3791" s="1">
        <f t="shared" si="1787"/>
        <v>143625</v>
      </c>
      <c r="G3791" s="1">
        <f t="shared" si="1734"/>
        <v>202983</v>
      </c>
      <c r="H3791" s="2">
        <f t="shared" si="1735"/>
        <v>0.29242842996704155</v>
      </c>
      <c r="I3791" s="2">
        <f t="shared" si="1736"/>
        <v>0.70757157003295845</v>
      </c>
      <c r="J3791" s="1">
        <f t="shared" ref="J3791:K3791" si="1788">SUM(J3023+J3215+J3407+J3599)</f>
        <v>41324</v>
      </c>
      <c r="K3791" s="1">
        <f t="shared" si="1788"/>
        <v>391789</v>
      </c>
      <c r="L3791" s="1">
        <f t="shared" si="1762"/>
        <v>433113</v>
      </c>
      <c r="M3791" s="2">
        <f t="shared" si="1763"/>
        <v>9.5411590046939249E-2</v>
      </c>
      <c r="N3791" s="2">
        <f t="shared" si="1764"/>
        <v>0.90458840995306078</v>
      </c>
    </row>
    <row r="3792" spans="1:14" x14ac:dyDescent="0.35">
      <c r="A3792" t="s">
        <v>36</v>
      </c>
      <c r="B3792" t="s">
        <v>28</v>
      </c>
      <c r="C3792">
        <v>2013</v>
      </c>
      <c r="D3792" t="s">
        <v>33</v>
      </c>
      <c r="E3792" s="1">
        <f t="shared" ref="E3792:F3792" si="1789">SUM(E3024+E3216+E3408+E3600)</f>
        <v>58922</v>
      </c>
      <c r="F3792" s="1">
        <f t="shared" si="1789"/>
        <v>143979</v>
      </c>
      <c r="G3792" s="1">
        <f t="shared" si="1734"/>
        <v>202901</v>
      </c>
      <c r="H3792" s="2">
        <f t="shared" si="1735"/>
        <v>0.29039778019822476</v>
      </c>
      <c r="I3792" s="2">
        <f t="shared" si="1736"/>
        <v>0.70960221980177529</v>
      </c>
      <c r="J3792" s="1">
        <f t="shared" ref="J3792:K3792" si="1790">SUM(J3024+J3216+J3408+J3600)</f>
        <v>31237</v>
      </c>
      <c r="K3792" s="1">
        <f t="shared" si="1790"/>
        <v>343496</v>
      </c>
      <c r="L3792" s="1">
        <f t="shared" si="1762"/>
        <v>374733</v>
      </c>
      <c r="M3792" s="2">
        <f t="shared" si="1763"/>
        <v>8.3358017575180202E-2</v>
      </c>
      <c r="N3792" s="2">
        <f t="shared" si="1764"/>
        <v>0.91664198242481976</v>
      </c>
    </row>
    <row r="3793" spans="1:14" x14ac:dyDescent="0.35">
      <c r="A3793" t="s">
        <v>36</v>
      </c>
      <c r="B3793" t="s">
        <v>29</v>
      </c>
      <c r="C3793">
        <v>2013</v>
      </c>
      <c r="D3793" t="s">
        <v>33</v>
      </c>
      <c r="E3793" s="1">
        <f t="shared" ref="E3793:F3793" si="1791">SUM(E3025+E3217+E3409+E3601)</f>
        <v>58182</v>
      </c>
      <c r="F3793" s="1">
        <f t="shared" si="1791"/>
        <v>143304</v>
      </c>
      <c r="G3793" s="1">
        <f t="shared" si="1734"/>
        <v>201486</v>
      </c>
      <c r="H3793" s="2">
        <f t="shared" si="1735"/>
        <v>0.2887644799142372</v>
      </c>
      <c r="I3793" s="2">
        <f t="shared" si="1736"/>
        <v>0.71123552008576274</v>
      </c>
      <c r="J3793" s="1">
        <f t="shared" ref="J3793:K3793" si="1792">SUM(J3025+J3217+J3409+J3601)</f>
        <v>48758</v>
      </c>
      <c r="K3793" s="1">
        <f t="shared" si="1792"/>
        <v>419511</v>
      </c>
      <c r="L3793" s="1">
        <f t="shared" si="1762"/>
        <v>468269</v>
      </c>
      <c r="M3793" s="2">
        <f t="shared" si="1763"/>
        <v>0.10412391168324189</v>
      </c>
      <c r="N3793" s="2">
        <f t="shared" si="1764"/>
        <v>0.89587608831675813</v>
      </c>
    </row>
    <row r="3794" spans="1:14" x14ac:dyDescent="0.35">
      <c r="A3794" t="s">
        <v>36</v>
      </c>
      <c r="B3794" t="s">
        <v>17</v>
      </c>
      <c r="C3794">
        <v>2014</v>
      </c>
      <c r="D3794" t="s">
        <v>33</v>
      </c>
      <c r="E3794" s="1">
        <f t="shared" ref="E3794:F3794" si="1793">SUM(E3026+E3218+E3410+E3602)</f>
        <v>55680</v>
      </c>
      <c r="F3794" s="1">
        <f t="shared" si="1793"/>
        <v>137349</v>
      </c>
      <c r="G3794" s="1">
        <f t="shared" si="1734"/>
        <v>193029</v>
      </c>
      <c r="H3794" s="2">
        <f t="shared" si="1735"/>
        <v>0.288454066487419</v>
      </c>
      <c r="I3794" s="2">
        <f t="shared" si="1736"/>
        <v>0.711545933512581</v>
      </c>
      <c r="J3794" s="1">
        <f t="shared" ref="J3794:K3794" si="1794">SUM(J3026+J3218+J3410+J3602)</f>
        <v>53854</v>
      </c>
      <c r="K3794" s="1">
        <f t="shared" si="1794"/>
        <v>421129</v>
      </c>
      <c r="L3794" s="1">
        <f t="shared" si="1762"/>
        <v>474983</v>
      </c>
      <c r="M3794" s="2">
        <f t="shared" si="1763"/>
        <v>0.11338089994799815</v>
      </c>
      <c r="N3794" s="2">
        <f t="shared" si="1764"/>
        <v>0.88661910005200184</v>
      </c>
    </row>
    <row r="3795" spans="1:14" x14ac:dyDescent="0.35">
      <c r="A3795" t="s">
        <v>36</v>
      </c>
      <c r="B3795" t="s">
        <v>19</v>
      </c>
      <c r="C3795">
        <v>2014</v>
      </c>
      <c r="D3795" t="s">
        <v>33</v>
      </c>
      <c r="E3795" s="1">
        <f t="shared" ref="E3795:F3795" si="1795">SUM(E3027+E3219+E3411+E3603)</f>
        <v>56632</v>
      </c>
      <c r="F3795" s="1">
        <f t="shared" si="1795"/>
        <v>142285</v>
      </c>
      <c r="G3795" s="1">
        <f t="shared" si="1734"/>
        <v>198917</v>
      </c>
      <c r="H3795" s="2">
        <f t="shared" si="1735"/>
        <v>0.28470165948611731</v>
      </c>
      <c r="I3795" s="2">
        <f t="shared" si="1736"/>
        <v>0.71529834051388264</v>
      </c>
      <c r="J3795" s="1">
        <f t="shared" ref="J3795:K3795" si="1796">SUM(J3027+J3219+J3411+J3603)</f>
        <v>48414</v>
      </c>
      <c r="K3795" s="1">
        <f t="shared" si="1796"/>
        <v>407268</v>
      </c>
      <c r="L3795" s="1">
        <f t="shared" si="1762"/>
        <v>455682</v>
      </c>
      <c r="M3795" s="2">
        <f t="shared" si="1763"/>
        <v>0.10624514464034129</v>
      </c>
      <c r="N3795" s="2">
        <f t="shared" si="1764"/>
        <v>0.89375485535965871</v>
      </c>
    </row>
    <row r="3796" spans="1:14" x14ac:dyDescent="0.35">
      <c r="A3796" t="s">
        <v>36</v>
      </c>
      <c r="B3796" t="s">
        <v>20</v>
      </c>
      <c r="C3796">
        <v>2014</v>
      </c>
      <c r="D3796" t="s">
        <v>33</v>
      </c>
      <c r="E3796" s="1">
        <f t="shared" ref="E3796:F3796" si="1797">SUM(E3028+E3220+E3412+E3604)</f>
        <v>54695</v>
      </c>
      <c r="F3796" s="1">
        <f t="shared" si="1797"/>
        <v>138566</v>
      </c>
      <c r="G3796" s="1">
        <f t="shared" si="1734"/>
        <v>193261</v>
      </c>
      <c r="H3796" s="2">
        <f t="shared" si="1735"/>
        <v>0.28301105758533796</v>
      </c>
      <c r="I3796" s="2">
        <f t="shared" si="1736"/>
        <v>0.71698894241466204</v>
      </c>
      <c r="J3796" s="1">
        <f t="shared" ref="J3796:K3796" si="1798">SUM(J3028+J3220+J3412+J3604)</f>
        <v>37042</v>
      </c>
      <c r="K3796" s="1">
        <f t="shared" si="1798"/>
        <v>354579</v>
      </c>
      <c r="L3796" s="1">
        <f t="shared" si="1762"/>
        <v>391621</v>
      </c>
      <c r="M3796" s="2">
        <f t="shared" si="1763"/>
        <v>9.458634751456127E-2</v>
      </c>
      <c r="N3796" s="2">
        <f t="shared" si="1764"/>
        <v>0.9054136524854387</v>
      </c>
    </row>
    <row r="3797" spans="1:14" x14ac:dyDescent="0.35">
      <c r="A3797" t="s">
        <v>36</v>
      </c>
      <c r="B3797" t="s">
        <v>21</v>
      </c>
      <c r="C3797">
        <v>2014</v>
      </c>
      <c r="D3797" t="s">
        <v>33</v>
      </c>
      <c r="E3797" s="1">
        <f t="shared" ref="E3797:F3797" si="1799">SUM(E3029+E3221+E3413+E3605)</f>
        <v>57174</v>
      </c>
      <c r="F3797" s="1">
        <f t="shared" si="1799"/>
        <v>145779</v>
      </c>
      <c r="G3797" s="1">
        <f t="shared" si="1734"/>
        <v>202953</v>
      </c>
      <c r="H3797" s="2">
        <f t="shared" si="1735"/>
        <v>0.28171054382049043</v>
      </c>
      <c r="I3797" s="2">
        <f t="shared" si="1736"/>
        <v>0.71828945617950957</v>
      </c>
      <c r="J3797" s="1">
        <f t="shared" ref="J3797:K3797" si="1800">SUM(J3029+J3221+J3413+J3605)</f>
        <v>31818</v>
      </c>
      <c r="K3797" s="1">
        <f t="shared" si="1800"/>
        <v>361939</v>
      </c>
      <c r="L3797" s="1">
        <f t="shared" si="1762"/>
        <v>393757</v>
      </c>
      <c r="M3797" s="2">
        <f t="shared" si="1763"/>
        <v>8.0806182493263615E-2</v>
      </c>
      <c r="N3797" s="2">
        <f t="shared" si="1764"/>
        <v>0.91919381750673634</v>
      </c>
    </row>
    <row r="3798" spans="1:14" x14ac:dyDescent="0.35">
      <c r="A3798" t="s">
        <v>36</v>
      </c>
      <c r="B3798" t="s">
        <v>22</v>
      </c>
      <c r="C3798">
        <v>2014</v>
      </c>
      <c r="D3798" t="s">
        <v>33</v>
      </c>
      <c r="E3798" s="1">
        <f t="shared" ref="E3798:F3798" si="1801">SUM(E3030+E3222+E3414+E3606)</f>
        <v>56954</v>
      </c>
      <c r="F3798" s="1">
        <f t="shared" si="1801"/>
        <v>146675</v>
      </c>
      <c r="G3798" s="1">
        <f t="shared" si="1734"/>
        <v>203629</v>
      </c>
      <c r="H3798" s="2">
        <f t="shared" si="1735"/>
        <v>0.27969493539721751</v>
      </c>
      <c r="I3798" s="2">
        <f t="shared" si="1736"/>
        <v>0.72030506460278254</v>
      </c>
      <c r="J3798" s="1">
        <f t="shared" ref="J3798:K3798" si="1802">SUM(J3030+J3222+J3414+J3606)</f>
        <v>35628</v>
      </c>
      <c r="K3798" s="1">
        <f t="shared" si="1802"/>
        <v>387477</v>
      </c>
      <c r="L3798" s="1">
        <f t="shared" si="1762"/>
        <v>423105</v>
      </c>
      <c r="M3798" s="2">
        <f t="shared" si="1763"/>
        <v>8.4206048144077714E-2</v>
      </c>
      <c r="N3798" s="2">
        <f t="shared" si="1764"/>
        <v>0.91579395185592227</v>
      </c>
    </row>
    <row r="3799" spans="1:14" x14ac:dyDescent="0.35">
      <c r="A3799" t="s">
        <v>36</v>
      </c>
      <c r="B3799" t="s">
        <v>23</v>
      </c>
      <c r="C3799">
        <v>2014</v>
      </c>
      <c r="D3799" t="s">
        <v>33</v>
      </c>
      <c r="E3799" s="1">
        <f t="shared" ref="E3799:F3799" si="1803">SUM(E3031+E3223+E3415+E3607)</f>
        <v>56775</v>
      </c>
      <c r="F3799" s="1">
        <f t="shared" si="1803"/>
        <v>146419</v>
      </c>
      <c r="G3799" s="1">
        <f t="shared" si="1734"/>
        <v>203194</v>
      </c>
      <c r="H3799" s="2">
        <f t="shared" si="1735"/>
        <v>0.27941277793635638</v>
      </c>
      <c r="I3799" s="2">
        <f t="shared" si="1736"/>
        <v>0.72058722206364356</v>
      </c>
      <c r="J3799" s="1">
        <f t="shared" ref="J3799:K3799" si="1804">SUM(J3031+J3223+J3415+J3607)</f>
        <v>44923</v>
      </c>
      <c r="K3799" s="1">
        <f t="shared" si="1804"/>
        <v>425963</v>
      </c>
      <c r="L3799" s="1">
        <f t="shared" si="1762"/>
        <v>470886</v>
      </c>
      <c r="M3799" s="2">
        <f t="shared" si="1763"/>
        <v>9.5401010010915596E-2</v>
      </c>
      <c r="N3799" s="2">
        <f t="shared" si="1764"/>
        <v>0.90459898998908439</v>
      </c>
    </row>
    <row r="3800" spans="1:14" x14ac:dyDescent="0.35">
      <c r="A3800" t="s">
        <v>36</v>
      </c>
      <c r="B3800" t="s">
        <v>24</v>
      </c>
      <c r="C3800">
        <v>2014</v>
      </c>
      <c r="D3800" t="s">
        <v>33</v>
      </c>
      <c r="E3800" s="1">
        <f t="shared" ref="E3800:F3800" si="1805">SUM(E3032+E3224+E3416+E3608)</f>
        <v>56178</v>
      </c>
      <c r="F3800" s="1">
        <f t="shared" si="1805"/>
        <v>147727</v>
      </c>
      <c r="G3800" s="1">
        <f t="shared" si="1734"/>
        <v>203905</v>
      </c>
      <c r="H3800" s="2">
        <f t="shared" si="1735"/>
        <v>0.27551065447144502</v>
      </c>
      <c r="I3800" s="2">
        <f t="shared" si="1736"/>
        <v>0.72448934552855493</v>
      </c>
      <c r="J3800" s="1">
        <f t="shared" ref="J3800:K3800" si="1806">SUM(J3032+J3224+J3416+J3608)</f>
        <v>52288</v>
      </c>
      <c r="K3800" s="1">
        <f t="shared" si="1806"/>
        <v>463944</v>
      </c>
      <c r="L3800" s="1">
        <f t="shared" si="1762"/>
        <v>516232</v>
      </c>
      <c r="M3800" s="2">
        <f t="shared" si="1763"/>
        <v>0.10128779308527949</v>
      </c>
      <c r="N3800" s="2">
        <f t="shared" si="1764"/>
        <v>0.89871220691472053</v>
      </c>
    </row>
    <row r="3801" spans="1:14" x14ac:dyDescent="0.35">
      <c r="A3801" t="s">
        <v>36</v>
      </c>
      <c r="B3801" t="s">
        <v>25</v>
      </c>
      <c r="C3801">
        <v>2014</v>
      </c>
      <c r="D3801" t="s">
        <v>33</v>
      </c>
      <c r="E3801" s="1">
        <f t="shared" ref="E3801:F3801" si="1807">SUM(E3033+E3225+E3417+E3609)</f>
        <v>55631</v>
      </c>
      <c r="F3801" s="1">
        <f t="shared" si="1807"/>
        <v>147662</v>
      </c>
      <c r="G3801" s="1">
        <f t="shared" si="1734"/>
        <v>203293</v>
      </c>
      <c r="H3801" s="2">
        <f t="shared" si="1735"/>
        <v>0.27364936323434647</v>
      </c>
      <c r="I3801" s="2">
        <f t="shared" si="1736"/>
        <v>0.72635063676565348</v>
      </c>
      <c r="J3801" s="1">
        <f t="shared" ref="J3801:K3801" si="1808">SUM(J3033+J3225+J3417+J3609)</f>
        <v>54410</v>
      </c>
      <c r="K3801" s="1">
        <f t="shared" si="1808"/>
        <v>469797</v>
      </c>
      <c r="L3801" s="1">
        <f t="shared" si="1762"/>
        <v>524207</v>
      </c>
      <c r="M3801" s="2">
        <f t="shared" si="1763"/>
        <v>0.10379487492536345</v>
      </c>
      <c r="N3801" s="2">
        <f t="shared" si="1764"/>
        <v>0.89620512507463657</v>
      </c>
    </row>
    <row r="3802" spans="1:14" x14ac:dyDescent="0.35">
      <c r="A3802" t="s">
        <v>36</v>
      </c>
      <c r="B3802" t="s">
        <v>26</v>
      </c>
      <c r="C3802">
        <v>2014</v>
      </c>
      <c r="D3802" t="s">
        <v>33</v>
      </c>
      <c r="E3802" s="1">
        <f t="shared" ref="E3802:F3802" si="1809">SUM(E3034+E3226+E3418+E3610)</f>
        <v>55310</v>
      </c>
      <c r="F3802" s="1">
        <f t="shared" si="1809"/>
        <v>145794</v>
      </c>
      <c r="G3802" s="1">
        <f t="shared" si="1734"/>
        <v>201104</v>
      </c>
      <c r="H3802" s="2">
        <f t="shared" si="1735"/>
        <v>0.27503182432970008</v>
      </c>
      <c r="I3802" s="2">
        <f t="shared" si="1736"/>
        <v>0.72496817567029992</v>
      </c>
      <c r="J3802" s="1">
        <f t="shared" ref="J3802:K3802" si="1810">SUM(J3034+J3226+J3418+J3610)</f>
        <v>53483</v>
      </c>
      <c r="K3802" s="1">
        <f t="shared" si="1810"/>
        <v>472699</v>
      </c>
      <c r="L3802" s="1">
        <f t="shared" si="1762"/>
        <v>526182</v>
      </c>
      <c r="M3802" s="2">
        <f t="shared" si="1763"/>
        <v>0.10164353778730553</v>
      </c>
      <c r="N3802" s="2">
        <f t="shared" si="1764"/>
        <v>0.8983564622126945</v>
      </c>
    </row>
    <row r="3803" spans="1:14" x14ac:dyDescent="0.35">
      <c r="A3803" t="s">
        <v>36</v>
      </c>
      <c r="B3803" t="s">
        <v>27</v>
      </c>
      <c r="C3803">
        <v>2014</v>
      </c>
      <c r="D3803" t="s">
        <v>33</v>
      </c>
      <c r="E3803" s="1">
        <f t="shared" ref="E3803:F3803" si="1811">SUM(E3035+E3227+E3419+E3611)</f>
        <v>54933</v>
      </c>
      <c r="F3803" s="1">
        <f t="shared" si="1811"/>
        <v>149259</v>
      </c>
      <c r="G3803" s="1">
        <f t="shared" si="1734"/>
        <v>204192</v>
      </c>
      <c r="H3803" s="2">
        <f t="shared" si="1735"/>
        <v>0.26902621062529386</v>
      </c>
      <c r="I3803" s="2">
        <f t="shared" si="1736"/>
        <v>0.73097378937470614</v>
      </c>
      <c r="J3803" s="1">
        <f t="shared" ref="J3803:K3803" si="1812">SUM(J3035+J3227+J3419+J3611)</f>
        <v>37258</v>
      </c>
      <c r="K3803" s="1">
        <f t="shared" si="1812"/>
        <v>403783</v>
      </c>
      <c r="L3803" s="1">
        <f t="shared" si="1762"/>
        <v>441041</v>
      </c>
      <c r="M3803" s="2">
        <f t="shared" si="1763"/>
        <v>8.4477406862400545E-2</v>
      </c>
      <c r="N3803" s="2">
        <f t="shared" si="1764"/>
        <v>0.91552259313759943</v>
      </c>
    </row>
    <row r="3804" spans="1:14" x14ac:dyDescent="0.35">
      <c r="A3804" t="s">
        <v>36</v>
      </c>
      <c r="B3804" t="s">
        <v>28</v>
      </c>
      <c r="C3804">
        <v>2014</v>
      </c>
      <c r="D3804" t="s">
        <v>33</v>
      </c>
      <c r="E3804" s="1">
        <f t="shared" ref="E3804:F3804" si="1813">SUM(E3036+E3228+E3420+E3612)</f>
        <v>54430</v>
      </c>
      <c r="F3804" s="1">
        <f t="shared" si="1813"/>
        <v>149838</v>
      </c>
      <c r="G3804" s="1">
        <f t="shared" si="1734"/>
        <v>204268</v>
      </c>
      <c r="H3804" s="2">
        <f t="shared" si="1735"/>
        <v>0.26646366538077426</v>
      </c>
      <c r="I3804" s="2">
        <f t="shared" si="1736"/>
        <v>0.73353633461922574</v>
      </c>
      <c r="J3804" s="1">
        <f t="shared" ref="J3804:K3804" si="1814">SUM(J3036+J3228+J3420+J3612)</f>
        <v>31373</v>
      </c>
      <c r="K3804" s="1">
        <f t="shared" si="1814"/>
        <v>372586</v>
      </c>
      <c r="L3804" s="1">
        <f t="shared" si="1762"/>
        <v>403959</v>
      </c>
      <c r="M3804" s="2">
        <f t="shared" si="1763"/>
        <v>7.7663822318601639E-2</v>
      </c>
      <c r="N3804" s="2">
        <f t="shared" si="1764"/>
        <v>0.92233617768139831</v>
      </c>
    </row>
    <row r="3805" spans="1:14" x14ac:dyDescent="0.35">
      <c r="A3805" t="s">
        <v>36</v>
      </c>
      <c r="B3805" t="s">
        <v>29</v>
      </c>
      <c r="C3805">
        <v>2014</v>
      </c>
      <c r="D3805" t="s">
        <v>33</v>
      </c>
      <c r="E3805" s="1">
        <f t="shared" ref="E3805:F3805" si="1815">SUM(E3037+E3229+E3421+E3613)</f>
        <v>54122</v>
      </c>
      <c r="F3805" s="1">
        <f t="shared" si="1815"/>
        <v>149572</v>
      </c>
      <c r="G3805" s="1">
        <f t="shared" si="1734"/>
        <v>203694</v>
      </c>
      <c r="H3805" s="2">
        <f t="shared" si="1735"/>
        <v>0.26570247528154978</v>
      </c>
      <c r="I3805" s="2">
        <f t="shared" si="1736"/>
        <v>0.73429752471845022</v>
      </c>
      <c r="J3805" s="1">
        <f t="shared" ref="J3805:K3805" si="1816">SUM(J3037+J3229+J3421+J3613)</f>
        <v>38899</v>
      </c>
      <c r="K3805" s="1">
        <f t="shared" si="1816"/>
        <v>415746</v>
      </c>
      <c r="L3805" s="1">
        <f t="shared" si="1762"/>
        <v>454645</v>
      </c>
      <c r="M3805" s="2">
        <f t="shared" si="1763"/>
        <v>8.5559062565298202E-2</v>
      </c>
      <c r="N3805" s="2">
        <f t="shared" si="1764"/>
        <v>0.91444093743470178</v>
      </c>
    </row>
    <row r="3806" spans="1:14" x14ac:dyDescent="0.35">
      <c r="A3806" t="s">
        <v>36</v>
      </c>
      <c r="B3806" t="s">
        <v>17</v>
      </c>
      <c r="C3806">
        <v>2015</v>
      </c>
      <c r="D3806" t="s">
        <v>33</v>
      </c>
      <c r="E3806" s="1">
        <f t="shared" ref="E3806:F3806" si="1817">SUM(E3038+E3230+E3422+E3614)</f>
        <v>54023</v>
      </c>
      <c r="F3806" s="1">
        <f t="shared" si="1817"/>
        <v>149300</v>
      </c>
      <c r="G3806" s="1">
        <f t="shared" si="1734"/>
        <v>203323</v>
      </c>
      <c r="H3806" s="2">
        <f t="shared" si="1735"/>
        <v>0.26570038805250756</v>
      </c>
      <c r="I3806" s="2">
        <f t="shared" si="1736"/>
        <v>0.73429961194749238</v>
      </c>
      <c r="J3806" s="1">
        <f t="shared" ref="J3806:K3806" si="1818">SUM(J3038+J3230+J3422+J3614)</f>
        <v>51280</v>
      </c>
      <c r="K3806" s="1">
        <f t="shared" si="1818"/>
        <v>452009</v>
      </c>
      <c r="L3806" s="1">
        <f t="shared" si="1762"/>
        <v>503289</v>
      </c>
      <c r="M3806" s="2">
        <f t="shared" si="1763"/>
        <v>0.10188976909886766</v>
      </c>
      <c r="N3806" s="2">
        <f t="shared" si="1764"/>
        <v>0.8981102309011324</v>
      </c>
    </row>
    <row r="3807" spans="1:14" x14ac:dyDescent="0.35">
      <c r="A3807" t="s">
        <v>36</v>
      </c>
      <c r="B3807" t="s">
        <v>19</v>
      </c>
      <c r="C3807">
        <v>2015</v>
      </c>
      <c r="D3807" t="s">
        <v>33</v>
      </c>
      <c r="E3807" s="1">
        <f t="shared" ref="E3807:F3807" si="1819">SUM(E3039+E3231+E3423+E3615)</f>
        <v>53571</v>
      </c>
      <c r="F3807" s="1">
        <f t="shared" si="1819"/>
        <v>150178</v>
      </c>
      <c r="G3807" s="1">
        <f t="shared" si="1734"/>
        <v>203749</v>
      </c>
      <c r="H3807" s="2">
        <f t="shared" si="1735"/>
        <v>0.26292644381076719</v>
      </c>
      <c r="I3807" s="2">
        <f t="shared" si="1736"/>
        <v>0.73707355618923287</v>
      </c>
      <c r="J3807" s="1">
        <f t="shared" ref="J3807:K3807" si="1820">SUM(J3039+J3231+J3423+J3615)</f>
        <v>39917</v>
      </c>
      <c r="K3807" s="1">
        <f t="shared" si="1820"/>
        <v>394148</v>
      </c>
      <c r="L3807" s="1">
        <f t="shared" si="1762"/>
        <v>434065</v>
      </c>
      <c r="M3807" s="2">
        <f t="shared" si="1763"/>
        <v>9.1960881434808156E-2</v>
      </c>
      <c r="N3807" s="2">
        <f t="shared" si="1764"/>
        <v>0.90803911856519182</v>
      </c>
    </row>
    <row r="3808" spans="1:14" x14ac:dyDescent="0.35">
      <c r="A3808" t="s">
        <v>36</v>
      </c>
      <c r="B3808" t="s">
        <v>20</v>
      </c>
      <c r="C3808">
        <v>2015</v>
      </c>
      <c r="D3808" t="s">
        <v>33</v>
      </c>
      <c r="E3808" s="1">
        <f t="shared" ref="E3808:F3808" si="1821">SUM(E3040+E3232+E3424+E3616)</f>
        <v>52694</v>
      </c>
      <c r="F3808" s="1">
        <f t="shared" si="1821"/>
        <v>150140</v>
      </c>
      <c r="G3808" s="1">
        <f t="shared" si="1734"/>
        <v>202834</v>
      </c>
      <c r="H3808" s="2">
        <f t="shared" si="1735"/>
        <v>0.25978879280593981</v>
      </c>
      <c r="I3808" s="2">
        <f t="shared" si="1736"/>
        <v>0.74021120719406019</v>
      </c>
      <c r="J3808" s="1">
        <f t="shared" ref="J3808:K3808" si="1822">SUM(J3040+J3232+J3424+J3616)</f>
        <v>40412</v>
      </c>
      <c r="K3808" s="1">
        <f t="shared" si="1822"/>
        <v>401940</v>
      </c>
      <c r="L3808" s="1">
        <f t="shared" si="1762"/>
        <v>442352</v>
      </c>
      <c r="M3808" s="2">
        <f t="shared" si="1763"/>
        <v>9.1357109270445255E-2</v>
      </c>
      <c r="N3808" s="2">
        <f t="shared" si="1764"/>
        <v>0.90864289072955473</v>
      </c>
    </row>
    <row r="3809" spans="1:14" x14ac:dyDescent="0.35">
      <c r="A3809" t="s">
        <v>36</v>
      </c>
      <c r="B3809" t="s">
        <v>21</v>
      </c>
      <c r="C3809">
        <v>2015</v>
      </c>
      <c r="D3809" t="s">
        <v>33</v>
      </c>
      <c r="E3809" s="1">
        <f t="shared" ref="E3809:F3809" si="1823">SUM(E3041+E3233+E3425+E3617)</f>
        <v>52316</v>
      </c>
      <c r="F3809" s="1">
        <f t="shared" si="1823"/>
        <v>151309</v>
      </c>
      <c r="G3809" s="1">
        <f t="shared" si="1734"/>
        <v>203625</v>
      </c>
      <c r="H3809" s="2">
        <f t="shared" si="1735"/>
        <v>0.25692326580724373</v>
      </c>
      <c r="I3809" s="2">
        <f t="shared" si="1736"/>
        <v>0.74307673419275633</v>
      </c>
      <c r="J3809" s="1">
        <f t="shared" ref="J3809:K3809" si="1824">SUM(J3041+J3233+J3425+J3617)</f>
        <v>28834</v>
      </c>
      <c r="K3809" s="1">
        <f t="shared" si="1824"/>
        <v>373848</v>
      </c>
      <c r="L3809" s="1">
        <f t="shared" si="1762"/>
        <v>402682</v>
      </c>
      <c r="M3809" s="2">
        <f t="shared" si="1763"/>
        <v>7.160488921779469E-2</v>
      </c>
      <c r="N3809" s="2">
        <f t="shared" si="1764"/>
        <v>0.92839511078220527</v>
      </c>
    </row>
    <row r="3810" spans="1:14" x14ac:dyDescent="0.35">
      <c r="A3810" t="s">
        <v>36</v>
      </c>
      <c r="B3810" t="s">
        <v>22</v>
      </c>
      <c r="C3810">
        <v>2015</v>
      </c>
      <c r="D3810" t="s">
        <v>33</v>
      </c>
      <c r="E3810" s="1">
        <f t="shared" ref="E3810:F3810" si="1825">SUM(E3042+E3234+E3426+E3618)</f>
        <v>51974</v>
      </c>
      <c r="F3810" s="1">
        <f t="shared" si="1825"/>
        <v>151650</v>
      </c>
      <c r="G3810" s="1">
        <f t="shared" si="1734"/>
        <v>203624</v>
      </c>
      <c r="H3810" s="2">
        <f t="shared" si="1735"/>
        <v>0.25524496130122187</v>
      </c>
      <c r="I3810" s="2">
        <f t="shared" si="1736"/>
        <v>0.74475503869877813</v>
      </c>
      <c r="J3810" s="1">
        <f t="shared" ref="J3810:K3810" si="1826">SUM(J3042+J3234+J3426+J3618)</f>
        <v>27702</v>
      </c>
      <c r="K3810" s="1">
        <f t="shared" si="1826"/>
        <v>360374</v>
      </c>
      <c r="L3810" s="1">
        <f t="shared" si="1762"/>
        <v>388076</v>
      </c>
      <c r="M3810" s="2">
        <f t="shared" si="1763"/>
        <v>7.1382924994073324E-2</v>
      </c>
      <c r="N3810" s="2">
        <f t="shared" si="1764"/>
        <v>0.92861707500592672</v>
      </c>
    </row>
    <row r="3811" spans="1:14" x14ac:dyDescent="0.35">
      <c r="A3811" t="s">
        <v>36</v>
      </c>
      <c r="B3811" t="s">
        <v>23</v>
      </c>
      <c r="C3811">
        <v>2015</v>
      </c>
      <c r="D3811" t="s">
        <v>33</v>
      </c>
      <c r="E3811" s="1">
        <f t="shared" ref="E3811:F3811" si="1827">SUM(E3043+E3235+E3427+E3619)</f>
        <v>51520</v>
      </c>
      <c r="F3811" s="1">
        <f t="shared" si="1827"/>
        <v>152324</v>
      </c>
      <c r="G3811" s="1">
        <f t="shared" si="1734"/>
        <v>203844</v>
      </c>
      <c r="H3811" s="2">
        <f t="shared" si="1735"/>
        <v>0.25274229312611607</v>
      </c>
      <c r="I3811" s="2">
        <f t="shared" si="1736"/>
        <v>0.74725770687388393</v>
      </c>
      <c r="J3811" s="1">
        <f t="shared" ref="J3811:K3811" si="1828">SUM(J3043+J3235+J3427+J3619)</f>
        <v>36263</v>
      </c>
      <c r="K3811" s="1">
        <f t="shared" si="1828"/>
        <v>426183</v>
      </c>
      <c r="L3811" s="1">
        <f t="shared" si="1762"/>
        <v>462446</v>
      </c>
      <c r="M3811" s="2">
        <f t="shared" si="1763"/>
        <v>7.8415642042530376E-2</v>
      </c>
      <c r="N3811" s="2">
        <f t="shared" si="1764"/>
        <v>0.92158435795746962</v>
      </c>
    </row>
    <row r="3812" spans="1:14" x14ac:dyDescent="0.35">
      <c r="A3812" t="s">
        <v>36</v>
      </c>
      <c r="B3812" t="s">
        <v>24</v>
      </c>
      <c r="C3812">
        <v>2015</v>
      </c>
      <c r="D3812" t="s">
        <v>33</v>
      </c>
      <c r="E3812" s="1">
        <f t="shared" ref="E3812:F3812" si="1829">SUM(E3044+E3236+E3428+E3620)</f>
        <v>50946</v>
      </c>
      <c r="F3812" s="1">
        <f t="shared" si="1829"/>
        <v>152801</v>
      </c>
      <c r="G3812" s="1">
        <f t="shared" si="1734"/>
        <v>203747</v>
      </c>
      <c r="H3812" s="2">
        <f t="shared" si="1735"/>
        <v>0.25004539944146414</v>
      </c>
      <c r="I3812" s="2">
        <f t="shared" si="1736"/>
        <v>0.7499546005585358</v>
      </c>
      <c r="J3812" s="1">
        <f t="shared" ref="J3812:K3812" si="1830">SUM(J3044+J3236+J3428+J3620)</f>
        <v>46980</v>
      </c>
      <c r="K3812" s="1">
        <f t="shared" si="1830"/>
        <v>484172</v>
      </c>
      <c r="L3812" s="1">
        <f t="shared" si="1762"/>
        <v>531152</v>
      </c>
      <c r="M3812" s="2">
        <f t="shared" si="1763"/>
        <v>8.8449257463023762E-2</v>
      </c>
      <c r="N3812" s="2">
        <f t="shared" si="1764"/>
        <v>0.91155074253697621</v>
      </c>
    </row>
    <row r="3813" spans="1:14" x14ac:dyDescent="0.35">
      <c r="A3813" t="s">
        <v>36</v>
      </c>
      <c r="B3813" t="s">
        <v>25</v>
      </c>
      <c r="C3813">
        <v>2015</v>
      </c>
      <c r="D3813" t="s">
        <v>33</v>
      </c>
      <c r="E3813" s="1">
        <f t="shared" ref="E3813:F3813" si="1831">SUM(E3045+E3237+E3429+E3621)</f>
        <v>50674</v>
      </c>
      <c r="F3813" s="1">
        <f t="shared" si="1831"/>
        <v>153932</v>
      </c>
      <c r="G3813" s="1">
        <f t="shared" si="1734"/>
        <v>204606</v>
      </c>
      <c r="H3813" s="2">
        <f t="shared" si="1735"/>
        <v>0.24766624634663695</v>
      </c>
      <c r="I3813" s="2">
        <f t="shared" si="1736"/>
        <v>0.75233375365336308</v>
      </c>
      <c r="J3813" s="1">
        <f t="shared" ref="J3813:K3813" si="1832">SUM(J3045+J3237+J3429+J3621)</f>
        <v>54160</v>
      </c>
      <c r="K3813" s="1">
        <f t="shared" si="1832"/>
        <v>503457</v>
      </c>
      <c r="L3813" s="1">
        <f t="shared" si="1762"/>
        <v>557617</v>
      </c>
      <c r="M3813" s="2">
        <f t="shared" si="1763"/>
        <v>9.7127598333623263E-2</v>
      </c>
      <c r="N3813" s="2">
        <f t="shared" si="1764"/>
        <v>0.90287240166637672</v>
      </c>
    </row>
    <row r="3814" spans="1:14" x14ac:dyDescent="0.35">
      <c r="A3814" t="s">
        <v>36</v>
      </c>
      <c r="B3814" t="s">
        <v>26</v>
      </c>
      <c r="C3814">
        <v>2015</v>
      </c>
      <c r="D3814" t="s">
        <v>33</v>
      </c>
      <c r="E3814" s="1">
        <f t="shared" ref="E3814:F3814" si="1833">SUM(E3046+E3238+E3430+E3622)</f>
        <v>49632</v>
      </c>
      <c r="F3814" s="1">
        <f t="shared" si="1833"/>
        <v>153562</v>
      </c>
      <c r="G3814" s="1">
        <f t="shared" si="1734"/>
        <v>203194</v>
      </c>
      <c r="H3814" s="2">
        <f t="shared" si="1735"/>
        <v>0.24425918088132523</v>
      </c>
      <c r="I3814" s="2">
        <f t="shared" si="1736"/>
        <v>0.75574081911867474</v>
      </c>
      <c r="J3814" s="1">
        <f t="shared" ref="J3814:K3814" si="1834">SUM(J3046+J3238+J3430+J3622)</f>
        <v>49965</v>
      </c>
      <c r="K3814" s="1">
        <f t="shared" si="1834"/>
        <v>497922</v>
      </c>
      <c r="L3814" s="1">
        <f t="shared" si="1762"/>
        <v>547887</v>
      </c>
      <c r="M3814" s="2">
        <f t="shared" si="1763"/>
        <v>9.1195812275158925E-2</v>
      </c>
      <c r="N3814" s="2">
        <f t="shared" si="1764"/>
        <v>0.90880418772484106</v>
      </c>
    </row>
    <row r="3815" spans="1:14" x14ac:dyDescent="0.35">
      <c r="A3815" t="s">
        <v>36</v>
      </c>
      <c r="B3815" t="s">
        <v>27</v>
      </c>
      <c r="C3815">
        <v>2015</v>
      </c>
      <c r="D3815" t="s">
        <v>33</v>
      </c>
      <c r="E3815" s="1">
        <f t="shared" ref="E3815:F3815" si="1835">SUM(E3047+E3239+E3431+E3623)</f>
        <v>49260</v>
      </c>
      <c r="F3815" s="1">
        <f t="shared" si="1835"/>
        <v>154733</v>
      </c>
      <c r="G3815" s="1">
        <f t="shared" si="1734"/>
        <v>203993</v>
      </c>
      <c r="H3815" s="2">
        <f t="shared" si="1735"/>
        <v>0.24147887427509768</v>
      </c>
      <c r="I3815" s="2">
        <f t="shared" si="1736"/>
        <v>0.75852112572490238</v>
      </c>
      <c r="J3815" s="1">
        <f t="shared" ref="J3815:K3815" si="1836">SUM(J3047+J3239+J3431+J3623)</f>
        <v>36987</v>
      </c>
      <c r="K3815" s="1">
        <f t="shared" si="1836"/>
        <v>432438</v>
      </c>
      <c r="L3815" s="1">
        <f t="shared" si="1762"/>
        <v>469425</v>
      </c>
      <c r="M3815" s="2">
        <f t="shared" si="1763"/>
        <v>7.8792139319380089E-2</v>
      </c>
      <c r="N3815" s="2">
        <f t="shared" si="1764"/>
        <v>0.92120786068061988</v>
      </c>
    </row>
    <row r="3816" spans="1:14" x14ac:dyDescent="0.35">
      <c r="A3816" t="s">
        <v>36</v>
      </c>
      <c r="B3816" t="s">
        <v>28</v>
      </c>
      <c r="C3816">
        <v>2015</v>
      </c>
      <c r="D3816" t="s">
        <v>33</v>
      </c>
      <c r="E3816" s="1">
        <f t="shared" ref="E3816:F3816" si="1837">SUM(E3048+E3240+E3432+E3624)</f>
        <v>48587</v>
      </c>
      <c r="F3816" s="1">
        <f t="shared" si="1837"/>
        <v>154789</v>
      </c>
      <c r="G3816" s="1">
        <f t="shared" si="1734"/>
        <v>203376</v>
      </c>
      <c r="H3816" s="2">
        <f t="shared" si="1735"/>
        <v>0.23890232869168437</v>
      </c>
      <c r="I3816" s="2">
        <f t="shared" si="1736"/>
        <v>0.76109767130831563</v>
      </c>
      <c r="J3816" s="1">
        <f t="shared" ref="J3816:K3816" si="1838">SUM(J3048+J3240+J3432+J3624)</f>
        <v>25346</v>
      </c>
      <c r="K3816" s="1">
        <f t="shared" si="1838"/>
        <v>364754</v>
      </c>
      <c r="L3816" s="1">
        <f t="shared" si="1762"/>
        <v>390100</v>
      </c>
      <c r="M3816" s="2">
        <f t="shared" si="1763"/>
        <v>6.4973083824660341E-2</v>
      </c>
      <c r="N3816" s="2">
        <f t="shared" si="1764"/>
        <v>0.93502691617533962</v>
      </c>
    </row>
    <row r="3817" spans="1:14" x14ac:dyDescent="0.35">
      <c r="A3817" t="s">
        <v>36</v>
      </c>
      <c r="B3817" t="s">
        <v>29</v>
      </c>
      <c r="C3817">
        <v>2015</v>
      </c>
      <c r="D3817" t="s">
        <v>33</v>
      </c>
      <c r="E3817" s="1">
        <f t="shared" ref="E3817:F3817" si="1839">SUM(E3049+E3241+E3433+E3625)</f>
        <v>48010</v>
      </c>
      <c r="F3817" s="1">
        <f t="shared" si="1839"/>
        <v>154185</v>
      </c>
      <c r="G3817" s="1">
        <f t="shared" si="1734"/>
        <v>202195</v>
      </c>
      <c r="H3817" s="2">
        <f t="shared" si="1735"/>
        <v>0.23744405153440984</v>
      </c>
      <c r="I3817" s="2">
        <f t="shared" si="1736"/>
        <v>0.76255594846559016</v>
      </c>
      <c r="J3817" s="1">
        <f t="shared" ref="J3817:K3817" si="1840">SUM(J3049+J3241+J3433+J3625)</f>
        <v>33475</v>
      </c>
      <c r="K3817" s="1">
        <f t="shared" si="1840"/>
        <v>411620</v>
      </c>
      <c r="L3817" s="1">
        <f t="shared" si="1762"/>
        <v>445095</v>
      </c>
      <c r="M3817" s="2">
        <f t="shared" si="1763"/>
        <v>7.5208663319066713E-2</v>
      </c>
      <c r="N3817" s="2">
        <f t="shared" si="1764"/>
        <v>0.92479133668093327</v>
      </c>
    </row>
    <row r="3818" spans="1:14" x14ac:dyDescent="0.35">
      <c r="A3818" t="s">
        <v>36</v>
      </c>
      <c r="B3818" t="s">
        <v>17</v>
      </c>
      <c r="C3818">
        <v>2016</v>
      </c>
      <c r="D3818" t="s">
        <v>33</v>
      </c>
      <c r="E3818" s="1">
        <f t="shared" ref="E3818:F3818" si="1841">SUM(E3050+E3242+E3434+E3626)</f>
        <v>47761</v>
      </c>
      <c r="F3818" s="1">
        <f t="shared" si="1841"/>
        <v>154969</v>
      </c>
      <c r="G3818" s="1">
        <f t="shared" si="1734"/>
        <v>202730</v>
      </c>
      <c r="H3818" s="2">
        <f t="shared" si="1735"/>
        <v>0.2355892073200809</v>
      </c>
      <c r="I3818" s="2">
        <f t="shared" si="1736"/>
        <v>0.76441079267991907</v>
      </c>
      <c r="J3818" s="1">
        <f t="shared" ref="J3818:K3818" si="1842">SUM(J3050+J3242+J3434+J3626)</f>
        <v>41630</v>
      </c>
      <c r="K3818" s="1">
        <f t="shared" si="1842"/>
        <v>441495</v>
      </c>
      <c r="L3818" s="1">
        <f t="shared" si="1762"/>
        <v>483125</v>
      </c>
      <c r="M3818" s="2">
        <f t="shared" si="1763"/>
        <v>8.6168175937904268E-2</v>
      </c>
      <c r="N3818" s="2">
        <f t="shared" si="1764"/>
        <v>0.91383182406209573</v>
      </c>
    </row>
    <row r="3819" spans="1:14" x14ac:dyDescent="0.35">
      <c r="A3819" t="s">
        <v>36</v>
      </c>
      <c r="B3819" t="s">
        <v>19</v>
      </c>
      <c r="C3819">
        <v>2016</v>
      </c>
      <c r="D3819" t="s">
        <v>33</v>
      </c>
      <c r="E3819" s="1">
        <f t="shared" ref="E3819:F3819" si="1843">SUM(E3051+E3243+E3435+E3627)</f>
        <v>47309</v>
      </c>
      <c r="F3819" s="1">
        <f t="shared" si="1843"/>
        <v>156588</v>
      </c>
      <c r="G3819" s="1">
        <f t="shared" si="1734"/>
        <v>203897</v>
      </c>
      <c r="H3819" s="2">
        <f t="shared" si="1735"/>
        <v>0.23202401212376839</v>
      </c>
      <c r="I3819" s="2">
        <f t="shared" si="1736"/>
        <v>0.76797598787623167</v>
      </c>
      <c r="J3819" s="1">
        <f t="shared" ref="J3819:K3819" si="1844">SUM(J3051+J3243+J3435+J3627)</f>
        <v>32917</v>
      </c>
      <c r="K3819" s="1">
        <f t="shared" si="1844"/>
        <v>393401</v>
      </c>
      <c r="L3819" s="1">
        <f t="shared" si="1762"/>
        <v>426318</v>
      </c>
      <c r="M3819" s="2">
        <f t="shared" si="1763"/>
        <v>7.721231568922729E-2</v>
      </c>
      <c r="N3819" s="2">
        <f t="shared" si="1764"/>
        <v>0.92278768431077274</v>
      </c>
    </row>
    <row r="3820" spans="1:14" x14ac:dyDescent="0.35">
      <c r="A3820" t="s">
        <v>36</v>
      </c>
      <c r="B3820" t="s">
        <v>20</v>
      </c>
      <c r="C3820">
        <v>2016</v>
      </c>
      <c r="D3820" t="s">
        <v>33</v>
      </c>
      <c r="E3820" s="1">
        <f t="shared" ref="E3820:F3820" si="1845">SUM(E3052+E3244+E3436+E3628)</f>
        <v>46821</v>
      </c>
      <c r="F3820" s="1">
        <f t="shared" si="1845"/>
        <v>156084</v>
      </c>
      <c r="G3820" s="1">
        <f t="shared" si="1734"/>
        <v>202905</v>
      </c>
      <c r="H3820" s="2">
        <f t="shared" si="1735"/>
        <v>0.23075330819841797</v>
      </c>
      <c r="I3820" s="2">
        <f t="shared" si="1736"/>
        <v>0.76924669180158201</v>
      </c>
      <c r="J3820" s="1">
        <f t="shared" ref="J3820:K3820" si="1846">SUM(J3052+J3244+J3436+J3628)</f>
        <v>25188</v>
      </c>
      <c r="K3820" s="1">
        <f t="shared" si="1846"/>
        <v>359610</v>
      </c>
      <c r="L3820" s="1">
        <f t="shared" si="1762"/>
        <v>384798</v>
      </c>
      <c r="M3820" s="2">
        <f t="shared" si="1763"/>
        <v>6.5457720674223882E-2</v>
      </c>
      <c r="N3820" s="2">
        <f t="shared" si="1764"/>
        <v>0.93454227932577616</v>
      </c>
    </row>
    <row r="3821" spans="1:14" x14ac:dyDescent="0.35">
      <c r="A3821" t="s">
        <v>36</v>
      </c>
      <c r="B3821" t="s">
        <v>21</v>
      </c>
      <c r="C3821">
        <v>2016</v>
      </c>
      <c r="D3821" t="s">
        <v>33</v>
      </c>
      <c r="E3821" s="1">
        <f t="shared" ref="E3821:F3821" si="1847">SUM(E3053+E3245+E3437+E3629)</f>
        <v>46198</v>
      </c>
      <c r="F3821" s="1">
        <f t="shared" si="1847"/>
        <v>156950</v>
      </c>
      <c r="G3821" s="1">
        <f t="shared" si="1734"/>
        <v>203148</v>
      </c>
      <c r="H3821" s="2">
        <f t="shared" si="1735"/>
        <v>0.22741055781991454</v>
      </c>
      <c r="I3821" s="2">
        <f t="shared" si="1736"/>
        <v>0.77258944218008541</v>
      </c>
      <c r="J3821" s="1">
        <f t="shared" ref="J3821:K3821" si="1848">SUM(J3053+J3245+J3437+J3629)</f>
        <v>23746</v>
      </c>
      <c r="K3821" s="1">
        <f t="shared" si="1848"/>
        <v>362580</v>
      </c>
      <c r="L3821" s="1">
        <f t="shared" si="1762"/>
        <v>386326</v>
      </c>
      <c r="M3821" s="2">
        <f t="shared" si="1763"/>
        <v>6.1466222827353062E-2</v>
      </c>
      <c r="N3821" s="2">
        <f t="shared" si="1764"/>
        <v>0.93853377717264697</v>
      </c>
    </row>
    <row r="3822" spans="1:14" x14ac:dyDescent="0.35">
      <c r="A3822" t="s">
        <v>36</v>
      </c>
      <c r="B3822" t="s">
        <v>22</v>
      </c>
      <c r="C3822">
        <v>2016</v>
      </c>
      <c r="D3822" t="s">
        <v>33</v>
      </c>
      <c r="E3822" s="1">
        <f t="shared" ref="E3822:F3822" si="1849">SUM(E3054+E3246+E3438+E3630)</f>
        <v>45781</v>
      </c>
      <c r="F3822" s="1">
        <f t="shared" si="1849"/>
        <v>158325</v>
      </c>
      <c r="G3822" s="1">
        <f t="shared" si="1734"/>
        <v>204106</v>
      </c>
      <c r="H3822" s="2">
        <f t="shared" si="1735"/>
        <v>0.22430011856584323</v>
      </c>
      <c r="I3822" s="2">
        <f t="shared" si="1736"/>
        <v>0.7756998814341568</v>
      </c>
      <c r="J3822" s="1">
        <f t="shared" ref="J3822:K3822" si="1850">SUM(J3054+J3246+J3438+J3630)</f>
        <v>24222</v>
      </c>
      <c r="K3822" s="1">
        <f t="shared" si="1850"/>
        <v>365276</v>
      </c>
      <c r="L3822" s="1">
        <f t="shared" si="1762"/>
        <v>389498</v>
      </c>
      <c r="M3822" s="2">
        <f t="shared" si="1763"/>
        <v>6.2187739089802775E-2</v>
      </c>
      <c r="N3822" s="2">
        <f t="shared" si="1764"/>
        <v>0.9378122609101972</v>
      </c>
    </row>
    <row r="3823" spans="1:14" x14ac:dyDescent="0.35">
      <c r="A3823" t="s">
        <v>36</v>
      </c>
      <c r="B3823" t="s">
        <v>23</v>
      </c>
      <c r="C3823">
        <v>2016</v>
      </c>
      <c r="D3823" t="s">
        <v>33</v>
      </c>
      <c r="E3823" s="1">
        <f t="shared" ref="E3823:F3823" si="1851">SUM(E3055+E3247+E3439+E3631)</f>
        <v>45191</v>
      </c>
      <c r="F3823" s="1">
        <f t="shared" si="1851"/>
        <v>157798</v>
      </c>
      <c r="G3823" s="1">
        <f t="shared" si="1734"/>
        <v>202989</v>
      </c>
      <c r="H3823" s="2">
        <f t="shared" si="1735"/>
        <v>0.22262782712363724</v>
      </c>
      <c r="I3823" s="2">
        <f t="shared" si="1736"/>
        <v>0.77737217287636273</v>
      </c>
      <c r="J3823" s="1">
        <f t="shared" ref="J3823:K3823" si="1852">SUM(J3055+J3247+J3439+J3631)</f>
        <v>32645</v>
      </c>
      <c r="K3823" s="1">
        <f t="shared" si="1852"/>
        <v>428021</v>
      </c>
      <c r="L3823" s="1">
        <f t="shared" si="1762"/>
        <v>460666</v>
      </c>
      <c r="M3823" s="2">
        <f t="shared" si="1763"/>
        <v>7.0864791410696681E-2</v>
      </c>
      <c r="N3823" s="2">
        <f t="shared" si="1764"/>
        <v>0.92913520858930332</v>
      </c>
    </row>
    <row r="3824" spans="1:14" x14ac:dyDescent="0.35">
      <c r="A3824" t="s">
        <v>36</v>
      </c>
      <c r="B3824" t="s">
        <v>24</v>
      </c>
      <c r="C3824">
        <v>2016</v>
      </c>
      <c r="D3824" t="s">
        <v>33</v>
      </c>
      <c r="E3824" s="1">
        <f t="shared" ref="E3824:F3824" si="1853">SUM(E3056+E3248+E3440+E3632)</f>
        <v>44905</v>
      </c>
      <c r="F3824" s="1">
        <f t="shared" si="1853"/>
        <v>159100</v>
      </c>
      <c r="G3824" s="1">
        <f t="shared" si="1734"/>
        <v>204005</v>
      </c>
      <c r="H3824" s="2">
        <f t="shared" si="1735"/>
        <v>0.22011715399132376</v>
      </c>
      <c r="I3824" s="2">
        <f t="shared" si="1736"/>
        <v>0.7798828460086763</v>
      </c>
      <c r="J3824" s="1">
        <f t="shared" ref="J3824:K3824" si="1854">SUM(J3056+J3248+J3440+J3632)</f>
        <v>45823.021000000001</v>
      </c>
      <c r="K3824" s="1">
        <f t="shared" si="1854"/>
        <v>505275.56400000001</v>
      </c>
      <c r="L3824" s="1">
        <f t="shared" si="1762"/>
        <v>551098.58499999996</v>
      </c>
      <c r="M3824" s="2">
        <f t="shared" si="1763"/>
        <v>8.3148500553671359E-2</v>
      </c>
      <c r="N3824" s="2">
        <f t="shared" si="1764"/>
        <v>0.91685149944632871</v>
      </c>
    </row>
    <row r="3825" spans="1:14" x14ac:dyDescent="0.35">
      <c r="A3825" t="s">
        <v>36</v>
      </c>
      <c r="B3825" t="s">
        <v>25</v>
      </c>
      <c r="C3825">
        <v>2016</v>
      </c>
      <c r="D3825" t="s">
        <v>33</v>
      </c>
      <c r="E3825" s="1">
        <f t="shared" ref="E3825:F3825" si="1855">SUM(E3057+E3249+E3441+E3633)</f>
        <v>44222</v>
      </c>
      <c r="F3825" s="1">
        <f t="shared" si="1855"/>
        <v>159828</v>
      </c>
      <c r="G3825" s="1">
        <f t="shared" si="1734"/>
        <v>204050</v>
      </c>
      <c r="H3825" s="2">
        <f t="shared" si="1735"/>
        <v>0.21672139181573144</v>
      </c>
      <c r="I3825" s="2">
        <f t="shared" si="1736"/>
        <v>0.78327860818426853</v>
      </c>
      <c r="J3825" s="1">
        <f t="shared" ref="J3825:K3825" si="1856">SUM(J3057+J3249+J3441+J3633)</f>
        <v>47940.588000000003</v>
      </c>
      <c r="K3825" s="1">
        <f t="shared" si="1856"/>
        <v>516837.26199999999</v>
      </c>
      <c r="L3825" s="1">
        <f t="shared" si="1762"/>
        <v>564777.85</v>
      </c>
      <c r="M3825" s="2">
        <f t="shared" si="1763"/>
        <v>8.4883973406534988E-2</v>
      </c>
      <c r="N3825" s="2">
        <f t="shared" si="1764"/>
        <v>0.91511602659346503</v>
      </c>
    </row>
    <row r="3826" spans="1:14" x14ac:dyDescent="0.35">
      <c r="A3826" t="s">
        <v>36</v>
      </c>
      <c r="B3826" t="s">
        <v>26</v>
      </c>
      <c r="C3826">
        <v>2016</v>
      </c>
      <c r="D3826" t="s">
        <v>33</v>
      </c>
      <c r="E3826" s="1">
        <f t="shared" ref="E3826:F3826" si="1857">SUM(E3058+E3250+E3442+E3634)</f>
        <v>43516</v>
      </c>
      <c r="F3826" s="1">
        <f t="shared" si="1857"/>
        <v>159540</v>
      </c>
      <c r="G3826" s="1">
        <f t="shared" si="1734"/>
        <v>203056</v>
      </c>
      <c r="H3826" s="2">
        <f t="shared" si="1735"/>
        <v>0.21430541328500513</v>
      </c>
      <c r="I3826" s="2">
        <f t="shared" si="1736"/>
        <v>0.78569458671499492</v>
      </c>
      <c r="J3826" s="1">
        <f t="shared" ref="J3826:K3826" si="1858">SUM(J3058+J3250+J3442+J3634)</f>
        <v>38049.230000000003</v>
      </c>
      <c r="K3826" s="1">
        <f t="shared" si="1858"/>
        <v>466841.43400000001</v>
      </c>
      <c r="L3826" s="1">
        <f t="shared" si="1762"/>
        <v>504890.66399999999</v>
      </c>
      <c r="M3826" s="2">
        <f t="shared" si="1763"/>
        <v>7.5361326150407887E-2</v>
      </c>
      <c r="N3826" s="2">
        <f t="shared" si="1764"/>
        <v>0.9246386738495922</v>
      </c>
    </row>
    <row r="3827" spans="1:14" x14ac:dyDescent="0.35">
      <c r="A3827" t="s">
        <v>36</v>
      </c>
      <c r="B3827" t="s">
        <v>27</v>
      </c>
      <c r="C3827">
        <v>2016</v>
      </c>
      <c r="D3827" t="s">
        <v>33</v>
      </c>
      <c r="E3827" s="1">
        <f t="shared" ref="E3827:F3827" si="1859">SUM(E3059+E3251+E3443+E3635)</f>
        <v>43019</v>
      </c>
      <c r="F3827" s="1">
        <f t="shared" si="1859"/>
        <v>159911</v>
      </c>
      <c r="G3827" s="1">
        <f t="shared" si="1734"/>
        <v>202930</v>
      </c>
      <c r="H3827" s="2">
        <f t="shared" si="1735"/>
        <v>0.21198935593554427</v>
      </c>
      <c r="I3827" s="2">
        <f t="shared" si="1736"/>
        <v>0.78801064406445576</v>
      </c>
      <c r="J3827" s="1">
        <f t="shared" ref="J3827:K3827" si="1860">SUM(J3059+J3251+J3443+J3635)</f>
        <v>29372</v>
      </c>
      <c r="K3827" s="1">
        <f t="shared" si="1860"/>
        <v>424514</v>
      </c>
      <c r="L3827" s="1">
        <f t="shared" si="1762"/>
        <v>453886</v>
      </c>
      <c r="M3827" s="2">
        <f t="shared" si="1763"/>
        <v>6.4712284582472246E-2</v>
      </c>
      <c r="N3827" s="2">
        <f t="shared" si="1764"/>
        <v>0.93528771541752775</v>
      </c>
    </row>
    <row r="3828" spans="1:14" x14ac:dyDescent="0.35">
      <c r="A3828" t="s">
        <v>36</v>
      </c>
      <c r="B3828" t="s">
        <v>28</v>
      </c>
      <c r="C3828">
        <v>2016</v>
      </c>
      <c r="D3828" t="s">
        <v>33</v>
      </c>
      <c r="E3828" s="1">
        <f t="shared" ref="E3828:F3828" si="1861">SUM(E3060+E3252+E3444+E3636)</f>
        <v>40537</v>
      </c>
      <c r="F3828" s="1">
        <f t="shared" si="1861"/>
        <v>153100</v>
      </c>
      <c r="G3828" s="1">
        <f t="shared" si="1734"/>
        <v>193637</v>
      </c>
      <c r="H3828" s="2">
        <f t="shared" si="1735"/>
        <v>0.2093453214003522</v>
      </c>
      <c r="I3828" s="2">
        <f t="shared" si="1736"/>
        <v>0.79065467859964778</v>
      </c>
      <c r="J3828" s="1">
        <f t="shared" ref="J3828:K3828" si="1862">SUM(J3060+J3252+J3444+J3636)</f>
        <v>22146</v>
      </c>
      <c r="K3828" s="1">
        <f t="shared" si="1862"/>
        <v>357164</v>
      </c>
      <c r="L3828" s="1">
        <f t="shared" si="1762"/>
        <v>379310</v>
      </c>
      <c r="M3828" s="2">
        <f t="shared" si="1763"/>
        <v>5.8384962168147425E-2</v>
      </c>
      <c r="N3828" s="2">
        <f t="shared" si="1764"/>
        <v>0.94161503783185252</v>
      </c>
    </row>
    <row r="3829" spans="1:14" x14ac:dyDescent="0.35">
      <c r="A3829" t="s">
        <v>36</v>
      </c>
      <c r="B3829" t="s">
        <v>29</v>
      </c>
      <c r="C3829">
        <v>2016</v>
      </c>
      <c r="D3829" t="s">
        <v>33</v>
      </c>
      <c r="E3829" s="1">
        <f t="shared" ref="E3829:F3829" si="1863">SUM(E3061+E3253+E3445+E3637)</f>
        <v>42139</v>
      </c>
      <c r="F3829" s="1">
        <f t="shared" si="1863"/>
        <v>160831</v>
      </c>
      <c r="G3829" s="1">
        <f t="shared" si="1734"/>
        <v>202970</v>
      </c>
      <c r="H3829" s="2">
        <f t="shared" si="1735"/>
        <v>0.20761196235896931</v>
      </c>
      <c r="I3829" s="2">
        <f t="shared" si="1736"/>
        <v>0.79238803764103072</v>
      </c>
      <c r="J3829" s="1">
        <f t="shared" ref="J3829:K3829" si="1864">SUM(J3061+J3253+J3445+J3637)</f>
        <v>28283</v>
      </c>
      <c r="K3829" s="1">
        <f t="shared" si="1864"/>
        <v>417446</v>
      </c>
      <c r="L3829" s="1">
        <f t="shared" si="1762"/>
        <v>445729</v>
      </c>
      <c r="M3829" s="2">
        <f t="shared" si="1763"/>
        <v>6.3453353943764029E-2</v>
      </c>
      <c r="N3829" s="2">
        <f t="shared" si="1764"/>
        <v>0.93654664605623594</v>
      </c>
    </row>
    <row r="3830" spans="1:14" x14ac:dyDescent="0.35">
      <c r="A3830" t="s">
        <v>36</v>
      </c>
      <c r="B3830" t="s">
        <v>17</v>
      </c>
      <c r="C3830">
        <v>2017</v>
      </c>
      <c r="D3830" t="s">
        <v>33</v>
      </c>
      <c r="E3830" s="1">
        <f t="shared" ref="E3830:F3830" si="1865">SUM(E3062+E3254+E3446+E3638)</f>
        <v>41843</v>
      </c>
      <c r="F3830" s="1">
        <f t="shared" si="1865"/>
        <v>161013</v>
      </c>
      <c r="G3830" s="1">
        <f t="shared" si="1734"/>
        <v>202856</v>
      </c>
      <c r="H3830" s="2">
        <f t="shared" si="1735"/>
        <v>0.20626947194068698</v>
      </c>
      <c r="I3830" s="2">
        <f t="shared" si="1736"/>
        <v>0.79373052805931299</v>
      </c>
      <c r="J3830" s="1">
        <f t="shared" ref="J3830:K3830" si="1866">SUM(J3062+J3254+J3446+J3638)</f>
        <v>35591</v>
      </c>
      <c r="K3830" s="1">
        <f t="shared" si="1866"/>
        <v>436155</v>
      </c>
      <c r="L3830" s="1">
        <f t="shared" si="1762"/>
        <v>471746</v>
      </c>
      <c r="M3830" s="2">
        <f t="shared" si="1763"/>
        <v>7.5445260797123881E-2</v>
      </c>
      <c r="N3830" s="2">
        <f t="shared" si="1764"/>
        <v>0.92455473920287612</v>
      </c>
    </row>
    <row r="3831" spans="1:14" x14ac:dyDescent="0.35">
      <c r="A3831" t="s">
        <v>36</v>
      </c>
      <c r="B3831" t="s">
        <v>19</v>
      </c>
      <c r="C3831">
        <v>2017</v>
      </c>
      <c r="D3831" t="s">
        <v>33</v>
      </c>
      <c r="E3831" s="1">
        <f t="shared" ref="E3831:F3831" si="1867">SUM(E3063+E3255+E3447+E3639)</f>
        <v>37570</v>
      </c>
      <c r="F3831" s="1">
        <f t="shared" si="1867"/>
        <v>148358</v>
      </c>
      <c r="G3831" s="1">
        <f t="shared" ref="G3831:G3841" si="1868">SUM(E3831:F3831)</f>
        <v>185928</v>
      </c>
      <c r="H3831" s="2">
        <f t="shared" ref="H3831:H3841" si="1869">SUM(E3831)/G3831</f>
        <v>0.20206746697646399</v>
      </c>
      <c r="I3831" s="2">
        <f t="shared" ref="I3831:I3841" si="1870">SUM(F3831/G3831)</f>
        <v>0.79793253302353595</v>
      </c>
      <c r="J3831" s="1">
        <f t="shared" ref="J3831:K3831" si="1871">SUM(J3063+J3255+J3447+J3639)</f>
        <v>25274</v>
      </c>
      <c r="K3831" s="1">
        <f t="shared" si="1871"/>
        <v>355992</v>
      </c>
      <c r="L3831" s="1">
        <f t="shared" si="1762"/>
        <v>381266</v>
      </c>
      <c r="M3831" s="2">
        <f t="shared" si="1763"/>
        <v>6.6289677023390489E-2</v>
      </c>
      <c r="N3831" s="2">
        <f t="shared" si="1764"/>
        <v>0.9337103229766095</v>
      </c>
    </row>
    <row r="3832" spans="1:14" x14ac:dyDescent="0.35">
      <c r="A3832" t="s">
        <v>36</v>
      </c>
      <c r="B3832" t="s">
        <v>20</v>
      </c>
      <c r="C3832">
        <v>2017</v>
      </c>
      <c r="D3832" t="s">
        <v>33</v>
      </c>
      <c r="E3832" s="1">
        <f t="shared" ref="E3832:F3832" si="1872">SUM(E3064+E3256+E3448+E3640)</f>
        <v>40775</v>
      </c>
      <c r="F3832" s="1">
        <f t="shared" si="1872"/>
        <v>161791</v>
      </c>
      <c r="G3832" s="1">
        <f t="shared" si="1868"/>
        <v>202566</v>
      </c>
      <c r="H3832" s="2">
        <f t="shared" si="1869"/>
        <v>0.20129241827355035</v>
      </c>
      <c r="I3832" s="2">
        <f t="shared" si="1870"/>
        <v>0.79870758172644962</v>
      </c>
      <c r="J3832" s="1">
        <f t="shared" ref="J3832:K3832" si="1873">SUM(J3064+J3256+J3448+J3640)</f>
        <v>21650</v>
      </c>
      <c r="K3832" s="1">
        <f t="shared" si="1873"/>
        <v>365877</v>
      </c>
      <c r="L3832" s="1">
        <f t="shared" si="1762"/>
        <v>387527</v>
      </c>
      <c r="M3832" s="2">
        <f t="shared" si="1763"/>
        <v>5.5867075068317819E-2</v>
      </c>
      <c r="N3832" s="2">
        <f t="shared" si="1764"/>
        <v>0.94413292493168222</v>
      </c>
    </row>
    <row r="3833" spans="1:14" x14ac:dyDescent="0.35">
      <c r="A3833" t="s">
        <v>36</v>
      </c>
      <c r="B3833" t="s">
        <v>21</v>
      </c>
      <c r="C3833">
        <v>2017</v>
      </c>
      <c r="D3833" t="s">
        <v>33</v>
      </c>
      <c r="E3833" s="1">
        <f t="shared" ref="E3833:F3833" si="1874">SUM(E3065+E3257+E3449+E3641)</f>
        <v>40499</v>
      </c>
      <c r="F3833" s="1">
        <f t="shared" si="1874"/>
        <v>162569</v>
      </c>
      <c r="G3833" s="1">
        <f t="shared" si="1868"/>
        <v>203068</v>
      </c>
      <c r="H3833" s="2">
        <f t="shared" si="1869"/>
        <v>0.19943565702129337</v>
      </c>
      <c r="I3833" s="2">
        <f t="shared" si="1870"/>
        <v>0.8005643429787066</v>
      </c>
      <c r="J3833" s="1">
        <f t="shared" ref="J3833:K3833" si="1875">SUM(J3065+J3257+J3449+J3641)</f>
        <v>20797</v>
      </c>
      <c r="K3833" s="1">
        <f t="shared" si="1875"/>
        <v>367112</v>
      </c>
      <c r="L3833" s="1">
        <f t="shared" si="1762"/>
        <v>387909</v>
      </c>
      <c r="M3833" s="2">
        <f t="shared" si="1763"/>
        <v>5.3613089667937583E-2</v>
      </c>
      <c r="N3833" s="2">
        <f t="shared" si="1764"/>
        <v>0.94638691033206246</v>
      </c>
    </row>
    <row r="3834" spans="1:14" x14ac:dyDescent="0.35">
      <c r="A3834" t="s">
        <v>36</v>
      </c>
      <c r="B3834" t="s">
        <v>22</v>
      </c>
      <c r="C3834">
        <v>2017</v>
      </c>
      <c r="D3834" t="s">
        <v>33</v>
      </c>
      <c r="E3834" s="1">
        <f t="shared" ref="E3834:F3834" si="1876">SUM(E3066+E3258+E3450+E3642)</f>
        <v>40127</v>
      </c>
      <c r="F3834" s="1">
        <f t="shared" si="1876"/>
        <v>163539</v>
      </c>
      <c r="G3834" s="1">
        <f t="shared" si="1868"/>
        <v>203666</v>
      </c>
      <c r="H3834" s="2">
        <f t="shared" si="1869"/>
        <v>0.19702355817858652</v>
      </c>
      <c r="I3834" s="2">
        <f t="shared" si="1870"/>
        <v>0.80297644182141348</v>
      </c>
      <c r="J3834" s="1">
        <f t="shared" ref="J3834:K3834" si="1877">SUM(J3066+J3258+J3450+J3642)</f>
        <v>22150</v>
      </c>
      <c r="K3834" s="1">
        <f t="shared" si="1877"/>
        <v>377165</v>
      </c>
      <c r="L3834" s="1">
        <f t="shared" si="1762"/>
        <v>399315</v>
      </c>
      <c r="M3834" s="2">
        <f t="shared" si="1763"/>
        <v>5.5469992361919788E-2</v>
      </c>
      <c r="N3834" s="2">
        <f t="shared" si="1764"/>
        <v>0.94453000763808026</v>
      </c>
    </row>
    <row r="3835" spans="1:14" x14ac:dyDescent="0.35">
      <c r="A3835" t="s">
        <v>36</v>
      </c>
      <c r="B3835" t="s">
        <v>23</v>
      </c>
      <c r="C3835">
        <v>2017</v>
      </c>
      <c r="D3835" t="s">
        <v>33</v>
      </c>
      <c r="E3835" s="1">
        <f t="shared" ref="E3835:F3835" si="1878">SUM(E3067+E3259+E3451+E3643)</f>
        <v>39771</v>
      </c>
      <c r="F3835" s="1">
        <f t="shared" si="1878"/>
        <v>164091</v>
      </c>
      <c r="G3835" s="1">
        <f t="shared" si="1868"/>
        <v>203862</v>
      </c>
      <c r="H3835" s="2">
        <f t="shared" si="1869"/>
        <v>0.19508785354798835</v>
      </c>
      <c r="I3835" s="2">
        <f t="shared" si="1870"/>
        <v>0.8049121464520117</v>
      </c>
      <c r="J3835" s="1">
        <f t="shared" ref="J3835:K3835" si="1879">SUM(J3067+J3259+J3451+J3643)</f>
        <v>30008</v>
      </c>
      <c r="K3835" s="1">
        <f t="shared" si="1879"/>
        <v>456510</v>
      </c>
      <c r="L3835" s="1">
        <f t="shared" si="1762"/>
        <v>486518</v>
      </c>
      <c r="M3835" s="2">
        <f t="shared" si="1763"/>
        <v>6.1679115675062381E-2</v>
      </c>
      <c r="N3835" s="2">
        <f t="shared" si="1764"/>
        <v>0.93832088432493765</v>
      </c>
    </row>
    <row r="3836" spans="1:14" x14ac:dyDescent="0.35">
      <c r="A3836" t="s">
        <v>36</v>
      </c>
      <c r="B3836" t="s">
        <v>24</v>
      </c>
      <c r="C3836">
        <v>2017</v>
      </c>
      <c r="D3836" t="s">
        <v>33</v>
      </c>
      <c r="E3836" s="1">
        <f t="shared" ref="E3836:F3836" si="1880">SUM(E3068+E3260+E3452+E3644)</f>
        <v>39378</v>
      </c>
      <c r="F3836" s="1">
        <f t="shared" si="1880"/>
        <v>164813</v>
      </c>
      <c r="G3836" s="1">
        <f t="shared" si="1868"/>
        <v>204191</v>
      </c>
      <c r="H3836" s="2">
        <f t="shared" si="1869"/>
        <v>0.19284885230005241</v>
      </c>
      <c r="I3836" s="2">
        <f t="shared" si="1870"/>
        <v>0.80715114769994756</v>
      </c>
      <c r="J3836" s="1">
        <f t="shared" ref="J3836:K3836" si="1881">SUM(J3068+J3260+J3452+J3644)</f>
        <v>38919</v>
      </c>
      <c r="K3836" s="1">
        <f t="shared" si="1881"/>
        <v>511400</v>
      </c>
      <c r="L3836" s="1">
        <f t="shared" si="1762"/>
        <v>550319</v>
      </c>
      <c r="M3836" s="2">
        <f t="shared" si="1763"/>
        <v>7.0720800117749893E-2</v>
      </c>
      <c r="N3836" s="2">
        <f t="shared" si="1764"/>
        <v>0.92927919988225016</v>
      </c>
    </row>
    <row r="3837" spans="1:14" x14ac:dyDescent="0.35">
      <c r="A3837" t="s">
        <v>36</v>
      </c>
      <c r="B3837" t="s">
        <v>25</v>
      </c>
      <c r="C3837">
        <v>2017</v>
      </c>
      <c r="D3837" t="s">
        <v>33</v>
      </c>
      <c r="E3837" s="1">
        <f t="shared" ref="E3837:F3837" si="1882">SUM(E3069+E3261+E3453+E3645)</f>
        <v>38979</v>
      </c>
      <c r="F3837" s="1">
        <f t="shared" si="1882"/>
        <v>165146</v>
      </c>
      <c r="G3837" s="1">
        <f t="shared" si="1868"/>
        <v>204125</v>
      </c>
      <c r="H3837" s="2">
        <f t="shared" si="1869"/>
        <v>0.19095652173913044</v>
      </c>
      <c r="I3837" s="2">
        <f t="shared" si="1870"/>
        <v>0.80904347826086953</v>
      </c>
      <c r="J3837" s="1">
        <f t="shared" ref="J3837:K3837" si="1883">SUM(J3069+J3261+J3453+J3645)</f>
        <v>38916</v>
      </c>
      <c r="K3837" s="1">
        <f t="shared" si="1883"/>
        <v>508629</v>
      </c>
      <c r="L3837" s="1">
        <f t="shared" si="1762"/>
        <v>547545</v>
      </c>
      <c r="M3837" s="2">
        <f t="shared" si="1763"/>
        <v>7.1073610388187269E-2</v>
      </c>
      <c r="N3837" s="2">
        <f t="shared" si="1764"/>
        <v>0.92892638961181273</v>
      </c>
    </row>
    <row r="3838" spans="1:14" x14ac:dyDescent="0.35">
      <c r="A3838" t="s">
        <v>36</v>
      </c>
      <c r="B3838" t="s">
        <v>26</v>
      </c>
      <c r="C3838">
        <v>2017</v>
      </c>
      <c r="D3838" t="s">
        <v>33</v>
      </c>
      <c r="E3838" s="1">
        <f t="shared" ref="E3838:F3838" si="1884">SUM(E3070+E3262+E3454+E3646)</f>
        <v>38398</v>
      </c>
      <c r="F3838" s="1">
        <f t="shared" si="1884"/>
        <v>164639</v>
      </c>
      <c r="G3838" s="1">
        <f t="shared" si="1868"/>
        <v>203037</v>
      </c>
      <c r="H3838" s="2">
        <f t="shared" si="1869"/>
        <v>0.18911823953269602</v>
      </c>
      <c r="I3838" s="2">
        <f t="shared" si="1870"/>
        <v>0.81088176046730398</v>
      </c>
      <c r="J3838" s="1">
        <f t="shared" ref="J3838:K3838" si="1885">SUM(J3070+J3262+J3454+J3646)</f>
        <v>32712</v>
      </c>
      <c r="K3838" s="1">
        <f t="shared" si="1885"/>
        <v>473764</v>
      </c>
      <c r="L3838" s="1">
        <f t="shared" si="1762"/>
        <v>506476</v>
      </c>
      <c r="M3838" s="2">
        <f t="shared" si="1763"/>
        <v>6.4587463176932369E-2</v>
      </c>
      <c r="N3838" s="2">
        <f t="shared" si="1764"/>
        <v>0.93541253682306758</v>
      </c>
    </row>
    <row r="3839" spans="1:14" x14ac:dyDescent="0.35">
      <c r="A3839" t="s">
        <v>36</v>
      </c>
      <c r="B3839" t="s">
        <v>27</v>
      </c>
      <c r="C3839">
        <v>2017</v>
      </c>
      <c r="D3839" t="s">
        <v>33</v>
      </c>
      <c r="E3839" s="1">
        <f t="shared" ref="E3839:F3839" si="1886">SUM(E3071+E3263+E3455+E3647)</f>
        <v>38127</v>
      </c>
      <c r="F3839" s="1">
        <f t="shared" si="1886"/>
        <v>165179</v>
      </c>
      <c r="G3839" s="1">
        <f t="shared" si="1868"/>
        <v>203306</v>
      </c>
      <c r="H3839" s="2">
        <f t="shared" si="1869"/>
        <v>0.18753504569466714</v>
      </c>
      <c r="I3839" s="2">
        <f t="shared" si="1870"/>
        <v>0.81246495430533283</v>
      </c>
      <c r="J3839" s="1">
        <f t="shared" ref="J3839:K3839" si="1887">SUM(J3071+J3263+J3455+J3647)</f>
        <v>26573</v>
      </c>
      <c r="K3839" s="1">
        <f t="shared" si="1887"/>
        <v>442331</v>
      </c>
      <c r="L3839" s="1">
        <f t="shared" si="1762"/>
        <v>468904</v>
      </c>
      <c r="M3839" s="2">
        <f t="shared" si="1763"/>
        <v>5.6670448535307866E-2</v>
      </c>
      <c r="N3839" s="2">
        <f t="shared" si="1764"/>
        <v>0.94332955146469211</v>
      </c>
    </row>
    <row r="3840" spans="1:14" x14ac:dyDescent="0.35">
      <c r="A3840" t="s">
        <v>36</v>
      </c>
      <c r="B3840" t="s">
        <v>28</v>
      </c>
      <c r="C3840">
        <v>2017</v>
      </c>
      <c r="D3840" t="s">
        <v>33</v>
      </c>
      <c r="E3840" s="1">
        <f t="shared" ref="E3840:F3840" si="1888">SUM(E3072+E3264+E3456+E3648)</f>
        <v>37912</v>
      </c>
      <c r="F3840" s="1">
        <f t="shared" si="1888"/>
        <v>165662</v>
      </c>
      <c r="G3840" s="1">
        <f t="shared" si="1868"/>
        <v>203574</v>
      </c>
      <c r="H3840" s="2">
        <f t="shared" si="1869"/>
        <v>0.18623203356027784</v>
      </c>
      <c r="I3840" s="2">
        <f t="shared" si="1870"/>
        <v>0.81376796643972216</v>
      </c>
      <c r="J3840" s="1">
        <f t="shared" ref="J3840:K3840" si="1889">SUM(J3072+J3264+J3456+J3648)</f>
        <v>20313</v>
      </c>
      <c r="K3840" s="1">
        <f t="shared" si="1889"/>
        <v>388768</v>
      </c>
      <c r="L3840" s="1">
        <f t="shared" si="1762"/>
        <v>409081</v>
      </c>
      <c r="M3840" s="2">
        <f t="shared" si="1763"/>
        <v>4.9655202759355727E-2</v>
      </c>
      <c r="N3840" s="2">
        <f t="shared" si="1764"/>
        <v>0.95034479724064425</v>
      </c>
    </row>
    <row r="3841" spans="1:15" x14ac:dyDescent="0.35">
      <c r="A3841" t="s">
        <v>36</v>
      </c>
      <c r="B3841" t="s">
        <v>29</v>
      </c>
      <c r="C3841">
        <v>2017</v>
      </c>
      <c r="D3841" t="s">
        <v>33</v>
      </c>
      <c r="E3841" s="1">
        <f t="shared" ref="E3841:F3841" si="1890">SUM(E3073+E3265+E3457+E3649)</f>
        <v>37507</v>
      </c>
      <c r="F3841" s="1">
        <f t="shared" si="1890"/>
        <v>165904</v>
      </c>
      <c r="G3841" s="1">
        <f t="shared" si="1868"/>
        <v>203411</v>
      </c>
      <c r="H3841" s="2">
        <f t="shared" si="1869"/>
        <v>0.18439022471744398</v>
      </c>
      <c r="I3841" s="2">
        <f t="shared" si="1870"/>
        <v>0.81560977528255596</v>
      </c>
      <c r="J3841" s="1">
        <f t="shared" ref="J3841:K3841" si="1891">SUM(J3073+J3265+J3457+J3649)</f>
        <v>24556</v>
      </c>
      <c r="K3841" s="1">
        <f t="shared" si="1891"/>
        <v>443231</v>
      </c>
      <c r="L3841" s="1">
        <f t="shared" si="1762"/>
        <v>467787</v>
      </c>
      <c r="M3841" s="2">
        <f t="shared" si="1763"/>
        <v>5.2493976959599134E-2</v>
      </c>
      <c r="N3841" s="2">
        <f t="shared" si="1764"/>
        <v>0.94750602304040088</v>
      </c>
    </row>
    <row r="3842" spans="1:15" x14ac:dyDescent="0.35">
      <c r="A3842" t="s">
        <v>37</v>
      </c>
      <c r="B3842" t="s">
        <v>17</v>
      </c>
      <c r="C3842">
        <v>2002</v>
      </c>
      <c r="D3842" t="s">
        <v>18</v>
      </c>
      <c r="E3842" s="16">
        <f>E3843</f>
        <v>162669</v>
      </c>
      <c r="F3842" s="16">
        <v>1335</v>
      </c>
      <c r="G3842" s="1">
        <f>SUM(E3842:F3842)</f>
        <v>164004</v>
      </c>
      <c r="H3842" s="2">
        <f>SUM(E3842)/G3842</f>
        <v>0.99185995463525278</v>
      </c>
      <c r="I3842" s="2">
        <f>SUM(F3842/G3842)</f>
        <v>8.1400453647472015E-3</v>
      </c>
      <c r="J3842" s="3">
        <v>182749.2</v>
      </c>
      <c r="K3842" s="3">
        <v>2061.377</v>
      </c>
      <c r="L3842" s="1">
        <f>SUM(J3842:K3842)</f>
        <v>184810.57700000002</v>
      </c>
      <c r="M3842" s="2">
        <f>SUM(J3842)/L3842</f>
        <v>0.98884600095155806</v>
      </c>
      <c r="N3842" s="2">
        <f>SUM(K3842/L3842)</f>
        <v>1.1153999048441906E-2</v>
      </c>
      <c r="O3842" s="5">
        <f>SUM(1000*L3842)/G3842</f>
        <v>1126.8662776517647</v>
      </c>
    </row>
    <row r="3843" spans="1:15" x14ac:dyDescent="0.35">
      <c r="A3843" t="s">
        <v>37</v>
      </c>
      <c r="B3843" t="s">
        <v>19</v>
      </c>
      <c r="C3843">
        <v>2002</v>
      </c>
      <c r="D3843" t="s">
        <v>18</v>
      </c>
      <c r="E3843" s="16">
        <v>162669</v>
      </c>
      <c r="F3843" s="16">
        <v>2142</v>
      </c>
      <c r="G3843" s="1">
        <f t="shared" ref="G3843:G3853" si="1892">SUM(E3843:F3843)</f>
        <v>164811</v>
      </c>
      <c r="H3843" s="2">
        <f t="shared" ref="H3843:H3853" si="1893">SUM(E3843)/G3843</f>
        <v>0.98700329468300052</v>
      </c>
      <c r="I3843" s="2">
        <f t="shared" ref="I3843:I3853" si="1894">SUM(F3843/G3843)</f>
        <v>1.2996705316999473E-2</v>
      </c>
      <c r="J3843" s="3">
        <v>163710.90700000001</v>
      </c>
      <c r="K3843" s="3">
        <v>2181.962</v>
      </c>
      <c r="L3843" s="1">
        <f t="shared" ref="L3843:L3906" si="1895">SUM(J3843:K3843)</f>
        <v>165892.86900000001</v>
      </c>
      <c r="M3843" s="2">
        <f t="shared" ref="M3843:M3906" si="1896">SUM(J3843)/L3843</f>
        <v>0.98684716218874968</v>
      </c>
      <c r="N3843" s="2">
        <f t="shared" ref="N3843:N3906" si="1897">SUM(K3843/L3843)</f>
        <v>1.3152837811250343E-2</v>
      </c>
      <c r="O3843" s="5">
        <f t="shared" ref="O3843:O3906" si="1898">SUM(1000*L3843)/G3843</f>
        <v>1006.5643009265158</v>
      </c>
    </row>
    <row r="3844" spans="1:15" x14ac:dyDescent="0.35">
      <c r="A3844" t="s">
        <v>37</v>
      </c>
      <c r="B3844" t="s">
        <v>20</v>
      </c>
      <c r="C3844">
        <v>2002</v>
      </c>
      <c r="D3844" t="s">
        <v>18</v>
      </c>
      <c r="E3844" s="16">
        <v>161013</v>
      </c>
      <c r="F3844" s="16">
        <v>2561</v>
      </c>
      <c r="G3844" s="1">
        <f t="shared" si="1892"/>
        <v>163574</v>
      </c>
      <c r="H3844" s="2">
        <f t="shared" si="1893"/>
        <v>0.98434347756978491</v>
      </c>
      <c r="I3844" s="2">
        <f t="shared" si="1894"/>
        <v>1.5656522430215071E-2</v>
      </c>
      <c r="J3844" s="3">
        <v>153604.24</v>
      </c>
      <c r="K3844" s="3">
        <v>2681.9369999999999</v>
      </c>
      <c r="L3844" s="1">
        <f t="shared" si="1895"/>
        <v>156286.177</v>
      </c>
      <c r="M3844" s="2">
        <f t="shared" si="1896"/>
        <v>0.98283957640092501</v>
      </c>
      <c r="N3844" s="2">
        <f t="shared" si="1897"/>
        <v>1.7160423599074919E-2</v>
      </c>
      <c r="O3844" s="5">
        <f t="shared" si="1898"/>
        <v>955.44632398791987</v>
      </c>
    </row>
    <row r="3845" spans="1:15" x14ac:dyDescent="0.35">
      <c r="A3845" t="s">
        <v>37</v>
      </c>
      <c r="B3845" t="s">
        <v>21</v>
      </c>
      <c r="C3845">
        <v>2002</v>
      </c>
      <c r="D3845" t="s">
        <v>18</v>
      </c>
      <c r="E3845" s="16">
        <v>162718</v>
      </c>
      <c r="F3845" s="16">
        <v>3584</v>
      </c>
      <c r="G3845" s="1">
        <f t="shared" si="1892"/>
        <v>166302</v>
      </c>
      <c r="H3845" s="2">
        <f t="shared" si="1893"/>
        <v>0.97844884607521254</v>
      </c>
      <c r="I3845" s="2">
        <f t="shared" si="1894"/>
        <v>2.1551153924787434E-2</v>
      </c>
      <c r="J3845" s="3">
        <v>144466.79399999999</v>
      </c>
      <c r="K3845" s="3">
        <v>3454.1489999999994</v>
      </c>
      <c r="L3845" s="1">
        <f t="shared" si="1895"/>
        <v>147920.943</v>
      </c>
      <c r="M3845" s="2">
        <f t="shared" si="1896"/>
        <v>0.97664868185703757</v>
      </c>
      <c r="N3845" s="2">
        <f t="shared" si="1897"/>
        <v>2.335131814296235E-2</v>
      </c>
      <c r="O3845" s="5">
        <f t="shared" si="1898"/>
        <v>889.47182234729587</v>
      </c>
    </row>
    <row r="3846" spans="1:15" x14ac:dyDescent="0.35">
      <c r="A3846" t="s">
        <v>37</v>
      </c>
      <c r="B3846" t="s">
        <v>22</v>
      </c>
      <c r="C3846">
        <v>2002</v>
      </c>
      <c r="D3846" t="s">
        <v>18</v>
      </c>
      <c r="E3846" s="16">
        <v>162549</v>
      </c>
      <c r="F3846" s="16">
        <v>4055</v>
      </c>
      <c r="G3846" s="1">
        <f t="shared" si="1892"/>
        <v>166604</v>
      </c>
      <c r="H3846" s="2">
        <f t="shared" si="1893"/>
        <v>0.97566084847902812</v>
      </c>
      <c r="I3846" s="2">
        <f t="shared" si="1894"/>
        <v>2.4339151520971887E-2</v>
      </c>
      <c r="J3846" s="3">
        <v>192514.50200000001</v>
      </c>
      <c r="K3846" s="3">
        <v>5005.9590000000007</v>
      </c>
      <c r="L3846" s="1">
        <f t="shared" si="1895"/>
        <v>197520.46100000001</v>
      </c>
      <c r="M3846" s="2">
        <f t="shared" si="1896"/>
        <v>0.97465599779052758</v>
      </c>
      <c r="N3846" s="2">
        <f t="shared" si="1897"/>
        <v>2.5344002209472367E-2</v>
      </c>
      <c r="O3846" s="5">
        <f t="shared" si="1898"/>
        <v>1185.568539770954</v>
      </c>
    </row>
    <row r="3847" spans="1:15" x14ac:dyDescent="0.35">
      <c r="A3847" t="s">
        <v>37</v>
      </c>
      <c r="B3847" t="s">
        <v>23</v>
      </c>
      <c r="C3847">
        <v>2002</v>
      </c>
      <c r="D3847" t="s">
        <v>18</v>
      </c>
      <c r="E3847" s="16">
        <v>162222</v>
      </c>
      <c r="F3847" s="16">
        <v>3416</v>
      </c>
      <c r="G3847" s="1">
        <f t="shared" si="1892"/>
        <v>165638</v>
      </c>
      <c r="H3847" s="2">
        <f t="shared" si="1893"/>
        <v>0.97937671307308705</v>
      </c>
      <c r="I3847" s="2">
        <f t="shared" si="1894"/>
        <v>2.0623286926912905E-2</v>
      </c>
      <c r="J3847" s="3">
        <v>205846.55799999999</v>
      </c>
      <c r="K3847" s="3">
        <v>4774.8150000000005</v>
      </c>
      <c r="L3847" s="1">
        <f t="shared" si="1895"/>
        <v>210621.37299999999</v>
      </c>
      <c r="M3847" s="2">
        <f t="shared" si="1896"/>
        <v>0.9773298648091141</v>
      </c>
      <c r="N3847" s="2">
        <f t="shared" si="1897"/>
        <v>2.2670135190885878E-2</v>
      </c>
      <c r="O3847" s="5">
        <f t="shared" si="1898"/>
        <v>1271.5764075876309</v>
      </c>
    </row>
    <row r="3848" spans="1:15" x14ac:dyDescent="0.35">
      <c r="A3848" t="s">
        <v>37</v>
      </c>
      <c r="B3848" t="s">
        <v>24</v>
      </c>
      <c r="C3848">
        <v>2002</v>
      </c>
      <c r="D3848" t="s">
        <v>18</v>
      </c>
      <c r="E3848" s="16">
        <v>162142</v>
      </c>
      <c r="F3848" s="16">
        <v>5026</v>
      </c>
      <c r="G3848" s="1">
        <f t="shared" si="1892"/>
        <v>167168</v>
      </c>
      <c r="H3848" s="2">
        <f t="shared" si="1893"/>
        <v>0.96993443721286365</v>
      </c>
      <c r="I3848" s="2">
        <f t="shared" si="1894"/>
        <v>3.0065562787136294E-2</v>
      </c>
      <c r="J3848" s="3">
        <v>239359.685</v>
      </c>
      <c r="K3848" s="3">
        <v>7492.7129999999997</v>
      </c>
      <c r="L3848" s="1">
        <f t="shared" si="1895"/>
        <v>246852.39799999999</v>
      </c>
      <c r="M3848" s="2">
        <f t="shared" si="1896"/>
        <v>0.96964699123562903</v>
      </c>
      <c r="N3848" s="2">
        <f t="shared" si="1897"/>
        <v>3.0353008764371008E-2</v>
      </c>
      <c r="O3848" s="5">
        <f t="shared" si="1898"/>
        <v>1476.6725569486982</v>
      </c>
    </row>
    <row r="3849" spans="1:15" x14ac:dyDescent="0.35">
      <c r="A3849" t="s">
        <v>37</v>
      </c>
      <c r="B3849" t="s">
        <v>25</v>
      </c>
      <c r="C3849">
        <v>2002</v>
      </c>
      <c r="D3849" t="s">
        <v>18</v>
      </c>
      <c r="E3849" s="16">
        <v>168044</v>
      </c>
      <c r="F3849" s="16">
        <v>6214</v>
      </c>
      <c r="G3849" s="1">
        <f t="shared" si="1892"/>
        <v>174258</v>
      </c>
      <c r="H3849" s="2">
        <f t="shared" si="1893"/>
        <v>0.96434023115151102</v>
      </c>
      <c r="I3849" s="2">
        <f t="shared" si="1894"/>
        <v>3.5659768848489024E-2</v>
      </c>
      <c r="J3849" s="3">
        <v>266687.78999999998</v>
      </c>
      <c r="K3849" s="3">
        <v>10655.96</v>
      </c>
      <c r="L3849" s="1">
        <f t="shared" si="1895"/>
        <v>277343.75</v>
      </c>
      <c r="M3849" s="2">
        <f t="shared" si="1896"/>
        <v>0.96157851042253517</v>
      </c>
      <c r="N3849" s="2">
        <f t="shared" si="1897"/>
        <v>3.8421489577464787E-2</v>
      </c>
      <c r="O3849" s="5">
        <f t="shared" si="1898"/>
        <v>1591.569684031723</v>
      </c>
    </row>
    <row r="3850" spans="1:15" x14ac:dyDescent="0.35">
      <c r="A3850" t="s">
        <v>37</v>
      </c>
      <c r="B3850" t="s">
        <v>26</v>
      </c>
      <c r="C3850">
        <v>2002</v>
      </c>
      <c r="D3850" t="s">
        <v>18</v>
      </c>
      <c r="E3850" s="16">
        <v>169429</v>
      </c>
      <c r="F3850" s="16">
        <v>6644</v>
      </c>
      <c r="G3850" s="1">
        <f t="shared" si="1892"/>
        <v>176073</v>
      </c>
      <c r="H3850" s="2">
        <f t="shared" si="1893"/>
        <v>0.9622656511787725</v>
      </c>
      <c r="I3850" s="2">
        <f t="shared" si="1894"/>
        <v>3.7734348821227559E-2</v>
      </c>
      <c r="J3850" s="3">
        <v>259399.13</v>
      </c>
      <c r="K3850" s="3">
        <v>11105.63</v>
      </c>
      <c r="L3850" s="1">
        <f t="shared" si="1895"/>
        <v>270504.76</v>
      </c>
      <c r="M3850" s="2">
        <f t="shared" si="1896"/>
        <v>0.95894478899373159</v>
      </c>
      <c r="N3850" s="2">
        <f t="shared" si="1897"/>
        <v>4.1055211006268424E-2</v>
      </c>
      <c r="O3850" s="5">
        <f t="shared" si="1898"/>
        <v>1536.3216393200548</v>
      </c>
    </row>
    <row r="3851" spans="1:15" x14ac:dyDescent="0.35">
      <c r="A3851" t="s">
        <v>37</v>
      </c>
      <c r="B3851" t="s">
        <v>27</v>
      </c>
      <c r="C3851">
        <v>2002</v>
      </c>
      <c r="D3851" t="s">
        <v>18</v>
      </c>
      <c r="E3851" s="8">
        <v>169404</v>
      </c>
      <c r="F3851" s="8">
        <v>7371</v>
      </c>
      <c r="G3851" s="1">
        <f t="shared" si="1892"/>
        <v>176775</v>
      </c>
      <c r="H3851" s="2">
        <f t="shared" si="1893"/>
        <v>0.95830292745014845</v>
      </c>
      <c r="I3851" s="2">
        <f t="shared" si="1894"/>
        <v>4.1697072549851506E-2</v>
      </c>
      <c r="J3851" s="3">
        <v>201088.52</v>
      </c>
      <c r="K3851" s="3">
        <v>9782.2199999999993</v>
      </c>
      <c r="L3851" s="1">
        <f t="shared" si="1895"/>
        <v>210870.74</v>
      </c>
      <c r="M3851" s="2">
        <f t="shared" si="1896"/>
        <v>0.9536103491646114</v>
      </c>
      <c r="N3851" s="2">
        <f t="shared" si="1897"/>
        <v>4.6389650835388541E-2</v>
      </c>
      <c r="O3851" s="5">
        <f t="shared" si="1898"/>
        <v>1192.8764814029132</v>
      </c>
    </row>
    <row r="3852" spans="1:15" x14ac:dyDescent="0.35">
      <c r="A3852" t="s">
        <v>37</v>
      </c>
      <c r="B3852" t="s">
        <v>28</v>
      </c>
      <c r="C3852">
        <v>2002</v>
      </c>
      <c r="D3852" t="s">
        <v>18</v>
      </c>
      <c r="E3852" s="8">
        <v>168652</v>
      </c>
      <c r="F3852" s="8">
        <v>7885</v>
      </c>
      <c r="G3852" s="1">
        <f t="shared" si="1892"/>
        <v>176537</v>
      </c>
      <c r="H3852" s="2">
        <f t="shared" si="1893"/>
        <v>0.95533514220814897</v>
      </c>
      <c r="I3852" s="2">
        <f t="shared" si="1894"/>
        <v>4.4664857791850997E-2</v>
      </c>
      <c r="J3852" s="3">
        <v>135509.38</v>
      </c>
      <c r="K3852" s="3">
        <v>7750.78</v>
      </c>
      <c r="L3852" s="1">
        <f t="shared" si="1895"/>
        <v>143260.16</v>
      </c>
      <c r="M3852" s="2">
        <f t="shared" si="1896"/>
        <v>0.9458971705741499</v>
      </c>
      <c r="N3852" s="2">
        <f t="shared" si="1897"/>
        <v>5.4102829425850145E-2</v>
      </c>
      <c r="O3852" s="5">
        <f t="shared" si="1898"/>
        <v>811.50217801367421</v>
      </c>
    </row>
    <row r="3853" spans="1:15" x14ac:dyDescent="0.35">
      <c r="A3853" t="s">
        <v>37</v>
      </c>
      <c r="B3853" t="s">
        <v>29</v>
      </c>
      <c r="C3853">
        <v>2002</v>
      </c>
      <c r="D3853" t="s">
        <v>18</v>
      </c>
      <c r="E3853" s="8">
        <v>167280</v>
      </c>
      <c r="F3853" s="8">
        <v>8504</v>
      </c>
      <c r="G3853" s="1">
        <f t="shared" si="1892"/>
        <v>175784</v>
      </c>
      <c r="H3853" s="2">
        <f t="shared" si="1893"/>
        <v>0.95162244572884902</v>
      </c>
      <c r="I3853" s="2">
        <f t="shared" si="1894"/>
        <v>4.8377554271150959E-2</v>
      </c>
      <c r="J3853" s="3">
        <v>153054.72</v>
      </c>
      <c r="K3853" s="3">
        <v>10210.06</v>
      </c>
      <c r="L3853" s="1">
        <f t="shared" si="1895"/>
        <v>163264.78</v>
      </c>
      <c r="M3853" s="2">
        <f t="shared" si="1896"/>
        <v>0.93746318097510073</v>
      </c>
      <c r="N3853" s="2">
        <f t="shared" si="1897"/>
        <v>6.2536819024899298E-2</v>
      </c>
      <c r="O3853" s="5">
        <f t="shared" si="1898"/>
        <v>928.78066263141125</v>
      </c>
    </row>
    <row r="3854" spans="1:15" x14ac:dyDescent="0.35">
      <c r="A3854" t="s">
        <v>37</v>
      </c>
      <c r="B3854" t="s">
        <v>17</v>
      </c>
      <c r="C3854">
        <v>2003</v>
      </c>
      <c r="D3854" t="s">
        <v>18</v>
      </c>
      <c r="E3854" s="16">
        <v>159158</v>
      </c>
      <c r="F3854" s="16">
        <v>9210</v>
      </c>
      <c r="G3854" s="1">
        <f>SUM(E3854:F3854)</f>
        <v>168368</v>
      </c>
      <c r="H3854" s="2">
        <f>SUM(E3854)/G3854</f>
        <v>0.9452983939941082</v>
      </c>
      <c r="I3854" s="2">
        <f>SUM(F3854/G3854)</f>
        <v>5.4701606005891856E-2</v>
      </c>
      <c r="J3854" s="3">
        <v>174814</v>
      </c>
      <c r="K3854" s="3">
        <v>11911</v>
      </c>
      <c r="L3854" s="1">
        <f t="shared" si="1895"/>
        <v>186725</v>
      </c>
      <c r="M3854" s="2">
        <f t="shared" si="1896"/>
        <v>0.93621100548935599</v>
      </c>
      <c r="N3854" s="2">
        <f t="shared" si="1897"/>
        <v>6.3788994510644001E-2</v>
      </c>
      <c r="O3854" s="5">
        <f t="shared" si="1898"/>
        <v>1109.0290316449682</v>
      </c>
    </row>
    <row r="3855" spans="1:15" x14ac:dyDescent="0.35">
      <c r="A3855" t="s">
        <v>37</v>
      </c>
      <c r="B3855" t="s">
        <v>19</v>
      </c>
      <c r="C3855">
        <v>2003</v>
      </c>
      <c r="D3855" t="s">
        <v>18</v>
      </c>
      <c r="E3855" s="16">
        <f>158949</f>
        <v>158949</v>
      </c>
      <c r="F3855" s="16">
        <v>9420</v>
      </c>
      <c r="G3855" s="1">
        <f t="shared" ref="G3855:G3865" si="1899">SUM(E3855:F3855)</f>
        <v>168369</v>
      </c>
      <c r="H3855" s="2">
        <f t="shared" ref="H3855:H3865" si="1900">SUM(E3855)/G3855</f>
        <v>0.94405145840386295</v>
      </c>
      <c r="I3855" s="2">
        <f t="shared" ref="I3855:I3865" si="1901">SUM(F3855/G3855)</f>
        <v>5.5948541596137054E-2</v>
      </c>
      <c r="J3855" s="3">
        <v>177676</v>
      </c>
      <c r="K3855" s="3">
        <v>12564</v>
      </c>
      <c r="L3855" s="1">
        <f t="shared" si="1895"/>
        <v>190240</v>
      </c>
      <c r="M3855" s="2">
        <f t="shared" si="1896"/>
        <v>0.93395710681244748</v>
      </c>
      <c r="N3855" s="2">
        <f t="shared" si="1897"/>
        <v>6.6042893187552562E-2</v>
      </c>
      <c r="O3855" s="5">
        <f t="shared" si="1898"/>
        <v>1129.8992094744283</v>
      </c>
    </row>
    <row r="3856" spans="1:15" x14ac:dyDescent="0.35">
      <c r="A3856" t="s">
        <v>37</v>
      </c>
      <c r="B3856" t="s">
        <v>20</v>
      </c>
      <c r="C3856">
        <v>2003</v>
      </c>
      <c r="D3856" t="s">
        <v>18</v>
      </c>
      <c r="E3856" s="16">
        <v>159101</v>
      </c>
      <c r="F3856" s="16">
        <v>9697</v>
      </c>
      <c r="G3856" s="1">
        <f t="shared" si="1899"/>
        <v>168798</v>
      </c>
      <c r="H3856" s="2">
        <f t="shared" si="1900"/>
        <v>0.9425526368795839</v>
      </c>
      <c r="I3856" s="2">
        <f t="shared" si="1901"/>
        <v>5.7447363120416116E-2</v>
      </c>
      <c r="J3856" s="3">
        <v>156502</v>
      </c>
      <c r="K3856" s="3">
        <v>11497</v>
      </c>
      <c r="L3856" s="1">
        <f t="shared" si="1895"/>
        <v>167999</v>
      </c>
      <c r="M3856" s="2">
        <f t="shared" si="1896"/>
        <v>0.93156506883969548</v>
      </c>
      <c r="N3856" s="2">
        <f t="shared" si="1897"/>
        <v>6.8434931160304524E-2</v>
      </c>
      <c r="O3856" s="5">
        <f t="shared" si="1898"/>
        <v>995.2665315939762</v>
      </c>
    </row>
    <row r="3857" spans="1:15" x14ac:dyDescent="0.35">
      <c r="A3857" t="s">
        <v>37</v>
      </c>
      <c r="B3857" t="s">
        <v>21</v>
      </c>
      <c r="C3857">
        <v>2003</v>
      </c>
      <c r="D3857" t="s">
        <v>18</v>
      </c>
      <c r="E3857" s="16">
        <v>159258</v>
      </c>
      <c r="F3857" s="16">
        <v>10047</v>
      </c>
      <c r="G3857" s="1">
        <f t="shared" si="1899"/>
        <v>169305</v>
      </c>
      <c r="H3857" s="2">
        <f t="shared" si="1900"/>
        <v>0.94065739346150434</v>
      </c>
      <c r="I3857" s="2">
        <f t="shared" si="1901"/>
        <v>5.9342606538495615E-2</v>
      </c>
      <c r="J3857" s="3">
        <v>125506.78</v>
      </c>
      <c r="K3857" s="3">
        <v>9014.81</v>
      </c>
      <c r="L3857" s="1">
        <f t="shared" si="1895"/>
        <v>134521.59</v>
      </c>
      <c r="M3857" s="2">
        <f t="shared" si="1896"/>
        <v>0.93298614742808206</v>
      </c>
      <c r="N3857" s="2">
        <f t="shared" si="1897"/>
        <v>6.7013852571918012E-2</v>
      </c>
      <c r="O3857" s="5">
        <f t="shared" si="1898"/>
        <v>794.55178523965628</v>
      </c>
    </row>
    <row r="3858" spans="1:15" x14ac:dyDescent="0.35">
      <c r="A3858" t="s">
        <v>37</v>
      </c>
      <c r="B3858" t="s">
        <v>22</v>
      </c>
      <c r="C3858">
        <v>2003</v>
      </c>
      <c r="D3858" t="s">
        <v>18</v>
      </c>
      <c r="E3858" s="16">
        <v>159770</v>
      </c>
      <c r="F3858" s="16">
        <v>10197</v>
      </c>
      <c r="G3858" s="1">
        <f t="shared" si="1899"/>
        <v>169967</v>
      </c>
      <c r="H3858" s="2">
        <f t="shared" si="1900"/>
        <v>0.94000600116493205</v>
      </c>
      <c r="I3858" s="2">
        <f t="shared" si="1901"/>
        <v>5.9993998835067987E-2</v>
      </c>
      <c r="J3858" s="3">
        <v>171323.55</v>
      </c>
      <c r="K3858" s="3">
        <v>12284.33</v>
      </c>
      <c r="L3858" s="1">
        <f t="shared" si="1895"/>
        <v>183607.87999999998</v>
      </c>
      <c r="M3858" s="2">
        <f t="shared" si="1896"/>
        <v>0.93309475606384651</v>
      </c>
      <c r="N3858" s="2">
        <f t="shared" si="1897"/>
        <v>6.6905243936153505E-2</v>
      </c>
      <c r="O3858" s="5">
        <f t="shared" si="1898"/>
        <v>1080.2560497037659</v>
      </c>
    </row>
    <row r="3859" spans="1:15" x14ac:dyDescent="0.35">
      <c r="A3859" t="s">
        <v>37</v>
      </c>
      <c r="B3859" t="s">
        <v>23</v>
      </c>
      <c r="C3859">
        <v>2003</v>
      </c>
      <c r="D3859" t="s">
        <v>18</v>
      </c>
      <c r="E3859" s="16">
        <v>158892</v>
      </c>
      <c r="F3859" s="16">
        <v>11358</v>
      </c>
      <c r="G3859" s="1">
        <f t="shared" si="1899"/>
        <v>170250</v>
      </c>
      <c r="H3859" s="2">
        <f t="shared" si="1900"/>
        <v>0.93328634361233476</v>
      </c>
      <c r="I3859" s="2">
        <f t="shared" si="1901"/>
        <v>6.6713656387665202E-2</v>
      </c>
      <c r="J3859" s="3">
        <v>221125.46</v>
      </c>
      <c r="K3859" s="3">
        <v>17682.91</v>
      </c>
      <c r="L3859" s="1">
        <f t="shared" si="1895"/>
        <v>238808.37</v>
      </c>
      <c r="M3859" s="2">
        <f t="shared" si="1896"/>
        <v>0.92595355849545813</v>
      </c>
      <c r="N3859" s="2">
        <f t="shared" si="1897"/>
        <v>7.4046441504541913E-2</v>
      </c>
      <c r="O3859" s="5">
        <f t="shared" si="1898"/>
        <v>1402.6923348017622</v>
      </c>
    </row>
    <row r="3860" spans="1:15" x14ac:dyDescent="0.35">
      <c r="A3860" t="s">
        <v>37</v>
      </c>
      <c r="B3860" t="s">
        <v>24</v>
      </c>
      <c r="C3860">
        <v>2003</v>
      </c>
      <c r="D3860" t="s">
        <v>18</v>
      </c>
      <c r="E3860" s="16">
        <v>156331</v>
      </c>
      <c r="F3860" s="16">
        <v>14647</v>
      </c>
      <c r="G3860" s="1">
        <f t="shared" si="1899"/>
        <v>170978</v>
      </c>
      <c r="H3860" s="2">
        <f t="shared" si="1900"/>
        <v>0.91433400788405528</v>
      </c>
      <c r="I3860" s="2">
        <f t="shared" si="1901"/>
        <v>8.5665992115944736E-2</v>
      </c>
      <c r="J3860" s="3">
        <v>245961.12</v>
      </c>
      <c r="K3860" s="3">
        <v>27272.25</v>
      </c>
      <c r="L3860" s="1">
        <f t="shared" si="1895"/>
        <v>273233.37</v>
      </c>
      <c r="M3860" s="2">
        <f t="shared" si="1896"/>
        <v>0.90018697203785902</v>
      </c>
      <c r="N3860" s="2">
        <f t="shared" si="1897"/>
        <v>9.9813027962140935E-2</v>
      </c>
      <c r="O3860" s="5">
        <f t="shared" si="1898"/>
        <v>1598.0615634760027</v>
      </c>
    </row>
    <row r="3861" spans="1:15" x14ac:dyDescent="0.35">
      <c r="A3861" t="s">
        <v>37</v>
      </c>
      <c r="B3861" t="s">
        <v>25</v>
      </c>
      <c r="C3861">
        <v>2003</v>
      </c>
      <c r="D3861" t="s">
        <v>18</v>
      </c>
      <c r="E3861" s="16">
        <v>155133</v>
      </c>
      <c r="F3861" s="16">
        <v>16222</v>
      </c>
      <c r="G3861" s="1">
        <f t="shared" si="1899"/>
        <v>171355</v>
      </c>
      <c r="H3861" s="2">
        <f t="shared" si="1900"/>
        <v>0.90533103790376701</v>
      </c>
      <c r="I3861" s="2">
        <f t="shared" si="1901"/>
        <v>9.4668962096232961E-2</v>
      </c>
      <c r="J3861" s="3">
        <v>265311.03000000003</v>
      </c>
      <c r="K3861" s="3">
        <v>33061.769999999997</v>
      </c>
      <c r="L3861" s="1">
        <f t="shared" si="1895"/>
        <v>298372.80000000005</v>
      </c>
      <c r="M3861" s="2">
        <f t="shared" si="1896"/>
        <v>0.88919308328373092</v>
      </c>
      <c r="N3861" s="2">
        <f t="shared" si="1897"/>
        <v>0.11080691671626902</v>
      </c>
      <c r="O3861" s="5">
        <f t="shared" si="1898"/>
        <v>1741.2552887280794</v>
      </c>
    </row>
    <row r="3862" spans="1:15" x14ac:dyDescent="0.35">
      <c r="A3862" t="s">
        <v>37</v>
      </c>
      <c r="B3862" t="s">
        <v>26</v>
      </c>
      <c r="C3862">
        <v>2003</v>
      </c>
      <c r="D3862" t="s">
        <v>18</v>
      </c>
      <c r="E3862" s="16">
        <v>153748</v>
      </c>
      <c r="F3862" s="16">
        <v>17805</v>
      </c>
      <c r="G3862" s="1">
        <f t="shared" si="1899"/>
        <v>171553</v>
      </c>
      <c r="H3862" s="2">
        <f t="shared" si="1900"/>
        <v>0.8962128321859717</v>
      </c>
      <c r="I3862" s="2">
        <f t="shared" si="1901"/>
        <v>0.10378716781402832</v>
      </c>
      <c r="J3862" s="3">
        <v>225773.99</v>
      </c>
      <c r="K3862" s="3">
        <v>31142.69</v>
      </c>
      <c r="L3862" s="1">
        <f t="shared" si="1895"/>
        <v>256916.68</v>
      </c>
      <c r="M3862" s="2">
        <f t="shared" si="1896"/>
        <v>0.87878291903818773</v>
      </c>
      <c r="N3862" s="2">
        <f t="shared" si="1897"/>
        <v>0.1212170809618122</v>
      </c>
      <c r="O3862" s="5">
        <f t="shared" si="1898"/>
        <v>1497.593629956923</v>
      </c>
    </row>
    <row r="3863" spans="1:15" x14ac:dyDescent="0.35">
      <c r="A3863" t="s">
        <v>37</v>
      </c>
      <c r="B3863" t="s">
        <v>27</v>
      </c>
      <c r="C3863">
        <v>2003</v>
      </c>
      <c r="D3863" t="s">
        <v>18</v>
      </c>
      <c r="E3863" s="16">
        <v>152547</v>
      </c>
      <c r="F3863" s="16">
        <v>19574</v>
      </c>
      <c r="G3863" s="1">
        <f t="shared" si="1899"/>
        <v>172121</v>
      </c>
      <c r="H3863" s="2">
        <f t="shared" si="1900"/>
        <v>0.88627767675065794</v>
      </c>
      <c r="I3863" s="2">
        <f t="shared" si="1901"/>
        <v>0.11372232324934203</v>
      </c>
      <c r="J3863" s="3">
        <v>166489.22</v>
      </c>
      <c r="K3863" s="3">
        <v>25902.19</v>
      </c>
      <c r="L3863" s="1">
        <f t="shared" si="1895"/>
        <v>192391.41</v>
      </c>
      <c r="M3863" s="2">
        <f t="shared" si="1896"/>
        <v>0.86536722195653126</v>
      </c>
      <c r="N3863" s="2">
        <f t="shared" si="1897"/>
        <v>0.13463277804346876</v>
      </c>
      <c r="O3863" s="5">
        <f t="shared" si="1898"/>
        <v>1117.7683722497545</v>
      </c>
    </row>
    <row r="3864" spans="1:15" x14ac:dyDescent="0.35">
      <c r="A3864" t="s">
        <v>37</v>
      </c>
      <c r="B3864" t="s">
        <v>28</v>
      </c>
      <c r="C3864">
        <v>2003</v>
      </c>
      <c r="D3864" t="s">
        <v>18</v>
      </c>
      <c r="E3864" s="16">
        <v>150514</v>
      </c>
      <c r="F3864" s="16">
        <v>21017</v>
      </c>
      <c r="G3864" s="1">
        <f t="shared" si="1899"/>
        <v>171531</v>
      </c>
      <c r="H3864" s="2">
        <f t="shared" si="1900"/>
        <v>0.87747404259288408</v>
      </c>
      <c r="I3864" s="2">
        <f t="shared" si="1901"/>
        <v>0.12252595740711592</v>
      </c>
      <c r="J3864" s="3">
        <v>134994.4</v>
      </c>
      <c r="K3864" s="3">
        <v>22714.14</v>
      </c>
      <c r="L3864" s="1">
        <f t="shared" si="1895"/>
        <v>157708.53999999998</v>
      </c>
      <c r="M3864" s="2">
        <f t="shared" si="1896"/>
        <v>0.85597393774617414</v>
      </c>
      <c r="N3864" s="2">
        <f t="shared" si="1897"/>
        <v>0.14402606225382597</v>
      </c>
      <c r="O3864" s="5">
        <f t="shared" si="1898"/>
        <v>919.41713159720382</v>
      </c>
    </row>
    <row r="3865" spans="1:15" x14ac:dyDescent="0.35">
      <c r="A3865" t="s">
        <v>37</v>
      </c>
      <c r="B3865" t="s">
        <v>29</v>
      </c>
      <c r="C3865">
        <v>2003</v>
      </c>
      <c r="D3865" t="s">
        <v>18</v>
      </c>
      <c r="E3865" s="16">
        <v>150261</v>
      </c>
      <c r="F3865" s="16">
        <v>22623</v>
      </c>
      <c r="G3865" s="1">
        <f t="shared" si="1899"/>
        <v>172884</v>
      </c>
      <c r="H3865" s="2">
        <f t="shared" si="1900"/>
        <v>0.8691434719233706</v>
      </c>
      <c r="I3865" s="2">
        <f t="shared" si="1901"/>
        <v>0.13085652807662942</v>
      </c>
      <c r="J3865" s="3">
        <v>137417.69</v>
      </c>
      <c r="K3865" s="3">
        <v>24497.38</v>
      </c>
      <c r="L3865" s="1">
        <f t="shared" si="1895"/>
        <v>161915.07</v>
      </c>
      <c r="M3865" s="2">
        <f t="shared" si="1896"/>
        <v>0.84870228571065065</v>
      </c>
      <c r="N3865" s="2">
        <f t="shared" si="1897"/>
        <v>0.15129771428934935</v>
      </c>
      <c r="O3865" s="5">
        <f t="shared" si="1898"/>
        <v>936.55323800930103</v>
      </c>
    </row>
    <row r="3866" spans="1:15" x14ac:dyDescent="0.35">
      <c r="A3866" t="s">
        <v>37</v>
      </c>
      <c r="B3866" t="s">
        <v>17</v>
      </c>
      <c r="C3866">
        <v>2004</v>
      </c>
      <c r="D3866" t="s">
        <v>18</v>
      </c>
      <c r="E3866" s="16">
        <v>148642</v>
      </c>
      <c r="F3866" s="16">
        <v>24157</v>
      </c>
      <c r="G3866" s="1">
        <f>SUM(E3866:F3866)</f>
        <v>172799</v>
      </c>
      <c r="H3866" s="2">
        <f>SUM(E3866)/G3866</f>
        <v>0.86020173727857219</v>
      </c>
      <c r="I3866" s="2">
        <f>SUM(F3866/G3866)</f>
        <v>0.13979826272142779</v>
      </c>
      <c r="J3866" s="3">
        <v>155583.95000000001</v>
      </c>
      <c r="K3866" s="3">
        <v>29494.93</v>
      </c>
      <c r="L3866" s="1">
        <f t="shared" si="1895"/>
        <v>185078.88</v>
      </c>
      <c r="M3866" s="2">
        <f t="shared" si="1896"/>
        <v>0.84063589535445649</v>
      </c>
      <c r="N3866" s="2">
        <f t="shared" si="1897"/>
        <v>0.15936410464554357</v>
      </c>
      <c r="O3866" s="5">
        <f t="shared" si="1898"/>
        <v>1071.0645316234468</v>
      </c>
    </row>
    <row r="3867" spans="1:15" x14ac:dyDescent="0.35">
      <c r="A3867" t="s">
        <v>37</v>
      </c>
      <c r="B3867" t="s">
        <v>19</v>
      </c>
      <c r="C3867">
        <v>2004</v>
      </c>
      <c r="D3867" t="s">
        <v>18</v>
      </c>
      <c r="E3867" s="16">
        <v>148195</v>
      </c>
      <c r="F3867" s="9">
        <v>24801</v>
      </c>
      <c r="G3867" s="1">
        <f t="shared" ref="G3867:G3877" si="1902">SUM(E3867:F3867)</f>
        <v>172996</v>
      </c>
      <c r="H3867" s="2">
        <f t="shared" ref="H3867:H3877" si="1903">SUM(E3867)/G3867</f>
        <v>0.85663830377580985</v>
      </c>
      <c r="I3867" s="2">
        <f t="shared" ref="I3867:I3877" si="1904">SUM(F3867/G3867)</f>
        <v>0.14336169622419015</v>
      </c>
      <c r="J3867" s="3">
        <v>156408.28</v>
      </c>
      <c r="K3867" s="3">
        <v>29936.240000000002</v>
      </c>
      <c r="L3867" s="1">
        <f t="shared" si="1895"/>
        <v>186344.52</v>
      </c>
      <c r="M3867" s="2">
        <f t="shared" si="1896"/>
        <v>0.83935003830539268</v>
      </c>
      <c r="N3867" s="2">
        <f t="shared" si="1897"/>
        <v>0.16064996169460741</v>
      </c>
      <c r="O3867" s="5">
        <f t="shared" si="1898"/>
        <v>1077.1608592106177</v>
      </c>
    </row>
    <row r="3868" spans="1:15" x14ac:dyDescent="0.35">
      <c r="A3868" t="s">
        <v>37</v>
      </c>
      <c r="B3868" t="s">
        <v>20</v>
      </c>
      <c r="C3868">
        <v>2004</v>
      </c>
      <c r="D3868" t="s">
        <v>18</v>
      </c>
      <c r="E3868" s="16">
        <v>148085</v>
      </c>
      <c r="F3868" s="16">
        <v>25476</v>
      </c>
      <c r="G3868" s="1">
        <f t="shared" si="1902"/>
        <v>173561</v>
      </c>
      <c r="H3868" s="2">
        <f t="shared" si="1903"/>
        <v>0.85321587222936024</v>
      </c>
      <c r="I3868" s="2">
        <f t="shared" si="1904"/>
        <v>0.14678412777063971</v>
      </c>
      <c r="J3868" s="3">
        <v>130106.6</v>
      </c>
      <c r="K3868" s="3">
        <v>25978.89</v>
      </c>
      <c r="L3868" s="1">
        <f t="shared" si="1895"/>
        <v>156085.49</v>
      </c>
      <c r="M3868" s="2">
        <f t="shared" si="1896"/>
        <v>0.83355986517388647</v>
      </c>
      <c r="N3868" s="2">
        <f t="shared" si="1897"/>
        <v>0.16644013482611356</v>
      </c>
      <c r="O3868" s="5">
        <f t="shared" si="1898"/>
        <v>899.31199981562679</v>
      </c>
    </row>
    <row r="3869" spans="1:15" x14ac:dyDescent="0.35">
      <c r="A3869" t="s">
        <v>37</v>
      </c>
      <c r="B3869" t="s">
        <v>21</v>
      </c>
      <c r="C3869">
        <v>2004</v>
      </c>
      <c r="D3869" t="s">
        <v>18</v>
      </c>
      <c r="E3869" s="16">
        <v>147246</v>
      </c>
      <c r="F3869" s="16">
        <v>26580</v>
      </c>
      <c r="G3869" s="1">
        <f t="shared" si="1902"/>
        <v>173826</v>
      </c>
      <c r="H3869" s="2">
        <f t="shared" si="1903"/>
        <v>0.84708846777812297</v>
      </c>
      <c r="I3869" s="2">
        <f t="shared" si="1904"/>
        <v>0.15291153222187706</v>
      </c>
      <c r="J3869" s="3">
        <v>116646.27</v>
      </c>
      <c r="K3869" s="3">
        <v>25420.71</v>
      </c>
      <c r="L3869" s="1">
        <f t="shared" si="1895"/>
        <v>142066.98000000001</v>
      </c>
      <c r="M3869" s="2">
        <f t="shared" si="1896"/>
        <v>0.82106531721868092</v>
      </c>
      <c r="N3869" s="2">
        <f t="shared" si="1897"/>
        <v>0.17893468278131905</v>
      </c>
      <c r="O3869" s="5">
        <f t="shared" si="1898"/>
        <v>817.29419074246664</v>
      </c>
    </row>
    <row r="3870" spans="1:15" x14ac:dyDescent="0.35">
      <c r="A3870" t="s">
        <v>37</v>
      </c>
      <c r="B3870" t="s">
        <v>22</v>
      </c>
      <c r="C3870">
        <v>2004</v>
      </c>
      <c r="D3870" t="s">
        <v>18</v>
      </c>
      <c r="E3870" s="16">
        <v>145846</v>
      </c>
      <c r="F3870" s="16">
        <v>27951</v>
      </c>
      <c r="G3870" s="1">
        <f t="shared" si="1902"/>
        <v>173797</v>
      </c>
      <c r="H3870" s="2">
        <f t="shared" si="1903"/>
        <v>0.83917443914451917</v>
      </c>
      <c r="I3870" s="2">
        <f t="shared" si="1904"/>
        <v>0.16082556085548083</v>
      </c>
      <c r="J3870" s="3">
        <v>133499.01</v>
      </c>
      <c r="K3870" s="3">
        <v>31525.09</v>
      </c>
      <c r="L3870" s="1">
        <f t="shared" si="1895"/>
        <v>165024.1</v>
      </c>
      <c r="M3870" s="2">
        <f t="shared" si="1896"/>
        <v>0.80896675091698733</v>
      </c>
      <c r="N3870" s="2">
        <f t="shared" si="1897"/>
        <v>0.19103324908301272</v>
      </c>
      <c r="O3870" s="5">
        <f t="shared" si="1898"/>
        <v>949.5221436503507</v>
      </c>
    </row>
    <row r="3871" spans="1:15" x14ac:dyDescent="0.35">
      <c r="A3871" t="s">
        <v>37</v>
      </c>
      <c r="B3871" t="s">
        <v>23</v>
      </c>
      <c r="C3871">
        <v>2004</v>
      </c>
      <c r="D3871" t="s">
        <v>18</v>
      </c>
      <c r="E3871" s="16">
        <v>145526</v>
      </c>
      <c r="F3871" s="16">
        <v>30261</v>
      </c>
      <c r="G3871" s="1">
        <f t="shared" si="1902"/>
        <v>175787</v>
      </c>
      <c r="H3871" s="2">
        <f t="shared" si="1903"/>
        <v>0.82785416441488846</v>
      </c>
      <c r="I3871" s="2">
        <f t="shared" si="1904"/>
        <v>0.17214583558511154</v>
      </c>
      <c r="J3871" s="3">
        <v>193523.73</v>
      </c>
      <c r="K3871" s="3">
        <v>50557.26</v>
      </c>
      <c r="L3871" s="1">
        <f t="shared" si="1895"/>
        <v>244080.99000000002</v>
      </c>
      <c r="M3871" s="2">
        <f t="shared" si="1896"/>
        <v>0.79286686767371761</v>
      </c>
      <c r="N3871" s="2">
        <f t="shared" si="1897"/>
        <v>0.20713313232628233</v>
      </c>
      <c r="O3871" s="5">
        <f t="shared" si="1898"/>
        <v>1388.5042124844274</v>
      </c>
    </row>
    <row r="3872" spans="1:15" x14ac:dyDescent="0.35">
      <c r="A3872" t="s">
        <v>37</v>
      </c>
      <c r="B3872" t="s">
        <v>24</v>
      </c>
      <c r="C3872">
        <v>2004</v>
      </c>
      <c r="D3872" t="s">
        <v>18</v>
      </c>
      <c r="E3872" s="16">
        <v>143092</v>
      </c>
      <c r="F3872" s="16">
        <v>30676</v>
      </c>
      <c r="G3872" s="1">
        <f t="shared" si="1902"/>
        <v>173768</v>
      </c>
      <c r="H3872" s="2">
        <f t="shared" si="1903"/>
        <v>0.82346577045255742</v>
      </c>
      <c r="I3872" s="2">
        <f t="shared" si="1904"/>
        <v>0.17653422954744258</v>
      </c>
      <c r="J3872" s="3">
        <v>209134.86</v>
      </c>
      <c r="K3872" s="3">
        <v>56963.7</v>
      </c>
      <c r="L3872" s="1">
        <f t="shared" si="1895"/>
        <v>266098.56</v>
      </c>
      <c r="M3872" s="2">
        <f t="shared" si="1896"/>
        <v>0.78593007042202701</v>
      </c>
      <c r="N3872" s="2">
        <f t="shared" si="1897"/>
        <v>0.21406992957797291</v>
      </c>
      <c r="O3872" s="5">
        <f t="shared" si="1898"/>
        <v>1531.3438607798905</v>
      </c>
    </row>
    <row r="3873" spans="1:15" x14ac:dyDescent="0.35">
      <c r="A3873" t="s">
        <v>37</v>
      </c>
      <c r="B3873" t="s">
        <v>25</v>
      </c>
      <c r="C3873">
        <v>2004</v>
      </c>
      <c r="D3873" t="s">
        <v>18</v>
      </c>
      <c r="E3873" s="16">
        <v>141553</v>
      </c>
      <c r="F3873" s="16">
        <v>31964</v>
      </c>
      <c r="G3873" s="1">
        <f t="shared" si="1902"/>
        <v>173517</v>
      </c>
      <c r="H3873" s="2">
        <f t="shared" si="1903"/>
        <v>0.81578750208913253</v>
      </c>
      <c r="I3873" s="2">
        <f t="shared" si="1904"/>
        <v>0.18421249791086752</v>
      </c>
      <c r="J3873" s="3">
        <v>219171.25</v>
      </c>
      <c r="K3873" s="3">
        <v>60965.49</v>
      </c>
      <c r="L3873" s="1">
        <f t="shared" si="1895"/>
        <v>280136.74</v>
      </c>
      <c r="M3873" s="2">
        <f t="shared" si="1896"/>
        <v>0.78237238714207924</v>
      </c>
      <c r="N3873" s="2">
        <f t="shared" si="1897"/>
        <v>0.21762761285792073</v>
      </c>
      <c r="O3873" s="5">
        <f t="shared" si="1898"/>
        <v>1614.4627903894143</v>
      </c>
    </row>
    <row r="3874" spans="1:15" x14ac:dyDescent="0.35">
      <c r="A3874" t="s">
        <v>37</v>
      </c>
      <c r="B3874" t="s">
        <v>26</v>
      </c>
      <c r="C3874">
        <v>2004</v>
      </c>
      <c r="D3874" t="s">
        <v>18</v>
      </c>
      <c r="E3874" s="16">
        <v>139978</v>
      </c>
      <c r="F3874" s="16">
        <v>33773</v>
      </c>
      <c r="G3874" s="1">
        <f t="shared" si="1902"/>
        <v>173751</v>
      </c>
      <c r="H3874" s="2">
        <f t="shared" si="1903"/>
        <v>0.80562414029271778</v>
      </c>
      <c r="I3874" s="2">
        <f t="shared" si="1904"/>
        <v>0.19437585970728227</v>
      </c>
      <c r="J3874" s="3">
        <v>201924.32</v>
      </c>
      <c r="K3874" s="3">
        <v>61133.26</v>
      </c>
      <c r="L3874" s="1">
        <f t="shared" si="1895"/>
        <v>263057.58</v>
      </c>
      <c r="M3874" s="2">
        <f t="shared" si="1896"/>
        <v>0.76760502396471519</v>
      </c>
      <c r="N3874" s="2">
        <f t="shared" si="1897"/>
        <v>0.23239497603528475</v>
      </c>
      <c r="O3874" s="5">
        <f t="shared" si="1898"/>
        <v>1513.9917468100905</v>
      </c>
    </row>
    <row r="3875" spans="1:15" x14ac:dyDescent="0.35">
      <c r="A3875" t="s">
        <v>37</v>
      </c>
      <c r="B3875" t="s">
        <v>27</v>
      </c>
      <c r="C3875">
        <v>2004</v>
      </c>
      <c r="D3875" t="s">
        <v>18</v>
      </c>
      <c r="E3875" s="16">
        <v>139343</v>
      </c>
      <c r="F3875" s="16">
        <v>34902</v>
      </c>
      <c r="G3875" s="1">
        <f t="shared" si="1902"/>
        <v>174245</v>
      </c>
      <c r="H3875" s="2">
        <f t="shared" si="1903"/>
        <v>0.79969583058337401</v>
      </c>
      <c r="I3875" s="2">
        <f t="shared" si="1904"/>
        <v>0.20030416941662602</v>
      </c>
      <c r="J3875" s="3">
        <v>160377.54999999999</v>
      </c>
      <c r="K3875" s="3">
        <v>50534.559999999998</v>
      </c>
      <c r="L3875" s="1">
        <f t="shared" si="1895"/>
        <v>210912.11</v>
      </c>
      <c r="M3875" s="2">
        <f t="shared" si="1896"/>
        <v>0.76039991255125183</v>
      </c>
      <c r="N3875" s="2">
        <f t="shared" si="1897"/>
        <v>0.23960008744874819</v>
      </c>
      <c r="O3875" s="5">
        <f t="shared" si="1898"/>
        <v>1210.4342161898476</v>
      </c>
    </row>
    <row r="3876" spans="1:15" x14ac:dyDescent="0.35">
      <c r="A3876" t="s">
        <v>37</v>
      </c>
      <c r="B3876" t="s">
        <v>28</v>
      </c>
      <c r="C3876">
        <v>2004</v>
      </c>
      <c r="D3876" t="s">
        <v>18</v>
      </c>
      <c r="E3876" s="16">
        <v>138796</v>
      </c>
      <c r="F3876" s="16">
        <v>35906</v>
      </c>
      <c r="G3876" s="1">
        <f t="shared" si="1902"/>
        <v>174702</v>
      </c>
      <c r="H3876" s="2">
        <f t="shared" si="1903"/>
        <v>0.79447287380797016</v>
      </c>
      <c r="I3876" s="2">
        <f t="shared" si="1904"/>
        <v>0.20552712619202987</v>
      </c>
      <c r="J3876" s="3">
        <v>131135.79999999999</v>
      </c>
      <c r="K3876" s="3">
        <v>42019.09</v>
      </c>
      <c r="L3876" s="1">
        <f t="shared" si="1895"/>
        <v>173154.88999999998</v>
      </c>
      <c r="M3876" s="2">
        <f t="shared" si="1896"/>
        <v>0.75733235139937427</v>
      </c>
      <c r="N3876" s="2">
        <f t="shared" si="1897"/>
        <v>0.24266764860062573</v>
      </c>
      <c r="O3876" s="5">
        <f t="shared" si="1898"/>
        <v>991.14429142196411</v>
      </c>
    </row>
    <row r="3877" spans="1:15" x14ac:dyDescent="0.35">
      <c r="A3877" t="s">
        <v>37</v>
      </c>
      <c r="B3877" t="s">
        <v>29</v>
      </c>
      <c r="C3877">
        <v>2004</v>
      </c>
      <c r="D3877" t="s">
        <v>18</v>
      </c>
      <c r="E3877" s="16">
        <v>137683</v>
      </c>
      <c r="F3877" s="16">
        <v>36944</v>
      </c>
      <c r="G3877" s="1">
        <f t="shared" si="1902"/>
        <v>174627</v>
      </c>
      <c r="H3877" s="2">
        <f t="shared" si="1903"/>
        <v>0.78844050461841531</v>
      </c>
      <c r="I3877" s="2">
        <f t="shared" si="1904"/>
        <v>0.21155949538158475</v>
      </c>
      <c r="J3877" s="3">
        <v>126548.55</v>
      </c>
      <c r="K3877" s="3">
        <v>40015.68</v>
      </c>
      <c r="L3877" s="1">
        <f t="shared" si="1895"/>
        <v>166564.23000000001</v>
      </c>
      <c r="M3877" s="2">
        <f t="shared" si="1896"/>
        <v>0.75975826262337354</v>
      </c>
      <c r="N3877" s="2">
        <f t="shared" si="1897"/>
        <v>0.24024173737662641</v>
      </c>
      <c r="O3877" s="5">
        <f t="shared" si="1898"/>
        <v>953.82861756773002</v>
      </c>
    </row>
    <row r="3878" spans="1:15" x14ac:dyDescent="0.35">
      <c r="A3878" t="s">
        <v>37</v>
      </c>
      <c r="B3878" t="s">
        <v>17</v>
      </c>
      <c r="C3878">
        <v>2005</v>
      </c>
      <c r="D3878" t="s">
        <v>18</v>
      </c>
      <c r="E3878" s="16">
        <v>137187</v>
      </c>
      <c r="F3878" s="9">
        <f>37766</f>
        <v>37766</v>
      </c>
      <c r="G3878" s="1">
        <f>SUM(E3878:F3878)</f>
        <v>174953</v>
      </c>
      <c r="H3878" s="2">
        <f>SUM(E3878)/G3878</f>
        <v>0.78413631089492608</v>
      </c>
      <c r="I3878" s="2">
        <f>SUM(F3878/G3878)</f>
        <v>0.21586368910507395</v>
      </c>
      <c r="J3878" s="3">
        <v>143676.66</v>
      </c>
      <c r="K3878" s="3">
        <v>46097.46</v>
      </c>
      <c r="L3878" s="1">
        <f t="shared" si="1895"/>
        <v>189774.12</v>
      </c>
      <c r="M3878" s="2">
        <f t="shared" si="1896"/>
        <v>0.75709301141799523</v>
      </c>
      <c r="N3878" s="2">
        <f t="shared" si="1897"/>
        <v>0.24290698858200477</v>
      </c>
      <c r="O3878" s="5">
        <f t="shared" si="1898"/>
        <v>1084.7148662783718</v>
      </c>
    </row>
    <row r="3879" spans="1:15" x14ac:dyDescent="0.35">
      <c r="A3879" t="s">
        <v>37</v>
      </c>
      <c r="B3879" t="s">
        <v>19</v>
      </c>
      <c r="C3879">
        <v>2005</v>
      </c>
      <c r="D3879" t="s">
        <v>18</v>
      </c>
      <c r="E3879" s="16">
        <v>136667</v>
      </c>
      <c r="F3879" s="16">
        <v>38469</v>
      </c>
      <c r="G3879" s="1">
        <f t="shared" ref="G3879:G3889" si="1905">SUM(E3879:F3879)</f>
        <v>175136</v>
      </c>
      <c r="H3879" s="2">
        <f t="shared" ref="H3879:H3889" si="1906">SUM(E3879)/G3879</f>
        <v>0.78034784396126444</v>
      </c>
      <c r="I3879" s="2">
        <f t="shared" ref="I3879:I3889" si="1907">SUM(F3879/G3879)</f>
        <v>0.21965215603873561</v>
      </c>
      <c r="J3879" s="3">
        <v>136278.85999999999</v>
      </c>
      <c r="K3879" s="3">
        <v>44420.84</v>
      </c>
      <c r="L3879" s="1">
        <f t="shared" si="1895"/>
        <v>180699.69999999998</v>
      </c>
      <c r="M3879" s="2">
        <f t="shared" si="1896"/>
        <v>0.7541731391917087</v>
      </c>
      <c r="N3879" s="2">
        <f t="shared" si="1897"/>
        <v>0.24582686080829133</v>
      </c>
      <c r="O3879" s="5">
        <f t="shared" si="1898"/>
        <v>1031.7678832450208</v>
      </c>
    </row>
    <row r="3880" spans="1:15" x14ac:dyDescent="0.35">
      <c r="A3880" t="s">
        <v>37</v>
      </c>
      <c r="B3880" t="s">
        <v>20</v>
      </c>
      <c r="C3880">
        <v>2005</v>
      </c>
      <c r="D3880" t="s">
        <v>18</v>
      </c>
      <c r="E3880" s="16">
        <v>136148</v>
      </c>
      <c r="F3880" s="16">
        <v>39097</v>
      </c>
      <c r="G3880" s="1">
        <f t="shared" si="1905"/>
        <v>175245</v>
      </c>
      <c r="H3880" s="2">
        <f t="shared" si="1906"/>
        <v>0.77690091015435536</v>
      </c>
      <c r="I3880" s="2">
        <f t="shared" si="1907"/>
        <v>0.22309908984564467</v>
      </c>
      <c r="J3880" s="3">
        <v>113257.18</v>
      </c>
      <c r="K3880" s="3">
        <v>38246.080000000002</v>
      </c>
      <c r="L3880" s="1">
        <f t="shared" si="1895"/>
        <v>151503.26</v>
      </c>
      <c r="M3880" s="2">
        <f t="shared" si="1896"/>
        <v>0.74755605918974932</v>
      </c>
      <c r="N3880" s="2">
        <f t="shared" si="1897"/>
        <v>0.25244394081025057</v>
      </c>
      <c r="O3880" s="5">
        <f t="shared" si="1898"/>
        <v>864.52258266997637</v>
      </c>
    </row>
    <row r="3881" spans="1:15" x14ac:dyDescent="0.35">
      <c r="A3881" t="s">
        <v>37</v>
      </c>
      <c r="B3881" t="s">
        <v>21</v>
      </c>
      <c r="C3881">
        <v>2005</v>
      </c>
      <c r="D3881" t="s">
        <v>18</v>
      </c>
      <c r="E3881" s="16">
        <v>136140</v>
      </c>
      <c r="F3881" s="16">
        <v>39973</v>
      </c>
      <c r="G3881" s="1">
        <f t="shared" si="1905"/>
        <v>176113</v>
      </c>
      <c r="H3881" s="2">
        <f t="shared" si="1906"/>
        <v>0.77302640918046939</v>
      </c>
      <c r="I3881" s="2">
        <f t="shared" si="1907"/>
        <v>0.22697359081953064</v>
      </c>
      <c r="J3881" s="3">
        <v>103621.03</v>
      </c>
      <c r="K3881" s="3">
        <v>37160.65</v>
      </c>
      <c r="L3881" s="1">
        <f t="shared" si="1895"/>
        <v>140781.68</v>
      </c>
      <c r="M3881" s="2">
        <f t="shared" si="1896"/>
        <v>0.73604058425783814</v>
      </c>
      <c r="N3881" s="2">
        <f t="shared" si="1897"/>
        <v>0.26395941574216192</v>
      </c>
      <c r="O3881" s="5">
        <f t="shared" si="1898"/>
        <v>799.38266908178275</v>
      </c>
    </row>
    <row r="3882" spans="1:15" x14ac:dyDescent="0.35">
      <c r="A3882" t="s">
        <v>37</v>
      </c>
      <c r="B3882" t="s">
        <v>22</v>
      </c>
      <c r="C3882">
        <v>2005</v>
      </c>
      <c r="D3882" t="s">
        <v>18</v>
      </c>
      <c r="E3882" s="16">
        <v>135395</v>
      </c>
      <c r="F3882" s="16">
        <v>40876</v>
      </c>
      <c r="G3882" s="1">
        <f t="shared" si="1905"/>
        <v>176271</v>
      </c>
      <c r="H3882" s="2">
        <f t="shared" si="1906"/>
        <v>0.76810706242093141</v>
      </c>
      <c r="I3882" s="2">
        <f t="shared" si="1907"/>
        <v>0.23189293757906859</v>
      </c>
      <c r="J3882" s="3">
        <v>118262.25</v>
      </c>
      <c r="K3882" s="3">
        <v>44992.07</v>
      </c>
      <c r="L3882" s="1">
        <f t="shared" si="1895"/>
        <v>163254.32</v>
      </c>
      <c r="M3882" s="2">
        <f t="shared" si="1896"/>
        <v>0.72440502646423077</v>
      </c>
      <c r="N3882" s="2">
        <f t="shared" si="1897"/>
        <v>0.27559497353576923</v>
      </c>
      <c r="O3882" s="5">
        <f t="shared" si="1898"/>
        <v>926.15529497194666</v>
      </c>
    </row>
    <row r="3883" spans="1:15" x14ac:dyDescent="0.35">
      <c r="A3883" t="s">
        <v>37</v>
      </c>
      <c r="B3883" t="s">
        <v>23</v>
      </c>
      <c r="C3883">
        <v>2005</v>
      </c>
      <c r="D3883" t="s">
        <v>18</v>
      </c>
      <c r="E3883" s="16">
        <v>134674</v>
      </c>
      <c r="F3883" s="16">
        <v>41962</v>
      </c>
      <c r="G3883" s="1">
        <f t="shared" si="1905"/>
        <v>176636</v>
      </c>
      <c r="H3883" s="2">
        <f t="shared" si="1906"/>
        <v>0.76243800810706763</v>
      </c>
      <c r="I3883" s="2">
        <f t="shared" si="1907"/>
        <v>0.23756199189293237</v>
      </c>
      <c r="J3883" s="3">
        <v>181946.55</v>
      </c>
      <c r="K3883" s="3">
        <v>71239.14</v>
      </c>
      <c r="L3883" s="1">
        <f t="shared" si="1895"/>
        <v>253185.69</v>
      </c>
      <c r="M3883" s="2">
        <f t="shared" si="1896"/>
        <v>0.71862888459454399</v>
      </c>
      <c r="N3883" s="2">
        <f t="shared" si="1897"/>
        <v>0.28137111540545595</v>
      </c>
      <c r="O3883" s="5">
        <f t="shared" si="1898"/>
        <v>1433.3753594963655</v>
      </c>
    </row>
    <row r="3884" spans="1:15" x14ac:dyDescent="0.35">
      <c r="A3884" t="s">
        <v>37</v>
      </c>
      <c r="B3884" t="s">
        <v>24</v>
      </c>
      <c r="C3884">
        <v>2005</v>
      </c>
      <c r="D3884" t="s">
        <v>18</v>
      </c>
      <c r="E3884" s="16">
        <v>133515</v>
      </c>
      <c r="F3884" s="16">
        <v>43063</v>
      </c>
      <c r="G3884" s="1">
        <f t="shared" si="1905"/>
        <v>176578</v>
      </c>
      <c r="H3884" s="2">
        <f t="shared" si="1906"/>
        <v>0.75612477205540896</v>
      </c>
      <c r="I3884" s="2">
        <f t="shared" si="1907"/>
        <v>0.24387522794459107</v>
      </c>
      <c r="J3884" s="3">
        <v>215803.68</v>
      </c>
      <c r="K3884" s="3">
        <v>85516.86</v>
      </c>
      <c r="L3884" s="1">
        <f t="shared" si="1895"/>
        <v>301320.53999999998</v>
      </c>
      <c r="M3884" s="2">
        <f t="shared" si="1896"/>
        <v>0.7161930613824069</v>
      </c>
      <c r="N3884" s="2">
        <f t="shared" si="1897"/>
        <v>0.2838069386175931</v>
      </c>
      <c r="O3884" s="5">
        <f t="shared" si="1898"/>
        <v>1706.4444041726601</v>
      </c>
    </row>
    <row r="3885" spans="1:15" x14ac:dyDescent="0.35">
      <c r="A3885" t="s">
        <v>37</v>
      </c>
      <c r="B3885" t="s">
        <v>25</v>
      </c>
      <c r="C3885">
        <v>2005</v>
      </c>
      <c r="D3885" t="s">
        <v>18</v>
      </c>
      <c r="E3885" s="16">
        <v>132490</v>
      </c>
      <c r="F3885" s="16">
        <v>44337</v>
      </c>
      <c r="G3885" s="1">
        <f t="shared" si="1905"/>
        <v>176827</v>
      </c>
      <c r="H3885" s="2">
        <f t="shared" si="1906"/>
        <v>0.74926340434435923</v>
      </c>
      <c r="I3885" s="2">
        <f t="shared" si="1907"/>
        <v>0.25073659565564083</v>
      </c>
      <c r="J3885" s="3">
        <v>208328.99</v>
      </c>
      <c r="K3885" s="3">
        <v>85683.41</v>
      </c>
      <c r="L3885" s="1">
        <f t="shared" si="1895"/>
        <v>294012.40000000002</v>
      </c>
      <c r="M3885" s="2">
        <f t="shared" si="1896"/>
        <v>0.7085721214479388</v>
      </c>
      <c r="N3885" s="2">
        <f t="shared" si="1897"/>
        <v>0.29142787855206104</v>
      </c>
      <c r="O3885" s="5">
        <f t="shared" si="1898"/>
        <v>1662.712142376447</v>
      </c>
    </row>
    <row r="3886" spans="1:15" x14ac:dyDescent="0.35">
      <c r="A3886" t="s">
        <v>37</v>
      </c>
      <c r="B3886" t="s">
        <v>26</v>
      </c>
      <c r="C3886">
        <v>2005</v>
      </c>
      <c r="D3886" t="s">
        <v>18</v>
      </c>
      <c r="E3886" s="16">
        <v>130849</v>
      </c>
      <c r="F3886" s="16">
        <v>45495</v>
      </c>
      <c r="G3886" s="1">
        <f t="shared" si="1905"/>
        <v>176344</v>
      </c>
      <c r="H3886" s="2">
        <f t="shared" si="1906"/>
        <v>0.74200993512679758</v>
      </c>
      <c r="I3886" s="2">
        <f t="shared" si="1907"/>
        <v>0.25799006487320236</v>
      </c>
      <c r="J3886" s="3">
        <v>201391.59</v>
      </c>
      <c r="K3886" s="3">
        <v>85758.65</v>
      </c>
      <c r="L3886" s="1">
        <f t="shared" si="1895"/>
        <v>287150.24</v>
      </c>
      <c r="M3886" s="2">
        <f t="shared" si="1896"/>
        <v>0.70134571365846676</v>
      </c>
      <c r="N3886" s="2">
        <f t="shared" si="1897"/>
        <v>0.29865428634153324</v>
      </c>
      <c r="O3886" s="5">
        <f t="shared" si="1898"/>
        <v>1628.3527650501294</v>
      </c>
    </row>
    <row r="3887" spans="1:15" x14ac:dyDescent="0.35">
      <c r="A3887" t="s">
        <v>37</v>
      </c>
      <c r="B3887" t="s">
        <v>27</v>
      </c>
      <c r="C3887">
        <v>2005</v>
      </c>
      <c r="D3887" t="s">
        <v>18</v>
      </c>
      <c r="E3887" s="16">
        <v>130092</v>
      </c>
      <c r="F3887" s="16">
        <v>46972</v>
      </c>
      <c r="G3887" s="1">
        <f t="shared" si="1905"/>
        <v>177064</v>
      </c>
      <c r="H3887" s="2">
        <f t="shared" si="1906"/>
        <v>0.73471739032214345</v>
      </c>
      <c r="I3887" s="2">
        <f t="shared" si="1907"/>
        <v>0.26528260967785661</v>
      </c>
      <c r="J3887" s="3">
        <v>170713.61</v>
      </c>
      <c r="K3887" s="3">
        <v>76744.5</v>
      </c>
      <c r="L3887" s="1">
        <f t="shared" si="1895"/>
        <v>247458.11</v>
      </c>
      <c r="M3887" s="2">
        <f t="shared" si="1896"/>
        <v>0.68986872161918633</v>
      </c>
      <c r="N3887" s="2">
        <f t="shared" si="1897"/>
        <v>0.31013127838081367</v>
      </c>
      <c r="O3887" s="5">
        <f t="shared" si="1898"/>
        <v>1397.5630845344056</v>
      </c>
    </row>
    <row r="3888" spans="1:15" x14ac:dyDescent="0.35">
      <c r="A3888" t="s">
        <v>37</v>
      </c>
      <c r="B3888" t="s">
        <v>28</v>
      </c>
      <c r="C3888">
        <v>2005</v>
      </c>
      <c r="D3888" t="s">
        <v>18</v>
      </c>
      <c r="E3888" s="16">
        <v>128969</v>
      </c>
      <c r="F3888" s="16">
        <v>48234</v>
      </c>
      <c r="G3888" s="1">
        <f t="shared" si="1905"/>
        <v>177203</v>
      </c>
      <c r="H3888" s="2">
        <f t="shared" si="1906"/>
        <v>0.72780370535487549</v>
      </c>
      <c r="I3888" s="2">
        <f t="shared" si="1907"/>
        <v>0.27219629464512451</v>
      </c>
      <c r="J3888" s="3">
        <v>107878.07</v>
      </c>
      <c r="K3888" s="3">
        <v>49681.43</v>
      </c>
      <c r="L3888" s="1">
        <f t="shared" si="1895"/>
        <v>157559.5</v>
      </c>
      <c r="M3888" s="2">
        <f t="shared" si="1896"/>
        <v>0.68468146954007858</v>
      </c>
      <c r="N3888" s="2">
        <f t="shared" si="1897"/>
        <v>0.31531853045992148</v>
      </c>
      <c r="O3888" s="5">
        <f t="shared" si="1898"/>
        <v>889.14691060535097</v>
      </c>
    </row>
    <row r="3889" spans="1:15" x14ac:dyDescent="0.35">
      <c r="A3889" t="s">
        <v>37</v>
      </c>
      <c r="B3889" t="s">
        <v>29</v>
      </c>
      <c r="C3889">
        <v>2005</v>
      </c>
      <c r="D3889" t="s">
        <v>18</v>
      </c>
      <c r="E3889" s="16">
        <v>129042</v>
      </c>
      <c r="F3889" s="16">
        <v>49609</v>
      </c>
      <c r="G3889" s="1">
        <f t="shared" si="1905"/>
        <v>178651</v>
      </c>
      <c r="H3889" s="2">
        <f t="shared" si="1906"/>
        <v>0.7223133371769539</v>
      </c>
      <c r="I3889" s="2">
        <f t="shared" si="1907"/>
        <v>0.27768666282304605</v>
      </c>
      <c r="J3889" s="3">
        <v>124291.35</v>
      </c>
      <c r="K3889" s="3">
        <v>56591.92</v>
      </c>
      <c r="L3889" s="1">
        <f t="shared" si="1895"/>
        <v>180883.27000000002</v>
      </c>
      <c r="M3889" s="2">
        <f t="shared" si="1896"/>
        <v>0.68713568700963878</v>
      </c>
      <c r="N3889" s="2">
        <f t="shared" si="1897"/>
        <v>0.3128643129903611</v>
      </c>
      <c r="O3889" s="5">
        <f t="shared" si="1898"/>
        <v>1012.4951441637608</v>
      </c>
    </row>
    <row r="3890" spans="1:15" x14ac:dyDescent="0.35">
      <c r="A3890" t="s">
        <v>37</v>
      </c>
      <c r="B3890" t="s">
        <v>17</v>
      </c>
      <c r="C3890">
        <v>2006</v>
      </c>
      <c r="D3890" t="s">
        <v>18</v>
      </c>
      <c r="E3890" s="16">
        <v>127080</v>
      </c>
      <c r="F3890" s="16">
        <v>50919</v>
      </c>
      <c r="G3890" s="1">
        <f>SUM(E3890:F3890)</f>
        <v>177999</v>
      </c>
      <c r="H3890" s="2">
        <f>SUM(E3890)/G3890</f>
        <v>0.71393659514941099</v>
      </c>
      <c r="I3890" s="2">
        <f>SUM(F3890/G3890)</f>
        <v>0.28606340485058906</v>
      </c>
      <c r="J3890" s="3">
        <v>118911</v>
      </c>
      <c r="K3890" s="3">
        <v>55148.72</v>
      </c>
      <c r="L3890" s="1">
        <f t="shared" si="1895"/>
        <v>174059.72</v>
      </c>
      <c r="M3890" s="2">
        <f t="shared" si="1896"/>
        <v>0.68316207793509032</v>
      </c>
      <c r="N3890" s="2">
        <f t="shared" si="1897"/>
        <v>0.31683792206490968</v>
      </c>
      <c r="O3890" s="5">
        <f t="shared" si="1898"/>
        <v>977.86908915218623</v>
      </c>
    </row>
    <row r="3891" spans="1:15" x14ac:dyDescent="0.35">
      <c r="A3891" t="s">
        <v>37</v>
      </c>
      <c r="B3891" t="s">
        <v>19</v>
      </c>
      <c r="C3891">
        <v>2006</v>
      </c>
      <c r="D3891" t="s">
        <v>18</v>
      </c>
      <c r="E3891" s="16">
        <v>126129</v>
      </c>
      <c r="F3891" s="16">
        <v>51946</v>
      </c>
      <c r="G3891" s="1">
        <f t="shared" ref="G3891:G3901" si="1908">SUM(E3891:F3891)</f>
        <v>178075</v>
      </c>
      <c r="H3891" s="2">
        <f t="shared" ref="H3891:H3901" si="1909">SUM(E3891)/G3891</f>
        <v>0.70829145023164397</v>
      </c>
      <c r="I3891" s="2">
        <f t="shared" ref="I3891:I3901" si="1910">SUM(F3891/G3891)</f>
        <v>0.29170854976835603</v>
      </c>
      <c r="J3891" s="3">
        <v>104323</v>
      </c>
      <c r="K3891" s="3">
        <v>50352.87</v>
      </c>
      <c r="L3891" s="1">
        <f t="shared" si="1895"/>
        <v>154675.87</v>
      </c>
      <c r="M3891" s="2">
        <f t="shared" si="1896"/>
        <v>0.67446202177495429</v>
      </c>
      <c r="N3891" s="2">
        <f t="shared" si="1897"/>
        <v>0.32553797822504571</v>
      </c>
      <c r="O3891" s="5">
        <f t="shared" si="1898"/>
        <v>868.599578829145</v>
      </c>
    </row>
    <row r="3892" spans="1:15" x14ac:dyDescent="0.35">
      <c r="A3892" t="s">
        <v>37</v>
      </c>
      <c r="B3892" t="s">
        <v>20</v>
      </c>
      <c r="C3892">
        <v>2006</v>
      </c>
      <c r="D3892" t="s">
        <v>18</v>
      </c>
      <c r="E3892" s="16">
        <v>125566</v>
      </c>
      <c r="F3892" s="16">
        <v>52787</v>
      </c>
      <c r="G3892" s="1">
        <f t="shared" si="1908"/>
        <v>178353</v>
      </c>
      <c r="H3892" s="2">
        <f t="shared" si="1909"/>
        <v>0.70403077043840023</v>
      </c>
      <c r="I3892" s="2">
        <f t="shared" si="1910"/>
        <v>0.29596922956159977</v>
      </c>
      <c r="J3892" s="3">
        <v>106133</v>
      </c>
      <c r="K3892" s="3">
        <v>52945.67</v>
      </c>
      <c r="L3892" s="1">
        <f t="shared" si="1895"/>
        <v>159078.66999999998</v>
      </c>
      <c r="M3892" s="2">
        <f t="shared" si="1896"/>
        <v>0.66717304086085216</v>
      </c>
      <c r="N3892" s="2">
        <f t="shared" si="1897"/>
        <v>0.33282695913914795</v>
      </c>
      <c r="O3892" s="5">
        <f t="shared" si="1898"/>
        <v>891.93156268747919</v>
      </c>
    </row>
    <row r="3893" spans="1:15" x14ac:dyDescent="0.35">
      <c r="A3893" t="s">
        <v>37</v>
      </c>
      <c r="B3893" t="s">
        <v>21</v>
      </c>
      <c r="C3893">
        <v>2006</v>
      </c>
      <c r="D3893" t="s">
        <v>18</v>
      </c>
      <c r="E3893" s="16">
        <v>125120</v>
      </c>
      <c r="F3893" s="16">
        <v>54086</v>
      </c>
      <c r="G3893" s="1">
        <f t="shared" si="1908"/>
        <v>179206</v>
      </c>
      <c r="H3893" s="2">
        <f t="shared" si="1909"/>
        <v>0.69819090878653611</v>
      </c>
      <c r="I3893" s="2">
        <f t="shared" si="1910"/>
        <v>0.30180909121346383</v>
      </c>
      <c r="J3893" s="3">
        <v>103270.36</v>
      </c>
      <c r="K3893" s="3">
        <v>55162.29</v>
      </c>
      <c r="L3893" s="1">
        <f t="shared" si="1895"/>
        <v>158432.65</v>
      </c>
      <c r="M3893" s="2">
        <f t="shared" si="1896"/>
        <v>0.65182498683194412</v>
      </c>
      <c r="N3893" s="2">
        <f t="shared" si="1897"/>
        <v>0.34817501316805599</v>
      </c>
      <c r="O3893" s="5">
        <f t="shared" si="1898"/>
        <v>884.08116915728272</v>
      </c>
    </row>
    <row r="3894" spans="1:15" x14ac:dyDescent="0.35">
      <c r="A3894" t="s">
        <v>37</v>
      </c>
      <c r="B3894" t="s">
        <v>22</v>
      </c>
      <c r="C3894">
        <v>2006</v>
      </c>
      <c r="D3894" t="s">
        <v>18</v>
      </c>
      <c r="E3894" s="16">
        <v>124137</v>
      </c>
      <c r="F3894" s="16">
        <v>54951</v>
      </c>
      <c r="G3894" s="1">
        <f t="shared" si="1908"/>
        <v>179088</v>
      </c>
      <c r="H3894" s="2">
        <f t="shared" si="1909"/>
        <v>0.69316202090592338</v>
      </c>
      <c r="I3894" s="2">
        <f t="shared" si="1910"/>
        <v>0.30683797909407667</v>
      </c>
      <c r="J3894" s="3">
        <v>121263.78</v>
      </c>
      <c r="K3894" s="3">
        <v>67854.48</v>
      </c>
      <c r="L3894" s="1">
        <f t="shared" si="1895"/>
        <v>189118.26</v>
      </c>
      <c r="M3894" s="2">
        <f t="shared" si="1896"/>
        <v>0.64120608977684124</v>
      </c>
      <c r="N3894" s="2">
        <f t="shared" si="1897"/>
        <v>0.35879391022315876</v>
      </c>
      <c r="O3894" s="5">
        <f t="shared" si="1898"/>
        <v>1056.007437684267</v>
      </c>
    </row>
    <row r="3895" spans="1:15" x14ac:dyDescent="0.35">
      <c r="A3895" t="s">
        <v>37</v>
      </c>
      <c r="B3895" t="s">
        <v>23</v>
      </c>
      <c r="C3895">
        <v>2006</v>
      </c>
      <c r="D3895" t="s">
        <v>18</v>
      </c>
      <c r="E3895" s="16">
        <v>123257</v>
      </c>
      <c r="F3895" s="16">
        <v>56234</v>
      </c>
      <c r="G3895" s="1">
        <f t="shared" si="1908"/>
        <v>179491</v>
      </c>
      <c r="H3895" s="2">
        <f t="shared" si="1909"/>
        <v>0.68670295446568352</v>
      </c>
      <c r="I3895" s="2">
        <f t="shared" si="1910"/>
        <v>0.31329704553431648</v>
      </c>
      <c r="J3895" s="3">
        <v>162305.07999999999</v>
      </c>
      <c r="K3895" s="3">
        <v>91543.49</v>
      </c>
      <c r="L3895" s="1">
        <f t="shared" si="1895"/>
        <v>253848.57</v>
      </c>
      <c r="M3895" s="2">
        <f t="shared" si="1896"/>
        <v>0.63937756277295543</v>
      </c>
      <c r="N3895" s="2">
        <f t="shared" si="1897"/>
        <v>0.36062243722704446</v>
      </c>
      <c r="O3895" s="5">
        <f t="shared" si="1898"/>
        <v>1414.2690719868963</v>
      </c>
    </row>
    <row r="3896" spans="1:15" x14ac:dyDescent="0.35">
      <c r="A3896" t="s">
        <v>37</v>
      </c>
      <c r="B3896" t="s">
        <v>24</v>
      </c>
      <c r="C3896">
        <v>2006</v>
      </c>
      <c r="D3896" t="s">
        <v>18</v>
      </c>
      <c r="E3896" s="16">
        <v>121884</v>
      </c>
      <c r="F3896" s="16">
        <v>57797</v>
      </c>
      <c r="G3896" s="1">
        <f t="shared" si="1908"/>
        <v>179681</v>
      </c>
      <c r="H3896" s="2">
        <f t="shared" si="1909"/>
        <v>0.67833549457093401</v>
      </c>
      <c r="I3896" s="2">
        <f t="shared" si="1910"/>
        <v>0.32166450542906594</v>
      </c>
      <c r="J3896" s="3">
        <v>178461.03</v>
      </c>
      <c r="K3896" s="3">
        <v>103696.54</v>
      </c>
      <c r="L3896" s="1">
        <f t="shared" si="1895"/>
        <v>282157.57</v>
      </c>
      <c r="M3896" s="2">
        <f t="shared" si="1896"/>
        <v>0.63248712412713226</v>
      </c>
      <c r="N3896" s="2">
        <f t="shared" si="1897"/>
        <v>0.36751287587286774</v>
      </c>
      <c r="O3896" s="5">
        <f t="shared" si="1898"/>
        <v>1570.3250204529138</v>
      </c>
    </row>
    <row r="3897" spans="1:15" x14ac:dyDescent="0.35">
      <c r="A3897" t="s">
        <v>37</v>
      </c>
      <c r="B3897" t="s">
        <v>25</v>
      </c>
      <c r="C3897">
        <v>2006</v>
      </c>
      <c r="D3897" t="s">
        <v>18</v>
      </c>
      <c r="E3897" s="16">
        <v>120974</v>
      </c>
      <c r="F3897" s="16">
        <v>58911</v>
      </c>
      <c r="G3897" s="1">
        <f t="shared" si="1908"/>
        <v>179885</v>
      </c>
      <c r="H3897" s="2">
        <f t="shared" si="1909"/>
        <v>0.67250743530588986</v>
      </c>
      <c r="I3897" s="2">
        <f t="shared" si="1910"/>
        <v>0.32749256469411014</v>
      </c>
      <c r="J3897" s="3">
        <v>201489.78</v>
      </c>
      <c r="K3897" s="3">
        <v>117584.88</v>
      </c>
      <c r="L3897" s="1">
        <f t="shared" si="1895"/>
        <v>319074.66000000003</v>
      </c>
      <c r="M3897" s="2">
        <f t="shared" si="1896"/>
        <v>0.63148160997805336</v>
      </c>
      <c r="N3897" s="2">
        <f t="shared" si="1897"/>
        <v>0.36851839002194658</v>
      </c>
      <c r="O3897" s="5">
        <f t="shared" si="1898"/>
        <v>1773.7702420991193</v>
      </c>
    </row>
    <row r="3898" spans="1:15" x14ac:dyDescent="0.35">
      <c r="A3898" t="s">
        <v>37</v>
      </c>
      <c r="B3898" t="s">
        <v>26</v>
      </c>
      <c r="C3898">
        <v>2006</v>
      </c>
      <c r="D3898" t="s">
        <v>18</v>
      </c>
      <c r="E3898" s="16">
        <v>120283</v>
      </c>
      <c r="F3898" s="16">
        <v>59894</v>
      </c>
      <c r="G3898" s="1">
        <f t="shared" si="1908"/>
        <v>180177</v>
      </c>
      <c r="H3898" s="2">
        <f t="shared" si="1909"/>
        <v>0.66758243282993945</v>
      </c>
      <c r="I3898" s="2">
        <f t="shared" si="1910"/>
        <v>0.33241756717006055</v>
      </c>
      <c r="J3898" s="3">
        <v>174669.49</v>
      </c>
      <c r="K3898" s="3">
        <v>105106.9</v>
      </c>
      <c r="L3898" s="1">
        <f t="shared" si="1895"/>
        <v>279776.39</v>
      </c>
      <c r="M3898" s="2">
        <f t="shared" si="1896"/>
        <v>0.62431819211049222</v>
      </c>
      <c r="N3898" s="2">
        <f t="shared" si="1897"/>
        <v>0.37568180788950772</v>
      </c>
      <c r="O3898" s="5">
        <f t="shared" si="1898"/>
        <v>1552.7863711794514</v>
      </c>
    </row>
    <row r="3899" spans="1:15" x14ac:dyDescent="0.35">
      <c r="A3899" t="s">
        <v>37</v>
      </c>
      <c r="B3899" t="s">
        <v>27</v>
      </c>
      <c r="C3899">
        <v>2006</v>
      </c>
      <c r="D3899" t="s">
        <v>18</v>
      </c>
      <c r="E3899" s="16">
        <v>117942</v>
      </c>
      <c r="F3899" s="16">
        <v>59757</v>
      </c>
      <c r="G3899" s="1">
        <f t="shared" si="1908"/>
        <v>177699</v>
      </c>
      <c r="H3899" s="2">
        <f t="shared" si="1909"/>
        <v>0.66371785997670218</v>
      </c>
      <c r="I3899" s="2">
        <f t="shared" si="1910"/>
        <v>0.33628214002329782</v>
      </c>
      <c r="J3899" s="3">
        <v>130480.58</v>
      </c>
      <c r="K3899" s="3">
        <f>81978.8</f>
        <v>81978.8</v>
      </c>
      <c r="L3899" s="1">
        <f t="shared" si="1895"/>
        <v>212459.38</v>
      </c>
      <c r="M3899" s="2">
        <f t="shared" si="1896"/>
        <v>0.61414365418933259</v>
      </c>
      <c r="N3899" s="2">
        <f t="shared" si="1897"/>
        <v>0.38585634581066741</v>
      </c>
      <c r="O3899" s="5">
        <f t="shared" si="1898"/>
        <v>1195.6138188734883</v>
      </c>
    </row>
    <row r="3900" spans="1:15" x14ac:dyDescent="0.35">
      <c r="A3900" t="s">
        <v>37</v>
      </c>
      <c r="B3900" t="s">
        <v>28</v>
      </c>
      <c r="C3900">
        <v>2006</v>
      </c>
      <c r="D3900" t="s">
        <v>18</v>
      </c>
      <c r="E3900" s="16">
        <v>117098</v>
      </c>
      <c r="F3900" s="16">
        <v>60904</v>
      </c>
      <c r="G3900" s="1">
        <f t="shared" si="1908"/>
        <v>178002</v>
      </c>
      <c r="H3900" s="2">
        <f t="shared" si="1909"/>
        <v>0.65784654105010054</v>
      </c>
      <c r="I3900" s="2">
        <f t="shared" si="1910"/>
        <v>0.34215345894989946</v>
      </c>
      <c r="J3900" s="3">
        <v>95193.18</v>
      </c>
      <c r="K3900" s="3">
        <v>60268.86</v>
      </c>
      <c r="L3900" s="1">
        <f t="shared" si="1895"/>
        <v>155462.03999999998</v>
      </c>
      <c r="M3900" s="2">
        <f t="shared" si="1896"/>
        <v>0.61232426899839987</v>
      </c>
      <c r="N3900" s="2">
        <f t="shared" si="1897"/>
        <v>0.38767573100160019</v>
      </c>
      <c r="O3900" s="5">
        <f t="shared" si="1898"/>
        <v>873.3724340175952</v>
      </c>
    </row>
    <row r="3901" spans="1:15" x14ac:dyDescent="0.35">
      <c r="A3901" t="s">
        <v>37</v>
      </c>
      <c r="B3901" t="s">
        <v>29</v>
      </c>
      <c r="C3901">
        <v>2006</v>
      </c>
      <c r="D3901" t="s">
        <v>18</v>
      </c>
      <c r="E3901" s="16">
        <v>116913</v>
      </c>
      <c r="F3901" s="16">
        <v>62246</v>
      </c>
      <c r="G3901" s="1">
        <f t="shared" si="1908"/>
        <v>179159</v>
      </c>
      <c r="H3901" s="2">
        <f t="shared" si="1909"/>
        <v>0.65256559815582804</v>
      </c>
      <c r="I3901" s="2">
        <f t="shared" si="1910"/>
        <v>0.34743440184417196</v>
      </c>
      <c r="J3901" s="3">
        <v>108106.36</v>
      </c>
      <c r="K3901" s="3">
        <v>66825.08</v>
      </c>
      <c r="L3901" s="1">
        <f t="shared" si="1895"/>
        <v>174931.44</v>
      </c>
      <c r="M3901" s="2">
        <f t="shared" si="1896"/>
        <v>0.61799274047020936</v>
      </c>
      <c r="N3901" s="2">
        <f t="shared" si="1897"/>
        <v>0.38200725952979064</v>
      </c>
      <c r="O3901" s="5">
        <f t="shared" si="1898"/>
        <v>976.40330656009462</v>
      </c>
    </row>
    <row r="3902" spans="1:15" x14ac:dyDescent="0.35">
      <c r="A3902" t="s">
        <v>37</v>
      </c>
      <c r="B3902" t="s">
        <v>17</v>
      </c>
      <c r="C3902">
        <v>2007</v>
      </c>
      <c r="D3902" t="s">
        <v>18</v>
      </c>
      <c r="E3902" s="16">
        <v>115430</v>
      </c>
      <c r="F3902" s="16">
        <v>62931</v>
      </c>
      <c r="G3902" s="1">
        <f>SUM(E3902:F3902)</f>
        <v>178361</v>
      </c>
      <c r="H3902" s="2">
        <f>SUM(E3902)/G3902</f>
        <v>0.64717062586551988</v>
      </c>
      <c r="I3902" s="2">
        <f>SUM(F3902/G3902)</f>
        <v>0.35282937413448007</v>
      </c>
      <c r="J3902" s="3">
        <v>122088.84</v>
      </c>
      <c r="K3902" s="3">
        <v>76299.77</v>
      </c>
      <c r="L3902" s="1">
        <f t="shared" si="1895"/>
        <v>198388.61</v>
      </c>
      <c r="M3902" s="2">
        <f t="shared" si="1896"/>
        <v>0.61540246690573619</v>
      </c>
      <c r="N3902" s="2">
        <f t="shared" si="1897"/>
        <v>0.38459753309426387</v>
      </c>
      <c r="O3902" s="5">
        <f t="shared" si="1898"/>
        <v>1112.2869349241146</v>
      </c>
    </row>
    <row r="3903" spans="1:15" x14ac:dyDescent="0.35">
      <c r="A3903" t="s">
        <v>37</v>
      </c>
      <c r="B3903" t="s">
        <v>19</v>
      </c>
      <c r="C3903">
        <v>2007</v>
      </c>
      <c r="D3903" t="s">
        <v>18</v>
      </c>
      <c r="E3903" s="16">
        <v>114619</v>
      </c>
      <c r="F3903" s="16">
        <v>63811</v>
      </c>
      <c r="G3903" s="1">
        <f t="shared" ref="G3903:G3913" si="1911">SUM(E3903:F3903)</f>
        <v>178430</v>
      </c>
      <c r="H3903" s="2">
        <f t="shared" ref="H3903:H3913" si="1912">SUM(E3903)/G3903</f>
        <v>0.64237516112761306</v>
      </c>
      <c r="I3903" s="2">
        <f t="shared" ref="I3903:I3913" si="1913">SUM(F3903/G3903)</f>
        <v>0.35762483887238694</v>
      </c>
      <c r="J3903" s="3">
        <v>128803.52</v>
      </c>
      <c r="K3903" s="3">
        <v>80825.64</v>
      </c>
      <c r="L3903" s="1">
        <f t="shared" si="1895"/>
        <v>209629.16</v>
      </c>
      <c r="M3903" s="2">
        <f t="shared" si="1896"/>
        <v>0.61443512915855791</v>
      </c>
      <c r="N3903" s="2">
        <f t="shared" si="1897"/>
        <v>0.38556487084144209</v>
      </c>
      <c r="O3903" s="5">
        <f t="shared" si="1898"/>
        <v>1174.8537801939135</v>
      </c>
    </row>
    <row r="3904" spans="1:15" x14ac:dyDescent="0.35">
      <c r="A3904" t="s">
        <v>37</v>
      </c>
      <c r="B3904" t="s">
        <v>20</v>
      </c>
      <c r="C3904">
        <v>2007</v>
      </c>
      <c r="D3904" t="s">
        <v>18</v>
      </c>
      <c r="E3904" s="16">
        <v>113888</v>
      </c>
      <c r="F3904" s="16">
        <v>65103</v>
      </c>
      <c r="G3904" s="1">
        <f t="shared" si="1911"/>
        <v>178991</v>
      </c>
      <c r="H3904" s="2">
        <f t="shared" si="1912"/>
        <v>0.63627780167717929</v>
      </c>
      <c r="I3904" s="2">
        <f t="shared" si="1913"/>
        <v>0.36372219832282071</v>
      </c>
      <c r="J3904" s="3">
        <v>93034.55</v>
      </c>
      <c r="K3904" s="3">
        <v>61238.71</v>
      </c>
      <c r="L3904" s="1">
        <f t="shared" si="1895"/>
        <v>154273.26</v>
      </c>
      <c r="M3904" s="2">
        <f t="shared" si="1896"/>
        <v>0.60305039253075998</v>
      </c>
      <c r="N3904" s="2">
        <f t="shared" si="1897"/>
        <v>0.39694960746923996</v>
      </c>
      <c r="O3904" s="5">
        <f t="shared" si="1898"/>
        <v>861.90512372130445</v>
      </c>
    </row>
    <row r="3905" spans="1:15" x14ac:dyDescent="0.35">
      <c r="A3905" t="s">
        <v>37</v>
      </c>
      <c r="B3905" t="s">
        <v>21</v>
      </c>
      <c r="C3905">
        <v>2007</v>
      </c>
      <c r="D3905" t="s">
        <v>18</v>
      </c>
      <c r="E3905" s="16">
        <v>112784</v>
      </c>
      <c r="F3905" s="16">
        <v>66393</v>
      </c>
      <c r="G3905" s="1">
        <f t="shared" si="1911"/>
        <v>179177</v>
      </c>
      <c r="H3905" s="2">
        <f t="shared" si="1912"/>
        <v>0.62945578952655756</v>
      </c>
      <c r="I3905" s="2">
        <f t="shared" si="1913"/>
        <v>0.37054421047344244</v>
      </c>
      <c r="J3905" s="3">
        <v>81963.13</v>
      </c>
      <c r="K3905" s="3">
        <v>60387.58</v>
      </c>
      <c r="L3905" s="1">
        <f t="shared" si="1895"/>
        <v>142350.71000000002</v>
      </c>
      <c r="M3905" s="2">
        <f t="shared" si="1896"/>
        <v>0.57578307828601627</v>
      </c>
      <c r="N3905" s="2">
        <f t="shared" si="1897"/>
        <v>0.42421692171398367</v>
      </c>
      <c r="O3905" s="5">
        <f t="shared" si="1898"/>
        <v>794.4697701155842</v>
      </c>
    </row>
    <row r="3906" spans="1:15" x14ac:dyDescent="0.35">
      <c r="A3906" t="s">
        <v>37</v>
      </c>
      <c r="B3906" t="s">
        <v>22</v>
      </c>
      <c r="C3906">
        <v>2007</v>
      </c>
      <c r="D3906" t="s">
        <v>18</v>
      </c>
      <c r="E3906" s="16">
        <v>111624</v>
      </c>
      <c r="F3906" s="16">
        <v>67936</v>
      </c>
      <c r="G3906" s="1">
        <f t="shared" si="1911"/>
        <v>179560</v>
      </c>
      <c r="H3906" s="2">
        <f t="shared" si="1912"/>
        <v>0.62165292938293604</v>
      </c>
      <c r="I3906" s="2">
        <f t="shared" si="1913"/>
        <v>0.37834707061706391</v>
      </c>
      <c r="J3906" s="3">
        <v>99910.93</v>
      </c>
      <c r="K3906" s="3">
        <v>75512.95</v>
      </c>
      <c r="L3906" s="1">
        <f t="shared" si="1895"/>
        <v>175423.88</v>
      </c>
      <c r="M3906" s="2">
        <f t="shared" si="1896"/>
        <v>0.56954007629976022</v>
      </c>
      <c r="N3906" s="2">
        <f t="shared" si="1897"/>
        <v>0.43045992370023967</v>
      </c>
      <c r="O3906" s="5">
        <f t="shared" si="1898"/>
        <v>976.96524838494099</v>
      </c>
    </row>
    <row r="3907" spans="1:15" x14ac:dyDescent="0.35">
      <c r="A3907" t="s">
        <v>37</v>
      </c>
      <c r="B3907" t="s">
        <v>23</v>
      </c>
      <c r="C3907">
        <v>2007</v>
      </c>
      <c r="D3907" t="s">
        <v>18</v>
      </c>
      <c r="E3907" s="16">
        <v>110800</v>
      </c>
      <c r="F3907" s="16">
        <v>69386</v>
      </c>
      <c r="G3907" s="1">
        <f t="shared" si="1911"/>
        <v>180186</v>
      </c>
      <c r="H3907" s="2">
        <f t="shared" si="1912"/>
        <v>0.61492013807954005</v>
      </c>
      <c r="I3907" s="2">
        <f t="shared" si="1913"/>
        <v>0.38507986192045995</v>
      </c>
      <c r="J3907" s="3">
        <v>125897.47</v>
      </c>
      <c r="K3907" s="3">
        <v>99637.31</v>
      </c>
      <c r="L3907" s="1">
        <f t="shared" ref="L3907:L3970" si="1914">SUM(J3907:K3907)</f>
        <v>225534.78</v>
      </c>
      <c r="M3907" s="2">
        <f t="shared" ref="M3907:M3970" si="1915">SUM(J3907)/L3907</f>
        <v>0.55821753966284049</v>
      </c>
      <c r="N3907" s="2">
        <f t="shared" ref="N3907:N3970" si="1916">SUM(K3907/L3907)</f>
        <v>0.44178246033715951</v>
      </c>
      <c r="O3907" s="5">
        <f t="shared" ref="O3907:O3970" si="1917">SUM(1000*L3907)/G3907</f>
        <v>1251.6775998135261</v>
      </c>
    </row>
    <row r="3908" spans="1:15" x14ac:dyDescent="0.35">
      <c r="A3908" t="s">
        <v>37</v>
      </c>
      <c r="B3908" t="s">
        <v>24</v>
      </c>
      <c r="C3908">
        <v>2007</v>
      </c>
      <c r="D3908" t="s">
        <v>18</v>
      </c>
      <c r="E3908" s="3">
        <v>109064</v>
      </c>
      <c r="F3908" s="16">
        <v>70779</v>
      </c>
      <c r="G3908" s="1">
        <f t="shared" si="1911"/>
        <v>179843</v>
      </c>
      <c r="H3908" s="2">
        <f t="shared" si="1912"/>
        <v>0.60644006160929254</v>
      </c>
      <c r="I3908" s="2">
        <f t="shared" si="1913"/>
        <v>0.39355993839070746</v>
      </c>
      <c r="J3908" s="3">
        <v>141981.73000000001</v>
      </c>
      <c r="K3908" s="3">
        <v>114147.31</v>
      </c>
      <c r="L3908" s="1">
        <f t="shared" si="1914"/>
        <v>256129.04</v>
      </c>
      <c r="M3908" s="2">
        <f t="shared" si="1915"/>
        <v>0.5543367124633739</v>
      </c>
      <c r="N3908" s="2">
        <f t="shared" si="1916"/>
        <v>0.44566328753662604</v>
      </c>
      <c r="O3908" s="5">
        <f t="shared" si="1917"/>
        <v>1424.1813137013951</v>
      </c>
    </row>
    <row r="3909" spans="1:15" x14ac:dyDescent="0.35">
      <c r="A3909" t="s">
        <v>37</v>
      </c>
      <c r="B3909" t="s">
        <v>25</v>
      </c>
      <c r="C3909">
        <v>2007</v>
      </c>
      <c r="D3909" t="s">
        <v>18</v>
      </c>
      <c r="E3909" s="3">
        <v>107898</v>
      </c>
      <c r="F3909" s="16">
        <v>72398</v>
      </c>
      <c r="G3909" s="1">
        <f t="shared" si="1911"/>
        <v>180296</v>
      </c>
      <c r="H3909" s="2">
        <f t="shared" si="1912"/>
        <v>0.59844921684341301</v>
      </c>
      <c r="I3909" s="2">
        <f t="shared" si="1913"/>
        <v>0.40155078315658693</v>
      </c>
      <c r="J3909" s="3">
        <v>157331.17000000001</v>
      </c>
      <c r="K3909" s="3">
        <v>130652.97</v>
      </c>
      <c r="L3909" s="1">
        <f t="shared" si="1914"/>
        <v>287984.14</v>
      </c>
      <c r="M3909" s="2">
        <f t="shared" si="1915"/>
        <v>0.54631887019889358</v>
      </c>
      <c r="N3909" s="2">
        <f t="shared" si="1916"/>
        <v>0.45368112980110636</v>
      </c>
      <c r="O3909" s="5">
        <f t="shared" si="1917"/>
        <v>1597.2852420464126</v>
      </c>
    </row>
    <row r="3910" spans="1:15" x14ac:dyDescent="0.35">
      <c r="A3910" t="s">
        <v>37</v>
      </c>
      <c r="B3910" t="s">
        <v>26</v>
      </c>
      <c r="C3910">
        <v>2007</v>
      </c>
      <c r="D3910" t="s">
        <v>18</v>
      </c>
      <c r="E3910" s="3">
        <v>106624</v>
      </c>
      <c r="F3910" s="16">
        <v>73891</v>
      </c>
      <c r="G3910" s="1">
        <f t="shared" si="1911"/>
        <v>180515</v>
      </c>
      <c r="H3910" s="2">
        <f t="shared" si="1912"/>
        <v>0.5906655956568706</v>
      </c>
      <c r="I3910" s="2">
        <f t="shared" si="1913"/>
        <v>0.4093344043431294</v>
      </c>
      <c r="J3910" s="3">
        <v>151640.57999999999</v>
      </c>
      <c r="K3910" s="3">
        <v>128943.25</v>
      </c>
      <c r="L3910" s="1">
        <f t="shared" si="1914"/>
        <v>280583.82999999996</v>
      </c>
      <c r="M3910" s="2">
        <f t="shared" si="1915"/>
        <v>0.54044661091125601</v>
      </c>
      <c r="N3910" s="2">
        <f t="shared" si="1916"/>
        <v>0.45955338908874405</v>
      </c>
      <c r="O3910" s="5">
        <f t="shared" si="1917"/>
        <v>1554.3518821150594</v>
      </c>
    </row>
    <row r="3911" spans="1:15" x14ac:dyDescent="0.35">
      <c r="A3911" t="s">
        <v>37</v>
      </c>
      <c r="B3911" t="s">
        <v>27</v>
      </c>
      <c r="C3911">
        <v>2007</v>
      </c>
      <c r="D3911" t="s">
        <v>18</v>
      </c>
      <c r="E3911" s="3">
        <v>106052</v>
      </c>
      <c r="F3911" s="16">
        <v>76244</v>
      </c>
      <c r="G3911" s="1">
        <f t="shared" si="1911"/>
        <v>182296</v>
      </c>
      <c r="H3911" s="2">
        <f t="shared" si="1912"/>
        <v>0.58175714223021902</v>
      </c>
      <c r="I3911" s="2">
        <f t="shared" si="1913"/>
        <v>0.41824285776978104</v>
      </c>
      <c r="J3911" s="3">
        <v>123797.82</v>
      </c>
      <c r="K3911" s="3">
        <v>110878.96</v>
      </c>
      <c r="L3911" s="1">
        <f t="shared" si="1914"/>
        <v>234676.78000000003</v>
      </c>
      <c r="M3911" s="2">
        <f t="shared" si="1915"/>
        <v>0.5275247938888542</v>
      </c>
      <c r="N3911" s="2">
        <f t="shared" si="1916"/>
        <v>0.47247520611114568</v>
      </c>
      <c r="O3911" s="5">
        <f t="shared" si="1917"/>
        <v>1287.339162680476</v>
      </c>
    </row>
    <row r="3912" spans="1:15" x14ac:dyDescent="0.35">
      <c r="A3912" t="s">
        <v>37</v>
      </c>
      <c r="B3912" t="s">
        <v>28</v>
      </c>
      <c r="C3912">
        <v>2007</v>
      </c>
      <c r="D3912" t="s">
        <v>18</v>
      </c>
      <c r="E3912" s="3">
        <v>104592</v>
      </c>
      <c r="F3912" s="16">
        <v>77837</v>
      </c>
      <c r="G3912" s="1">
        <f t="shared" si="1911"/>
        <v>182429</v>
      </c>
      <c r="H3912" s="2">
        <f t="shared" si="1912"/>
        <v>0.57332989820697366</v>
      </c>
      <c r="I3912" s="2">
        <f t="shared" si="1913"/>
        <v>0.42667010179302634</v>
      </c>
      <c r="J3912" s="3">
        <v>82219.23</v>
      </c>
      <c r="K3912" s="3">
        <v>76210.58</v>
      </c>
      <c r="L3912" s="1">
        <f t="shared" si="1914"/>
        <v>158429.81</v>
      </c>
      <c r="M3912" s="2">
        <f t="shared" si="1915"/>
        <v>0.51896312947670642</v>
      </c>
      <c r="N3912" s="2">
        <f t="shared" si="1916"/>
        <v>0.48103687052329358</v>
      </c>
      <c r="O3912" s="5">
        <f t="shared" si="1917"/>
        <v>868.44640928799697</v>
      </c>
    </row>
    <row r="3913" spans="1:15" x14ac:dyDescent="0.35">
      <c r="A3913" t="s">
        <v>37</v>
      </c>
      <c r="B3913" t="s">
        <v>29</v>
      </c>
      <c r="C3913">
        <v>2007</v>
      </c>
      <c r="D3913" t="s">
        <v>18</v>
      </c>
      <c r="E3913" s="3">
        <v>102909</v>
      </c>
      <c r="F3913" s="16">
        <v>79577</v>
      </c>
      <c r="G3913" s="1">
        <f t="shared" si="1911"/>
        <v>182486</v>
      </c>
      <c r="H3913" s="2">
        <f t="shared" si="1912"/>
        <v>0.56392819175169606</v>
      </c>
      <c r="I3913" s="2">
        <f t="shared" si="1913"/>
        <v>0.43607180824830399</v>
      </c>
      <c r="J3913" s="3">
        <v>89317.04</v>
      </c>
      <c r="K3913" s="3">
        <v>84368.89</v>
      </c>
      <c r="L3913" s="1">
        <f t="shared" si="1914"/>
        <v>173685.93</v>
      </c>
      <c r="M3913" s="2">
        <f t="shared" si="1915"/>
        <v>0.51424453322154529</v>
      </c>
      <c r="N3913" s="2">
        <f t="shared" si="1916"/>
        <v>0.48575546677845466</v>
      </c>
      <c r="O3913" s="5">
        <f t="shared" si="1917"/>
        <v>951.7767390375152</v>
      </c>
    </row>
    <row r="3914" spans="1:15" x14ac:dyDescent="0.35">
      <c r="A3914" t="s">
        <v>37</v>
      </c>
      <c r="B3914" t="s">
        <v>17</v>
      </c>
      <c r="C3914">
        <v>2008</v>
      </c>
      <c r="D3914" t="s">
        <v>18</v>
      </c>
      <c r="E3914" s="3">
        <v>101200</v>
      </c>
      <c r="F3914" s="16">
        <v>81665</v>
      </c>
      <c r="G3914" s="1">
        <f>SUM(E3914:F3914)</f>
        <v>182865</v>
      </c>
      <c r="H3914" s="2">
        <f>SUM(E3914)/G3914</f>
        <v>0.55341372050419713</v>
      </c>
      <c r="I3914" s="2">
        <f>SUM(F3914/G3914)</f>
        <v>0.44658627949580293</v>
      </c>
      <c r="J3914" s="3">
        <f>107067.62</f>
        <v>107067.62</v>
      </c>
      <c r="K3914" s="3">
        <v>101166.38</v>
      </c>
      <c r="L3914" s="1">
        <f t="shared" si="1914"/>
        <v>208234</v>
      </c>
      <c r="M3914" s="2">
        <f t="shared" si="1915"/>
        <v>0.51416973212827877</v>
      </c>
      <c r="N3914" s="2">
        <f t="shared" si="1916"/>
        <v>0.48583026787172123</v>
      </c>
      <c r="O3914" s="5">
        <f t="shared" si="1917"/>
        <v>1138.7307576627568</v>
      </c>
    </row>
    <row r="3915" spans="1:15" x14ac:dyDescent="0.35">
      <c r="A3915" t="s">
        <v>37</v>
      </c>
      <c r="B3915" t="s">
        <v>19</v>
      </c>
      <c r="C3915">
        <v>2008</v>
      </c>
      <c r="D3915" t="s">
        <v>18</v>
      </c>
      <c r="E3915" s="3">
        <v>99838</v>
      </c>
      <c r="F3915" s="16">
        <v>83170</v>
      </c>
      <c r="G3915" s="1">
        <f t="shared" ref="G3915:G3925" si="1918">SUM(E3915:F3915)</f>
        <v>183008</v>
      </c>
      <c r="H3915" s="2">
        <f t="shared" ref="H3915:H3925" si="1919">SUM(E3915)/G3915</f>
        <v>0.54553899283091445</v>
      </c>
      <c r="I3915" s="2">
        <f t="shared" ref="I3915:I3925" si="1920">SUM(F3915/G3915)</f>
        <v>0.4544610071690855</v>
      </c>
      <c r="J3915" s="3">
        <v>94413.55</v>
      </c>
      <c r="K3915" s="3">
        <v>92656.73</v>
      </c>
      <c r="L3915" s="1">
        <f t="shared" si="1914"/>
        <v>187070.28</v>
      </c>
      <c r="M3915" s="2">
        <f t="shared" si="1915"/>
        <v>0.50469561493145787</v>
      </c>
      <c r="N3915" s="2">
        <f t="shared" si="1916"/>
        <v>0.49530438506854213</v>
      </c>
      <c r="O3915" s="5">
        <f t="shared" si="1917"/>
        <v>1022.1972809931806</v>
      </c>
    </row>
    <row r="3916" spans="1:15" x14ac:dyDescent="0.35">
      <c r="A3916" t="s">
        <v>37</v>
      </c>
      <c r="B3916" t="s">
        <v>20</v>
      </c>
      <c r="C3916">
        <v>2008</v>
      </c>
      <c r="D3916" t="s">
        <v>18</v>
      </c>
      <c r="E3916" s="3">
        <v>98074</v>
      </c>
      <c r="F3916" s="16">
        <v>85059</v>
      </c>
      <c r="G3916" s="1">
        <f t="shared" si="1918"/>
        <v>183133</v>
      </c>
      <c r="H3916" s="2">
        <f t="shared" si="1919"/>
        <v>0.53553428382650858</v>
      </c>
      <c r="I3916" s="2">
        <f t="shared" si="1920"/>
        <v>0.46446571617349142</v>
      </c>
      <c r="J3916" s="3">
        <v>79196.759999999995</v>
      </c>
      <c r="K3916" s="3">
        <v>78538.149999999994</v>
      </c>
      <c r="L3916" s="1">
        <f t="shared" si="1914"/>
        <v>157734.90999999997</v>
      </c>
      <c r="M3916" s="2">
        <f t="shared" si="1915"/>
        <v>0.50208771159155574</v>
      </c>
      <c r="N3916" s="2">
        <f t="shared" si="1916"/>
        <v>0.49791228840844431</v>
      </c>
      <c r="O3916" s="5">
        <f t="shared" si="1917"/>
        <v>861.31341702478505</v>
      </c>
    </row>
    <row r="3917" spans="1:15" x14ac:dyDescent="0.35">
      <c r="A3917" t="s">
        <v>37</v>
      </c>
      <c r="B3917" t="s">
        <v>21</v>
      </c>
      <c r="C3917">
        <v>2008</v>
      </c>
      <c r="D3917" t="s">
        <v>18</v>
      </c>
      <c r="E3917" s="3">
        <v>96496</v>
      </c>
      <c r="F3917" s="16">
        <v>87533</v>
      </c>
      <c r="G3917" s="1">
        <f t="shared" si="1918"/>
        <v>184029</v>
      </c>
      <c r="H3917" s="2">
        <f t="shared" si="1919"/>
        <v>0.52435214015182385</v>
      </c>
      <c r="I3917" s="2">
        <f t="shared" si="1920"/>
        <v>0.47564785984817609</v>
      </c>
      <c r="J3917" s="3">
        <v>73860.61</v>
      </c>
      <c r="K3917" s="3">
        <v>81410.95</v>
      </c>
      <c r="L3917" s="1">
        <f t="shared" si="1914"/>
        <v>155271.56</v>
      </c>
      <c r="M3917" s="2">
        <f t="shared" si="1915"/>
        <v>0.47568666148520694</v>
      </c>
      <c r="N3917" s="2">
        <f t="shared" si="1916"/>
        <v>0.524313338514793</v>
      </c>
      <c r="O3917" s="5">
        <f t="shared" si="1917"/>
        <v>843.7341940672394</v>
      </c>
    </row>
    <row r="3918" spans="1:15" x14ac:dyDescent="0.35">
      <c r="A3918" t="s">
        <v>37</v>
      </c>
      <c r="B3918" t="s">
        <v>22</v>
      </c>
      <c r="C3918">
        <v>2008</v>
      </c>
      <c r="D3918" t="s">
        <v>18</v>
      </c>
      <c r="E3918" s="3">
        <v>94681</v>
      </c>
      <c r="F3918" s="16">
        <v>89577</v>
      </c>
      <c r="G3918" s="1">
        <f t="shared" si="1918"/>
        <v>184258</v>
      </c>
      <c r="H3918" s="2">
        <f t="shared" si="1919"/>
        <v>0.51385014490551295</v>
      </c>
      <c r="I3918" s="2">
        <f t="shared" si="1920"/>
        <v>0.4861498550944871</v>
      </c>
      <c r="J3918" s="3">
        <v>79441.34</v>
      </c>
      <c r="K3918" s="3">
        <v>92335.3</v>
      </c>
      <c r="L3918" s="1">
        <f t="shared" si="1914"/>
        <v>171776.64000000001</v>
      </c>
      <c r="M3918" s="2">
        <f t="shared" si="1915"/>
        <v>0.46246881997459022</v>
      </c>
      <c r="N3918" s="2">
        <f t="shared" si="1916"/>
        <v>0.53753118002540967</v>
      </c>
      <c r="O3918" s="5">
        <f t="shared" si="1917"/>
        <v>932.2615028926831</v>
      </c>
    </row>
    <row r="3919" spans="1:15" x14ac:dyDescent="0.35">
      <c r="A3919" t="s">
        <v>37</v>
      </c>
      <c r="B3919" t="s">
        <v>23</v>
      </c>
      <c r="C3919">
        <v>2008</v>
      </c>
      <c r="D3919" t="s">
        <v>18</v>
      </c>
      <c r="E3919" s="9">
        <v>93162</v>
      </c>
      <c r="F3919" s="9">
        <v>91068</v>
      </c>
      <c r="G3919" s="1">
        <f t="shared" si="1918"/>
        <v>184230</v>
      </c>
      <c r="H3919" s="2">
        <f t="shared" si="1919"/>
        <v>0.50568311349943007</v>
      </c>
      <c r="I3919" s="2">
        <f t="shared" si="1920"/>
        <v>0.49431688650056993</v>
      </c>
      <c r="J3919" s="3">
        <v>120144.03</v>
      </c>
      <c r="K3919" s="3">
        <v>143395.35</v>
      </c>
      <c r="L3919" s="1">
        <f t="shared" si="1914"/>
        <v>263539.38</v>
      </c>
      <c r="M3919" s="2">
        <f t="shared" si="1915"/>
        <v>0.45588644095618652</v>
      </c>
      <c r="N3919" s="2">
        <f t="shared" si="1916"/>
        <v>0.54411355904381353</v>
      </c>
      <c r="O3919" s="5">
        <f t="shared" si="1917"/>
        <v>1430.4911252239049</v>
      </c>
    </row>
    <row r="3920" spans="1:15" x14ac:dyDescent="0.35">
      <c r="A3920" t="s">
        <v>37</v>
      </c>
      <c r="B3920" t="s">
        <v>24</v>
      </c>
      <c r="C3920">
        <v>2008</v>
      </c>
      <c r="D3920" t="s">
        <v>18</v>
      </c>
      <c r="E3920" s="3">
        <v>91479</v>
      </c>
      <c r="F3920" s="16">
        <v>93554</v>
      </c>
      <c r="G3920" s="1">
        <f t="shared" si="1918"/>
        <v>185033</v>
      </c>
      <c r="H3920" s="2">
        <f t="shared" si="1919"/>
        <v>0.49439289207871029</v>
      </c>
      <c r="I3920" s="2">
        <f t="shared" si="1920"/>
        <v>0.50560710792128971</v>
      </c>
      <c r="J3920" s="3">
        <v>134122.06</v>
      </c>
      <c r="K3920" s="3">
        <v>165661.23000000001</v>
      </c>
      <c r="L3920" s="1">
        <f t="shared" si="1914"/>
        <v>299783.29000000004</v>
      </c>
      <c r="M3920" s="2">
        <f t="shared" si="1915"/>
        <v>0.4473967178090546</v>
      </c>
      <c r="N3920" s="2">
        <f t="shared" si="1916"/>
        <v>0.55260328219094534</v>
      </c>
      <c r="O3920" s="5">
        <f t="shared" si="1917"/>
        <v>1620.1612144860649</v>
      </c>
    </row>
    <row r="3921" spans="1:15" x14ac:dyDescent="0.35">
      <c r="A3921" t="s">
        <v>37</v>
      </c>
      <c r="B3921" t="s">
        <v>25</v>
      </c>
      <c r="C3921">
        <v>2008</v>
      </c>
      <c r="D3921" t="s">
        <v>18</v>
      </c>
      <c r="E3921" s="3">
        <v>87853</v>
      </c>
      <c r="F3921" s="16">
        <v>97403</v>
      </c>
      <c r="G3921" s="1">
        <f t="shared" si="1918"/>
        <v>185256</v>
      </c>
      <c r="H3921" s="2">
        <f t="shared" si="1919"/>
        <v>0.47422485641490691</v>
      </c>
      <c r="I3921" s="2">
        <f t="shared" si="1920"/>
        <v>0.52577514358509303</v>
      </c>
      <c r="J3921" s="3">
        <v>132378.54999999999</v>
      </c>
      <c r="K3921" s="3">
        <v>178384.3</v>
      </c>
      <c r="L3921" s="1">
        <f t="shared" si="1914"/>
        <v>310762.84999999998</v>
      </c>
      <c r="M3921" s="2">
        <f t="shared" si="1915"/>
        <v>0.42597932796664723</v>
      </c>
      <c r="N3921" s="2">
        <f t="shared" si="1916"/>
        <v>0.57402067203335272</v>
      </c>
      <c r="O3921" s="5">
        <f t="shared" si="1917"/>
        <v>1677.4779224424581</v>
      </c>
    </row>
    <row r="3922" spans="1:15" x14ac:dyDescent="0.35">
      <c r="A3922" t="s">
        <v>37</v>
      </c>
      <c r="B3922" t="s">
        <v>26</v>
      </c>
      <c r="C3922">
        <v>2008</v>
      </c>
      <c r="D3922" t="s">
        <v>18</v>
      </c>
      <c r="E3922" s="3">
        <v>82299</v>
      </c>
      <c r="F3922" s="16">
        <v>103009</v>
      </c>
      <c r="G3922" s="1">
        <f t="shared" si="1918"/>
        <v>185308</v>
      </c>
      <c r="H3922" s="2">
        <f t="shared" si="1919"/>
        <v>0.44412005957648887</v>
      </c>
      <c r="I3922" s="2">
        <f t="shared" si="1920"/>
        <v>0.55587994042351108</v>
      </c>
      <c r="J3922" s="3">
        <v>95616.24</v>
      </c>
      <c r="K3922" s="3">
        <v>148269.12</v>
      </c>
      <c r="L3922" s="1">
        <f t="shared" si="1914"/>
        <v>243885.36</v>
      </c>
      <c r="M3922" s="2">
        <f t="shared" si="1915"/>
        <v>0.39205403719190035</v>
      </c>
      <c r="N3922" s="2">
        <f t="shared" si="1916"/>
        <v>0.60794596280809965</v>
      </c>
      <c r="O3922" s="5">
        <f t="shared" si="1917"/>
        <v>1316.1081011073456</v>
      </c>
    </row>
    <row r="3923" spans="1:15" x14ac:dyDescent="0.35">
      <c r="A3923" t="s">
        <v>37</v>
      </c>
      <c r="B3923" t="s">
        <v>27</v>
      </c>
      <c r="C3923">
        <v>2008</v>
      </c>
      <c r="D3923" t="s">
        <v>18</v>
      </c>
      <c r="E3923" s="3">
        <v>76868</v>
      </c>
      <c r="F3923" s="16">
        <v>108535</v>
      </c>
      <c r="G3923" s="1">
        <f t="shared" si="1918"/>
        <v>185403</v>
      </c>
      <c r="H3923" s="2">
        <f t="shared" si="1919"/>
        <v>0.41459954801162874</v>
      </c>
      <c r="I3923" s="2">
        <f t="shared" si="1920"/>
        <v>0.58540045198837132</v>
      </c>
      <c r="J3923" s="3">
        <v>69503.520000000004</v>
      </c>
      <c r="K3923" s="3">
        <v>133009.41</v>
      </c>
      <c r="L3923" s="1">
        <f t="shared" si="1914"/>
        <v>202512.93</v>
      </c>
      <c r="M3923" s="2">
        <f t="shared" si="1915"/>
        <v>0.343205344962418</v>
      </c>
      <c r="N3923" s="2">
        <f t="shared" si="1916"/>
        <v>0.65679465503758205</v>
      </c>
      <c r="O3923" s="5">
        <f t="shared" si="1917"/>
        <v>1092.285076293264</v>
      </c>
    </row>
    <row r="3924" spans="1:15" x14ac:dyDescent="0.35">
      <c r="A3924" t="s">
        <v>37</v>
      </c>
      <c r="B3924" t="s">
        <v>28</v>
      </c>
      <c r="C3924">
        <v>2008</v>
      </c>
      <c r="D3924" t="s">
        <v>18</v>
      </c>
      <c r="E3924" s="3">
        <v>73409</v>
      </c>
      <c r="F3924" s="16">
        <v>112714</v>
      </c>
      <c r="G3924" s="1">
        <f t="shared" si="1918"/>
        <v>186123</v>
      </c>
      <c r="H3924" s="2">
        <f t="shared" si="1919"/>
        <v>0.3944112226860732</v>
      </c>
      <c r="I3924" s="2">
        <f t="shared" si="1920"/>
        <v>0.6055887773139268</v>
      </c>
      <c r="J3924" s="3">
        <v>48216.160000000003</v>
      </c>
      <c r="K3924" s="3">
        <v>95834.33</v>
      </c>
      <c r="L3924" s="1">
        <f t="shared" si="1914"/>
        <v>144050.49</v>
      </c>
      <c r="M3924" s="2">
        <f t="shared" si="1915"/>
        <v>0.33471708426677343</v>
      </c>
      <c r="N3924" s="2">
        <f t="shared" si="1916"/>
        <v>0.66528291573322662</v>
      </c>
      <c r="O3924" s="5">
        <f t="shared" si="1917"/>
        <v>773.95319224383877</v>
      </c>
    </row>
    <row r="3925" spans="1:15" x14ac:dyDescent="0.35">
      <c r="A3925" t="s">
        <v>37</v>
      </c>
      <c r="B3925" t="s">
        <v>29</v>
      </c>
      <c r="C3925">
        <v>2008</v>
      </c>
      <c r="D3925" t="s">
        <v>18</v>
      </c>
      <c r="E3925" s="3">
        <v>71924</v>
      </c>
      <c r="F3925" s="3">
        <v>114514</v>
      </c>
      <c r="G3925" s="1">
        <f t="shared" si="1918"/>
        <v>186438</v>
      </c>
      <c r="H3925" s="2">
        <f t="shared" si="1919"/>
        <v>0.38577972301783969</v>
      </c>
      <c r="I3925" s="2">
        <f t="shared" si="1920"/>
        <v>0.61422027698216031</v>
      </c>
      <c r="J3925" s="3">
        <v>57371.519999999997</v>
      </c>
      <c r="K3925" s="3">
        <v>112885.19</v>
      </c>
      <c r="L3925" s="1">
        <f t="shared" si="1914"/>
        <v>170256.71</v>
      </c>
      <c r="M3925" s="2">
        <f t="shared" si="1915"/>
        <v>0.3369706838573352</v>
      </c>
      <c r="N3925" s="2">
        <f t="shared" si="1916"/>
        <v>0.6630293161426648</v>
      </c>
      <c r="O3925" s="5">
        <f t="shared" si="1917"/>
        <v>913.20819789956988</v>
      </c>
    </row>
    <row r="3926" spans="1:15" x14ac:dyDescent="0.35">
      <c r="A3926" t="s">
        <v>37</v>
      </c>
      <c r="B3926" t="s">
        <v>17</v>
      </c>
      <c r="C3926">
        <v>2009</v>
      </c>
      <c r="D3926" t="s">
        <v>18</v>
      </c>
      <c r="E3926" s="3">
        <v>71154</v>
      </c>
      <c r="F3926" s="3">
        <v>115295</v>
      </c>
      <c r="G3926" s="1">
        <f>SUM(E3926:F3926)</f>
        <v>186449</v>
      </c>
      <c r="H3926" s="2">
        <f>SUM(E3926)/G3926</f>
        <v>0.38162714737005832</v>
      </c>
      <c r="I3926" s="2">
        <f>SUM(F3926/G3926)</f>
        <v>0.61837285262994168</v>
      </c>
      <c r="J3926" s="3">
        <v>67112.820000000007</v>
      </c>
      <c r="K3926" s="3">
        <v>133421.74</v>
      </c>
      <c r="L3926" s="1">
        <f t="shared" si="1914"/>
        <v>200534.56</v>
      </c>
      <c r="M3926" s="2">
        <f t="shared" si="1915"/>
        <v>0.3346695951062002</v>
      </c>
      <c r="N3926" s="2">
        <f t="shared" si="1916"/>
        <v>0.6653304048937998</v>
      </c>
      <c r="O3926" s="5">
        <f t="shared" si="1917"/>
        <v>1075.5464496993816</v>
      </c>
    </row>
    <row r="3927" spans="1:15" x14ac:dyDescent="0.35">
      <c r="A3927" t="s">
        <v>37</v>
      </c>
      <c r="B3927" t="s">
        <v>19</v>
      </c>
      <c r="C3927">
        <v>2009</v>
      </c>
      <c r="D3927" t="s">
        <v>18</v>
      </c>
      <c r="E3927" s="3">
        <v>70609</v>
      </c>
      <c r="F3927" s="3">
        <v>116036</v>
      </c>
      <c r="G3927" s="1">
        <f t="shared" ref="G3927:G3937" si="1921">SUM(E3927:F3927)</f>
        <v>186645</v>
      </c>
      <c r="H3927" s="2">
        <f t="shared" ref="H3927:H3937" si="1922">SUM(E3927)/G3927</f>
        <v>0.37830641056551206</v>
      </c>
      <c r="I3927" s="2">
        <f t="shared" ref="I3927:I3937" si="1923">SUM(F3927/G3927)</f>
        <v>0.62169358943448794</v>
      </c>
      <c r="J3927" s="3">
        <v>61974.36</v>
      </c>
      <c r="K3927" s="3">
        <v>123377.95</v>
      </c>
      <c r="L3927" s="1">
        <f t="shared" si="1914"/>
        <v>185352.31</v>
      </c>
      <c r="M3927" s="2">
        <f t="shared" si="1915"/>
        <v>0.33435979298019003</v>
      </c>
      <c r="N3927" s="2">
        <f t="shared" si="1916"/>
        <v>0.66564020701980997</v>
      </c>
      <c r="O3927" s="5">
        <f t="shared" si="1917"/>
        <v>993.07407109753808</v>
      </c>
    </row>
    <row r="3928" spans="1:15" x14ac:dyDescent="0.35">
      <c r="A3928" t="s">
        <v>37</v>
      </c>
      <c r="B3928" t="s">
        <v>20</v>
      </c>
      <c r="C3928">
        <v>2009</v>
      </c>
      <c r="D3928" t="s">
        <v>18</v>
      </c>
      <c r="E3928" s="3">
        <v>70176</v>
      </c>
      <c r="F3928" s="3">
        <v>116729</v>
      </c>
      <c r="G3928" s="1">
        <f t="shared" si="1921"/>
        <v>186905</v>
      </c>
      <c r="H3928" s="2">
        <f t="shared" si="1922"/>
        <v>0.37546347074717101</v>
      </c>
      <c r="I3928" s="2">
        <f t="shared" si="1923"/>
        <v>0.62453652925282899</v>
      </c>
      <c r="J3928" s="3">
        <v>52446.879999999997</v>
      </c>
      <c r="K3928" s="3">
        <v>108548.53</v>
      </c>
      <c r="L3928" s="1">
        <f t="shared" si="1914"/>
        <v>160995.41</v>
      </c>
      <c r="M3928" s="2">
        <f t="shared" si="1915"/>
        <v>0.32576630600835138</v>
      </c>
      <c r="N3928" s="2">
        <f t="shared" si="1916"/>
        <v>0.67423369399164856</v>
      </c>
      <c r="O3928" s="5">
        <f t="shared" si="1917"/>
        <v>861.37561862978521</v>
      </c>
    </row>
    <row r="3929" spans="1:15" x14ac:dyDescent="0.35">
      <c r="A3929" t="s">
        <v>37</v>
      </c>
      <c r="B3929" t="s">
        <v>21</v>
      </c>
      <c r="C3929">
        <v>2009</v>
      </c>
      <c r="D3929" t="s">
        <v>18</v>
      </c>
      <c r="E3929" s="3">
        <v>69738</v>
      </c>
      <c r="F3929" s="3">
        <f>117347</f>
        <v>117347</v>
      </c>
      <c r="G3929" s="1">
        <f t="shared" si="1921"/>
        <v>187085</v>
      </c>
      <c r="H3929" s="2">
        <f t="shared" si="1922"/>
        <v>0.37276104444503833</v>
      </c>
      <c r="I3929" s="2">
        <f t="shared" si="1923"/>
        <v>0.62723895555496167</v>
      </c>
      <c r="J3929" s="3">
        <v>45902.47</v>
      </c>
      <c r="K3929" s="3">
        <v>97618.89</v>
      </c>
      <c r="L3929" s="1">
        <f t="shared" si="1914"/>
        <v>143521.35999999999</v>
      </c>
      <c r="M3929" s="2">
        <f t="shared" si="1915"/>
        <v>0.31983023293536239</v>
      </c>
      <c r="N3929" s="2">
        <f t="shared" si="1916"/>
        <v>0.68016976706463772</v>
      </c>
      <c r="O3929" s="5">
        <f t="shared" si="1917"/>
        <v>767.14520137905231</v>
      </c>
    </row>
    <row r="3930" spans="1:15" x14ac:dyDescent="0.35">
      <c r="A3930" t="s">
        <v>37</v>
      </c>
      <c r="B3930" t="s">
        <v>22</v>
      </c>
      <c r="C3930">
        <v>2009</v>
      </c>
      <c r="D3930" t="s">
        <v>18</v>
      </c>
      <c r="E3930" s="3">
        <v>69187</v>
      </c>
      <c r="F3930" s="3">
        <v>117960</v>
      </c>
      <c r="G3930" s="1">
        <f t="shared" si="1921"/>
        <v>187147</v>
      </c>
      <c r="H3930" s="2">
        <f t="shared" si="1922"/>
        <v>0.36969334266646003</v>
      </c>
      <c r="I3930" s="2">
        <f t="shared" si="1923"/>
        <v>0.63030665733353997</v>
      </c>
      <c r="J3930" s="3">
        <v>55459.71</v>
      </c>
      <c r="K3930" s="3">
        <v>124219.33</v>
      </c>
      <c r="L3930" s="1">
        <f t="shared" si="1914"/>
        <v>179679.04</v>
      </c>
      <c r="M3930" s="2">
        <f t="shared" si="1915"/>
        <v>0.30865987485240348</v>
      </c>
      <c r="N3930" s="2">
        <f t="shared" si="1916"/>
        <v>0.69134012514759646</v>
      </c>
      <c r="O3930" s="5">
        <f t="shared" si="1917"/>
        <v>960.09575360545455</v>
      </c>
    </row>
    <row r="3931" spans="1:15" x14ac:dyDescent="0.35">
      <c r="A3931" t="s">
        <v>37</v>
      </c>
      <c r="B3931" t="s">
        <v>23</v>
      </c>
      <c r="C3931">
        <v>2009</v>
      </c>
      <c r="D3931" t="s">
        <v>18</v>
      </c>
      <c r="E3931" s="3">
        <v>68522</v>
      </c>
      <c r="F3931" s="3">
        <v>118639</v>
      </c>
      <c r="G3931" s="1">
        <f t="shared" si="1921"/>
        <v>187161</v>
      </c>
      <c r="H3931" s="2">
        <f t="shared" si="1922"/>
        <v>0.36611259824429232</v>
      </c>
      <c r="I3931" s="2">
        <f t="shared" si="1923"/>
        <v>0.63388740175570768</v>
      </c>
      <c r="J3931" s="3">
        <v>74329.63</v>
      </c>
      <c r="K3931" s="3">
        <v>168362.07</v>
      </c>
      <c r="L3931" s="1">
        <f t="shared" si="1914"/>
        <v>242691.7</v>
      </c>
      <c r="M3931" s="2">
        <f t="shared" si="1915"/>
        <v>0.30627182553008614</v>
      </c>
      <c r="N3931" s="2">
        <f t="shared" si="1916"/>
        <v>0.69372817446991386</v>
      </c>
      <c r="O3931" s="5">
        <f t="shared" si="1917"/>
        <v>1296.7001672356955</v>
      </c>
    </row>
    <row r="3932" spans="1:15" x14ac:dyDescent="0.35">
      <c r="A3932" t="s">
        <v>37</v>
      </c>
      <c r="B3932" t="s">
        <v>24</v>
      </c>
      <c r="C3932">
        <v>2009</v>
      </c>
      <c r="D3932" t="s">
        <v>18</v>
      </c>
      <c r="E3932" s="3">
        <v>67902</v>
      </c>
      <c r="F3932" s="3">
        <v>119564</v>
      </c>
      <c r="G3932" s="1">
        <f t="shared" si="1921"/>
        <v>187466</v>
      </c>
      <c r="H3932" s="2">
        <f t="shared" si="1922"/>
        <v>0.36220968068876491</v>
      </c>
      <c r="I3932" s="2">
        <f t="shared" si="1923"/>
        <v>0.63779031931123509</v>
      </c>
      <c r="J3932" s="3">
        <v>100331.63</v>
      </c>
      <c r="K3932" s="3">
        <v>226290.15</v>
      </c>
      <c r="L3932" s="1">
        <f t="shared" si="1914"/>
        <v>326621.78000000003</v>
      </c>
      <c r="M3932" s="2">
        <f t="shared" si="1915"/>
        <v>0.3071798518763813</v>
      </c>
      <c r="N3932" s="2">
        <f t="shared" si="1916"/>
        <v>0.69282014812361858</v>
      </c>
      <c r="O3932" s="5">
        <f t="shared" si="1917"/>
        <v>1742.2987635091163</v>
      </c>
    </row>
    <row r="3933" spans="1:15" x14ac:dyDescent="0.35">
      <c r="A3933" t="s">
        <v>37</v>
      </c>
      <c r="B3933" t="s">
        <v>25</v>
      </c>
      <c r="C3933">
        <v>2009</v>
      </c>
      <c r="D3933" t="s">
        <v>18</v>
      </c>
      <c r="E3933" s="3">
        <v>67199</v>
      </c>
      <c r="F3933" s="3">
        <v>120405</v>
      </c>
      <c r="G3933" s="1">
        <f t="shared" si="1921"/>
        <v>187604</v>
      </c>
      <c r="H3933" s="2">
        <f t="shared" si="1922"/>
        <v>0.35819598729238183</v>
      </c>
      <c r="I3933" s="2">
        <f t="shared" si="1923"/>
        <v>0.64180401270761822</v>
      </c>
      <c r="J3933" s="3">
        <v>98440.51</v>
      </c>
      <c r="K3933" s="3">
        <v>223292.11</v>
      </c>
      <c r="L3933" s="1">
        <f t="shared" si="1914"/>
        <v>321732.62</v>
      </c>
      <c r="M3933" s="2">
        <f t="shared" si="1915"/>
        <v>0.30596993864035299</v>
      </c>
      <c r="N3933" s="2">
        <f t="shared" si="1916"/>
        <v>0.69403006135964695</v>
      </c>
      <c r="O3933" s="5">
        <f t="shared" si="1917"/>
        <v>1714.9560776955716</v>
      </c>
    </row>
    <row r="3934" spans="1:15" x14ac:dyDescent="0.35">
      <c r="A3934" t="s">
        <v>37</v>
      </c>
      <c r="B3934" t="s">
        <v>26</v>
      </c>
      <c r="C3934">
        <v>2009</v>
      </c>
      <c r="D3934" t="s">
        <v>18</v>
      </c>
      <c r="E3934" s="3">
        <v>66281</v>
      </c>
      <c r="F3934" s="3">
        <v>121438</v>
      </c>
      <c r="G3934" s="1">
        <f t="shared" si="1921"/>
        <v>187719</v>
      </c>
      <c r="H3934" s="2">
        <f t="shared" si="1922"/>
        <v>0.35308626191275255</v>
      </c>
      <c r="I3934" s="2">
        <f t="shared" si="1923"/>
        <v>0.64691373808724739</v>
      </c>
      <c r="J3934" s="3">
        <v>83881.460000000006</v>
      </c>
      <c r="K3934" s="3">
        <v>195802.58</v>
      </c>
      <c r="L3934" s="1">
        <f t="shared" si="1914"/>
        <v>279684.03999999998</v>
      </c>
      <c r="M3934" s="2">
        <f t="shared" si="1915"/>
        <v>0.29991507559744923</v>
      </c>
      <c r="N3934" s="2">
        <f t="shared" si="1916"/>
        <v>0.70008492440255088</v>
      </c>
      <c r="O3934" s="5">
        <f t="shared" si="1917"/>
        <v>1489.9080007884124</v>
      </c>
    </row>
    <row r="3935" spans="1:15" x14ac:dyDescent="0.35">
      <c r="A3935" t="s">
        <v>37</v>
      </c>
      <c r="B3935" t="s">
        <v>27</v>
      </c>
      <c r="C3935">
        <v>2009</v>
      </c>
      <c r="D3935" t="s">
        <v>18</v>
      </c>
      <c r="E3935" s="3">
        <v>65281</v>
      </c>
      <c r="F3935" s="3">
        <v>122289</v>
      </c>
      <c r="G3935" s="1">
        <f t="shared" si="1921"/>
        <v>187570</v>
      </c>
      <c r="H3935" s="2">
        <f t="shared" si="1922"/>
        <v>0.34803540011728956</v>
      </c>
      <c r="I3935" s="2">
        <f t="shared" si="1923"/>
        <v>0.65196459988271049</v>
      </c>
      <c r="J3935" s="3">
        <v>60496.86</v>
      </c>
      <c r="K3935" s="3">
        <v>147140.81</v>
      </c>
      <c r="L3935" s="1">
        <f t="shared" si="1914"/>
        <v>207637.66999999998</v>
      </c>
      <c r="M3935" s="2">
        <f t="shared" si="1915"/>
        <v>0.29135782538881316</v>
      </c>
      <c r="N3935" s="2">
        <f t="shared" si="1916"/>
        <v>0.70864217461118695</v>
      </c>
      <c r="O3935" s="5">
        <f t="shared" si="1917"/>
        <v>1106.9876312843203</v>
      </c>
    </row>
    <row r="3936" spans="1:15" x14ac:dyDescent="0.35">
      <c r="A3936" t="s">
        <v>37</v>
      </c>
      <c r="B3936" t="s">
        <v>28</v>
      </c>
      <c r="C3936">
        <v>2009</v>
      </c>
      <c r="D3936" t="s">
        <v>18</v>
      </c>
      <c r="E3936" s="3">
        <v>64490</v>
      </c>
      <c r="F3936" s="3">
        <v>122954</v>
      </c>
      <c r="G3936" s="1">
        <f t="shared" si="1921"/>
        <v>187444</v>
      </c>
      <c r="H3936" s="2">
        <f t="shared" si="1922"/>
        <v>0.34404942276093126</v>
      </c>
      <c r="I3936" s="2">
        <f t="shared" si="1923"/>
        <v>0.65595057723906869</v>
      </c>
      <c r="J3936" s="3">
        <v>45300.05</v>
      </c>
      <c r="K3936" s="3">
        <v>110026.88</v>
      </c>
      <c r="L3936" s="1">
        <f t="shared" si="1914"/>
        <v>155326.93</v>
      </c>
      <c r="M3936" s="2">
        <f t="shared" si="1915"/>
        <v>0.29164324563679977</v>
      </c>
      <c r="N3936" s="2">
        <f t="shared" si="1916"/>
        <v>0.70835675436320034</v>
      </c>
      <c r="O3936" s="5">
        <f t="shared" si="1917"/>
        <v>828.65778579202322</v>
      </c>
    </row>
    <row r="3937" spans="1:15" x14ac:dyDescent="0.35">
      <c r="A3937" t="s">
        <v>37</v>
      </c>
      <c r="B3937" t="s">
        <v>29</v>
      </c>
      <c r="C3937">
        <v>2009</v>
      </c>
      <c r="D3937" t="s">
        <v>18</v>
      </c>
      <c r="E3937" s="3">
        <v>63819</v>
      </c>
      <c r="F3937" s="3">
        <v>123538</v>
      </c>
      <c r="G3937" s="1">
        <f t="shared" si="1921"/>
        <v>187357</v>
      </c>
      <c r="H3937" s="2">
        <f t="shared" si="1922"/>
        <v>0.34062778545770905</v>
      </c>
      <c r="I3937" s="2">
        <f t="shared" si="1923"/>
        <v>0.65937221454229089</v>
      </c>
      <c r="J3937" s="3">
        <v>54979.39</v>
      </c>
      <c r="K3937" s="3">
        <v>128434.32</v>
      </c>
      <c r="L3937" s="1">
        <f t="shared" si="1914"/>
        <v>183413.71000000002</v>
      </c>
      <c r="M3937" s="2">
        <f t="shared" si="1915"/>
        <v>0.29975616326609389</v>
      </c>
      <c r="N3937" s="2">
        <f t="shared" si="1916"/>
        <v>0.700243836733906</v>
      </c>
      <c r="O3937" s="5">
        <f t="shared" si="1917"/>
        <v>978.95306820668577</v>
      </c>
    </row>
    <row r="3938" spans="1:15" x14ac:dyDescent="0.35">
      <c r="A3938" t="s">
        <v>37</v>
      </c>
      <c r="B3938" t="s">
        <v>17</v>
      </c>
      <c r="C3938">
        <v>2010</v>
      </c>
      <c r="D3938" t="s">
        <v>18</v>
      </c>
      <c r="E3938" s="3">
        <v>63313</v>
      </c>
      <c r="F3938" s="3">
        <v>124188</v>
      </c>
      <c r="G3938" s="1">
        <f>SUM(E3938:F3938)</f>
        <v>187501</v>
      </c>
      <c r="H3938" s="2">
        <f>SUM(E3938)/G3938</f>
        <v>0.337667532439827</v>
      </c>
      <c r="I3938" s="2">
        <f>SUM(F3938/G3938)</f>
        <v>0.66233246756017305</v>
      </c>
      <c r="J3938" s="3">
        <v>72747.44</v>
      </c>
      <c r="K3938" s="3">
        <v>168485.8</v>
      </c>
      <c r="L3938" s="1">
        <f t="shared" si="1914"/>
        <v>241233.24</v>
      </c>
      <c r="M3938" s="2">
        <f t="shared" si="1915"/>
        <v>0.3015647429019318</v>
      </c>
      <c r="N3938" s="2">
        <f t="shared" si="1916"/>
        <v>0.6984352570980682</v>
      </c>
      <c r="O3938" s="5">
        <f t="shared" si="1917"/>
        <v>1286.5704182911024</v>
      </c>
    </row>
    <row r="3939" spans="1:15" x14ac:dyDescent="0.35">
      <c r="A3939" t="s">
        <v>37</v>
      </c>
      <c r="B3939" t="s">
        <v>19</v>
      </c>
      <c r="C3939">
        <v>2010</v>
      </c>
      <c r="D3939" t="s">
        <v>18</v>
      </c>
      <c r="E3939" s="3">
        <v>62739</v>
      </c>
      <c r="F3939" s="3">
        <v>124800</v>
      </c>
      <c r="G3939" s="1">
        <f t="shared" ref="G3939:G3949" si="1924">SUM(E3939:F3939)</f>
        <v>187539</v>
      </c>
      <c r="H3939" s="2">
        <f t="shared" ref="H3939:H3949" si="1925">SUM(E3939)/G3939</f>
        <v>0.33453841600947004</v>
      </c>
      <c r="I3939" s="2">
        <f t="shared" ref="I3939:I3949" si="1926">SUM(F3939/G3939)</f>
        <v>0.66546158399053001</v>
      </c>
      <c r="J3939" s="3">
        <v>65721.009999999995</v>
      </c>
      <c r="K3939" s="3">
        <v>153860.07999999999</v>
      </c>
      <c r="L3939" s="1">
        <f t="shared" si="1914"/>
        <v>219581.08999999997</v>
      </c>
      <c r="M3939" s="2">
        <f t="shared" si="1915"/>
        <v>0.29930177502989902</v>
      </c>
      <c r="N3939" s="2">
        <f t="shared" si="1916"/>
        <v>0.70069822497010104</v>
      </c>
      <c r="O3939" s="5">
        <f t="shared" si="1917"/>
        <v>1170.8556087000568</v>
      </c>
    </row>
    <row r="3940" spans="1:15" x14ac:dyDescent="0.35">
      <c r="A3940" t="s">
        <v>37</v>
      </c>
      <c r="B3940" t="s">
        <v>20</v>
      </c>
      <c r="C3940">
        <v>2010</v>
      </c>
      <c r="D3940" t="s">
        <v>18</v>
      </c>
      <c r="E3940" s="3">
        <v>62035</v>
      </c>
      <c r="F3940" s="3">
        <v>125911</v>
      </c>
      <c r="G3940" s="1">
        <f t="shared" si="1924"/>
        <v>187946</v>
      </c>
      <c r="H3940" s="2">
        <f t="shared" si="1925"/>
        <v>0.33006821108190648</v>
      </c>
      <c r="I3940" s="2">
        <f t="shared" si="1926"/>
        <v>0.66993178891809346</v>
      </c>
      <c r="J3940" s="3">
        <v>56190.81</v>
      </c>
      <c r="K3940" s="3">
        <v>133485.76999999999</v>
      </c>
      <c r="L3940" s="1">
        <f t="shared" si="1914"/>
        <v>189676.58</v>
      </c>
      <c r="M3940" s="2">
        <f t="shared" si="1915"/>
        <v>0.29624537726270689</v>
      </c>
      <c r="N3940" s="2">
        <f t="shared" si="1916"/>
        <v>0.70375462273729317</v>
      </c>
      <c r="O3940" s="5">
        <f t="shared" si="1917"/>
        <v>1009.2078575761122</v>
      </c>
    </row>
    <row r="3941" spans="1:15" x14ac:dyDescent="0.35">
      <c r="A3941" t="s">
        <v>37</v>
      </c>
      <c r="B3941" t="s">
        <v>21</v>
      </c>
      <c r="C3941">
        <v>2010</v>
      </c>
      <c r="D3941" t="s">
        <v>18</v>
      </c>
      <c r="E3941" s="3">
        <v>61410</v>
      </c>
      <c r="F3941" s="3">
        <v>126822</v>
      </c>
      <c r="G3941" s="1">
        <f t="shared" si="1924"/>
        <v>188232</v>
      </c>
      <c r="H3941" s="2">
        <f t="shared" si="1925"/>
        <v>0.32624633431085043</v>
      </c>
      <c r="I3941" s="2">
        <f t="shared" si="1926"/>
        <v>0.67375366568914952</v>
      </c>
      <c r="J3941" s="3">
        <v>40796.99</v>
      </c>
      <c r="K3941" s="3">
        <v>105118.57</v>
      </c>
      <c r="L3941" s="1">
        <f t="shared" si="1914"/>
        <v>145915.56</v>
      </c>
      <c r="M3941" s="2">
        <f t="shared" si="1915"/>
        <v>0.27959314277380698</v>
      </c>
      <c r="N3941" s="2">
        <f t="shared" si="1916"/>
        <v>0.72040685722619302</v>
      </c>
      <c r="O3941" s="5">
        <f t="shared" si="1917"/>
        <v>775.18997832462071</v>
      </c>
    </row>
    <row r="3942" spans="1:15" x14ac:dyDescent="0.35">
      <c r="A3942" t="s">
        <v>37</v>
      </c>
      <c r="B3942" t="s">
        <v>22</v>
      </c>
      <c r="C3942">
        <v>2010</v>
      </c>
      <c r="D3942" t="s">
        <v>18</v>
      </c>
      <c r="E3942" s="3">
        <v>60638</v>
      </c>
      <c r="F3942" s="3">
        <v>127903</v>
      </c>
      <c r="G3942" s="1">
        <f t="shared" si="1924"/>
        <v>188541</v>
      </c>
      <c r="H3942" s="2">
        <f t="shared" si="1925"/>
        <v>0.32161704881166431</v>
      </c>
      <c r="I3942" s="2">
        <f t="shared" si="1926"/>
        <v>0.67838295118833569</v>
      </c>
      <c r="J3942" s="3">
        <v>47384.18</v>
      </c>
      <c r="K3942" s="3">
        <v>129510.83</v>
      </c>
      <c r="L3942" s="1">
        <f t="shared" si="1914"/>
        <v>176895.01</v>
      </c>
      <c r="M3942" s="2">
        <f t="shared" si="1915"/>
        <v>0.26786612013532773</v>
      </c>
      <c r="N3942" s="2">
        <f t="shared" si="1916"/>
        <v>0.73213387986467227</v>
      </c>
      <c r="O3942" s="5">
        <f t="shared" si="1917"/>
        <v>938.23099484992656</v>
      </c>
    </row>
    <row r="3943" spans="1:15" x14ac:dyDescent="0.35">
      <c r="A3943" t="s">
        <v>37</v>
      </c>
      <c r="B3943" t="s">
        <v>23</v>
      </c>
      <c r="C3943">
        <v>2010</v>
      </c>
      <c r="D3943" t="s">
        <v>18</v>
      </c>
      <c r="E3943" s="3">
        <v>59922</v>
      </c>
      <c r="F3943" s="3">
        <v>128902</v>
      </c>
      <c r="G3943" s="1">
        <f t="shared" si="1924"/>
        <v>188824</v>
      </c>
      <c r="H3943" s="2">
        <f t="shared" si="1925"/>
        <v>0.31734313434732875</v>
      </c>
      <c r="I3943" s="2">
        <f t="shared" si="1926"/>
        <v>0.68265686565267125</v>
      </c>
      <c r="J3943" s="3">
        <v>73709.86</v>
      </c>
      <c r="K3943" s="3">
        <v>203592.43</v>
      </c>
      <c r="L3943" s="1">
        <f t="shared" si="1914"/>
        <v>277302.28999999998</v>
      </c>
      <c r="M3943" s="2">
        <f t="shared" si="1915"/>
        <v>0.26581049871604018</v>
      </c>
      <c r="N3943" s="2">
        <f t="shared" si="1916"/>
        <v>0.73418950128395988</v>
      </c>
      <c r="O3943" s="5">
        <f t="shared" si="1917"/>
        <v>1468.5754459178918</v>
      </c>
    </row>
    <row r="3944" spans="1:15" x14ac:dyDescent="0.35">
      <c r="A3944" t="s">
        <v>37</v>
      </c>
      <c r="B3944" t="s">
        <v>24</v>
      </c>
      <c r="C3944">
        <v>2010</v>
      </c>
      <c r="D3944" t="s">
        <v>18</v>
      </c>
      <c r="E3944" s="3">
        <v>59141</v>
      </c>
      <c r="F3944" s="3">
        <v>129868</v>
      </c>
      <c r="G3944" s="1">
        <f t="shared" si="1924"/>
        <v>189009</v>
      </c>
      <c r="H3944" s="2">
        <f t="shared" si="1925"/>
        <v>0.31290044389420607</v>
      </c>
      <c r="I3944" s="2">
        <f t="shared" si="1926"/>
        <v>0.68709955610579387</v>
      </c>
      <c r="J3944" s="3">
        <v>79462.990000000005</v>
      </c>
      <c r="K3944" s="3">
        <v>220223.49</v>
      </c>
      <c r="L3944" s="1">
        <f t="shared" si="1914"/>
        <v>299686.48</v>
      </c>
      <c r="M3944" s="2">
        <f t="shared" si="1915"/>
        <v>0.26515373666506414</v>
      </c>
      <c r="N3944" s="2">
        <f t="shared" si="1916"/>
        <v>0.73484626333493586</v>
      </c>
      <c r="O3944" s="5">
        <f t="shared" si="1917"/>
        <v>1585.5672481204599</v>
      </c>
    </row>
    <row r="3945" spans="1:15" x14ac:dyDescent="0.35">
      <c r="A3945" t="s">
        <v>37</v>
      </c>
      <c r="B3945" t="s">
        <v>25</v>
      </c>
      <c r="C3945">
        <v>2010</v>
      </c>
      <c r="D3945" t="s">
        <v>18</v>
      </c>
      <c r="E3945" s="3">
        <v>58302</v>
      </c>
      <c r="F3945" s="3">
        <v>130865</v>
      </c>
      <c r="G3945" s="1">
        <f t="shared" si="1924"/>
        <v>189167</v>
      </c>
      <c r="H3945" s="2">
        <f t="shared" si="1925"/>
        <v>0.30820386219583756</v>
      </c>
      <c r="I3945" s="2">
        <f t="shared" si="1926"/>
        <v>0.69179613780416249</v>
      </c>
      <c r="J3945" s="3">
        <v>87229.19</v>
      </c>
      <c r="K3945" s="3">
        <v>245430.54</v>
      </c>
      <c r="L3945" s="1">
        <f t="shared" si="1914"/>
        <v>332659.73</v>
      </c>
      <c r="M3945" s="2">
        <f t="shared" si="1915"/>
        <v>0.26221746166871479</v>
      </c>
      <c r="N3945" s="2">
        <f t="shared" si="1916"/>
        <v>0.73778253833128526</v>
      </c>
      <c r="O3945" s="5">
        <f t="shared" si="1917"/>
        <v>1758.5505399990484</v>
      </c>
    </row>
    <row r="3946" spans="1:15" x14ac:dyDescent="0.35">
      <c r="A3946" t="s">
        <v>37</v>
      </c>
      <c r="B3946" t="s">
        <v>26</v>
      </c>
      <c r="C3946">
        <v>2010</v>
      </c>
      <c r="D3946" t="s">
        <v>18</v>
      </c>
      <c r="E3946" s="3">
        <v>57529</v>
      </c>
      <c r="F3946" s="3">
        <v>131732</v>
      </c>
      <c r="G3946" s="1">
        <f t="shared" si="1924"/>
        <v>189261</v>
      </c>
      <c r="H3946" s="2">
        <f t="shared" si="1925"/>
        <v>0.3039664801517481</v>
      </c>
      <c r="I3946" s="2">
        <f t="shared" si="1926"/>
        <v>0.6960335198482519</v>
      </c>
      <c r="J3946" s="3">
        <v>78888.33</v>
      </c>
      <c r="K3946" s="3">
        <v>227573.38</v>
      </c>
      <c r="L3946" s="1">
        <f t="shared" si="1914"/>
        <v>306461.71000000002</v>
      </c>
      <c r="M3946" s="2">
        <f t="shared" si="1915"/>
        <v>0.257416595371735</v>
      </c>
      <c r="N3946" s="2">
        <f t="shared" si="1916"/>
        <v>0.742583404628265</v>
      </c>
      <c r="O3946" s="5">
        <f t="shared" si="1917"/>
        <v>1619.2544158595801</v>
      </c>
    </row>
    <row r="3947" spans="1:15" x14ac:dyDescent="0.35">
      <c r="A3947" t="s">
        <v>37</v>
      </c>
      <c r="B3947" t="s">
        <v>27</v>
      </c>
      <c r="C3947">
        <v>2010</v>
      </c>
      <c r="D3947" t="s">
        <v>18</v>
      </c>
      <c r="E3947" s="3">
        <v>56727</v>
      </c>
      <c r="F3947" s="3">
        <v>132513</v>
      </c>
      <c r="G3947" s="1">
        <f t="shared" si="1924"/>
        <v>189240</v>
      </c>
      <c r="H3947" s="2">
        <f t="shared" si="1925"/>
        <v>0.29976220672162335</v>
      </c>
      <c r="I3947" s="2">
        <f t="shared" si="1926"/>
        <v>0.70023779327837665</v>
      </c>
      <c r="J3947" s="3">
        <v>52341.36</v>
      </c>
      <c r="K3947" s="3">
        <v>155502.87</v>
      </c>
      <c r="L3947" s="1">
        <f t="shared" si="1914"/>
        <v>207844.22999999998</v>
      </c>
      <c r="M3947" s="2">
        <f t="shared" si="1915"/>
        <v>0.25182974769133598</v>
      </c>
      <c r="N3947" s="2">
        <f t="shared" si="1916"/>
        <v>0.74817025230866407</v>
      </c>
      <c r="O3947" s="5">
        <f t="shared" si="1917"/>
        <v>1098.3102409638552</v>
      </c>
    </row>
    <row r="3948" spans="1:15" x14ac:dyDescent="0.35">
      <c r="A3948" t="s">
        <v>37</v>
      </c>
      <c r="B3948" t="s">
        <v>28</v>
      </c>
      <c r="C3948">
        <v>2010</v>
      </c>
      <c r="D3948" t="s">
        <v>18</v>
      </c>
      <c r="E3948" s="3">
        <v>55968</v>
      </c>
      <c r="F3948" s="3">
        <v>133571</v>
      </c>
      <c r="G3948" s="1">
        <f t="shared" si="1924"/>
        <v>189539</v>
      </c>
      <c r="H3948" s="2">
        <f t="shared" si="1925"/>
        <v>0.29528487540822734</v>
      </c>
      <c r="I3948" s="2">
        <f t="shared" si="1926"/>
        <v>0.70471512459177266</v>
      </c>
      <c r="J3948" s="3">
        <v>40113.07</v>
      </c>
      <c r="K3948" s="3">
        <v>123119.91</v>
      </c>
      <c r="L3948" s="1">
        <f t="shared" si="1914"/>
        <v>163232.98000000001</v>
      </c>
      <c r="M3948" s="2">
        <f t="shared" si="1915"/>
        <v>0.2457412098952062</v>
      </c>
      <c r="N3948" s="2">
        <f t="shared" si="1916"/>
        <v>0.7542587901047938</v>
      </c>
      <c r="O3948" s="5">
        <f t="shared" si="1917"/>
        <v>861.21051604155343</v>
      </c>
    </row>
    <row r="3949" spans="1:15" x14ac:dyDescent="0.35">
      <c r="A3949" t="s">
        <v>37</v>
      </c>
      <c r="B3949" t="s">
        <v>29</v>
      </c>
      <c r="C3949">
        <v>2010</v>
      </c>
      <c r="D3949" t="s">
        <v>18</v>
      </c>
      <c r="E3949" s="3">
        <v>55360</v>
      </c>
      <c r="F3949" s="3">
        <v>134287</v>
      </c>
      <c r="G3949" s="1">
        <f t="shared" si="1924"/>
        <v>189647</v>
      </c>
      <c r="H3949" s="2">
        <f t="shared" si="1925"/>
        <v>0.29191076051822595</v>
      </c>
      <c r="I3949" s="2">
        <f t="shared" si="1926"/>
        <v>0.70808923948177405</v>
      </c>
      <c r="J3949" s="9">
        <v>43798</v>
      </c>
      <c r="K3949" s="3">
        <v>130312.16</v>
      </c>
      <c r="L3949" s="1">
        <f t="shared" si="1914"/>
        <v>174110.16</v>
      </c>
      <c r="M3949" s="2">
        <f t="shared" si="1915"/>
        <v>0.25155338436309516</v>
      </c>
      <c r="N3949" s="2">
        <f t="shared" si="1916"/>
        <v>0.74844661563690484</v>
      </c>
      <c r="O3949" s="5">
        <f t="shared" si="1917"/>
        <v>918.07494977510851</v>
      </c>
    </row>
    <row r="3950" spans="1:15" x14ac:dyDescent="0.35">
      <c r="A3950" t="s">
        <v>37</v>
      </c>
      <c r="B3950" t="s">
        <v>17</v>
      </c>
      <c r="C3950">
        <v>2011</v>
      </c>
      <c r="D3950" t="s">
        <v>18</v>
      </c>
      <c r="E3950" s="3">
        <v>54899</v>
      </c>
      <c r="F3950" s="8">
        <v>134999</v>
      </c>
      <c r="G3950" s="1">
        <f>SUM(E3950:F3950)</f>
        <v>189898</v>
      </c>
      <c r="H3950" s="2">
        <f>SUM(E3950)/G3950</f>
        <v>0.28909730486892965</v>
      </c>
      <c r="I3950" s="2">
        <f>SUM(F3950/G3950)</f>
        <v>0.71090269513107041</v>
      </c>
      <c r="J3950" s="3">
        <v>53345.82</v>
      </c>
      <c r="K3950" s="3">
        <v>157905.09</v>
      </c>
      <c r="L3950" s="1">
        <f t="shared" si="1914"/>
        <v>211250.91</v>
      </c>
      <c r="M3950" s="2">
        <f t="shared" si="1915"/>
        <v>0.25252350392242096</v>
      </c>
      <c r="N3950" s="2">
        <f t="shared" si="1916"/>
        <v>0.74747649607757904</v>
      </c>
      <c r="O3950" s="5">
        <f t="shared" si="1917"/>
        <v>1112.4441015703167</v>
      </c>
    </row>
    <row r="3951" spans="1:15" x14ac:dyDescent="0.35">
      <c r="A3951" t="s">
        <v>37</v>
      </c>
      <c r="B3951" t="s">
        <v>19</v>
      </c>
      <c r="C3951">
        <v>2011</v>
      </c>
      <c r="D3951" t="s">
        <v>18</v>
      </c>
      <c r="E3951" s="3">
        <v>54460</v>
      </c>
      <c r="F3951" s="3">
        <v>135683</v>
      </c>
      <c r="G3951" s="1">
        <f t="shared" ref="G3951:G3961" si="1927">SUM(E3951:F3951)</f>
        <v>190143</v>
      </c>
      <c r="H3951" s="2">
        <f t="shared" ref="H3951:H3961" si="1928">SUM(E3951)/G3951</f>
        <v>0.28641601321110954</v>
      </c>
      <c r="I3951" s="2">
        <f t="shared" ref="I3951:I3961" si="1929">SUM(F3951/G3951)</f>
        <v>0.71358398678889046</v>
      </c>
      <c r="J3951" s="3">
        <v>58921.95</v>
      </c>
      <c r="K3951" s="3">
        <v>173606.63</v>
      </c>
      <c r="L3951" s="1">
        <f t="shared" si="1914"/>
        <v>232528.58000000002</v>
      </c>
      <c r="M3951" s="2">
        <f t="shared" si="1915"/>
        <v>0.25339659322737873</v>
      </c>
      <c r="N3951" s="2">
        <f t="shared" si="1916"/>
        <v>0.74660340677262116</v>
      </c>
      <c r="O3951" s="5">
        <f t="shared" si="1917"/>
        <v>1222.9142277128269</v>
      </c>
    </row>
    <row r="3952" spans="1:15" x14ac:dyDescent="0.35">
      <c r="A3952" t="s">
        <v>37</v>
      </c>
      <c r="B3952" t="s">
        <v>20</v>
      </c>
      <c r="C3952">
        <v>2011</v>
      </c>
      <c r="D3952" t="s">
        <v>18</v>
      </c>
      <c r="E3952" s="3">
        <v>53924</v>
      </c>
      <c r="F3952" s="3">
        <v>136642</v>
      </c>
      <c r="G3952" s="1">
        <f t="shared" si="1927"/>
        <v>190566</v>
      </c>
      <c r="H3952" s="2">
        <f t="shared" si="1928"/>
        <v>0.28296758078565953</v>
      </c>
      <c r="I3952" s="2">
        <f t="shared" si="1929"/>
        <v>0.71703241921434047</v>
      </c>
      <c r="J3952" s="3">
        <v>39704.21</v>
      </c>
      <c r="K3952" s="3">
        <v>120642.99</v>
      </c>
      <c r="L3952" s="1">
        <f t="shared" si="1914"/>
        <v>160347.20000000001</v>
      </c>
      <c r="M3952" s="2">
        <f t="shared" si="1915"/>
        <v>0.24761399014139315</v>
      </c>
      <c r="N3952" s="2">
        <f t="shared" si="1916"/>
        <v>0.75238600985860682</v>
      </c>
      <c r="O3952" s="5">
        <f t="shared" si="1917"/>
        <v>841.42606760912224</v>
      </c>
    </row>
    <row r="3953" spans="1:15" x14ac:dyDescent="0.35">
      <c r="A3953" t="s">
        <v>37</v>
      </c>
      <c r="B3953" t="s">
        <v>21</v>
      </c>
      <c r="C3953">
        <v>2011</v>
      </c>
      <c r="D3953" t="s">
        <v>18</v>
      </c>
      <c r="E3953" s="3">
        <v>53279</v>
      </c>
      <c r="F3953" s="3">
        <v>137414</v>
      </c>
      <c r="G3953" s="1">
        <f t="shared" si="1927"/>
        <v>190693</v>
      </c>
      <c r="H3953" s="2">
        <f t="shared" si="1928"/>
        <v>0.27939672667586118</v>
      </c>
      <c r="I3953" s="2">
        <f t="shared" si="1929"/>
        <v>0.72060327332413876</v>
      </c>
      <c r="J3953" s="3">
        <v>37475.629999999997</v>
      </c>
      <c r="K3953" s="3">
        <v>126072.84</v>
      </c>
      <c r="L3953" s="1">
        <f t="shared" si="1914"/>
        <v>163548.47</v>
      </c>
      <c r="M3953" s="2">
        <f t="shared" si="1915"/>
        <v>0.22914081678660764</v>
      </c>
      <c r="N3953" s="2">
        <f t="shared" si="1916"/>
        <v>0.77085918321339231</v>
      </c>
      <c r="O3953" s="5">
        <f t="shared" si="1917"/>
        <v>857.6532436953637</v>
      </c>
    </row>
    <row r="3954" spans="1:15" x14ac:dyDescent="0.35">
      <c r="A3954" t="s">
        <v>37</v>
      </c>
      <c r="B3954" t="s">
        <v>22</v>
      </c>
      <c r="C3954">
        <v>2011</v>
      </c>
      <c r="D3954" t="s">
        <v>18</v>
      </c>
      <c r="E3954" s="3">
        <v>52830</v>
      </c>
      <c r="F3954" s="3">
        <v>138052</v>
      </c>
      <c r="G3954" s="1">
        <f t="shared" si="1927"/>
        <v>190882</v>
      </c>
      <c r="H3954" s="2">
        <f t="shared" si="1928"/>
        <v>0.27676784610387567</v>
      </c>
      <c r="I3954" s="2">
        <f t="shared" si="1929"/>
        <v>0.72323215389612427</v>
      </c>
      <c r="J3954" s="3">
        <v>43994.29</v>
      </c>
      <c r="K3954" s="3">
        <v>148569.54999999999</v>
      </c>
      <c r="L3954" s="1">
        <f t="shared" si="1914"/>
        <v>192563.84</v>
      </c>
      <c r="M3954" s="2">
        <f t="shared" si="1915"/>
        <v>0.22846599860077574</v>
      </c>
      <c r="N3954" s="2">
        <f t="shared" si="1916"/>
        <v>0.77153400139922423</v>
      </c>
      <c r="O3954" s="5">
        <f t="shared" si="1917"/>
        <v>1008.810888402259</v>
      </c>
    </row>
    <row r="3955" spans="1:15" x14ac:dyDescent="0.35">
      <c r="A3955" t="s">
        <v>37</v>
      </c>
      <c r="B3955" t="s">
        <v>23</v>
      </c>
      <c r="C3955">
        <v>2011</v>
      </c>
      <c r="D3955" t="s">
        <v>18</v>
      </c>
      <c r="E3955" s="3">
        <v>52385</v>
      </c>
      <c r="F3955" s="3">
        <v>138654</v>
      </c>
      <c r="G3955" s="1">
        <f t="shared" si="1927"/>
        <v>191039</v>
      </c>
      <c r="H3955" s="2">
        <f t="shared" si="1928"/>
        <v>0.27421102497395822</v>
      </c>
      <c r="I3955" s="2">
        <f t="shared" si="1929"/>
        <v>0.72578897502604178</v>
      </c>
      <c r="J3955" s="3">
        <v>64005.61</v>
      </c>
      <c r="K3955" s="3">
        <v>219214.97</v>
      </c>
      <c r="L3955" s="1">
        <f t="shared" si="1914"/>
        <v>283220.58</v>
      </c>
      <c r="M3955" s="2">
        <f t="shared" si="1915"/>
        <v>0.22599208715694316</v>
      </c>
      <c r="N3955" s="2">
        <f t="shared" si="1916"/>
        <v>0.77400791284305681</v>
      </c>
      <c r="O3955" s="5">
        <f t="shared" si="1917"/>
        <v>1482.5275467312956</v>
      </c>
    </row>
    <row r="3956" spans="1:15" x14ac:dyDescent="0.35">
      <c r="A3956" t="s">
        <v>37</v>
      </c>
      <c r="B3956" t="s">
        <v>24</v>
      </c>
      <c r="C3956">
        <v>2011</v>
      </c>
      <c r="D3956" t="s">
        <v>18</v>
      </c>
      <c r="E3956" s="3">
        <v>52059</v>
      </c>
      <c r="F3956" s="3">
        <v>139312</v>
      </c>
      <c r="G3956" s="1">
        <f t="shared" si="1927"/>
        <v>191371</v>
      </c>
      <c r="H3956" s="2">
        <f t="shared" si="1928"/>
        <v>0.27203181255258113</v>
      </c>
      <c r="I3956" s="2">
        <f t="shared" si="1929"/>
        <v>0.72796818744741887</v>
      </c>
      <c r="J3956" s="3">
        <v>79913.08</v>
      </c>
      <c r="K3956" s="3">
        <v>266465.17</v>
      </c>
      <c r="L3956" s="1">
        <f t="shared" si="1914"/>
        <v>346378.25</v>
      </c>
      <c r="M3956" s="2">
        <f t="shared" si="1915"/>
        <v>0.23071044443466066</v>
      </c>
      <c r="N3956" s="2">
        <f t="shared" si="1916"/>
        <v>0.76928955556533929</v>
      </c>
      <c r="O3956" s="5">
        <f t="shared" si="1917"/>
        <v>1809.982965026049</v>
      </c>
    </row>
    <row r="3957" spans="1:15" x14ac:dyDescent="0.35">
      <c r="A3957" t="s">
        <v>37</v>
      </c>
      <c r="B3957" t="s">
        <v>25</v>
      </c>
      <c r="C3957">
        <v>2011</v>
      </c>
      <c r="D3957" t="s">
        <v>18</v>
      </c>
      <c r="E3957" s="3">
        <v>51994</v>
      </c>
      <c r="F3957" s="3">
        <v>139585</v>
      </c>
      <c r="G3957" s="1">
        <f t="shared" si="1927"/>
        <v>191579</v>
      </c>
      <c r="H3957" s="2">
        <f t="shared" si="1928"/>
        <v>0.27139717818758841</v>
      </c>
      <c r="I3957" s="2">
        <f t="shared" si="1929"/>
        <v>0.72860282181241154</v>
      </c>
      <c r="J3957" s="3">
        <v>83820.539999999994</v>
      </c>
      <c r="K3957" s="3">
        <v>278539.59999999998</v>
      </c>
      <c r="L3957" s="1">
        <f t="shared" si="1914"/>
        <v>362360.13999999996</v>
      </c>
      <c r="M3957" s="2">
        <f t="shared" si="1915"/>
        <v>0.23131832325707791</v>
      </c>
      <c r="N3957" s="2">
        <f t="shared" si="1916"/>
        <v>0.76868167674292209</v>
      </c>
      <c r="O3957" s="5">
        <f t="shared" si="1917"/>
        <v>1891.43977158248</v>
      </c>
    </row>
    <row r="3958" spans="1:15" x14ac:dyDescent="0.35">
      <c r="A3958" t="s">
        <v>37</v>
      </c>
      <c r="B3958" t="s">
        <v>26</v>
      </c>
      <c r="C3958">
        <v>2011</v>
      </c>
      <c r="D3958" t="s">
        <v>18</v>
      </c>
      <c r="E3958" s="3">
        <v>52005</v>
      </c>
      <c r="F3958" s="3">
        <v>139675</v>
      </c>
      <c r="G3958" s="1">
        <f t="shared" si="1927"/>
        <v>191680</v>
      </c>
      <c r="H3958" s="2">
        <f t="shared" si="1928"/>
        <v>0.2713115609348915</v>
      </c>
      <c r="I3958" s="2">
        <f t="shared" si="1929"/>
        <v>0.7286884390651085</v>
      </c>
      <c r="J3958" s="3">
        <v>74970.649999999994</v>
      </c>
      <c r="K3958" s="3">
        <v>255289.34</v>
      </c>
      <c r="L3958" s="1">
        <f t="shared" si="1914"/>
        <v>330259.99</v>
      </c>
      <c r="M3958" s="2">
        <f t="shared" si="1915"/>
        <v>0.22700494237888155</v>
      </c>
      <c r="N3958" s="2">
        <f t="shared" si="1916"/>
        <v>0.77299505762111842</v>
      </c>
      <c r="O3958" s="5">
        <f t="shared" si="1917"/>
        <v>1722.9757408180301</v>
      </c>
    </row>
    <row r="3959" spans="1:15" x14ac:dyDescent="0.35">
      <c r="A3959" t="s">
        <v>37</v>
      </c>
      <c r="B3959" t="s">
        <v>27</v>
      </c>
      <c r="C3959">
        <v>2011</v>
      </c>
      <c r="D3959" t="s">
        <v>18</v>
      </c>
      <c r="E3959" s="3">
        <v>50743</v>
      </c>
      <c r="F3959" s="3">
        <v>140821</v>
      </c>
      <c r="G3959" s="1">
        <f t="shared" si="1927"/>
        <v>191564</v>
      </c>
      <c r="H3959" s="2">
        <f t="shared" si="1928"/>
        <v>0.26488797477605397</v>
      </c>
      <c r="I3959" s="2">
        <f t="shared" si="1929"/>
        <v>0.73511202522394603</v>
      </c>
      <c r="J3959" s="3">
        <v>48609.56</v>
      </c>
      <c r="K3959" s="3">
        <v>174030.18</v>
      </c>
      <c r="L3959" s="1">
        <f t="shared" si="1914"/>
        <v>222639.74</v>
      </c>
      <c r="M3959" s="2">
        <f t="shared" si="1915"/>
        <v>0.21833280976702543</v>
      </c>
      <c r="N3959" s="2">
        <f t="shared" si="1916"/>
        <v>0.7816671902329746</v>
      </c>
      <c r="O3959" s="5">
        <f t="shared" si="1917"/>
        <v>1162.2211897851371</v>
      </c>
    </row>
    <row r="3960" spans="1:15" x14ac:dyDescent="0.35">
      <c r="A3960" t="s">
        <v>37</v>
      </c>
      <c r="B3960" t="s">
        <v>28</v>
      </c>
      <c r="C3960">
        <v>2011</v>
      </c>
      <c r="D3960" t="s">
        <v>18</v>
      </c>
      <c r="E3960" s="3">
        <v>50226</v>
      </c>
      <c r="F3960" s="3">
        <v>141362</v>
      </c>
      <c r="G3960" s="1">
        <f t="shared" si="1927"/>
        <v>191588</v>
      </c>
      <c r="H3960" s="2">
        <f t="shared" si="1928"/>
        <v>0.26215629371359378</v>
      </c>
      <c r="I3960" s="2">
        <f t="shared" si="1929"/>
        <v>0.73784370628640628</v>
      </c>
      <c r="J3960" s="3">
        <v>35606.199999999997</v>
      </c>
      <c r="K3960" s="3">
        <v>128007</v>
      </c>
      <c r="L3960" s="1">
        <f t="shared" si="1914"/>
        <v>163613.20000000001</v>
      </c>
      <c r="M3960" s="2">
        <f t="shared" si="1915"/>
        <v>0.21762425036610736</v>
      </c>
      <c r="N3960" s="2">
        <f t="shared" si="1916"/>
        <v>0.78237574963389256</v>
      </c>
      <c r="O3960" s="5">
        <f t="shared" si="1917"/>
        <v>853.98459193686449</v>
      </c>
    </row>
    <row r="3961" spans="1:15" x14ac:dyDescent="0.35">
      <c r="A3961" t="s">
        <v>37</v>
      </c>
      <c r="B3961" t="s">
        <v>29</v>
      </c>
      <c r="C3961">
        <v>2011</v>
      </c>
      <c r="D3961" t="s">
        <v>18</v>
      </c>
      <c r="E3961" s="3">
        <v>49905</v>
      </c>
      <c r="F3961" s="3">
        <v>141803</v>
      </c>
      <c r="G3961" s="1">
        <f t="shared" si="1927"/>
        <v>191708</v>
      </c>
      <c r="H3961" s="2">
        <f t="shared" si="1928"/>
        <v>0.26031777494940223</v>
      </c>
      <c r="I3961" s="2">
        <f t="shared" si="1929"/>
        <v>0.73968222505059777</v>
      </c>
      <c r="J3961" s="3">
        <v>40628.03</v>
      </c>
      <c r="K3961" s="3">
        <v>142505.74</v>
      </c>
      <c r="L3961" s="1">
        <f t="shared" si="1914"/>
        <v>183133.77</v>
      </c>
      <c r="M3961" s="2">
        <f t="shared" si="1915"/>
        <v>0.22184892496889022</v>
      </c>
      <c r="N3961" s="2">
        <f t="shared" si="1916"/>
        <v>0.77815107503110981</v>
      </c>
      <c r="O3961" s="5">
        <f t="shared" si="1917"/>
        <v>955.27453210090346</v>
      </c>
    </row>
    <row r="3962" spans="1:15" x14ac:dyDescent="0.35">
      <c r="A3962" t="s">
        <v>37</v>
      </c>
      <c r="B3962" t="s">
        <v>17</v>
      </c>
      <c r="C3962">
        <v>2012</v>
      </c>
      <c r="D3962" t="s">
        <v>18</v>
      </c>
      <c r="E3962" s="3">
        <v>49646</v>
      </c>
      <c r="F3962" s="3">
        <v>142044</v>
      </c>
      <c r="G3962" s="1">
        <f>SUM(E3962:F3962)</f>
        <v>191690</v>
      </c>
      <c r="H3962" s="2">
        <f>SUM(E3962)/G3962</f>
        <v>0.25899107934686211</v>
      </c>
      <c r="I3962" s="2">
        <f>SUM(F3962/G3962)</f>
        <v>0.74100892065313784</v>
      </c>
      <c r="J3962" s="3">
        <v>45564.15</v>
      </c>
      <c r="K3962" s="3">
        <v>157422.87</v>
      </c>
      <c r="L3962" s="1">
        <f t="shared" si="1914"/>
        <v>202987.02</v>
      </c>
      <c r="M3962" s="2">
        <f t="shared" si="1915"/>
        <v>0.22446829358842749</v>
      </c>
      <c r="N3962" s="2">
        <f t="shared" si="1916"/>
        <v>0.77553170641157254</v>
      </c>
      <c r="O3962" s="5">
        <f t="shared" si="1917"/>
        <v>1058.9337993635556</v>
      </c>
    </row>
    <row r="3963" spans="1:15" x14ac:dyDescent="0.35">
      <c r="A3963" t="s">
        <v>37</v>
      </c>
      <c r="B3963" t="s">
        <v>19</v>
      </c>
      <c r="C3963">
        <v>2012</v>
      </c>
      <c r="D3963" t="s">
        <v>18</v>
      </c>
      <c r="E3963" s="3">
        <v>49221</v>
      </c>
      <c r="F3963" s="3">
        <v>142414</v>
      </c>
      <c r="G3963" s="1">
        <f t="shared" ref="G3963:G3973" si="1930">SUM(E3963:F3963)</f>
        <v>191635</v>
      </c>
      <c r="H3963" s="2">
        <f t="shared" ref="H3963:H3973" si="1931">SUM(E3963)/G3963</f>
        <v>0.25684765309051061</v>
      </c>
      <c r="I3963" s="2">
        <f t="shared" ref="I3963:I3973" si="1932">SUM(F3963/G3963)</f>
        <v>0.74315234690948939</v>
      </c>
      <c r="J3963" s="3">
        <v>39770.51</v>
      </c>
      <c r="K3963" s="3">
        <v>139137.96</v>
      </c>
      <c r="L3963" s="1">
        <f t="shared" si="1914"/>
        <v>178908.47</v>
      </c>
      <c r="M3963" s="2">
        <f t="shared" si="1915"/>
        <v>0.2222952887585479</v>
      </c>
      <c r="N3963" s="2">
        <f t="shared" si="1916"/>
        <v>0.77770471124145202</v>
      </c>
      <c r="O3963" s="5">
        <f t="shared" si="1917"/>
        <v>933.58974091371613</v>
      </c>
    </row>
    <row r="3964" spans="1:15" x14ac:dyDescent="0.35">
      <c r="A3964" t="s">
        <v>37</v>
      </c>
      <c r="B3964" t="s">
        <v>20</v>
      </c>
      <c r="C3964">
        <v>2012</v>
      </c>
      <c r="D3964" t="s">
        <v>18</v>
      </c>
      <c r="E3964" s="3">
        <v>48956</v>
      </c>
      <c r="F3964" s="3">
        <v>143446</v>
      </c>
      <c r="G3964" s="1">
        <f t="shared" si="1930"/>
        <v>192402</v>
      </c>
      <c r="H3964" s="2">
        <f t="shared" si="1931"/>
        <v>0.25444641947588903</v>
      </c>
      <c r="I3964" s="2">
        <f t="shared" si="1932"/>
        <v>0.74555358052411103</v>
      </c>
      <c r="J3964" s="3">
        <v>35230.28</v>
      </c>
      <c r="K3964" s="3">
        <v>127916.69</v>
      </c>
      <c r="L3964" s="1">
        <f t="shared" si="1914"/>
        <v>163146.97</v>
      </c>
      <c r="M3964" s="2">
        <f t="shared" si="1915"/>
        <v>0.21594198163778339</v>
      </c>
      <c r="N3964" s="2">
        <f t="shared" si="1916"/>
        <v>0.78405801836221656</v>
      </c>
      <c r="O3964" s="5">
        <f t="shared" si="1917"/>
        <v>847.94841009968707</v>
      </c>
    </row>
    <row r="3965" spans="1:15" x14ac:dyDescent="0.35">
      <c r="A3965" t="s">
        <v>37</v>
      </c>
      <c r="B3965" t="s">
        <v>21</v>
      </c>
      <c r="C3965">
        <v>2012</v>
      </c>
      <c r="D3965" t="s">
        <v>18</v>
      </c>
      <c r="E3965" s="3">
        <v>48645</v>
      </c>
      <c r="F3965" s="3">
        <v>143991</v>
      </c>
      <c r="G3965" s="1">
        <f t="shared" si="1930"/>
        <v>192636</v>
      </c>
      <c r="H3965" s="2">
        <f t="shared" si="1931"/>
        <v>0.25252289291721175</v>
      </c>
      <c r="I3965" s="2">
        <f t="shared" si="1932"/>
        <v>0.74747710708278825</v>
      </c>
      <c r="J3965" s="3">
        <v>35324.57</v>
      </c>
      <c r="K3965" s="3">
        <v>152816.31</v>
      </c>
      <c r="L3965" s="1">
        <f t="shared" si="1914"/>
        <v>188140.88</v>
      </c>
      <c r="M3965" s="2">
        <f t="shared" si="1915"/>
        <v>0.18775595181653237</v>
      </c>
      <c r="N3965" s="2">
        <f t="shared" si="1916"/>
        <v>0.81224404818346763</v>
      </c>
      <c r="O3965" s="5">
        <f t="shared" si="1917"/>
        <v>976.66521314811359</v>
      </c>
    </row>
    <row r="3966" spans="1:15" x14ac:dyDescent="0.35">
      <c r="A3966" t="s">
        <v>37</v>
      </c>
      <c r="B3966" t="s">
        <v>22</v>
      </c>
      <c r="C3966">
        <v>2012</v>
      </c>
      <c r="D3966" t="s">
        <v>18</v>
      </c>
      <c r="E3966" s="3">
        <v>48232</v>
      </c>
      <c r="F3966" s="3">
        <v>144684</v>
      </c>
      <c r="G3966" s="1">
        <f t="shared" si="1930"/>
        <v>192916</v>
      </c>
      <c r="H3966" s="2">
        <f t="shared" si="1931"/>
        <v>0.2500155508096788</v>
      </c>
      <c r="I3966" s="2">
        <f t="shared" si="1932"/>
        <v>0.74998444919032115</v>
      </c>
      <c r="J3966" s="3">
        <v>41613.42</v>
      </c>
      <c r="K3966" s="3">
        <v>164436.51999999999</v>
      </c>
      <c r="L3966" s="1">
        <f t="shared" si="1914"/>
        <v>206049.94</v>
      </c>
      <c r="M3966" s="2">
        <f t="shared" si="1915"/>
        <v>0.20195793311077886</v>
      </c>
      <c r="N3966" s="2">
        <f t="shared" si="1916"/>
        <v>0.79804206688922108</v>
      </c>
      <c r="O3966" s="5">
        <f t="shared" si="1917"/>
        <v>1068.0811337576977</v>
      </c>
    </row>
    <row r="3967" spans="1:15" x14ac:dyDescent="0.35">
      <c r="A3967" t="s">
        <v>37</v>
      </c>
      <c r="B3967" t="s">
        <v>23</v>
      </c>
      <c r="C3967">
        <v>2012</v>
      </c>
      <c r="D3967" t="s">
        <v>18</v>
      </c>
      <c r="E3967" s="3">
        <v>47620</v>
      </c>
      <c r="F3967" s="3">
        <v>145332</v>
      </c>
      <c r="G3967" s="1">
        <f t="shared" si="1930"/>
        <v>192952</v>
      </c>
      <c r="H3967" s="2">
        <f t="shared" si="1931"/>
        <v>0.24679713089265723</v>
      </c>
      <c r="I3967" s="2">
        <f t="shared" si="1932"/>
        <v>0.7532028691073428</v>
      </c>
      <c r="J3967" s="3">
        <v>55416.46</v>
      </c>
      <c r="K3967" s="3">
        <v>218438.87</v>
      </c>
      <c r="L3967" s="1">
        <f t="shared" si="1914"/>
        <v>273855.33</v>
      </c>
      <c r="M3967" s="2">
        <f t="shared" si="1915"/>
        <v>0.20235669687349156</v>
      </c>
      <c r="N3967" s="2">
        <f t="shared" si="1916"/>
        <v>0.79764330312650833</v>
      </c>
      <c r="O3967" s="5">
        <f t="shared" si="1917"/>
        <v>1419.2925183465318</v>
      </c>
    </row>
    <row r="3968" spans="1:15" x14ac:dyDescent="0.35">
      <c r="A3968" t="s">
        <v>37</v>
      </c>
      <c r="B3968" t="s">
        <v>24</v>
      </c>
      <c r="C3968">
        <v>2012</v>
      </c>
      <c r="D3968" t="s">
        <v>18</v>
      </c>
      <c r="E3968" s="3">
        <v>47173</v>
      </c>
      <c r="F3968" s="3">
        <v>146007</v>
      </c>
      <c r="G3968" s="1">
        <f t="shared" si="1930"/>
        <v>193180</v>
      </c>
      <c r="H3968" s="2">
        <f t="shared" si="1931"/>
        <v>0.24419194533595609</v>
      </c>
      <c r="I3968" s="2">
        <f t="shared" si="1932"/>
        <v>0.75580805466404388</v>
      </c>
      <c r="J3968" s="3">
        <v>63753.89</v>
      </c>
      <c r="K3968" s="3">
        <v>249889.05</v>
      </c>
      <c r="L3968" s="1">
        <f t="shared" si="1914"/>
        <v>313642.94</v>
      </c>
      <c r="M3968" s="2">
        <f t="shared" si="1915"/>
        <v>0.2032690102955928</v>
      </c>
      <c r="N3968" s="2">
        <f t="shared" si="1916"/>
        <v>0.79673098970440714</v>
      </c>
      <c r="O3968" s="5">
        <f t="shared" si="1917"/>
        <v>1623.5787348586809</v>
      </c>
    </row>
    <row r="3969" spans="1:15" x14ac:dyDescent="0.35">
      <c r="A3969" t="s">
        <v>37</v>
      </c>
      <c r="B3969" t="s">
        <v>25</v>
      </c>
      <c r="C3969">
        <v>2012</v>
      </c>
      <c r="D3969" t="s">
        <v>18</v>
      </c>
      <c r="E3969" s="8">
        <v>46773</v>
      </c>
      <c r="F3969" s="3">
        <v>146543</v>
      </c>
      <c r="G3969" s="1">
        <f t="shared" si="1930"/>
        <v>193316</v>
      </c>
      <c r="H3969" s="2">
        <f t="shared" si="1931"/>
        <v>0.24195100250367274</v>
      </c>
      <c r="I3969" s="2">
        <f t="shared" si="1932"/>
        <v>0.75804899749632726</v>
      </c>
      <c r="J3969" s="3">
        <v>69644.28</v>
      </c>
      <c r="K3969" s="19">
        <v>273354.93</v>
      </c>
      <c r="L3969" s="1">
        <f t="shared" si="1914"/>
        <v>342999.20999999996</v>
      </c>
      <c r="M3969" s="2">
        <f t="shared" si="1915"/>
        <v>0.2030450157596573</v>
      </c>
      <c r="N3969" s="2">
        <f t="shared" si="1916"/>
        <v>0.79695498424034272</v>
      </c>
      <c r="O3969" s="5">
        <f t="shared" si="1917"/>
        <v>1774.2929193651842</v>
      </c>
    </row>
    <row r="3970" spans="1:15" x14ac:dyDescent="0.35">
      <c r="A3970" t="s">
        <v>37</v>
      </c>
      <c r="B3970" t="s">
        <v>26</v>
      </c>
      <c r="C3970">
        <v>2012</v>
      </c>
      <c r="D3970" t="s">
        <v>18</v>
      </c>
      <c r="E3970" s="3">
        <v>46379</v>
      </c>
      <c r="F3970" s="3">
        <v>146978</v>
      </c>
      <c r="G3970" s="1">
        <f t="shared" si="1930"/>
        <v>193357</v>
      </c>
      <c r="H3970" s="2">
        <f t="shared" si="1931"/>
        <v>0.23986201689103576</v>
      </c>
      <c r="I3970" s="2">
        <f t="shared" si="1932"/>
        <v>0.7601379831089643</v>
      </c>
      <c r="J3970" s="3">
        <v>60414.16</v>
      </c>
      <c r="K3970" s="9">
        <v>243126.98</v>
      </c>
      <c r="L3970" s="1">
        <f t="shared" si="1914"/>
        <v>303541.14</v>
      </c>
      <c r="M3970" s="2">
        <f t="shared" si="1915"/>
        <v>0.1990312087514727</v>
      </c>
      <c r="N3970" s="2">
        <f t="shared" si="1916"/>
        <v>0.80096879124852727</v>
      </c>
      <c r="O3970" s="5">
        <f t="shared" si="1917"/>
        <v>1569.8482082365779</v>
      </c>
    </row>
    <row r="3971" spans="1:15" x14ac:dyDescent="0.35">
      <c r="A3971" t="s">
        <v>37</v>
      </c>
      <c r="B3971" t="s">
        <v>27</v>
      </c>
      <c r="C3971">
        <v>2012</v>
      </c>
      <c r="D3971" t="s">
        <v>18</v>
      </c>
      <c r="E3971" s="3">
        <v>45974</v>
      </c>
      <c r="F3971" s="3">
        <v>147637</v>
      </c>
      <c r="G3971" s="1">
        <f t="shared" si="1930"/>
        <v>193611</v>
      </c>
      <c r="H3971" s="2">
        <f t="shared" si="1931"/>
        <v>0.23745551647375407</v>
      </c>
      <c r="I3971" s="2">
        <f t="shared" si="1932"/>
        <v>0.76254448352624593</v>
      </c>
      <c r="J3971" s="3">
        <v>41138.51</v>
      </c>
      <c r="K3971" s="3">
        <v>170905.3</v>
      </c>
      <c r="L3971" s="1">
        <f t="shared" ref="L3971:L4034" si="1933">SUM(J3971:K3971)</f>
        <v>212043.81</v>
      </c>
      <c r="M3971" s="2">
        <f t="shared" ref="M3971:M4034" si="1934">SUM(J3971)/L3971</f>
        <v>0.19400948322896105</v>
      </c>
      <c r="N3971" s="2">
        <f t="shared" ref="N3971:N4034" si="1935">SUM(K3971/L3971)</f>
        <v>0.80599051677103895</v>
      </c>
      <c r="O3971" s="5">
        <f t="shared" ref="O3971:O4033" si="1936">SUM(1000*L3971)/G3971</f>
        <v>1095.2053860576104</v>
      </c>
    </row>
    <row r="3972" spans="1:15" x14ac:dyDescent="0.35">
      <c r="A3972" t="s">
        <v>37</v>
      </c>
      <c r="B3972" t="s">
        <v>28</v>
      </c>
      <c r="C3972">
        <v>2012</v>
      </c>
      <c r="D3972" t="s">
        <v>18</v>
      </c>
      <c r="E3972" s="3">
        <v>45633</v>
      </c>
      <c r="F3972" s="3">
        <v>148020</v>
      </c>
      <c r="G3972" s="1">
        <f t="shared" si="1930"/>
        <v>193653</v>
      </c>
      <c r="H3972" s="2">
        <f t="shared" si="1931"/>
        <v>0.23564313488559432</v>
      </c>
      <c r="I3972" s="2">
        <f t="shared" si="1932"/>
        <v>0.7643568651144057</v>
      </c>
      <c r="J3972" s="3">
        <v>33598.43</v>
      </c>
      <c r="K3972" s="3">
        <v>140537.26999999999</v>
      </c>
      <c r="L3972" s="1">
        <f t="shared" si="1933"/>
        <v>174135.69999999998</v>
      </c>
      <c r="M3972" s="2">
        <f t="shared" si="1934"/>
        <v>0.19294395118289934</v>
      </c>
      <c r="N3972" s="2">
        <f t="shared" si="1935"/>
        <v>0.80705604881710069</v>
      </c>
      <c r="O3972" s="5">
        <f t="shared" si="1936"/>
        <v>899.21509091002963</v>
      </c>
    </row>
    <row r="3973" spans="1:15" x14ac:dyDescent="0.35">
      <c r="A3973" t="s">
        <v>37</v>
      </c>
      <c r="B3973" t="s">
        <v>29</v>
      </c>
      <c r="C3973">
        <v>2012</v>
      </c>
      <c r="D3973" t="s">
        <v>18</v>
      </c>
      <c r="E3973" s="3">
        <v>45332</v>
      </c>
      <c r="F3973" s="3">
        <v>148352</v>
      </c>
      <c r="G3973" s="1">
        <f t="shared" si="1930"/>
        <v>193684</v>
      </c>
      <c r="H3973" s="2">
        <f t="shared" si="1931"/>
        <v>0.23405134136015365</v>
      </c>
      <c r="I3973" s="2">
        <f t="shared" si="1932"/>
        <v>0.7659486586398464</v>
      </c>
      <c r="J3973" s="3">
        <v>33885.519999999997</v>
      </c>
      <c r="K3973" s="3">
        <v>138459.62</v>
      </c>
      <c r="L3973" s="1">
        <f t="shared" si="1933"/>
        <v>172345.13999999998</v>
      </c>
      <c r="M3973" s="2">
        <f t="shared" si="1934"/>
        <v>0.19661430545706132</v>
      </c>
      <c r="N3973" s="2">
        <f t="shared" si="1935"/>
        <v>0.80338569454293873</v>
      </c>
      <c r="O3973" s="5">
        <f t="shared" si="1936"/>
        <v>889.82641828958492</v>
      </c>
    </row>
    <row r="3974" spans="1:15" x14ac:dyDescent="0.35">
      <c r="A3974" t="s">
        <v>37</v>
      </c>
      <c r="B3974" t="s">
        <v>17</v>
      </c>
      <c r="C3974">
        <v>2013</v>
      </c>
      <c r="D3974" t="s">
        <v>18</v>
      </c>
      <c r="E3974" s="3">
        <v>45225</v>
      </c>
      <c r="F3974" s="3">
        <v>149537</v>
      </c>
      <c r="G3974" s="1">
        <f>SUM(E3974:F3974)</f>
        <v>194762</v>
      </c>
      <c r="H3974" s="2">
        <f>SUM(E3974)/G3974</f>
        <v>0.23220648791858781</v>
      </c>
      <c r="I3974" s="2">
        <f>SUM(F3974/G3974)</f>
        <v>0.76779351208141222</v>
      </c>
      <c r="J3974" s="3">
        <v>45411.88</v>
      </c>
      <c r="K3974" s="3">
        <v>179984.55</v>
      </c>
      <c r="L3974" s="1">
        <f t="shared" si="1933"/>
        <v>225396.43</v>
      </c>
      <c r="M3974" s="2">
        <f t="shared" si="1934"/>
        <v>0.2014755956871189</v>
      </c>
      <c r="N3974" s="2">
        <f t="shared" si="1935"/>
        <v>0.79852440431288108</v>
      </c>
      <c r="O3974" s="5">
        <f t="shared" si="1936"/>
        <v>1157.2916174613117</v>
      </c>
    </row>
    <row r="3975" spans="1:15" x14ac:dyDescent="0.35">
      <c r="A3975" t="s">
        <v>37</v>
      </c>
      <c r="B3975" t="s">
        <v>19</v>
      </c>
      <c r="C3975">
        <v>2013</v>
      </c>
      <c r="D3975" t="s">
        <v>18</v>
      </c>
      <c r="E3975" s="3">
        <v>44707</v>
      </c>
      <c r="F3975" s="3">
        <v>149870</v>
      </c>
      <c r="G3975" s="1">
        <f t="shared" ref="G3975:G3985" si="1937">SUM(E3975:F3975)</f>
        <v>194577</v>
      </c>
      <c r="H3975" s="2">
        <f t="shared" ref="H3975:H3985" si="1938">SUM(E3975)/G3975</f>
        <v>0.22976508014821895</v>
      </c>
      <c r="I3975" s="2">
        <f t="shared" ref="I3975:I3985" si="1939">SUM(F3975/G3975)</f>
        <v>0.77023491985178105</v>
      </c>
      <c r="J3975" s="3">
        <v>36554.32</v>
      </c>
      <c r="K3975" s="3">
        <v>145698.88</v>
      </c>
      <c r="L3975" s="1">
        <f t="shared" si="1933"/>
        <v>182253.2</v>
      </c>
      <c r="M3975" s="2">
        <f t="shared" si="1934"/>
        <v>0.20056887890034303</v>
      </c>
      <c r="N3975" s="2">
        <f t="shared" si="1935"/>
        <v>0.79943112109965697</v>
      </c>
      <c r="O3975" s="5">
        <f t="shared" si="1936"/>
        <v>936.66363444805916</v>
      </c>
    </row>
    <row r="3976" spans="1:15" x14ac:dyDescent="0.35">
      <c r="A3976" t="s">
        <v>37</v>
      </c>
      <c r="B3976" t="s">
        <v>20</v>
      </c>
      <c r="C3976">
        <v>2013</v>
      </c>
      <c r="D3976" t="s">
        <v>18</v>
      </c>
      <c r="E3976" s="3">
        <v>44412</v>
      </c>
      <c r="F3976" s="3">
        <v>150457</v>
      </c>
      <c r="G3976" s="1">
        <f t="shared" si="1937"/>
        <v>194869</v>
      </c>
      <c r="H3976" s="2">
        <f t="shared" si="1938"/>
        <v>0.22790695287603466</v>
      </c>
      <c r="I3976" s="2">
        <f t="shared" si="1939"/>
        <v>0.77209304712396531</v>
      </c>
      <c r="J3976" s="3">
        <v>32287.07</v>
      </c>
      <c r="K3976" s="3">
        <v>132432.74</v>
      </c>
      <c r="L3976" s="1">
        <f t="shared" si="1933"/>
        <v>164719.81</v>
      </c>
      <c r="M3976" s="2">
        <f t="shared" si="1934"/>
        <v>0.19601206436554292</v>
      </c>
      <c r="N3976" s="2">
        <f t="shared" si="1935"/>
        <v>0.80398793563445703</v>
      </c>
      <c r="O3976" s="5">
        <f t="shared" si="1936"/>
        <v>845.28483237456953</v>
      </c>
    </row>
    <row r="3977" spans="1:15" x14ac:dyDescent="0.35">
      <c r="A3977" t="s">
        <v>37</v>
      </c>
      <c r="B3977" t="s">
        <v>21</v>
      </c>
      <c r="C3977">
        <v>2013</v>
      </c>
      <c r="D3977" t="s">
        <v>18</v>
      </c>
      <c r="E3977" s="3">
        <v>44136</v>
      </c>
      <c r="F3977" s="3">
        <v>150944</v>
      </c>
      <c r="G3977" s="1">
        <f t="shared" si="1937"/>
        <v>195080</v>
      </c>
      <c r="H3977" s="2">
        <f t="shared" si="1938"/>
        <v>0.22624564281320483</v>
      </c>
      <c r="I3977" s="2">
        <f t="shared" si="1939"/>
        <v>0.77375435718679519</v>
      </c>
      <c r="J3977" s="3">
        <v>29840.9</v>
      </c>
      <c r="K3977" s="3">
        <v>127511.91</v>
      </c>
      <c r="L3977" s="1">
        <f t="shared" si="1933"/>
        <v>157352.81</v>
      </c>
      <c r="M3977" s="2">
        <f t="shared" si="1934"/>
        <v>0.18964326089886799</v>
      </c>
      <c r="N3977" s="2">
        <f t="shared" si="1935"/>
        <v>0.81035673910113204</v>
      </c>
      <c r="O3977" s="5">
        <f t="shared" si="1936"/>
        <v>806.60657166290753</v>
      </c>
    </row>
    <row r="3978" spans="1:15" x14ac:dyDescent="0.35">
      <c r="A3978" t="s">
        <v>37</v>
      </c>
      <c r="B3978" t="s">
        <v>22</v>
      </c>
      <c r="C3978">
        <v>2013</v>
      </c>
      <c r="D3978" t="s">
        <v>18</v>
      </c>
      <c r="E3978" s="3">
        <v>43888</v>
      </c>
      <c r="F3978" s="3">
        <v>151563</v>
      </c>
      <c r="G3978" s="1">
        <f t="shared" si="1937"/>
        <v>195451</v>
      </c>
      <c r="H3978" s="2">
        <f t="shared" si="1938"/>
        <v>0.2245473289980609</v>
      </c>
      <c r="I3978" s="2">
        <f t="shared" si="1939"/>
        <v>0.77545267100193915</v>
      </c>
      <c r="J3978" s="3">
        <v>33220.82</v>
      </c>
      <c r="K3978" s="3">
        <v>142958.91</v>
      </c>
      <c r="L3978" s="1">
        <f t="shared" si="1933"/>
        <v>176179.73</v>
      </c>
      <c r="M3978" s="2">
        <f t="shared" si="1934"/>
        <v>0.18856210075926441</v>
      </c>
      <c r="N3978" s="2">
        <f t="shared" si="1935"/>
        <v>0.81143789924073551</v>
      </c>
      <c r="O3978" s="5">
        <f t="shared" si="1936"/>
        <v>901.40101611145508</v>
      </c>
    </row>
    <row r="3979" spans="1:15" x14ac:dyDescent="0.35">
      <c r="A3979" t="s">
        <v>37</v>
      </c>
      <c r="B3979" t="s">
        <v>23</v>
      </c>
      <c r="C3979">
        <v>2013</v>
      </c>
      <c r="D3979" t="s">
        <v>18</v>
      </c>
      <c r="E3979" s="3">
        <v>43459</v>
      </c>
      <c r="F3979" s="3">
        <v>151836</v>
      </c>
      <c r="G3979" s="1">
        <f t="shared" si="1937"/>
        <v>195295</v>
      </c>
      <c r="H3979" s="2">
        <f t="shared" si="1938"/>
        <v>0.22253001868967459</v>
      </c>
      <c r="I3979" s="2">
        <f t="shared" si="1939"/>
        <v>0.77746998131032541</v>
      </c>
      <c r="J3979" s="3">
        <v>48480.88</v>
      </c>
      <c r="K3979" s="3">
        <v>214984.45</v>
      </c>
      <c r="L3979" s="1">
        <f t="shared" si="1933"/>
        <v>263465.33</v>
      </c>
      <c r="M3979" s="2">
        <f t="shared" si="1934"/>
        <v>0.18401237081174968</v>
      </c>
      <c r="N3979" s="2">
        <f t="shared" si="1935"/>
        <v>0.8159876291882503</v>
      </c>
      <c r="O3979" s="5">
        <f t="shared" si="1936"/>
        <v>1349.0633656775649</v>
      </c>
    </row>
    <row r="3980" spans="1:15" x14ac:dyDescent="0.35">
      <c r="A3980" t="s">
        <v>37</v>
      </c>
      <c r="B3980" t="s">
        <v>24</v>
      </c>
      <c r="C3980">
        <v>2013</v>
      </c>
      <c r="D3980" t="s">
        <v>18</v>
      </c>
      <c r="E3980" s="3">
        <v>43310</v>
      </c>
      <c r="F3980" s="3">
        <v>152487</v>
      </c>
      <c r="G3980" s="1">
        <f t="shared" si="1937"/>
        <v>195797</v>
      </c>
      <c r="H3980" s="2">
        <f t="shared" si="1938"/>
        <v>0.22119848618722451</v>
      </c>
      <c r="I3980" s="2">
        <f t="shared" si="1939"/>
        <v>0.77880151381277551</v>
      </c>
      <c r="J3980" s="3">
        <v>61352.72</v>
      </c>
      <c r="K3980" s="3">
        <v>269285.78999999998</v>
      </c>
      <c r="L3980" s="1">
        <f t="shared" si="1933"/>
        <v>330638.51</v>
      </c>
      <c r="M3980" s="2">
        <f t="shared" si="1934"/>
        <v>0.18555830051375444</v>
      </c>
      <c r="N3980" s="2">
        <f t="shared" si="1935"/>
        <v>0.81444169948624545</v>
      </c>
      <c r="O3980" s="5">
        <f t="shared" si="1936"/>
        <v>1688.6801636388709</v>
      </c>
    </row>
    <row r="3981" spans="1:15" x14ac:dyDescent="0.35">
      <c r="A3981" t="s">
        <v>37</v>
      </c>
      <c r="B3981" t="s">
        <v>25</v>
      </c>
      <c r="C3981">
        <v>2013</v>
      </c>
      <c r="D3981" t="s">
        <v>18</v>
      </c>
      <c r="E3981" s="3">
        <v>42947</v>
      </c>
      <c r="F3981" s="3">
        <v>152605</v>
      </c>
      <c r="G3981" s="1">
        <f t="shared" si="1937"/>
        <v>195552</v>
      </c>
      <c r="H3981" s="2">
        <f t="shared" si="1938"/>
        <v>0.21961933398789069</v>
      </c>
      <c r="I3981" s="2">
        <f t="shared" si="1939"/>
        <v>0.78038066601210931</v>
      </c>
      <c r="J3981" s="3">
        <v>60890.42</v>
      </c>
      <c r="K3981" s="3">
        <v>266277.21000000002</v>
      </c>
      <c r="L3981" s="1">
        <f t="shared" si="1933"/>
        <v>327167.63</v>
      </c>
      <c r="M3981" s="2">
        <f t="shared" si="1934"/>
        <v>0.18611382794807663</v>
      </c>
      <c r="N3981" s="2">
        <f t="shared" si="1935"/>
        <v>0.81388617205192337</v>
      </c>
      <c r="O3981" s="5">
        <f t="shared" si="1936"/>
        <v>1673.0467088037965</v>
      </c>
    </row>
    <row r="3982" spans="1:15" x14ac:dyDescent="0.35">
      <c r="A3982" t="s">
        <v>37</v>
      </c>
      <c r="B3982" t="s">
        <v>26</v>
      </c>
      <c r="C3982">
        <v>2013</v>
      </c>
      <c r="D3982" t="s">
        <v>18</v>
      </c>
      <c r="E3982" s="3">
        <v>42629</v>
      </c>
      <c r="F3982" s="3">
        <v>153208</v>
      </c>
      <c r="G3982" s="1">
        <f t="shared" si="1937"/>
        <v>195837</v>
      </c>
      <c r="H3982" s="2">
        <f t="shared" si="1938"/>
        <v>0.21767592436567146</v>
      </c>
      <c r="I3982" s="2">
        <f t="shared" si="1939"/>
        <v>0.7823240756343286</v>
      </c>
      <c r="J3982" s="3">
        <v>58166.39</v>
      </c>
      <c r="K3982" s="3">
        <v>255754.4</v>
      </c>
      <c r="L3982" s="1">
        <f t="shared" si="1933"/>
        <v>313920.78999999998</v>
      </c>
      <c r="M3982" s="2">
        <f t="shared" si="1934"/>
        <v>0.18529002172809264</v>
      </c>
      <c r="N3982" s="2">
        <f t="shared" si="1935"/>
        <v>0.81470997827190739</v>
      </c>
      <c r="O3982" s="5">
        <f t="shared" si="1936"/>
        <v>1602.9697656724725</v>
      </c>
    </row>
    <row r="3983" spans="1:15" x14ac:dyDescent="0.35">
      <c r="A3983" t="s">
        <v>37</v>
      </c>
      <c r="B3983" t="s">
        <v>27</v>
      </c>
      <c r="C3983">
        <v>2013</v>
      </c>
      <c r="D3983" t="s">
        <v>18</v>
      </c>
      <c r="E3983" s="3">
        <v>42578</v>
      </c>
      <c r="F3983" s="3">
        <v>154042</v>
      </c>
      <c r="G3983" s="1">
        <f t="shared" si="1937"/>
        <v>196620</v>
      </c>
      <c r="H3983" s="2">
        <f t="shared" si="1938"/>
        <v>0.21654968975689146</v>
      </c>
      <c r="I3983" s="2">
        <f t="shared" si="1939"/>
        <v>0.78345031024310852</v>
      </c>
      <c r="J3983" s="3">
        <v>43189.36</v>
      </c>
      <c r="K3983" s="3">
        <v>194497.96</v>
      </c>
      <c r="L3983" s="1">
        <f t="shared" si="1933"/>
        <v>237687.32</v>
      </c>
      <c r="M3983" s="2">
        <f t="shared" si="1934"/>
        <v>0.18170662196031323</v>
      </c>
      <c r="N3983" s="2">
        <f t="shared" si="1935"/>
        <v>0.81829337803968671</v>
      </c>
      <c r="O3983" s="5">
        <f t="shared" si="1936"/>
        <v>1208.8664428847524</v>
      </c>
    </row>
    <row r="3984" spans="1:15" x14ac:dyDescent="0.35">
      <c r="A3984" t="s">
        <v>37</v>
      </c>
      <c r="B3984" t="s">
        <v>28</v>
      </c>
      <c r="C3984">
        <v>2013</v>
      </c>
      <c r="D3984" t="s">
        <v>18</v>
      </c>
      <c r="E3984" s="3">
        <v>42007</v>
      </c>
      <c r="F3984" s="3">
        <v>153773</v>
      </c>
      <c r="G3984" s="1">
        <f t="shared" si="1937"/>
        <v>195780</v>
      </c>
      <c r="H3984" s="2">
        <f t="shared" si="1938"/>
        <v>0.21456226376545101</v>
      </c>
      <c r="I3984" s="2">
        <f t="shared" si="1939"/>
        <v>0.78543773623454893</v>
      </c>
      <c r="J3984" s="3">
        <v>29560.080000000002</v>
      </c>
      <c r="K3984" s="3">
        <v>133354.73000000001</v>
      </c>
      <c r="L3984" s="1">
        <f t="shared" si="1933"/>
        <v>162914.81</v>
      </c>
      <c r="M3984" s="2">
        <f t="shared" si="1934"/>
        <v>0.18144501411504579</v>
      </c>
      <c r="N3984" s="2">
        <f t="shared" si="1935"/>
        <v>0.81855498588495434</v>
      </c>
      <c r="O3984" s="5">
        <f t="shared" si="1936"/>
        <v>832.13203595872915</v>
      </c>
    </row>
    <row r="3985" spans="1:15" x14ac:dyDescent="0.35">
      <c r="A3985" t="s">
        <v>37</v>
      </c>
      <c r="B3985" t="s">
        <v>29</v>
      </c>
      <c r="C3985">
        <v>2013</v>
      </c>
      <c r="D3985" t="s">
        <v>18</v>
      </c>
      <c r="E3985" s="3">
        <v>42016</v>
      </c>
      <c r="F3985" s="3">
        <v>154385</v>
      </c>
      <c r="G3985" s="1">
        <f t="shared" si="1937"/>
        <v>196401</v>
      </c>
      <c r="H3985" s="2">
        <f t="shared" si="1938"/>
        <v>0.21392966430924487</v>
      </c>
      <c r="I3985" s="2">
        <f t="shared" si="1939"/>
        <v>0.78607033569075513</v>
      </c>
      <c r="J3985" s="3">
        <v>41435.5</v>
      </c>
      <c r="K3985" s="3">
        <v>180176.97</v>
      </c>
      <c r="L3985" s="1">
        <f t="shared" si="1933"/>
        <v>221612.47</v>
      </c>
      <c r="M3985" s="2">
        <f t="shared" si="1934"/>
        <v>0.18697278181142063</v>
      </c>
      <c r="N3985" s="2">
        <f t="shared" si="1935"/>
        <v>0.81302721818857937</v>
      </c>
      <c r="O3985" s="5">
        <f t="shared" si="1936"/>
        <v>1128.3673199219963</v>
      </c>
    </row>
    <row r="3986" spans="1:15" x14ac:dyDescent="0.35">
      <c r="A3986" t="s">
        <v>37</v>
      </c>
      <c r="B3986" t="s">
        <v>17</v>
      </c>
      <c r="C3986">
        <v>2014</v>
      </c>
      <c r="D3986" t="s">
        <v>18</v>
      </c>
      <c r="E3986" s="3">
        <v>41667</v>
      </c>
      <c r="F3986" s="3">
        <v>154238</v>
      </c>
      <c r="G3986" s="1">
        <f>SUM(E3986:F3986)</f>
        <v>195905</v>
      </c>
      <c r="H3986" s="2">
        <f>SUM(E3986)/G3986</f>
        <v>0.21268982414946019</v>
      </c>
      <c r="I3986" s="2">
        <f>SUM(F3986/G3986)</f>
        <v>0.78731017585053975</v>
      </c>
      <c r="J3986" s="3">
        <v>46783.08</v>
      </c>
      <c r="K3986" s="3">
        <v>200635.3</v>
      </c>
      <c r="L3986" s="1">
        <f t="shared" si="1933"/>
        <v>247418.38</v>
      </c>
      <c r="M3986" s="2">
        <f t="shared" si="1934"/>
        <v>0.18908490145315801</v>
      </c>
      <c r="N3986" s="2">
        <f t="shared" si="1935"/>
        <v>0.81091509854684196</v>
      </c>
      <c r="O3986" s="5">
        <f t="shared" si="1936"/>
        <v>1262.9508179985196</v>
      </c>
    </row>
    <row r="3987" spans="1:15" x14ac:dyDescent="0.35">
      <c r="A3987" t="s">
        <v>37</v>
      </c>
      <c r="B3987" t="s">
        <v>19</v>
      </c>
      <c r="C3987">
        <v>2014</v>
      </c>
      <c r="D3987" t="s">
        <v>18</v>
      </c>
      <c r="E3987" s="3">
        <v>41394</v>
      </c>
      <c r="F3987" s="3">
        <v>154892</v>
      </c>
      <c r="G3987" s="1">
        <f t="shared" ref="G3987:G3997" si="1940">SUM(E3987:F3987)</f>
        <v>196286</v>
      </c>
      <c r="H3987" s="2">
        <f t="shared" ref="H3987:H3997" si="1941">SUM(E3987)/G3987</f>
        <v>0.21088615591534801</v>
      </c>
      <c r="I3987" s="2">
        <f t="shared" ref="I3987:I3997" si="1942">SUM(F3987/G3987)</f>
        <v>0.78911384408465202</v>
      </c>
      <c r="J3987" s="3">
        <v>45061.43</v>
      </c>
      <c r="K3987" s="3">
        <v>194911.09</v>
      </c>
      <c r="L3987" s="1">
        <f t="shared" si="1933"/>
        <v>239972.52</v>
      </c>
      <c r="M3987" s="2">
        <f t="shared" si="1934"/>
        <v>0.18777745885237193</v>
      </c>
      <c r="N3987" s="2">
        <f t="shared" si="1935"/>
        <v>0.81222254114762804</v>
      </c>
      <c r="O3987" s="5">
        <f t="shared" si="1936"/>
        <v>1222.5656440092519</v>
      </c>
    </row>
    <row r="3988" spans="1:15" x14ac:dyDescent="0.35">
      <c r="A3988" t="s">
        <v>37</v>
      </c>
      <c r="B3988" t="s">
        <v>20</v>
      </c>
      <c r="C3988">
        <v>2014</v>
      </c>
      <c r="D3988" t="s">
        <v>18</v>
      </c>
      <c r="E3988" s="3">
        <v>41188</v>
      </c>
      <c r="F3988" s="3">
        <v>155602</v>
      </c>
      <c r="G3988" s="1">
        <f t="shared" si="1940"/>
        <v>196790</v>
      </c>
      <c r="H3988" s="2">
        <f t="shared" si="1941"/>
        <v>0.20929925301082372</v>
      </c>
      <c r="I3988" s="2">
        <f t="shared" si="1942"/>
        <v>0.79070074698917625</v>
      </c>
      <c r="J3988" s="3">
        <v>35036.82</v>
      </c>
      <c r="K3988" s="3">
        <v>154512.23000000001</v>
      </c>
      <c r="L3988" s="1">
        <f t="shared" si="1933"/>
        <v>189549.05000000002</v>
      </c>
      <c r="M3988" s="2">
        <f t="shared" si="1934"/>
        <v>0.18484302611909686</v>
      </c>
      <c r="N3988" s="2">
        <f t="shared" si="1935"/>
        <v>0.81515697388090314</v>
      </c>
      <c r="O3988" s="5">
        <f t="shared" si="1936"/>
        <v>963.20468519741871</v>
      </c>
    </row>
    <row r="3989" spans="1:15" x14ac:dyDescent="0.35">
      <c r="A3989" t="s">
        <v>37</v>
      </c>
      <c r="B3989" t="s">
        <v>21</v>
      </c>
      <c r="C3989">
        <v>2014</v>
      </c>
      <c r="D3989" t="s">
        <v>18</v>
      </c>
      <c r="E3989" s="3">
        <v>40990</v>
      </c>
      <c r="F3989" s="3">
        <v>156080</v>
      </c>
      <c r="G3989" s="1">
        <f t="shared" si="1940"/>
        <v>197070</v>
      </c>
      <c r="H3989" s="2">
        <f t="shared" si="1941"/>
        <v>0.20799715837012228</v>
      </c>
      <c r="I3989" s="2">
        <f t="shared" si="1942"/>
        <v>0.79200284162987766</v>
      </c>
      <c r="J3989" s="3">
        <v>27954.94</v>
      </c>
      <c r="K3989" s="3">
        <v>148886.04</v>
      </c>
      <c r="L3989" s="1">
        <f t="shared" si="1933"/>
        <v>176840.98</v>
      </c>
      <c r="M3989" s="2">
        <f t="shared" si="1934"/>
        <v>0.15807953563704519</v>
      </c>
      <c r="N3989" s="2">
        <f t="shared" si="1935"/>
        <v>0.84192046436295476</v>
      </c>
      <c r="O3989" s="5">
        <f t="shared" si="1936"/>
        <v>897.35109352006896</v>
      </c>
    </row>
    <row r="3990" spans="1:15" x14ac:dyDescent="0.35">
      <c r="A3990" t="s">
        <v>37</v>
      </c>
      <c r="B3990" t="s">
        <v>22</v>
      </c>
      <c r="C3990">
        <v>2014</v>
      </c>
      <c r="D3990" t="s">
        <v>18</v>
      </c>
      <c r="E3990" s="3">
        <v>40726</v>
      </c>
      <c r="F3990" s="8">
        <v>156396</v>
      </c>
      <c r="G3990" s="1">
        <f t="shared" si="1940"/>
        <v>197122</v>
      </c>
      <c r="H3990" s="2">
        <f t="shared" si="1941"/>
        <v>0.20660301742068363</v>
      </c>
      <c r="I3990" s="2">
        <f t="shared" si="1942"/>
        <v>0.79339698257931635</v>
      </c>
      <c r="J3990" s="3">
        <v>31965.16</v>
      </c>
      <c r="K3990" s="3">
        <v>138472.92000000001</v>
      </c>
      <c r="L3990" s="1">
        <f t="shared" si="1933"/>
        <v>170438.08000000002</v>
      </c>
      <c r="M3990" s="2">
        <f t="shared" si="1934"/>
        <v>0.18754705521207465</v>
      </c>
      <c r="N3990" s="2">
        <f t="shared" si="1935"/>
        <v>0.81245294478792529</v>
      </c>
      <c r="O3990" s="5">
        <f t="shared" si="1936"/>
        <v>864.63246111545152</v>
      </c>
    </row>
    <row r="3991" spans="1:15" x14ac:dyDescent="0.35">
      <c r="A3991" t="s">
        <v>37</v>
      </c>
      <c r="B3991" t="s">
        <v>23</v>
      </c>
      <c r="C3991">
        <v>2014</v>
      </c>
      <c r="D3991" t="s">
        <v>18</v>
      </c>
      <c r="E3991" s="3">
        <v>40405</v>
      </c>
      <c r="F3991" s="8">
        <v>157383</v>
      </c>
      <c r="G3991" s="1">
        <f t="shared" si="1940"/>
        <v>197788</v>
      </c>
      <c r="H3991" s="2">
        <f t="shared" si="1941"/>
        <v>0.20428438530143386</v>
      </c>
      <c r="I3991" s="2">
        <f t="shared" si="1942"/>
        <v>0.79571561469856611</v>
      </c>
      <c r="J3991" s="3">
        <v>43729.23</v>
      </c>
      <c r="K3991" s="3">
        <v>214725.05</v>
      </c>
      <c r="L3991" s="1">
        <f t="shared" si="1933"/>
        <v>258454.28</v>
      </c>
      <c r="M3991" s="2">
        <f t="shared" si="1934"/>
        <v>0.16919522478018165</v>
      </c>
      <c r="N3991" s="2">
        <f t="shared" si="1935"/>
        <v>0.83080477521981833</v>
      </c>
      <c r="O3991" s="5">
        <f t="shared" si="1936"/>
        <v>1306.7237648391206</v>
      </c>
    </row>
    <row r="3992" spans="1:15" x14ac:dyDescent="0.35">
      <c r="A3992" t="s">
        <v>37</v>
      </c>
      <c r="B3992" t="s">
        <v>24</v>
      </c>
      <c r="C3992">
        <v>2014</v>
      </c>
      <c r="D3992" t="s">
        <v>18</v>
      </c>
      <c r="E3992" s="3">
        <v>40082</v>
      </c>
      <c r="F3992" s="3">
        <v>158054</v>
      </c>
      <c r="G3992" s="1">
        <f t="shared" si="1940"/>
        <v>198136</v>
      </c>
      <c r="H3992" s="2">
        <f t="shared" si="1941"/>
        <v>0.20229539306335043</v>
      </c>
      <c r="I3992" s="2">
        <f t="shared" si="1942"/>
        <v>0.79770460693664957</v>
      </c>
      <c r="J3992" s="3">
        <v>53369.89</v>
      </c>
      <c r="K3992" s="3">
        <v>256797.84</v>
      </c>
      <c r="L3992" s="1">
        <f t="shared" si="1933"/>
        <v>310167.73</v>
      </c>
      <c r="M3992" s="2">
        <f t="shared" si="1934"/>
        <v>0.17206783568361544</v>
      </c>
      <c r="N3992" s="2">
        <f t="shared" si="1935"/>
        <v>0.82793216431638461</v>
      </c>
      <c r="O3992" s="5">
        <f t="shared" si="1936"/>
        <v>1565.428443089595</v>
      </c>
    </row>
    <row r="3993" spans="1:15" x14ac:dyDescent="0.35">
      <c r="A3993" t="s">
        <v>37</v>
      </c>
      <c r="B3993" t="s">
        <v>25</v>
      </c>
      <c r="C3993">
        <v>2014</v>
      </c>
      <c r="D3993" t="s">
        <v>18</v>
      </c>
      <c r="E3993" s="3">
        <v>39699</v>
      </c>
      <c r="F3993" s="3">
        <v>158919</v>
      </c>
      <c r="G3993" s="1">
        <f t="shared" si="1940"/>
        <v>198618</v>
      </c>
      <c r="H3993" s="2">
        <f t="shared" si="1941"/>
        <v>0.19987614415611879</v>
      </c>
      <c r="I3993" s="2">
        <f t="shared" si="1942"/>
        <v>0.80012385584388124</v>
      </c>
      <c r="J3993" s="3">
        <v>55078.77</v>
      </c>
      <c r="K3993" s="3">
        <v>266498.77</v>
      </c>
      <c r="L3993" s="1">
        <f t="shared" si="1933"/>
        <v>321577.54000000004</v>
      </c>
      <c r="M3993" s="2">
        <f t="shared" si="1934"/>
        <v>0.17127679377110724</v>
      </c>
      <c r="N3993" s="2">
        <f t="shared" si="1935"/>
        <v>0.82872320622889273</v>
      </c>
      <c r="O3993" s="5">
        <f t="shared" si="1936"/>
        <v>1619.0755117864446</v>
      </c>
    </row>
    <row r="3994" spans="1:15" x14ac:dyDescent="0.35">
      <c r="A3994" t="s">
        <v>37</v>
      </c>
      <c r="B3994" t="s">
        <v>26</v>
      </c>
      <c r="C3994">
        <v>2014</v>
      </c>
      <c r="D3994" t="s">
        <v>18</v>
      </c>
      <c r="E3994" s="3">
        <v>39293</v>
      </c>
      <c r="F3994" s="3">
        <v>159288</v>
      </c>
      <c r="G3994" s="1">
        <f t="shared" si="1940"/>
        <v>198581</v>
      </c>
      <c r="H3994" s="2">
        <f t="shared" si="1941"/>
        <v>0.19786887970148201</v>
      </c>
      <c r="I3994" s="2">
        <f t="shared" si="1942"/>
        <v>0.80213112029851796</v>
      </c>
      <c r="J3994" s="3">
        <v>52759.67</v>
      </c>
      <c r="K3994" s="3">
        <v>259038.77</v>
      </c>
      <c r="L3994" s="1">
        <f t="shared" si="1933"/>
        <v>311798.44</v>
      </c>
      <c r="M3994" s="2">
        <f t="shared" si="1934"/>
        <v>0.16921082093932222</v>
      </c>
      <c r="N3994" s="2">
        <f t="shared" si="1935"/>
        <v>0.83078917906067773</v>
      </c>
      <c r="O3994" s="5">
        <f t="shared" si="1936"/>
        <v>1570.1322885875286</v>
      </c>
    </row>
    <row r="3995" spans="1:15" x14ac:dyDescent="0.35">
      <c r="A3995" t="s">
        <v>37</v>
      </c>
      <c r="B3995" t="s">
        <v>27</v>
      </c>
      <c r="C3995">
        <v>2014</v>
      </c>
      <c r="D3995" t="s">
        <v>18</v>
      </c>
      <c r="E3995" s="3">
        <v>39018</v>
      </c>
      <c r="F3995" s="3">
        <v>159558</v>
      </c>
      <c r="G3995" s="1">
        <f t="shared" si="1940"/>
        <v>198576</v>
      </c>
      <c r="H3995" s="2">
        <f t="shared" si="1941"/>
        <v>0.19648900169204739</v>
      </c>
      <c r="I3995" s="2">
        <f t="shared" si="1942"/>
        <v>0.80351099830795258</v>
      </c>
      <c r="J3995" s="3">
        <v>38182.69</v>
      </c>
      <c r="K3995" s="3">
        <v>193399.42</v>
      </c>
      <c r="L3995" s="1">
        <f t="shared" si="1933"/>
        <v>231582.11000000002</v>
      </c>
      <c r="M3995" s="2">
        <f t="shared" si="1934"/>
        <v>0.16487754602460442</v>
      </c>
      <c r="N3995" s="2">
        <f t="shared" si="1935"/>
        <v>0.83512245397539564</v>
      </c>
      <c r="O3995" s="5">
        <f t="shared" si="1936"/>
        <v>1166.2139936346791</v>
      </c>
    </row>
    <row r="3996" spans="1:15" x14ac:dyDescent="0.35">
      <c r="A3996" t="s">
        <v>37</v>
      </c>
      <c r="B3996" t="s">
        <v>28</v>
      </c>
      <c r="C3996">
        <v>2014</v>
      </c>
      <c r="D3996" t="s">
        <v>18</v>
      </c>
      <c r="E3996" s="3">
        <v>38713</v>
      </c>
      <c r="F3996" s="3">
        <v>160047</v>
      </c>
      <c r="G3996" s="1">
        <f t="shared" si="1940"/>
        <v>198760</v>
      </c>
      <c r="H3996" s="2">
        <f t="shared" si="1941"/>
        <v>0.19477259005836184</v>
      </c>
      <c r="I3996" s="2">
        <f t="shared" si="1942"/>
        <v>0.80522740994163811</v>
      </c>
      <c r="J3996" s="3">
        <v>29778.1</v>
      </c>
      <c r="K3996" s="3">
        <v>150303.18</v>
      </c>
      <c r="L3996" s="1">
        <f t="shared" si="1933"/>
        <v>180081.28</v>
      </c>
      <c r="M3996" s="2">
        <f t="shared" si="1934"/>
        <v>0.16535922001442904</v>
      </c>
      <c r="N3996" s="2">
        <f t="shared" si="1935"/>
        <v>0.83464077998557096</v>
      </c>
      <c r="O3996" s="5">
        <f t="shared" si="1936"/>
        <v>906.02374723284368</v>
      </c>
    </row>
    <row r="3997" spans="1:15" x14ac:dyDescent="0.35">
      <c r="A3997" t="s">
        <v>37</v>
      </c>
      <c r="B3997" t="s">
        <v>29</v>
      </c>
      <c r="C3997">
        <v>2014</v>
      </c>
      <c r="D3997" t="s">
        <v>18</v>
      </c>
      <c r="E3997" s="3">
        <v>38471</v>
      </c>
      <c r="F3997" s="3">
        <v>160500</v>
      </c>
      <c r="G3997" s="1">
        <f t="shared" si="1940"/>
        <v>198971</v>
      </c>
      <c r="H3997" s="2">
        <f t="shared" si="1941"/>
        <v>0.19334978464198299</v>
      </c>
      <c r="I3997" s="2">
        <f t="shared" si="1942"/>
        <v>0.80665021535801695</v>
      </c>
      <c r="J3997" s="3">
        <v>30946.1</v>
      </c>
      <c r="K3997" s="3">
        <v>151054.12</v>
      </c>
      <c r="L3997" s="1">
        <f t="shared" si="1933"/>
        <v>182000.22</v>
      </c>
      <c r="M3997" s="2">
        <f t="shared" si="1934"/>
        <v>0.17003331094874499</v>
      </c>
      <c r="N3997" s="2">
        <f t="shared" si="1935"/>
        <v>0.82996668905125492</v>
      </c>
      <c r="O3997" s="5">
        <f t="shared" si="1936"/>
        <v>914.70726889848265</v>
      </c>
    </row>
    <row r="3998" spans="1:15" x14ac:dyDescent="0.35">
      <c r="A3998" t="s">
        <v>37</v>
      </c>
      <c r="B3998" t="s">
        <v>17</v>
      </c>
      <c r="C3998">
        <v>2015</v>
      </c>
      <c r="D3998" t="s">
        <v>18</v>
      </c>
      <c r="E3998" s="3">
        <v>38008</v>
      </c>
      <c r="F3998" s="3">
        <v>161162</v>
      </c>
      <c r="G3998" s="1">
        <f>SUM(E3998:F3998)</f>
        <v>199170</v>
      </c>
      <c r="H3998" s="2">
        <f>SUM(E3998)/G3998</f>
        <v>0.19083195260330371</v>
      </c>
      <c r="I3998" s="2">
        <f>SUM(F3998/G3998)</f>
        <v>0.80916804739669634</v>
      </c>
      <c r="J3998" s="3">
        <v>41282.120000000003</v>
      </c>
      <c r="K3998" s="3">
        <v>201252.46</v>
      </c>
      <c r="L3998" s="1">
        <f t="shared" si="1933"/>
        <v>242534.58</v>
      </c>
      <c r="M3998" s="2">
        <f t="shared" si="1934"/>
        <v>0.17021127461494359</v>
      </c>
      <c r="N3998" s="2">
        <f t="shared" si="1935"/>
        <v>0.82978872538505644</v>
      </c>
      <c r="O3998" s="5">
        <f t="shared" si="1936"/>
        <v>1217.7264648290404</v>
      </c>
    </row>
    <row r="3999" spans="1:15" x14ac:dyDescent="0.35">
      <c r="A3999" t="s">
        <v>37</v>
      </c>
      <c r="B3999" t="s">
        <v>19</v>
      </c>
      <c r="C3999">
        <v>2015</v>
      </c>
      <c r="D3999" t="s">
        <v>18</v>
      </c>
      <c r="E3999" s="3">
        <v>37927</v>
      </c>
      <c r="F3999" s="3">
        <v>161374</v>
      </c>
      <c r="G3999" s="1">
        <f t="shared" ref="G3999:G4009" si="1943">SUM(E3999:F3999)</f>
        <v>199301</v>
      </c>
      <c r="H3999" s="2">
        <f t="shared" ref="H3999:H4009" si="1944">SUM(E3999)/G3999</f>
        <v>0.19030009884546489</v>
      </c>
      <c r="I3999" s="2">
        <f t="shared" ref="I3999:I4009" si="1945">SUM(F3999/G3999)</f>
        <v>0.80969990115453505</v>
      </c>
      <c r="J3999" s="3">
        <v>36621.919999999998</v>
      </c>
      <c r="K3999" s="3">
        <v>179219.51</v>
      </c>
      <c r="L3999" s="1">
        <f t="shared" si="1933"/>
        <v>215841.43</v>
      </c>
      <c r="M3999" s="2">
        <f t="shared" si="1934"/>
        <v>0.16967048448483685</v>
      </c>
      <c r="N3999" s="2">
        <f t="shared" si="1935"/>
        <v>0.83032951551516321</v>
      </c>
      <c r="O3999" s="5">
        <f t="shared" si="1936"/>
        <v>1082.9922077661427</v>
      </c>
    </row>
    <row r="4000" spans="1:15" x14ac:dyDescent="0.35">
      <c r="A4000" t="s">
        <v>37</v>
      </c>
      <c r="B4000" t="s">
        <v>20</v>
      </c>
      <c r="C4000">
        <v>2015</v>
      </c>
      <c r="D4000" t="s">
        <v>18</v>
      </c>
      <c r="E4000" s="3">
        <v>37609</v>
      </c>
      <c r="F4000" s="3">
        <v>161916</v>
      </c>
      <c r="G4000" s="1">
        <f t="shared" si="1943"/>
        <v>199525</v>
      </c>
      <c r="H4000" s="2">
        <f t="shared" si="1944"/>
        <v>0.18849267009146722</v>
      </c>
      <c r="I4000" s="2">
        <f t="shared" si="1945"/>
        <v>0.8115073299085328</v>
      </c>
      <c r="J4000" s="3">
        <v>37482.93</v>
      </c>
      <c r="K4000" s="3">
        <v>185942.6</v>
      </c>
      <c r="L4000" s="1">
        <f t="shared" si="1933"/>
        <v>223425.53</v>
      </c>
      <c r="M4000" s="2">
        <f t="shared" si="1934"/>
        <v>0.16776475812768576</v>
      </c>
      <c r="N4000" s="2">
        <f t="shared" si="1935"/>
        <v>0.83223524187231424</v>
      </c>
      <c r="O4000" s="5">
        <f t="shared" si="1936"/>
        <v>1119.7871444681118</v>
      </c>
    </row>
    <row r="4001" spans="1:15" x14ac:dyDescent="0.35">
      <c r="A4001" t="s">
        <v>37</v>
      </c>
      <c r="B4001" t="s">
        <v>21</v>
      </c>
      <c r="C4001">
        <v>2015</v>
      </c>
      <c r="D4001" t="s">
        <v>18</v>
      </c>
      <c r="E4001" s="3">
        <v>37295</v>
      </c>
      <c r="F4001" s="3">
        <v>162424</v>
      </c>
      <c r="G4001" s="1">
        <f t="shared" si="1943"/>
        <v>199719</v>
      </c>
      <c r="H4001" s="2">
        <f t="shared" si="1944"/>
        <v>0.18673736599922891</v>
      </c>
      <c r="I4001" s="2">
        <f t="shared" si="1945"/>
        <v>0.81326263400077103</v>
      </c>
      <c r="J4001" s="3">
        <v>27313</v>
      </c>
      <c r="K4001" s="3">
        <v>147370</v>
      </c>
      <c r="L4001" s="1">
        <f t="shared" si="1933"/>
        <v>174683</v>
      </c>
      <c r="M4001" s="2">
        <f t="shared" si="1934"/>
        <v>0.15635751618646349</v>
      </c>
      <c r="N4001" s="2">
        <f t="shared" si="1935"/>
        <v>0.84364248381353657</v>
      </c>
      <c r="O4001" s="5">
        <f t="shared" si="1936"/>
        <v>874.6438746438746</v>
      </c>
    </row>
    <row r="4002" spans="1:15" x14ac:dyDescent="0.35">
      <c r="A4002" t="s">
        <v>37</v>
      </c>
      <c r="B4002" t="s">
        <v>22</v>
      </c>
      <c r="C4002">
        <v>2015</v>
      </c>
      <c r="D4002" t="s">
        <v>18</v>
      </c>
      <c r="E4002" s="3">
        <v>37124</v>
      </c>
      <c r="F4002" s="3">
        <v>162769</v>
      </c>
      <c r="G4002" s="1">
        <f t="shared" si="1943"/>
        <v>199893</v>
      </c>
      <c r="H4002" s="2">
        <f t="shared" si="1944"/>
        <v>0.18571935985752377</v>
      </c>
      <c r="I4002" s="2">
        <f t="shared" si="1945"/>
        <v>0.81428064014247625</v>
      </c>
      <c r="J4002" s="3">
        <v>29091</v>
      </c>
      <c r="K4002" s="3">
        <v>160652</v>
      </c>
      <c r="L4002" s="1">
        <f t="shared" si="1933"/>
        <v>189743</v>
      </c>
      <c r="M4002" s="2">
        <f t="shared" si="1934"/>
        <v>0.15331790896106839</v>
      </c>
      <c r="N4002" s="2">
        <f t="shared" si="1935"/>
        <v>0.84668209103893166</v>
      </c>
      <c r="O4002" s="5">
        <f t="shared" si="1936"/>
        <v>949.22283421630573</v>
      </c>
    </row>
    <row r="4003" spans="1:15" x14ac:dyDescent="0.35">
      <c r="A4003" t="s">
        <v>37</v>
      </c>
      <c r="B4003" t="s">
        <v>23</v>
      </c>
      <c r="C4003">
        <v>2015</v>
      </c>
      <c r="D4003" t="s">
        <v>18</v>
      </c>
      <c r="E4003" s="3">
        <v>36997</v>
      </c>
      <c r="F4003" s="3">
        <v>163308</v>
      </c>
      <c r="G4003" s="1">
        <f t="shared" si="1943"/>
        <v>200305</v>
      </c>
      <c r="H4003" s="2">
        <f t="shared" si="1944"/>
        <v>0.18470332742567586</v>
      </c>
      <c r="I4003" s="2">
        <f t="shared" si="1945"/>
        <v>0.81529667257432414</v>
      </c>
      <c r="J4003" s="3">
        <v>39756</v>
      </c>
      <c r="K4003" s="3">
        <v>218628</v>
      </c>
      <c r="L4003" s="1">
        <f t="shared" si="1933"/>
        <v>258384</v>
      </c>
      <c r="M4003" s="2">
        <f t="shared" si="1934"/>
        <v>0.15386401634776148</v>
      </c>
      <c r="N4003" s="2">
        <f t="shared" si="1935"/>
        <v>0.84613598365223852</v>
      </c>
      <c r="O4003" s="5">
        <f t="shared" si="1936"/>
        <v>1289.9528219465315</v>
      </c>
    </row>
    <row r="4004" spans="1:15" x14ac:dyDescent="0.35">
      <c r="A4004" t="s">
        <v>37</v>
      </c>
      <c r="B4004" t="s">
        <v>24</v>
      </c>
      <c r="C4004">
        <v>2015</v>
      </c>
      <c r="D4004" t="s">
        <v>18</v>
      </c>
      <c r="E4004" s="3">
        <v>36716</v>
      </c>
      <c r="F4004" s="3">
        <v>164433</v>
      </c>
      <c r="G4004" s="1">
        <f t="shared" si="1943"/>
        <v>201149</v>
      </c>
      <c r="H4004" s="2">
        <f t="shared" si="1944"/>
        <v>0.18253135735201267</v>
      </c>
      <c r="I4004" s="2">
        <f t="shared" si="1945"/>
        <v>0.81746864264798735</v>
      </c>
      <c r="J4004" s="3">
        <v>52108.84</v>
      </c>
      <c r="K4004" s="3">
        <v>280344.34999999998</v>
      </c>
      <c r="L4004" s="1">
        <f t="shared" si="1933"/>
        <v>332453.18999999994</v>
      </c>
      <c r="M4004" s="2">
        <f t="shared" si="1934"/>
        <v>0.15674038200686238</v>
      </c>
      <c r="N4004" s="2">
        <f t="shared" si="1935"/>
        <v>0.84325961799313764</v>
      </c>
      <c r="O4004" s="5">
        <f t="shared" si="1936"/>
        <v>1652.7707818582242</v>
      </c>
    </row>
    <row r="4005" spans="1:15" x14ac:dyDescent="0.35">
      <c r="A4005" t="s">
        <v>37</v>
      </c>
      <c r="B4005" t="s">
        <v>25</v>
      </c>
      <c r="C4005">
        <v>2015</v>
      </c>
      <c r="D4005" t="s">
        <v>18</v>
      </c>
      <c r="E4005" s="3">
        <v>36422</v>
      </c>
      <c r="F4005" s="3">
        <v>164848</v>
      </c>
      <c r="G4005" s="1">
        <f t="shared" si="1943"/>
        <v>201270</v>
      </c>
      <c r="H4005" s="2">
        <f t="shared" si="1944"/>
        <v>0.18096089829582154</v>
      </c>
      <c r="I4005" s="2">
        <f t="shared" si="1945"/>
        <v>0.81903910170417848</v>
      </c>
      <c r="J4005" s="3">
        <v>57842</v>
      </c>
      <c r="K4005" s="3">
        <v>307465.71999999997</v>
      </c>
      <c r="L4005" s="1">
        <f t="shared" si="1933"/>
        <v>365307.72</v>
      </c>
      <c r="M4005" s="2">
        <f t="shared" si="1934"/>
        <v>0.15833774331404768</v>
      </c>
      <c r="N4005" s="2">
        <f t="shared" si="1935"/>
        <v>0.84166225668595229</v>
      </c>
      <c r="O4005" s="5">
        <f t="shared" si="1936"/>
        <v>1815.0132657624088</v>
      </c>
    </row>
    <row r="4006" spans="1:15" x14ac:dyDescent="0.35">
      <c r="A4006" t="s">
        <v>37</v>
      </c>
      <c r="B4006" t="s">
        <v>26</v>
      </c>
      <c r="C4006">
        <v>2015</v>
      </c>
      <c r="D4006" t="s">
        <v>18</v>
      </c>
      <c r="E4006" s="3">
        <v>36091</v>
      </c>
      <c r="F4006" s="3">
        <v>165304</v>
      </c>
      <c r="G4006" s="1">
        <f t="shared" si="1943"/>
        <v>201395</v>
      </c>
      <c r="H4006" s="2">
        <f t="shared" si="1944"/>
        <v>0.17920504481243327</v>
      </c>
      <c r="I4006" s="2">
        <f t="shared" si="1945"/>
        <v>0.82079495518756673</v>
      </c>
      <c r="J4006" s="3">
        <v>48074.720000000001</v>
      </c>
      <c r="K4006" s="3">
        <v>259652.69</v>
      </c>
      <c r="L4006" s="1">
        <f t="shared" si="1933"/>
        <v>307727.41000000003</v>
      </c>
      <c r="M4006" s="2">
        <f t="shared" si="1934"/>
        <v>0.15622501745944567</v>
      </c>
      <c r="N4006" s="2">
        <f t="shared" si="1935"/>
        <v>0.84377498254055427</v>
      </c>
      <c r="O4006" s="5">
        <f t="shared" si="1936"/>
        <v>1527.9793937287423</v>
      </c>
    </row>
    <row r="4007" spans="1:15" x14ac:dyDescent="0.35">
      <c r="A4007" t="s">
        <v>37</v>
      </c>
      <c r="B4007" t="s">
        <v>27</v>
      </c>
      <c r="C4007">
        <v>2015</v>
      </c>
      <c r="D4007" t="s">
        <v>18</v>
      </c>
      <c r="E4007" s="3">
        <v>35660</v>
      </c>
      <c r="F4007" s="3">
        <v>166114</v>
      </c>
      <c r="G4007" s="1">
        <f t="shared" si="1943"/>
        <v>201774</v>
      </c>
      <c r="H4007" s="2">
        <f t="shared" si="1944"/>
        <v>0.17673238375608355</v>
      </c>
      <c r="I4007" s="2">
        <f t="shared" si="1945"/>
        <v>0.82326761624391642</v>
      </c>
      <c r="J4007" s="3">
        <v>37413.1</v>
      </c>
      <c r="K4007" s="3">
        <v>209053.69</v>
      </c>
      <c r="L4007" s="1">
        <f t="shared" si="1933"/>
        <v>246466.79</v>
      </c>
      <c r="M4007" s="2">
        <f t="shared" si="1934"/>
        <v>0.15179773307389607</v>
      </c>
      <c r="N4007" s="2">
        <f t="shared" si="1935"/>
        <v>0.8482022669261039</v>
      </c>
      <c r="O4007" s="5">
        <f t="shared" si="1936"/>
        <v>1221.4992516379712</v>
      </c>
    </row>
    <row r="4008" spans="1:15" x14ac:dyDescent="0.35">
      <c r="A4008" t="s">
        <v>37</v>
      </c>
      <c r="B4008" t="s">
        <v>28</v>
      </c>
      <c r="C4008">
        <v>2015</v>
      </c>
      <c r="D4008" t="s">
        <v>18</v>
      </c>
      <c r="E4008" s="3">
        <v>35387</v>
      </c>
      <c r="F4008" s="3">
        <v>166457</v>
      </c>
      <c r="G4008" s="1">
        <f t="shared" si="1943"/>
        <v>201844</v>
      </c>
      <c r="H4008" s="2">
        <f t="shared" si="1944"/>
        <v>0.17531856285051822</v>
      </c>
      <c r="I4008" s="2">
        <f t="shared" si="1945"/>
        <v>0.82468143714948183</v>
      </c>
      <c r="J4008" s="3">
        <v>26477.25</v>
      </c>
      <c r="K4008" s="3">
        <v>150125.35</v>
      </c>
      <c r="L4008" s="1">
        <f t="shared" si="1933"/>
        <v>176602.6</v>
      </c>
      <c r="M4008" s="2">
        <f t="shared" si="1934"/>
        <v>0.14992559565940705</v>
      </c>
      <c r="N4008" s="2">
        <f t="shared" si="1935"/>
        <v>0.850074404340593</v>
      </c>
      <c r="O4008" s="5">
        <f t="shared" si="1936"/>
        <v>874.94599789936785</v>
      </c>
    </row>
    <row r="4009" spans="1:15" x14ac:dyDescent="0.35">
      <c r="A4009" t="s">
        <v>37</v>
      </c>
      <c r="B4009" t="s">
        <v>29</v>
      </c>
      <c r="C4009">
        <v>2015</v>
      </c>
      <c r="D4009" t="s">
        <v>18</v>
      </c>
      <c r="E4009" s="3">
        <v>35109</v>
      </c>
      <c r="F4009" s="3">
        <v>166777</v>
      </c>
      <c r="G4009" s="1">
        <f t="shared" si="1943"/>
        <v>201886</v>
      </c>
      <c r="H4009" s="2">
        <f t="shared" si="1944"/>
        <v>0.17390507514141645</v>
      </c>
      <c r="I4009" s="2">
        <f t="shared" si="1945"/>
        <v>0.8260949248585836</v>
      </c>
      <c r="J4009" s="3">
        <v>27555.4</v>
      </c>
      <c r="K4009" s="3">
        <v>153022.95000000001</v>
      </c>
      <c r="L4009" s="1">
        <f t="shared" si="1933"/>
        <v>180578.35</v>
      </c>
      <c r="M4009" s="2">
        <f t="shared" si="1934"/>
        <v>0.15259525851244071</v>
      </c>
      <c r="N4009" s="2">
        <f t="shared" si="1935"/>
        <v>0.84740474148755929</v>
      </c>
      <c r="O4009" s="5">
        <f t="shared" si="1936"/>
        <v>894.45702029858433</v>
      </c>
    </row>
    <row r="4010" spans="1:15" x14ac:dyDescent="0.35">
      <c r="A4010" t="s">
        <v>37</v>
      </c>
      <c r="B4010" t="s">
        <v>17</v>
      </c>
      <c r="C4010">
        <v>2016</v>
      </c>
      <c r="D4010" t="s">
        <v>18</v>
      </c>
      <c r="E4010" s="3">
        <v>34891</v>
      </c>
      <c r="F4010" s="3">
        <v>167351</v>
      </c>
      <c r="G4010" s="1">
        <f>SUM(E4010:F4010)</f>
        <v>202242</v>
      </c>
      <c r="H4010" s="2">
        <f>SUM(E4010)/G4010</f>
        <v>0.172521039151116</v>
      </c>
      <c r="I4010" s="2">
        <f>SUM(F4010/G4010)</f>
        <v>0.82747896084888406</v>
      </c>
      <c r="J4010" s="3">
        <v>34753.81</v>
      </c>
      <c r="K4010" s="3">
        <v>190096.15</v>
      </c>
      <c r="L4010" s="1">
        <f t="shared" si="1933"/>
        <v>224849.96</v>
      </c>
      <c r="M4010" s="2">
        <f t="shared" si="1934"/>
        <v>0.15456444822138282</v>
      </c>
      <c r="N4010" s="2">
        <f t="shared" si="1935"/>
        <v>0.84543555177861718</v>
      </c>
      <c r="O4010" s="5">
        <f t="shared" si="1936"/>
        <v>1111.7866714134552</v>
      </c>
    </row>
    <row r="4011" spans="1:15" x14ac:dyDescent="0.35">
      <c r="A4011" t="s">
        <v>37</v>
      </c>
      <c r="B4011" t="s">
        <v>19</v>
      </c>
      <c r="C4011">
        <v>2016</v>
      </c>
      <c r="D4011" t="s">
        <v>18</v>
      </c>
      <c r="E4011" s="3">
        <v>34719</v>
      </c>
      <c r="F4011" s="3">
        <v>167680</v>
      </c>
      <c r="G4011" s="1">
        <f t="shared" ref="G4011:G4021" si="1946">SUM(E4011:F4011)</f>
        <v>202399</v>
      </c>
      <c r="H4011" s="2">
        <f t="shared" ref="H4011:H4021" si="1947">SUM(E4011)/G4011</f>
        <v>0.17153740878166393</v>
      </c>
      <c r="I4011" s="2">
        <f t="shared" ref="I4011:I4021" si="1948">SUM(F4011/G4011)</f>
        <v>0.8284625912183361</v>
      </c>
      <c r="J4011" s="3">
        <v>30949.72</v>
      </c>
      <c r="K4011" s="3">
        <v>168570.7</v>
      </c>
      <c r="L4011" s="1">
        <f t="shared" si="1933"/>
        <v>199520.42</v>
      </c>
      <c r="M4011" s="2">
        <f t="shared" si="1934"/>
        <v>0.15512056359945514</v>
      </c>
      <c r="N4011" s="2">
        <f t="shared" si="1935"/>
        <v>0.84487943640054486</v>
      </c>
      <c r="O4011" s="5">
        <f t="shared" si="1936"/>
        <v>985.77769653012115</v>
      </c>
    </row>
    <row r="4012" spans="1:15" x14ac:dyDescent="0.35">
      <c r="A4012" t="s">
        <v>37</v>
      </c>
      <c r="B4012" t="s">
        <v>20</v>
      </c>
      <c r="C4012">
        <v>2016</v>
      </c>
      <c r="D4012" t="s">
        <v>18</v>
      </c>
      <c r="E4012" s="3">
        <v>34554</v>
      </c>
      <c r="F4012" s="3">
        <v>167989</v>
      </c>
      <c r="G4012" s="1">
        <f t="shared" si="1946"/>
        <v>202543</v>
      </c>
      <c r="H4012" s="2">
        <f t="shared" si="1947"/>
        <v>0.17060081069205058</v>
      </c>
      <c r="I4012" s="2">
        <f t="shared" si="1948"/>
        <v>0.82939918930794942</v>
      </c>
      <c r="J4012" s="3">
        <v>24816.2</v>
      </c>
      <c r="K4012" s="3">
        <v>140722.79999999999</v>
      </c>
      <c r="L4012" s="1">
        <f t="shared" si="1933"/>
        <v>165539</v>
      </c>
      <c r="M4012" s="2">
        <f t="shared" si="1934"/>
        <v>0.14991150121723582</v>
      </c>
      <c r="N4012" s="2">
        <f t="shared" si="1935"/>
        <v>0.85008849878276416</v>
      </c>
      <c r="O4012" s="5">
        <f t="shared" si="1936"/>
        <v>817.3029924509857</v>
      </c>
    </row>
    <row r="4013" spans="1:15" x14ac:dyDescent="0.35">
      <c r="A4013" t="s">
        <v>37</v>
      </c>
      <c r="B4013" t="s">
        <v>21</v>
      </c>
      <c r="C4013">
        <v>2016</v>
      </c>
      <c r="D4013" t="s">
        <v>18</v>
      </c>
      <c r="E4013" s="3">
        <v>34359</v>
      </c>
      <c r="F4013" s="3">
        <v>168549</v>
      </c>
      <c r="G4013" s="1">
        <f t="shared" si="1946"/>
        <v>202908</v>
      </c>
      <c r="H4013" s="2">
        <f t="shared" si="1947"/>
        <v>0.16933289963924536</v>
      </c>
      <c r="I4013" s="2">
        <f t="shared" si="1948"/>
        <v>0.83066710036075464</v>
      </c>
      <c r="J4013" s="3">
        <v>24272.13</v>
      </c>
      <c r="K4013" s="3">
        <v>143476</v>
      </c>
      <c r="L4013" s="1">
        <f t="shared" si="1933"/>
        <v>167748.13</v>
      </c>
      <c r="M4013" s="2">
        <f t="shared" si="1934"/>
        <v>0.14469389315994163</v>
      </c>
      <c r="N4013" s="2">
        <f t="shared" si="1935"/>
        <v>0.85530610684005837</v>
      </c>
      <c r="O4013" s="5">
        <f t="shared" si="1936"/>
        <v>826.72013917637548</v>
      </c>
    </row>
    <row r="4014" spans="1:15" x14ac:dyDescent="0.35">
      <c r="A4014" t="s">
        <v>37</v>
      </c>
      <c r="B4014" t="s">
        <v>22</v>
      </c>
      <c r="C4014">
        <v>2016</v>
      </c>
      <c r="D4014" t="s">
        <v>18</v>
      </c>
      <c r="E4014" s="3">
        <v>34157</v>
      </c>
      <c r="F4014" s="3">
        <v>169005</v>
      </c>
      <c r="G4014" s="1">
        <f t="shared" si="1946"/>
        <v>203162</v>
      </c>
      <c r="H4014" s="2">
        <f t="shared" si="1947"/>
        <v>0.16812691349760289</v>
      </c>
      <c r="I4014" s="2">
        <f t="shared" si="1948"/>
        <v>0.83187308650239711</v>
      </c>
      <c r="J4014" s="3">
        <v>28584.48</v>
      </c>
      <c r="K4014" s="3">
        <v>174135</v>
      </c>
      <c r="L4014" s="1">
        <f t="shared" si="1933"/>
        <v>202719.48</v>
      </c>
      <c r="M4014" s="2">
        <f t="shared" si="1934"/>
        <v>0.14100509729010749</v>
      </c>
      <c r="N4014" s="2">
        <f t="shared" si="1935"/>
        <v>0.85899490270989243</v>
      </c>
      <c r="O4014" s="5">
        <f t="shared" si="1936"/>
        <v>997.82183676081161</v>
      </c>
    </row>
    <row r="4015" spans="1:15" x14ac:dyDescent="0.35">
      <c r="A4015" t="s">
        <v>37</v>
      </c>
      <c r="B4015" t="s">
        <v>23</v>
      </c>
      <c r="C4015">
        <v>2016</v>
      </c>
      <c r="D4015" t="s">
        <v>18</v>
      </c>
      <c r="E4015" s="3">
        <v>33943</v>
      </c>
      <c r="F4015" s="3">
        <v>169324</v>
      </c>
      <c r="G4015" s="1">
        <f t="shared" si="1946"/>
        <v>203267</v>
      </c>
      <c r="H4015" s="2">
        <f t="shared" si="1947"/>
        <v>0.16698726305794842</v>
      </c>
      <c r="I4015" s="2">
        <f t="shared" si="1948"/>
        <v>0.83301273694205158</v>
      </c>
      <c r="J4015" s="3">
        <v>36538.230000000003</v>
      </c>
      <c r="K4015" s="3">
        <v>220344</v>
      </c>
      <c r="L4015" s="1">
        <f t="shared" si="1933"/>
        <v>256882.23</v>
      </c>
      <c r="M4015" s="2">
        <f t="shared" si="1934"/>
        <v>0.14223728126309088</v>
      </c>
      <c r="N4015" s="2">
        <f t="shared" si="1935"/>
        <v>0.85776271873690912</v>
      </c>
      <c r="O4015" s="5">
        <f t="shared" si="1936"/>
        <v>1263.7675077607284</v>
      </c>
    </row>
    <row r="4016" spans="1:15" x14ac:dyDescent="0.35">
      <c r="A4016" t="s">
        <v>37</v>
      </c>
      <c r="B4016" t="s">
        <v>24</v>
      </c>
      <c r="C4016">
        <v>2016</v>
      </c>
      <c r="D4016" t="s">
        <v>18</v>
      </c>
      <c r="E4016" s="3">
        <v>33637</v>
      </c>
      <c r="F4016" s="3">
        <f>203743-33637</f>
        <v>170106</v>
      </c>
      <c r="G4016" s="1">
        <f t="shared" si="1946"/>
        <v>203743</v>
      </c>
      <c r="H4016" s="2">
        <f t="shared" si="1947"/>
        <v>0.16509524253593988</v>
      </c>
      <c r="I4016" s="2">
        <f t="shared" si="1948"/>
        <v>0.83490475746406012</v>
      </c>
      <c r="J4016" s="3">
        <v>52393.32</v>
      </c>
      <c r="K4016" s="3">
        <f>363984.09-52393.32</f>
        <v>311590.77</v>
      </c>
      <c r="L4016" s="1">
        <f t="shared" si="1933"/>
        <v>363984.09</v>
      </c>
      <c r="M4016" s="2">
        <f t="shared" si="1934"/>
        <v>0.14394398392523144</v>
      </c>
      <c r="N4016" s="2">
        <f t="shared" si="1935"/>
        <v>0.85605601607476856</v>
      </c>
      <c r="O4016" s="5">
        <f t="shared" si="1936"/>
        <v>1786.48635781352</v>
      </c>
    </row>
    <row r="4017" spans="1:15" x14ac:dyDescent="0.35">
      <c r="A4017" t="s">
        <v>37</v>
      </c>
      <c r="B4017" t="s">
        <v>25</v>
      </c>
      <c r="C4017">
        <v>2016</v>
      </c>
      <c r="D4017" t="s">
        <v>18</v>
      </c>
      <c r="E4017" s="3">
        <v>33341</v>
      </c>
      <c r="F4017" s="3">
        <f>203896-33341</f>
        <v>170555</v>
      </c>
      <c r="G4017" s="1">
        <f t="shared" si="1946"/>
        <v>203896</v>
      </c>
      <c r="H4017" s="2">
        <f t="shared" si="1947"/>
        <v>0.16351963746223566</v>
      </c>
      <c r="I4017" s="2">
        <f t="shared" si="1948"/>
        <v>0.83648036253776437</v>
      </c>
      <c r="J4017" s="3">
        <v>52072.98</v>
      </c>
      <c r="K4017" s="3">
        <f>359715.12-52072.98</f>
        <v>307642.14</v>
      </c>
      <c r="L4017" s="1">
        <f t="shared" si="1933"/>
        <v>359715.12</v>
      </c>
      <c r="M4017" s="2">
        <f t="shared" si="1934"/>
        <v>0.14476172144223462</v>
      </c>
      <c r="N4017" s="2">
        <f t="shared" si="1935"/>
        <v>0.85523827855776546</v>
      </c>
      <c r="O4017" s="5">
        <f t="shared" si="1936"/>
        <v>1764.2088123357005</v>
      </c>
    </row>
    <row r="4018" spans="1:15" x14ac:dyDescent="0.35">
      <c r="A4018" t="s">
        <v>37</v>
      </c>
      <c r="B4018" t="s">
        <v>26</v>
      </c>
      <c r="C4018">
        <v>2016</v>
      </c>
      <c r="D4018" t="s">
        <v>18</v>
      </c>
      <c r="E4018" s="3">
        <v>32989</v>
      </c>
      <c r="F4018" s="3">
        <f>203951-32989</f>
        <v>170962</v>
      </c>
      <c r="G4018" s="1">
        <f t="shared" si="1946"/>
        <v>203951</v>
      </c>
      <c r="H4018" s="2">
        <f t="shared" si="1947"/>
        <v>0.16174963594196645</v>
      </c>
      <c r="I4018" s="2">
        <f t="shared" si="1948"/>
        <v>0.83825036405803355</v>
      </c>
      <c r="J4018" s="3">
        <v>46009.71</v>
      </c>
      <c r="K4018" s="3">
        <f>327151.42-46009.71</f>
        <v>281141.70999999996</v>
      </c>
      <c r="L4018" s="1">
        <f t="shared" si="1933"/>
        <v>327151.42</v>
      </c>
      <c r="M4018" s="2">
        <f t="shared" si="1934"/>
        <v>0.14063735379782244</v>
      </c>
      <c r="N4018" s="2">
        <f t="shared" si="1935"/>
        <v>0.8593626462021775</v>
      </c>
      <c r="O4018" s="5">
        <f t="shared" si="1936"/>
        <v>1604.0687223892014</v>
      </c>
    </row>
    <row r="4019" spans="1:15" x14ac:dyDescent="0.35">
      <c r="A4019" t="s">
        <v>37</v>
      </c>
      <c r="B4019" t="s">
        <v>27</v>
      </c>
      <c r="C4019">
        <v>2016</v>
      </c>
      <c r="D4019" t="s">
        <v>18</v>
      </c>
      <c r="E4019" s="3">
        <v>32660</v>
      </c>
      <c r="F4019" s="3">
        <v>171610</v>
      </c>
      <c r="G4019" s="1">
        <f t="shared" si="1946"/>
        <v>204270</v>
      </c>
      <c r="H4019" s="2">
        <f t="shared" si="1947"/>
        <v>0.15988642482988202</v>
      </c>
      <c r="I4019" s="2">
        <f t="shared" si="1948"/>
        <v>0.84011357517011798</v>
      </c>
      <c r="J4019" s="3">
        <v>35879.160000000003</v>
      </c>
      <c r="K4019" s="3">
        <f>258669.96-35879.16</f>
        <v>222790.8</v>
      </c>
      <c r="L4019" s="1">
        <f t="shared" si="1933"/>
        <v>258669.96</v>
      </c>
      <c r="M4019" s="2">
        <f t="shared" si="1934"/>
        <v>0.13870632678027245</v>
      </c>
      <c r="N4019" s="2">
        <f t="shared" si="1935"/>
        <v>0.8612936732197275</v>
      </c>
      <c r="O4019" s="5">
        <f t="shared" si="1936"/>
        <v>1266.3139961815245</v>
      </c>
    </row>
    <row r="4020" spans="1:15" x14ac:dyDescent="0.35">
      <c r="A4020" t="s">
        <v>37</v>
      </c>
      <c r="B4020" t="s">
        <v>28</v>
      </c>
      <c r="C4020">
        <v>2016</v>
      </c>
      <c r="D4020" t="s">
        <v>18</v>
      </c>
      <c r="E4020" s="3">
        <v>32419</v>
      </c>
      <c r="F4020" s="3">
        <v>171860</v>
      </c>
      <c r="G4020" s="1">
        <f t="shared" si="1946"/>
        <v>204279</v>
      </c>
      <c r="H4020" s="2">
        <f t="shared" si="1947"/>
        <v>0.15869962159595455</v>
      </c>
      <c r="I4020" s="2">
        <f t="shared" si="1948"/>
        <v>0.84130037840404548</v>
      </c>
      <c r="J4020" s="3">
        <v>27205.37</v>
      </c>
      <c r="K4020" s="3">
        <f>201717.21-27205.37</f>
        <v>174511.84</v>
      </c>
      <c r="L4020" s="1">
        <f t="shared" si="1933"/>
        <v>201717.21</v>
      </c>
      <c r="M4020" s="2">
        <f t="shared" si="1934"/>
        <v>0.13486885923119799</v>
      </c>
      <c r="N4020" s="2">
        <f t="shared" si="1935"/>
        <v>0.86513114076880204</v>
      </c>
      <c r="O4020" s="5">
        <f t="shared" si="1936"/>
        <v>987.45935705579132</v>
      </c>
    </row>
    <row r="4021" spans="1:15" x14ac:dyDescent="0.35">
      <c r="A4021" t="s">
        <v>37</v>
      </c>
      <c r="B4021" t="s">
        <v>29</v>
      </c>
      <c r="C4021">
        <v>2016</v>
      </c>
      <c r="D4021" t="s">
        <v>18</v>
      </c>
      <c r="E4021" s="3">
        <v>32279</v>
      </c>
      <c r="F4021" s="3">
        <v>172019</v>
      </c>
      <c r="G4021" s="1">
        <f t="shared" si="1946"/>
        <v>204298</v>
      </c>
      <c r="H4021" s="2">
        <f t="shared" si="1947"/>
        <v>0.15799958883591617</v>
      </c>
      <c r="I4021" s="2">
        <f t="shared" si="1948"/>
        <v>0.84200041116408386</v>
      </c>
      <c r="J4021" s="3">
        <v>26171.93</v>
      </c>
      <c r="K4021" s="3">
        <f>192387.74-26172.93</f>
        <v>166214.81</v>
      </c>
      <c r="L4021" s="1">
        <f t="shared" si="1933"/>
        <v>192386.74</v>
      </c>
      <c r="M4021" s="2">
        <f t="shared" si="1934"/>
        <v>0.13603811780375302</v>
      </c>
      <c r="N4021" s="2">
        <f t="shared" si="1935"/>
        <v>0.86396188219624703</v>
      </c>
      <c r="O4021" s="5">
        <f t="shared" si="1936"/>
        <v>941.69663922309564</v>
      </c>
    </row>
    <row r="4022" spans="1:15" x14ac:dyDescent="0.35">
      <c r="A4022" t="s">
        <v>37</v>
      </c>
      <c r="B4022" t="s">
        <v>17</v>
      </c>
      <c r="C4022">
        <v>2017</v>
      </c>
      <c r="D4022" t="s">
        <v>18</v>
      </c>
      <c r="E4022" s="3">
        <v>32088</v>
      </c>
      <c r="F4022" s="3">
        <v>172971</v>
      </c>
      <c r="G4022" s="1">
        <f>SUM(E4022:F4022)</f>
        <v>205059</v>
      </c>
      <c r="H4022" s="2">
        <f>SUM(E4022)/G4022</f>
        <v>0.15648179304492854</v>
      </c>
      <c r="I4022" s="2">
        <f>SUM(F4022/G4022)</f>
        <v>0.84351820695507151</v>
      </c>
      <c r="J4022" s="3">
        <v>31885.08</v>
      </c>
      <c r="K4022" s="3">
        <f>228977.53-31885</f>
        <v>197092.53</v>
      </c>
      <c r="L4022" s="1">
        <f t="shared" si="1933"/>
        <v>228977.61</v>
      </c>
      <c r="M4022" s="2">
        <f t="shared" si="1934"/>
        <v>0.13924977206286676</v>
      </c>
      <c r="N4022" s="2">
        <f t="shared" si="1935"/>
        <v>0.86075022793713329</v>
      </c>
      <c r="O4022" s="5">
        <f t="shared" si="1936"/>
        <v>1116.6425760390912</v>
      </c>
    </row>
    <row r="4023" spans="1:15" x14ac:dyDescent="0.35">
      <c r="A4023" t="s">
        <v>37</v>
      </c>
      <c r="B4023" t="s">
        <v>19</v>
      </c>
      <c r="C4023">
        <v>2017</v>
      </c>
      <c r="D4023" t="s">
        <v>18</v>
      </c>
      <c r="E4023" s="3">
        <v>31842</v>
      </c>
      <c r="F4023" s="3">
        <v>173354</v>
      </c>
      <c r="G4023" s="1">
        <f t="shared" ref="G4023:G4086" si="1949">SUM(E4023:F4023)</f>
        <v>205196</v>
      </c>
      <c r="H4023" s="2">
        <f t="shared" ref="H4023:H4086" si="1950">SUM(E4023)/G4023</f>
        <v>0.15517846351780737</v>
      </c>
      <c r="I4023" s="2">
        <f t="shared" ref="I4023:I4086" si="1951">SUM(F4023/G4023)</f>
        <v>0.8448215364821926</v>
      </c>
      <c r="J4023" s="3">
        <v>26615.38</v>
      </c>
      <c r="K4023" s="3">
        <f>190986.67-26615</f>
        <v>164371.67000000001</v>
      </c>
      <c r="L4023" s="1">
        <f t="shared" si="1933"/>
        <v>190987.05000000002</v>
      </c>
      <c r="M4023" s="2">
        <f t="shared" si="1934"/>
        <v>0.13935698781671321</v>
      </c>
      <c r="N4023" s="2">
        <f t="shared" si="1935"/>
        <v>0.86064301218328676</v>
      </c>
      <c r="O4023" s="5">
        <f t="shared" si="1936"/>
        <v>930.75425446889813</v>
      </c>
    </row>
    <row r="4024" spans="1:15" x14ac:dyDescent="0.35">
      <c r="A4024" t="s">
        <v>37</v>
      </c>
      <c r="B4024" t="s">
        <v>20</v>
      </c>
      <c r="C4024">
        <v>2017</v>
      </c>
      <c r="D4024" t="s">
        <v>18</v>
      </c>
      <c r="E4024" s="3">
        <v>31669</v>
      </c>
      <c r="F4024" s="3">
        <v>173811</v>
      </c>
      <c r="G4024" s="1">
        <f t="shared" si="1949"/>
        <v>205480</v>
      </c>
      <c r="H4024" s="2">
        <f t="shared" si="1950"/>
        <v>0.1541220556745182</v>
      </c>
      <c r="I4024" s="2">
        <f t="shared" si="1951"/>
        <v>0.8458779443254818</v>
      </c>
      <c r="J4024" s="3">
        <v>23170.11</v>
      </c>
      <c r="K4024" s="3">
        <f>174005-23170</f>
        <v>150835</v>
      </c>
      <c r="L4024" s="1">
        <f t="shared" si="1933"/>
        <v>174005.11</v>
      </c>
      <c r="M4024" s="2">
        <f t="shared" si="1934"/>
        <v>0.13315764117502069</v>
      </c>
      <c r="N4024" s="2">
        <f t="shared" si="1935"/>
        <v>0.8668423588249794</v>
      </c>
      <c r="O4024" s="5">
        <f t="shared" si="1936"/>
        <v>846.82261047303871</v>
      </c>
    </row>
    <row r="4025" spans="1:15" x14ac:dyDescent="0.35">
      <c r="A4025" t="s">
        <v>37</v>
      </c>
      <c r="B4025" t="s">
        <v>21</v>
      </c>
      <c r="C4025">
        <v>2017</v>
      </c>
      <c r="D4025" t="s">
        <v>18</v>
      </c>
      <c r="E4025" s="3">
        <v>31451</v>
      </c>
      <c r="F4025" s="16">
        <f xml:space="preserve"> 206247-E4025</f>
        <v>174796</v>
      </c>
      <c r="G4025" s="1">
        <f t="shared" si="1949"/>
        <v>206247</v>
      </c>
      <c r="H4025" s="2">
        <f t="shared" si="1950"/>
        <v>0.15249191503391565</v>
      </c>
      <c r="I4025" s="2">
        <f t="shared" si="1951"/>
        <v>0.84750808496608432</v>
      </c>
      <c r="J4025" s="3">
        <v>23516.560000000001</v>
      </c>
      <c r="K4025" s="3">
        <f>180879.37-J4025</f>
        <v>157362.81</v>
      </c>
      <c r="L4025" s="1">
        <f t="shared" si="1933"/>
        <v>180879.37</v>
      </c>
      <c r="M4025" s="2">
        <f t="shared" si="1934"/>
        <v>0.13001239444830001</v>
      </c>
      <c r="N4025" s="2">
        <f t="shared" si="1935"/>
        <v>0.86998760555170007</v>
      </c>
      <c r="O4025" s="5">
        <f t="shared" si="1936"/>
        <v>877.00364126508509</v>
      </c>
    </row>
    <row r="4026" spans="1:15" x14ac:dyDescent="0.35">
      <c r="A4026" t="s">
        <v>37</v>
      </c>
      <c r="B4026" t="s">
        <v>22</v>
      </c>
      <c r="C4026">
        <v>2017</v>
      </c>
      <c r="D4026" t="s">
        <v>18</v>
      </c>
      <c r="E4026" s="3">
        <v>31239</v>
      </c>
      <c r="F4026" s="16">
        <f xml:space="preserve"> 206596-E4026</f>
        <v>175357</v>
      </c>
      <c r="G4026" s="1">
        <f t="shared" si="1949"/>
        <v>206596</v>
      </c>
      <c r="H4026" s="2">
        <f t="shared" si="1950"/>
        <v>0.15120815504656432</v>
      </c>
      <c r="I4026" s="2">
        <f t="shared" si="1951"/>
        <v>0.84879184495343574</v>
      </c>
      <c r="J4026" s="3">
        <v>26743.52</v>
      </c>
      <c r="K4026" s="3">
        <f>209551.8-J4026</f>
        <v>182808.28</v>
      </c>
      <c r="L4026" s="1">
        <f t="shared" si="1933"/>
        <v>209551.8</v>
      </c>
      <c r="M4026" s="2">
        <f t="shared" si="1934"/>
        <v>0.12762247806986149</v>
      </c>
      <c r="N4026" s="2">
        <f t="shared" si="1935"/>
        <v>0.87237752193013851</v>
      </c>
      <c r="O4026" s="5">
        <f t="shared" si="1936"/>
        <v>1014.307150186838</v>
      </c>
    </row>
    <row r="4027" spans="1:15" x14ac:dyDescent="0.35">
      <c r="A4027" t="s">
        <v>37</v>
      </c>
      <c r="B4027" t="s">
        <v>23</v>
      </c>
      <c r="C4027">
        <v>2017</v>
      </c>
      <c r="D4027" t="s">
        <v>18</v>
      </c>
      <c r="E4027" s="3">
        <v>30977</v>
      </c>
      <c r="F4027" s="16">
        <f xml:space="preserve"> 206783-E4027</f>
        <v>175806</v>
      </c>
      <c r="G4027" s="1">
        <f t="shared" si="1949"/>
        <v>206783</v>
      </c>
      <c r="H4027" s="2">
        <f t="shared" si="1950"/>
        <v>0.14980438430625342</v>
      </c>
      <c r="I4027" s="2">
        <f t="shared" si="1951"/>
        <v>0.85019561569374658</v>
      </c>
      <c r="J4027" s="3">
        <v>34001.199999999997</v>
      </c>
      <c r="K4027" s="3">
        <f>265671.2-J4027</f>
        <v>231670</v>
      </c>
      <c r="L4027" s="1">
        <f t="shared" si="1933"/>
        <v>265671.2</v>
      </c>
      <c r="M4027" s="2">
        <f t="shared" si="1934"/>
        <v>0.12798225776824887</v>
      </c>
      <c r="N4027" s="2">
        <f t="shared" si="1935"/>
        <v>0.8720177422317511</v>
      </c>
      <c r="O4027" s="5">
        <f t="shared" si="1936"/>
        <v>1284.7825981826359</v>
      </c>
    </row>
    <row r="4028" spans="1:15" x14ac:dyDescent="0.35">
      <c r="A4028" t="s">
        <v>37</v>
      </c>
      <c r="B4028" t="s">
        <v>24</v>
      </c>
      <c r="C4028">
        <v>2017</v>
      </c>
      <c r="D4028" t="s">
        <v>18</v>
      </c>
      <c r="E4028" s="3">
        <v>30768</v>
      </c>
      <c r="F4028" s="16">
        <f xml:space="preserve"> 207445-E4028</f>
        <v>176677</v>
      </c>
      <c r="G4028" s="1">
        <f t="shared" si="1949"/>
        <v>207445</v>
      </c>
      <c r="H4028" s="2">
        <f t="shared" si="1950"/>
        <v>0.14831883149750535</v>
      </c>
      <c r="I4028" s="2">
        <f t="shared" si="1951"/>
        <v>0.85168116850249465</v>
      </c>
      <c r="J4028" s="3">
        <v>43734.83</v>
      </c>
      <c r="K4028" s="3">
        <f>336662.12-J4028</f>
        <v>292927.28999999998</v>
      </c>
      <c r="L4028" s="1">
        <f t="shared" si="1933"/>
        <v>336662.12</v>
      </c>
      <c r="M4028" s="2">
        <f t="shared" si="1934"/>
        <v>0.12990719003373472</v>
      </c>
      <c r="N4028" s="2">
        <f t="shared" si="1935"/>
        <v>0.87009280996626526</v>
      </c>
      <c r="O4028" s="5">
        <f t="shared" si="1936"/>
        <v>1622.8982139844295</v>
      </c>
    </row>
    <row r="4029" spans="1:15" x14ac:dyDescent="0.35">
      <c r="A4029" t="s">
        <v>37</v>
      </c>
      <c r="B4029" t="s">
        <v>25</v>
      </c>
      <c r="C4029">
        <v>2017</v>
      </c>
      <c r="D4029" t="s">
        <v>18</v>
      </c>
      <c r="E4029" s="3">
        <v>30568</v>
      </c>
      <c r="F4029" s="16">
        <f xml:space="preserve"> 207606-E4029</f>
        <v>177038</v>
      </c>
      <c r="G4029" s="1">
        <f t="shared" si="1949"/>
        <v>207606</v>
      </c>
      <c r="H4029" s="2">
        <f t="shared" si="1950"/>
        <v>0.14724044584453244</v>
      </c>
      <c r="I4029" s="2">
        <f t="shared" si="1951"/>
        <v>0.85275955415546756</v>
      </c>
      <c r="J4029" s="3">
        <v>45720.61</v>
      </c>
      <c r="K4029" s="3">
        <f>353477.78-J4029</f>
        <v>307757.17000000004</v>
      </c>
      <c r="L4029" s="1">
        <f t="shared" si="1933"/>
        <v>353477.78</v>
      </c>
      <c r="M4029" s="2">
        <f t="shared" si="1934"/>
        <v>0.12934507509920426</v>
      </c>
      <c r="N4029" s="2">
        <f t="shared" si="1935"/>
        <v>0.87065492490079577</v>
      </c>
      <c r="O4029" s="5">
        <f t="shared" si="1936"/>
        <v>1702.6375923624557</v>
      </c>
    </row>
    <row r="4030" spans="1:15" x14ac:dyDescent="0.35">
      <c r="A4030" t="s">
        <v>37</v>
      </c>
      <c r="B4030" t="s">
        <v>26</v>
      </c>
      <c r="C4030">
        <v>2017</v>
      </c>
      <c r="D4030" t="s">
        <v>18</v>
      </c>
      <c r="E4030" s="3">
        <v>30323</v>
      </c>
      <c r="F4030" s="16">
        <f xml:space="preserve"> 207743-E4030</f>
        <v>177420</v>
      </c>
      <c r="G4030" s="1">
        <f t="shared" si="1949"/>
        <v>207743</v>
      </c>
      <c r="H4030" s="2">
        <f t="shared" si="1950"/>
        <v>0.14596400360060266</v>
      </c>
      <c r="I4030" s="2">
        <f t="shared" si="1951"/>
        <v>0.85403599639939731</v>
      </c>
      <c r="J4030" s="3">
        <v>39097.51</v>
      </c>
      <c r="K4030" s="3">
        <f>309392.45-J4030</f>
        <v>270294.94</v>
      </c>
      <c r="L4030" s="1">
        <f t="shared" si="1933"/>
        <v>309392.45</v>
      </c>
      <c r="M4030" s="2">
        <f t="shared" si="1934"/>
        <v>0.1263686621958616</v>
      </c>
      <c r="N4030" s="2">
        <f t="shared" si="1935"/>
        <v>0.87363133780413837</v>
      </c>
      <c r="O4030" s="5">
        <f t="shared" si="1936"/>
        <v>1489.3038513933082</v>
      </c>
    </row>
    <row r="4031" spans="1:15" x14ac:dyDescent="0.35">
      <c r="A4031" t="s">
        <v>37</v>
      </c>
      <c r="B4031" t="s">
        <v>27</v>
      </c>
      <c r="C4031">
        <v>2017</v>
      </c>
      <c r="D4031" t="s">
        <v>18</v>
      </c>
      <c r="E4031" s="3">
        <v>30070</v>
      </c>
      <c r="F4031" s="16">
        <f xml:space="preserve"> 208129-E4031</f>
        <v>178059</v>
      </c>
      <c r="G4031" s="1">
        <f t="shared" si="1949"/>
        <v>208129</v>
      </c>
      <c r="H4031" s="2">
        <f t="shared" si="1950"/>
        <v>0.14447770373182017</v>
      </c>
      <c r="I4031" s="2">
        <f t="shared" si="1951"/>
        <v>0.85552229626817988</v>
      </c>
      <c r="J4031" s="3">
        <v>34478.870000000003</v>
      </c>
      <c r="K4031" s="3">
        <f>277000.57-J4031</f>
        <v>242521.7</v>
      </c>
      <c r="L4031" s="1">
        <f t="shared" si="1933"/>
        <v>277000.57</v>
      </c>
      <c r="M4031" s="2">
        <f t="shared" si="1934"/>
        <v>0.12447219873951884</v>
      </c>
      <c r="N4031" s="2">
        <f t="shared" si="1935"/>
        <v>0.87552780126048113</v>
      </c>
      <c r="O4031" s="5">
        <f t="shared" si="1936"/>
        <v>1330.9080906553147</v>
      </c>
    </row>
    <row r="4032" spans="1:15" x14ac:dyDescent="0.35">
      <c r="A4032" t="s">
        <v>37</v>
      </c>
      <c r="B4032" t="s">
        <v>28</v>
      </c>
      <c r="C4032">
        <v>2017</v>
      </c>
      <c r="D4032" t="s">
        <v>18</v>
      </c>
      <c r="E4032" s="3">
        <v>29867</v>
      </c>
      <c r="F4032" s="16">
        <f xml:space="preserve"> 207965-E4032</f>
        <v>178098</v>
      </c>
      <c r="G4032" s="1">
        <f t="shared" si="1949"/>
        <v>207965</v>
      </c>
      <c r="H4032" s="2">
        <f t="shared" si="1950"/>
        <v>0.14361551222561489</v>
      </c>
      <c r="I4032" s="2">
        <f t="shared" si="1951"/>
        <v>0.85638448777438514</v>
      </c>
      <c r="J4032" s="3">
        <v>24098.07</v>
      </c>
      <c r="K4032" s="3">
        <f>195308.36-J4032</f>
        <v>171210.28999999998</v>
      </c>
      <c r="L4032" s="1">
        <f t="shared" si="1933"/>
        <v>195308.36</v>
      </c>
      <c r="M4032" s="2">
        <f t="shared" si="1934"/>
        <v>0.1233847337615246</v>
      </c>
      <c r="N4032" s="2">
        <f t="shared" si="1935"/>
        <v>0.87661526623847541</v>
      </c>
      <c r="O4032" s="5">
        <f t="shared" si="1936"/>
        <v>939.14052845430717</v>
      </c>
    </row>
    <row r="4033" spans="1:16" x14ac:dyDescent="0.35">
      <c r="A4033" t="s">
        <v>37</v>
      </c>
      <c r="B4033" t="s">
        <v>29</v>
      </c>
      <c r="C4033">
        <v>2017</v>
      </c>
      <c r="D4033" t="s">
        <v>18</v>
      </c>
      <c r="E4033" s="3">
        <v>29707</v>
      </c>
      <c r="F4033" s="16">
        <f xml:space="preserve"> 207900-E4033</f>
        <v>178193</v>
      </c>
      <c r="G4033" s="1">
        <f t="shared" si="1949"/>
        <v>207900</v>
      </c>
      <c r="H4033" s="2">
        <f t="shared" si="1950"/>
        <v>0.1428908128908129</v>
      </c>
      <c r="I4033" s="2">
        <f t="shared" si="1951"/>
        <v>0.85710918710918715</v>
      </c>
      <c r="J4033" s="3">
        <v>24740.61</v>
      </c>
      <c r="K4033" s="3">
        <f>195805.66-J4033</f>
        <v>171065.05</v>
      </c>
      <c r="L4033" s="1">
        <f t="shared" si="1933"/>
        <v>195805.65999999997</v>
      </c>
      <c r="M4033" s="2">
        <f t="shared" si="1934"/>
        <v>0.12635288479403509</v>
      </c>
      <c r="N4033" s="2">
        <f t="shared" si="1935"/>
        <v>0.87364711520596494</v>
      </c>
      <c r="O4033" s="5">
        <f t="shared" si="1936"/>
        <v>941.82616642616631</v>
      </c>
    </row>
    <row r="4034" spans="1:16" x14ac:dyDescent="0.35">
      <c r="A4034" t="s">
        <v>37</v>
      </c>
      <c r="B4034" t="s">
        <v>17</v>
      </c>
      <c r="C4034">
        <v>2002</v>
      </c>
      <c r="D4034" t="s">
        <v>30</v>
      </c>
      <c r="E4034" s="3">
        <v>27209</v>
      </c>
      <c r="F4034" s="3">
        <v>1105</v>
      </c>
      <c r="G4034" s="1">
        <f t="shared" si="1949"/>
        <v>28314</v>
      </c>
      <c r="H4034" s="2">
        <f t="shared" si="1950"/>
        <v>0.96097337006427919</v>
      </c>
      <c r="I4034" s="2">
        <f t="shared" si="1951"/>
        <v>3.9026629935720848E-2</v>
      </c>
      <c r="J4034" s="3">
        <v>139963.5</v>
      </c>
      <c r="K4034" s="3">
        <v>18164.900000000001</v>
      </c>
      <c r="L4034" s="1">
        <f t="shared" si="1933"/>
        <v>158128.4</v>
      </c>
      <c r="M4034" s="2">
        <f t="shared" si="1934"/>
        <v>0.88512563208127071</v>
      </c>
      <c r="N4034" s="2">
        <f t="shared" si="1935"/>
        <v>0.11487436791872935</v>
      </c>
      <c r="P4034" s="5">
        <f>SUM(1000*L4034)/G4034</f>
        <v>5584.8131666313484</v>
      </c>
    </row>
    <row r="4035" spans="1:16" x14ac:dyDescent="0.35">
      <c r="A4035" t="s">
        <v>37</v>
      </c>
      <c r="B4035" t="s">
        <v>19</v>
      </c>
      <c r="C4035">
        <v>2002</v>
      </c>
      <c r="D4035" t="s">
        <v>30</v>
      </c>
      <c r="E4035" s="3">
        <v>26827</v>
      </c>
      <c r="F4035" s="3">
        <v>1637</v>
      </c>
      <c r="G4035" s="1">
        <f t="shared" si="1949"/>
        <v>28464</v>
      </c>
      <c r="H4035" s="2">
        <f t="shared" si="1950"/>
        <v>0.94248875772906127</v>
      </c>
      <c r="I4035" s="2">
        <f t="shared" si="1951"/>
        <v>5.7511242270938727E-2</v>
      </c>
      <c r="J4035" s="3">
        <v>114134.3</v>
      </c>
      <c r="K4035" s="3">
        <v>27742.2</v>
      </c>
      <c r="L4035" s="1">
        <f t="shared" ref="L4035:L4098" si="1952">SUM(J4035:K4035)</f>
        <v>141876.5</v>
      </c>
      <c r="M4035" s="2">
        <f t="shared" ref="M4035:M4098" si="1953">SUM(J4035)/L4035</f>
        <v>0.80446233167578851</v>
      </c>
      <c r="N4035" s="2">
        <f t="shared" ref="N4035:N4098" si="1954">SUM(K4035/L4035)</f>
        <v>0.19553766832421154</v>
      </c>
      <c r="P4035" s="5">
        <f>SUM(1000*L4035)/G4035</f>
        <v>4984.4189151208548</v>
      </c>
    </row>
    <row r="4036" spans="1:16" x14ac:dyDescent="0.35">
      <c r="A4036" t="s">
        <v>37</v>
      </c>
      <c r="B4036" t="s">
        <v>20</v>
      </c>
      <c r="C4036">
        <v>2002</v>
      </c>
      <c r="D4036" t="s">
        <v>30</v>
      </c>
      <c r="E4036" s="3">
        <v>26498</v>
      </c>
      <c r="F4036" s="3">
        <v>1880</v>
      </c>
      <c r="G4036" s="1">
        <f t="shared" si="1949"/>
        <v>28378</v>
      </c>
      <c r="H4036" s="2">
        <f t="shared" si="1950"/>
        <v>0.9337514976390161</v>
      </c>
      <c r="I4036" s="2">
        <f t="shared" si="1951"/>
        <v>6.6248502360983855E-2</v>
      </c>
      <c r="J4036" s="3">
        <v>108768.3</v>
      </c>
      <c r="K4036" s="3">
        <v>33047.08</v>
      </c>
      <c r="L4036" s="1">
        <f t="shared" si="1952"/>
        <v>141815.38</v>
      </c>
      <c r="M4036" s="2">
        <f t="shared" si="1953"/>
        <v>0.76697111413444718</v>
      </c>
      <c r="N4036" s="2">
        <f t="shared" si="1954"/>
        <v>0.23302888586555282</v>
      </c>
      <c r="P4036" s="5">
        <f t="shared" ref="P4036:P4099" si="1955">SUM(1000*L4036)/G4036</f>
        <v>4997.3704982733107</v>
      </c>
    </row>
    <row r="4037" spans="1:16" x14ac:dyDescent="0.35">
      <c r="A4037" t="s">
        <v>37</v>
      </c>
      <c r="B4037" t="s">
        <v>21</v>
      </c>
      <c r="C4037">
        <v>2002</v>
      </c>
      <c r="D4037" t="s">
        <v>30</v>
      </c>
      <c r="E4037" s="3">
        <v>26878</v>
      </c>
      <c r="F4037" s="3">
        <v>2197</v>
      </c>
      <c r="G4037" s="1">
        <f t="shared" si="1949"/>
        <v>29075</v>
      </c>
      <c r="H4037" s="2">
        <f t="shared" si="1950"/>
        <v>0.92443680137575235</v>
      </c>
      <c r="I4037" s="2">
        <f t="shared" si="1951"/>
        <v>7.5563198624247638E-2</v>
      </c>
      <c r="J4037" s="3">
        <v>108333</v>
      </c>
      <c r="K4037" s="3">
        <v>49284.98</v>
      </c>
      <c r="L4037" s="1">
        <f t="shared" si="1952"/>
        <v>157617.98000000001</v>
      </c>
      <c r="M4037" s="2">
        <f t="shared" si="1953"/>
        <v>0.68731371890440418</v>
      </c>
      <c r="N4037" s="2">
        <f t="shared" si="1954"/>
        <v>0.31268628109559582</v>
      </c>
      <c r="P4037" s="5">
        <f t="shared" si="1955"/>
        <v>5421.0827171109204</v>
      </c>
    </row>
    <row r="4038" spans="1:16" x14ac:dyDescent="0.35">
      <c r="A4038" t="s">
        <v>37</v>
      </c>
      <c r="B4038" t="s">
        <v>22</v>
      </c>
      <c r="C4038">
        <v>2002</v>
      </c>
      <c r="D4038" t="s">
        <v>30</v>
      </c>
      <c r="E4038" s="3">
        <v>26869</v>
      </c>
      <c r="F4038" s="3">
        <v>2335</v>
      </c>
      <c r="G4038" s="1">
        <f t="shared" si="1949"/>
        <v>29204</v>
      </c>
      <c r="H4038" s="2">
        <f t="shared" si="1950"/>
        <v>0.92004519928776884</v>
      </c>
      <c r="I4038" s="2">
        <f t="shared" si="1951"/>
        <v>7.9954800712231197E-2</v>
      </c>
      <c r="J4038" s="3">
        <v>129119.2</v>
      </c>
      <c r="K4038" s="3">
        <v>51327.8</v>
      </c>
      <c r="L4038" s="1">
        <f t="shared" si="1952"/>
        <v>180447</v>
      </c>
      <c r="M4038" s="2">
        <f t="shared" si="1953"/>
        <v>0.71555193491717783</v>
      </c>
      <c r="N4038" s="2">
        <f t="shared" si="1954"/>
        <v>0.28444806508282211</v>
      </c>
      <c r="P4038" s="5">
        <f t="shared" si="1955"/>
        <v>6178.8453636488148</v>
      </c>
    </row>
    <row r="4039" spans="1:16" x14ac:dyDescent="0.35">
      <c r="A4039" t="s">
        <v>37</v>
      </c>
      <c r="B4039" t="s">
        <v>23</v>
      </c>
      <c r="C4039">
        <v>2002</v>
      </c>
      <c r="D4039" t="s">
        <v>30</v>
      </c>
      <c r="E4039" s="3">
        <v>27095</v>
      </c>
      <c r="F4039" s="3">
        <v>2307</v>
      </c>
      <c r="G4039" s="1">
        <f t="shared" si="1949"/>
        <v>29402</v>
      </c>
      <c r="H4039" s="2">
        <f t="shared" si="1950"/>
        <v>0.92153594993537857</v>
      </c>
      <c r="I4039" s="2">
        <f t="shared" si="1951"/>
        <v>7.8464050064621454E-2</v>
      </c>
      <c r="J4039" s="3">
        <v>115376.3</v>
      </c>
      <c r="K4039" s="3">
        <v>59686.1</v>
      </c>
      <c r="L4039" s="1">
        <f t="shared" si="1952"/>
        <v>175062.39999999999</v>
      </c>
      <c r="M4039" s="2">
        <f t="shared" si="1953"/>
        <v>0.65905814155409737</v>
      </c>
      <c r="N4039" s="2">
        <f t="shared" si="1954"/>
        <v>0.34094185844590275</v>
      </c>
      <c r="P4039" s="5">
        <f t="shared" si="1955"/>
        <v>5954.0983606557375</v>
      </c>
    </row>
    <row r="4040" spans="1:16" x14ac:dyDescent="0.35">
      <c r="A4040" t="s">
        <v>37</v>
      </c>
      <c r="B4040" t="s">
        <v>24</v>
      </c>
      <c r="C4040">
        <v>2002</v>
      </c>
      <c r="D4040" t="s">
        <v>30</v>
      </c>
      <c r="E4040" s="3">
        <v>26948</v>
      </c>
      <c r="F4040" s="3">
        <v>2512</v>
      </c>
      <c r="G4040" s="1">
        <f t="shared" si="1949"/>
        <v>29460</v>
      </c>
      <c r="H4040" s="2">
        <f t="shared" si="1950"/>
        <v>0.9147318397827563</v>
      </c>
      <c r="I4040" s="2">
        <f t="shared" si="1951"/>
        <v>8.5268160217243719E-2</v>
      </c>
      <c r="J4040" s="3">
        <v>137495.29999999999</v>
      </c>
      <c r="K4040" s="3">
        <v>55446.9</v>
      </c>
      <c r="L4040" s="1">
        <f t="shared" si="1952"/>
        <v>192942.19999999998</v>
      </c>
      <c r="M4040" s="2">
        <f t="shared" si="1953"/>
        <v>0.71262429888329248</v>
      </c>
      <c r="N4040" s="2">
        <f t="shared" si="1954"/>
        <v>0.28737570111670752</v>
      </c>
      <c r="P4040" s="5">
        <f t="shared" si="1955"/>
        <v>6549.293957909028</v>
      </c>
    </row>
    <row r="4041" spans="1:16" x14ac:dyDescent="0.35">
      <c r="A4041" t="s">
        <v>37</v>
      </c>
      <c r="B4041" t="s">
        <v>25</v>
      </c>
      <c r="C4041">
        <v>2002</v>
      </c>
      <c r="D4041" t="s">
        <v>30</v>
      </c>
      <c r="E4041" s="3">
        <v>27743</v>
      </c>
      <c r="F4041" s="3">
        <v>2668</v>
      </c>
      <c r="G4041" s="1">
        <f t="shared" si="1949"/>
        <v>30411</v>
      </c>
      <c r="H4041" s="2">
        <f t="shared" si="1950"/>
        <v>0.91226858702443192</v>
      </c>
      <c r="I4041" s="2">
        <f t="shared" si="1951"/>
        <v>8.7731412975568052E-2</v>
      </c>
      <c r="J4041" s="3">
        <v>136812.95000000001</v>
      </c>
      <c r="K4041" s="3">
        <v>56088.32</v>
      </c>
      <c r="L4041" s="1">
        <f t="shared" si="1952"/>
        <v>192901.27000000002</v>
      </c>
      <c r="M4041" s="2">
        <f t="shared" si="1953"/>
        <v>0.70923820252712699</v>
      </c>
      <c r="N4041" s="2">
        <f t="shared" si="1954"/>
        <v>0.29076179747287301</v>
      </c>
      <c r="P4041" s="5">
        <f t="shared" si="1955"/>
        <v>6343.1412975568064</v>
      </c>
    </row>
    <row r="4042" spans="1:16" x14ac:dyDescent="0.35">
      <c r="A4042" t="s">
        <v>37</v>
      </c>
      <c r="B4042" t="s">
        <v>26</v>
      </c>
      <c r="C4042">
        <v>2002</v>
      </c>
      <c r="D4042" t="s">
        <v>30</v>
      </c>
      <c r="E4042" s="3">
        <v>27668</v>
      </c>
      <c r="F4042" s="3">
        <v>2813</v>
      </c>
      <c r="G4042" s="1">
        <f t="shared" si="1949"/>
        <v>30481</v>
      </c>
      <c r="H4042" s="2">
        <f t="shared" si="1950"/>
        <v>0.90771300154194412</v>
      </c>
      <c r="I4042" s="2">
        <f t="shared" si="1951"/>
        <v>9.2286998458055838E-2</v>
      </c>
      <c r="J4042" s="3">
        <v>140081.97</v>
      </c>
      <c r="K4042" s="3">
        <v>66165.61</v>
      </c>
      <c r="L4042" s="1">
        <f t="shared" si="1952"/>
        <v>206247.58000000002</v>
      </c>
      <c r="M4042" s="2">
        <f t="shared" si="1953"/>
        <v>0.67919327829204101</v>
      </c>
      <c r="N4042" s="2">
        <f t="shared" si="1954"/>
        <v>0.32080672170795893</v>
      </c>
      <c r="P4042" s="5">
        <f t="shared" si="1955"/>
        <v>6766.4308913749555</v>
      </c>
    </row>
    <row r="4043" spans="1:16" x14ac:dyDescent="0.35">
      <c r="A4043" t="s">
        <v>37</v>
      </c>
      <c r="B4043" t="s">
        <v>27</v>
      </c>
      <c r="C4043">
        <v>2002</v>
      </c>
      <c r="D4043" t="s">
        <v>30</v>
      </c>
      <c r="E4043" s="3">
        <v>27826</v>
      </c>
      <c r="F4043" s="3">
        <v>2941</v>
      </c>
      <c r="G4043" s="1">
        <f t="shared" si="1949"/>
        <v>30767</v>
      </c>
      <c r="H4043" s="2">
        <f t="shared" si="1950"/>
        <v>0.90441056976630807</v>
      </c>
      <c r="I4043" s="2">
        <f t="shared" si="1951"/>
        <v>9.5589430233691944E-2</v>
      </c>
      <c r="J4043" s="3">
        <v>108318.2</v>
      </c>
      <c r="K4043" s="3">
        <v>74740.23</v>
      </c>
      <c r="L4043" s="1">
        <f t="shared" si="1952"/>
        <v>183058.43</v>
      </c>
      <c r="M4043" s="2">
        <f t="shared" si="1953"/>
        <v>0.59171380416624353</v>
      </c>
      <c r="N4043" s="2">
        <f t="shared" si="1954"/>
        <v>0.40828619583375647</v>
      </c>
      <c r="P4043" s="5">
        <f t="shared" si="1955"/>
        <v>5949.8303376994836</v>
      </c>
    </row>
    <row r="4044" spans="1:16" x14ac:dyDescent="0.35">
      <c r="A4044" t="s">
        <v>37</v>
      </c>
      <c r="B4044" t="s">
        <v>28</v>
      </c>
      <c r="C4044">
        <v>2002</v>
      </c>
      <c r="D4044" t="s">
        <v>30</v>
      </c>
      <c r="E4044" s="3">
        <v>27701</v>
      </c>
      <c r="F4044" s="3">
        <v>3021</v>
      </c>
      <c r="G4044" s="1">
        <f t="shared" si="1949"/>
        <v>30722</v>
      </c>
      <c r="H4044" s="2">
        <f t="shared" si="1950"/>
        <v>0.90166655816678598</v>
      </c>
      <c r="I4044" s="2">
        <f t="shared" si="1951"/>
        <v>9.8333441833213978E-2</v>
      </c>
      <c r="J4044" s="3">
        <v>86165.21</v>
      </c>
      <c r="K4044" s="3">
        <v>58123.78</v>
      </c>
      <c r="L4044" s="1">
        <f t="shared" si="1952"/>
        <v>144288.99</v>
      </c>
      <c r="M4044" s="2">
        <f t="shared" si="1953"/>
        <v>0.59717106620539806</v>
      </c>
      <c r="N4044" s="2">
        <f t="shared" si="1954"/>
        <v>0.40282893379460211</v>
      </c>
      <c r="P4044" s="5">
        <f t="shared" si="1955"/>
        <v>4696.6014582383959</v>
      </c>
    </row>
    <row r="4045" spans="1:16" x14ac:dyDescent="0.35">
      <c r="A4045" t="s">
        <v>37</v>
      </c>
      <c r="B4045" t="s">
        <v>29</v>
      </c>
      <c r="C4045">
        <v>2002</v>
      </c>
      <c r="D4045" t="s">
        <v>30</v>
      </c>
      <c r="E4045" s="3">
        <v>27804</v>
      </c>
      <c r="F4045" s="3">
        <v>3134</v>
      </c>
      <c r="G4045" s="1">
        <f t="shared" si="1949"/>
        <v>30938</v>
      </c>
      <c r="H4045" s="2">
        <f t="shared" si="1950"/>
        <v>0.89870062706057274</v>
      </c>
      <c r="I4045" s="2">
        <f t="shared" si="1951"/>
        <v>0.10129937293942724</v>
      </c>
      <c r="J4045" s="3">
        <v>87852.65</v>
      </c>
      <c r="K4045" s="3">
        <v>55845.42</v>
      </c>
      <c r="L4045" s="1">
        <f t="shared" si="1952"/>
        <v>143698.07</v>
      </c>
      <c r="M4045" s="2">
        <f t="shared" si="1953"/>
        <v>0.61136972820859725</v>
      </c>
      <c r="N4045" s="2">
        <f t="shared" si="1954"/>
        <v>0.38863027179140258</v>
      </c>
      <c r="P4045" s="5">
        <f t="shared" si="1955"/>
        <v>4644.711034973172</v>
      </c>
    </row>
    <row r="4046" spans="1:16" x14ac:dyDescent="0.35">
      <c r="A4046" t="s">
        <v>37</v>
      </c>
      <c r="B4046" t="s">
        <v>17</v>
      </c>
      <c r="C4046">
        <v>2003</v>
      </c>
      <c r="D4046" t="s">
        <v>30</v>
      </c>
      <c r="E4046" s="3">
        <f>11659+15233</f>
        <v>26892</v>
      </c>
      <c r="F4046" s="3">
        <f>957+2269</f>
        <v>3226</v>
      </c>
      <c r="G4046" s="1">
        <f t="shared" si="1949"/>
        <v>30118</v>
      </c>
      <c r="H4046" s="2">
        <f t="shared" si="1950"/>
        <v>0.89288797396905506</v>
      </c>
      <c r="I4046" s="2">
        <f t="shared" si="1951"/>
        <v>0.10711202603094495</v>
      </c>
      <c r="J4046" s="3">
        <f>7309+78628</f>
        <v>85937</v>
      </c>
      <c r="K4046" s="3">
        <f>2538+49722</f>
        <v>52260</v>
      </c>
      <c r="L4046" s="1">
        <f t="shared" si="1952"/>
        <v>138197</v>
      </c>
      <c r="M4046" s="2">
        <f t="shared" si="1953"/>
        <v>0.62184417896191668</v>
      </c>
      <c r="N4046" s="2">
        <f t="shared" si="1954"/>
        <v>0.37815582103808332</v>
      </c>
      <c r="P4046" s="5">
        <f t="shared" si="1955"/>
        <v>4588.5184939238998</v>
      </c>
    </row>
    <row r="4047" spans="1:16" x14ac:dyDescent="0.35">
      <c r="A4047" t="s">
        <v>37</v>
      </c>
      <c r="B4047" t="s">
        <v>19</v>
      </c>
      <c r="C4047">
        <v>2003</v>
      </c>
      <c r="D4047" t="s">
        <v>30</v>
      </c>
      <c r="E4047" s="3">
        <f>11619+15215</f>
        <v>26834</v>
      </c>
      <c r="F4047" s="3">
        <f>962+2380</f>
        <v>3342</v>
      </c>
      <c r="G4047" s="1">
        <f t="shared" si="1949"/>
        <v>30176</v>
      </c>
      <c r="H4047" s="2">
        <f t="shared" si="1950"/>
        <v>0.88924973488865322</v>
      </c>
      <c r="I4047" s="2">
        <f t="shared" si="1951"/>
        <v>0.11075026511134677</v>
      </c>
      <c r="J4047" s="3">
        <f>7179+79240</f>
        <v>86419</v>
      </c>
      <c r="K4047" s="3">
        <f>2314+53920</f>
        <v>56234</v>
      </c>
      <c r="L4047" s="1">
        <f t="shared" si="1952"/>
        <v>142653</v>
      </c>
      <c r="M4047" s="2">
        <f t="shared" si="1953"/>
        <v>0.60579868632275524</v>
      </c>
      <c r="N4047" s="2">
        <f t="shared" si="1954"/>
        <v>0.39420131367724476</v>
      </c>
      <c r="P4047" s="5">
        <f t="shared" si="1955"/>
        <v>4727.3661187698835</v>
      </c>
    </row>
    <row r="4048" spans="1:16" x14ac:dyDescent="0.35">
      <c r="A4048" t="s">
        <v>37</v>
      </c>
      <c r="B4048" t="s">
        <v>20</v>
      </c>
      <c r="C4048">
        <v>2003</v>
      </c>
      <c r="D4048" t="s">
        <v>30</v>
      </c>
      <c r="E4048" s="3">
        <f>11726+15262</f>
        <v>26988</v>
      </c>
      <c r="F4048" s="3">
        <f>985+2414</f>
        <v>3399</v>
      </c>
      <c r="G4048" s="1">
        <f t="shared" si="1949"/>
        <v>30387</v>
      </c>
      <c r="H4048" s="2">
        <f t="shared" si="1950"/>
        <v>0.88814295586928615</v>
      </c>
      <c r="I4048" s="2">
        <f t="shared" si="1951"/>
        <v>0.11185704413071379</v>
      </c>
      <c r="J4048" s="3">
        <f>7521+78682</f>
        <v>86203</v>
      </c>
      <c r="K4048" s="3">
        <f>1986+56000</f>
        <v>57986</v>
      </c>
      <c r="L4048" s="1">
        <f t="shared" si="1952"/>
        <v>144189</v>
      </c>
      <c r="M4048" s="2">
        <f t="shared" si="1953"/>
        <v>0.59784726990269721</v>
      </c>
      <c r="N4048" s="2">
        <f t="shared" si="1954"/>
        <v>0.40215273009730285</v>
      </c>
      <c r="P4048" s="5">
        <f t="shared" si="1955"/>
        <v>4745.0883601540136</v>
      </c>
    </row>
    <row r="4049" spans="1:16" x14ac:dyDescent="0.35">
      <c r="A4049" t="s">
        <v>37</v>
      </c>
      <c r="B4049" t="s">
        <v>21</v>
      </c>
      <c r="C4049">
        <v>2003</v>
      </c>
      <c r="D4049" t="s">
        <v>30</v>
      </c>
      <c r="E4049" s="3">
        <f>11760+15348</f>
        <v>27108</v>
      </c>
      <c r="F4049" s="3">
        <f>984+2346</f>
        <v>3330</v>
      </c>
      <c r="G4049" s="1">
        <f t="shared" si="1949"/>
        <v>30438</v>
      </c>
      <c r="H4049" s="2">
        <f t="shared" si="1950"/>
        <v>0.89059727971614433</v>
      </c>
      <c r="I4049" s="2">
        <f t="shared" si="1951"/>
        <v>0.10940272028385571</v>
      </c>
      <c r="J4049" s="3">
        <f>6978.34+77758.8</f>
        <v>84737.14</v>
      </c>
      <c r="K4049" s="3">
        <f>2027.83+57244.2</f>
        <v>59272.03</v>
      </c>
      <c r="L4049" s="1">
        <f t="shared" si="1952"/>
        <v>144009.16999999998</v>
      </c>
      <c r="M4049" s="2">
        <f t="shared" si="1953"/>
        <v>0.58841489052398543</v>
      </c>
      <c r="N4049" s="2">
        <f t="shared" si="1954"/>
        <v>0.41158510947601468</v>
      </c>
      <c r="P4049" s="5">
        <f t="shared" si="1955"/>
        <v>4731.2297128589253</v>
      </c>
    </row>
    <row r="4050" spans="1:16" x14ac:dyDescent="0.35">
      <c r="A4050" t="s">
        <v>37</v>
      </c>
      <c r="B4050" t="s">
        <v>22</v>
      </c>
      <c r="C4050">
        <v>2003</v>
      </c>
      <c r="D4050" t="s">
        <v>30</v>
      </c>
      <c r="E4050" s="3">
        <f>11797+15388</f>
        <v>27185</v>
      </c>
      <c r="F4050" s="3">
        <f>1001+2362</f>
        <v>3363</v>
      </c>
      <c r="G4050" s="1">
        <f t="shared" si="1949"/>
        <v>30548</v>
      </c>
      <c r="H4050" s="2">
        <f t="shared" si="1950"/>
        <v>0.88991095980096901</v>
      </c>
      <c r="I4050" s="2">
        <f t="shared" si="1951"/>
        <v>0.11008904019903103</v>
      </c>
      <c r="J4050" s="3">
        <f>8615.03+90763.05</f>
        <v>99378.08</v>
      </c>
      <c r="K4050" s="3">
        <f>2059.27+60022.45</f>
        <v>62081.719999999994</v>
      </c>
      <c r="L4050" s="1">
        <f t="shared" si="1952"/>
        <v>161459.79999999999</v>
      </c>
      <c r="M4050" s="2">
        <f t="shared" si="1953"/>
        <v>0.61549735599821143</v>
      </c>
      <c r="N4050" s="2">
        <f t="shared" si="1954"/>
        <v>0.38450264400178868</v>
      </c>
      <c r="P4050" s="5">
        <f t="shared" si="1955"/>
        <v>5285.4458557025009</v>
      </c>
    </row>
    <row r="4051" spans="1:16" x14ac:dyDescent="0.35">
      <c r="A4051" t="s">
        <v>37</v>
      </c>
      <c r="B4051" t="s">
        <v>23</v>
      </c>
      <c r="C4051">
        <v>2003</v>
      </c>
      <c r="D4051" t="s">
        <v>30</v>
      </c>
      <c r="E4051" s="3">
        <f>11655+15328</f>
        <v>26983</v>
      </c>
      <c r="F4051" s="3">
        <f>1018+2405</f>
        <v>3423</v>
      </c>
      <c r="G4051" s="1">
        <f t="shared" si="1949"/>
        <v>30406</v>
      </c>
      <c r="H4051" s="2">
        <f t="shared" si="1950"/>
        <v>0.88742353482865222</v>
      </c>
      <c r="I4051" s="2">
        <f t="shared" si="1951"/>
        <v>0.11257646517134776</v>
      </c>
      <c r="J4051" s="3">
        <f>9760.58+100574.18</f>
        <v>110334.76</v>
      </c>
      <c r="K4051" s="3">
        <f>2185.47+74512.53</f>
        <v>76698</v>
      </c>
      <c r="L4051" s="1">
        <f t="shared" si="1952"/>
        <v>187032.76</v>
      </c>
      <c r="M4051" s="2">
        <f t="shared" si="1953"/>
        <v>0.58992210776336718</v>
      </c>
      <c r="N4051" s="2">
        <f t="shared" si="1954"/>
        <v>0.41007789223663277</v>
      </c>
      <c r="P4051" s="5">
        <f t="shared" si="1955"/>
        <v>6151.1793724922709</v>
      </c>
    </row>
    <row r="4052" spans="1:16" x14ac:dyDescent="0.35">
      <c r="A4052" t="s">
        <v>37</v>
      </c>
      <c r="B4052" t="s">
        <v>24</v>
      </c>
      <c r="C4052">
        <v>2003</v>
      </c>
      <c r="D4052" t="s">
        <v>30</v>
      </c>
      <c r="E4052" s="3">
        <f>11626+15281</f>
        <v>26907</v>
      </c>
      <c r="F4052" s="3">
        <f>1063+2523</f>
        <v>3586</v>
      </c>
      <c r="G4052" s="1">
        <f t="shared" si="1949"/>
        <v>30493</v>
      </c>
      <c r="H4052" s="2">
        <f t="shared" si="1950"/>
        <v>0.88239923916964547</v>
      </c>
      <c r="I4052" s="2">
        <f t="shared" si="1951"/>
        <v>0.11760076083035451</v>
      </c>
      <c r="J4052" s="3">
        <f>10252.9+112844.66</f>
        <v>123097.56</v>
      </c>
      <c r="K4052" s="3">
        <f>2150+85715.51+0.7</f>
        <v>87866.209999999992</v>
      </c>
      <c r="L4052" s="1">
        <f t="shared" si="1952"/>
        <v>210963.77</v>
      </c>
      <c r="M4052" s="2">
        <f t="shared" si="1953"/>
        <v>0.58350094900181204</v>
      </c>
      <c r="N4052" s="2">
        <f t="shared" si="1954"/>
        <v>0.41649905099818796</v>
      </c>
      <c r="P4052" s="5">
        <f t="shared" si="1955"/>
        <v>6918.4327550585376</v>
      </c>
    </row>
    <row r="4053" spans="1:16" x14ac:dyDescent="0.35">
      <c r="A4053" t="s">
        <v>37</v>
      </c>
      <c r="B4053" t="s">
        <v>25</v>
      </c>
      <c r="C4053">
        <v>2003</v>
      </c>
      <c r="D4053" t="s">
        <v>30</v>
      </c>
      <c r="E4053" s="3">
        <f>11210+15199</f>
        <v>26409</v>
      </c>
      <c r="F4053" s="3">
        <f>1104+2632</f>
        <v>3736</v>
      </c>
      <c r="G4053" s="1">
        <f t="shared" si="1949"/>
        <v>30145</v>
      </c>
      <c r="H4053" s="2">
        <f t="shared" si="1950"/>
        <v>0.87606568253441697</v>
      </c>
      <c r="I4053" s="2">
        <f t="shared" si="1951"/>
        <v>0.12393431746558302</v>
      </c>
      <c r="J4053" s="3">
        <f>11840.19+109595.14</f>
        <v>121435.33</v>
      </c>
      <c r="K4053" s="3">
        <f>2234.95+80284.43</f>
        <v>82519.37999999999</v>
      </c>
      <c r="L4053" s="1">
        <f t="shared" si="1952"/>
        <v>203954.71</v>
      </c>
      <c r="M4053" s="2">
        <f t="shared" si="1953"/>
        <v>0.59540341088470083</v>
      </c>
      <c r="N4053" s="2">
        <f t="shared" si="1954"/>
        <v>0.40459658911529917</v>
      </c>
      <c r="P4053" s="5">
        <f t="shared" si="1955"/>
        <v>6765.7890197379329</v>
      </c>
    </row>
    <row r="4054" spans="1:16" x14ac:dyDescent="0.35">
      <c r="A4054" t="s">
        <v>37</v>
      </c>
      <c r="B4054" t="s">
        <v>26</v>
      </c>
      <c r="C4054">
        <v>2003</v>
      </c>
      <c r="D4054" t="s">
        <v>30</v>
      </c>
      <c r="E4054" s="3">
        <f>10959+15025</f>
        <v>25984</v>
      </c>
      <c r="F4054" s="3">
        <f>1147+2796</f>
        <v>3943</v>
      </c>
      <c r="G4054" s="1">
        <f t="shared" si="1949"/>
        <v>29927</v>
      </c>
      <c r="H4054" s="2">
        <f t="shared" si="1950"/>
        <v>0.86824606542586957</v>
      </c>
      <c r="I4054" s="2">
        <f t="shared" si="1951"/>
        <v>0.13175393457413037</v>
      </c>
      <c r="J4054" s="3">
        <f>9103.89+97468.13</f>
        <v>106572.02</v>
      </c>
      <c r="K4054" s="3">
        <f>2356.77+87648.89</f>
        <v>90005.66</v>
      </c>
      <c r="L4054" s="1">
        <f t="shared" si="1952"/>
        <v>196577.68</v>
      </c>
      <c r="M4054" s="2">
        <f t="shared" si="1953"/>
        <v>0.54213693029646093</v>
      </c>
      <c r="N4054" s="2">
        <f t="shared" si="1954"/>
        <v>0.45786306970353913</v>
      </c>
      <c r="P4054" s="5">
        <f t="shared" si="1955"/>
        <v>6568.572860627527</v>
      </c>
    </row>
    <row r="4055" spans="1:16" x14ac:dyDescent="0.35">
      <c r="A4055" t="s">
        <v>37</v>
      </c>
      <c r="B4055" t="s">
        <v>27</v>
      </c>
      <c r="C4055">
        <v>2003</v>
      </c>
      <c r="D4055" t="s">
        <v>30</v>
      </c>
      <c r="E4055" s="3">
        <f>10980+15046</f>
        <v>26026</v>
      </c>
      <c r="F4055" s="3">
        <f>1206+2889</f>
        <v>4095</v>
      </c>
      <c r="G4055" s="1">
        <f t="shared" si="1949"/>
        <v>30121</v>
      </c>
      <c r="H4055" s="2">
        <f t="shared" si="1950"/>
        <v>0.86404833836858008</v>
      </c>
      <c r="I4055" s="2">
        <f t="shared" si="1951"/>
        <v>0.13595166163141995</v>
      </c>
      <c r="J4055" s="3">
        <f>7493.31+91017.41</f>
        <v>98510.720000000001</v>
      </c>
      <c r="K4055" s="3">
        <f>2245.46+82496.93</f>
        <v>84742.39</v>
      </c>
      <c r="L4055" s="1">
        <f t="shared" si="1952"/>
        <v>183253.11</v>
      </c>
      <c r="M4055" s="2">
        <f t="shared" si="1953"/>
        <v>0.53756642929552467</v>
      </c>
      <c r="N4055" s="2">
        <f t="shared" si="1954"/>
        <v>0.46243357070447538</v>
      </c>
      <c r="P4055" s="5">
        <f t="shared" si="1955"/>
        <v>6083.8986089439259</v>
      </c>
    </row>
    <row r="4056" spans="1:16" x14ac:dyDescent="0.35">
      <c r="A4056" t="s">
        <v>37</v>
      </c>
      <c r="B4056" t="s">
        <v>28</v>
      </c>
      <c r="C4056">
        <v>2003</v>
      </c>
      <c r="D4056" t="s">
        <v>30</v>
      </c>
      <c r="E4056" s="3">
        <f>10884+14754</f>
        <v>25638</v>
      </c>
      <c r="F4056" s="3">
        <f>1209+3076</f>
        <v>4285</v>
      </c>
      <c r="G4056" s="1">
        <f t="shared" si="1949"/>
        <v>29923</v>
      </c>
      <c r="H4056" s="2">
        <f t="shared" si="1950"/>
        <v>0.8567991177355212</v>
      </c>
      <c r="I4056" s="2">
        <f t="shared" si="1951"/>
        <v>0.14320088226447883</v>
      </c>
      <c r="J4056" s="3">
        <f>70831.19+6173.9</f>
        <v>77005.09</v>
      </c>
      <c r="K4056" s="3">
        <f>74136.36+5819.02</f>
        <v>79955.38</v>
      </c>
      <c r="L4056" s="1">
        <f t="shared" si="1952"/>
        <v>156960.47</v>
      </c>
      <c r="M4056" s="2">
        <f t="shared" si="1953"/>
        <v>0.49060180566482758</v>
      </c>
      <c r="N4056" s="2">
        <f t="shared" si="1954"/>
        <v>0.50939819433517242</v>
      </c>
      <c r="P4056" s="5">
        <f t="shared" si="1955"/>
        <v>5245.4790629281824</v>
      </c>
    </row>
    <row r="4057" spans="1:16" x14ac:dyDescent="0.35">
      <c r="A4057" t="s">
        <v>37</v>
      </c>
      <c r="B4057" t="s">
        <v>29</v>
      </c>
      <c r="C4057">
        <v>2003</v>
      </c>
      <c r="D4057" t="s">
        <v>30</v>
      </c>
      <c r="E4057" s="3">
        <f>10940+14720</f>
        <v>25660</v>
      </c>
      <c r="F4057" s="3">
        <f>1259+3312</f>
        <v>4571</v>
      </c>
      <c r="G4057" s="1">
        <f t="shared" si="1949"/>
        <v>30231</v>
      </c>
      <c r="H4057" s="2">
        <f t="shared" si="1950"/>
        <v>0.84879759187588899</v>
      </c>
      <c r="I4057" s="2">
        <f t="shared" si="1951"/>
        <v>0.15120240812411101</v>
      </c>
      <c r="J4057" s="3">
        <f>6176.01+63691.48</f>
        <v>69867.490000000005</v>
      </c>
      <c r="K4057" s="3">
        <f>2156.91+70983.86</f>
        <v>73140.77</v>
      </c>
      <c r="L4057" s="1">
        <f t="shared" si="1952"/>
        <v>143008.26</v>
      </c>
      <c r="M4057" s="2">
        <f t="shared" si="1953"/>
        <v>0.48855562608761199</v>
      </c>
      <c r="N4057" s="2">
        <f t="shared" si="1954"/>
        <v>0.51144437391238795</v>
      </c>
      <c r="P4057" s="5">
        <f t="shared" si="1955"/>
        <v>4730.517018954054</v>
      </c>
    </row>
    <row r="4058" spans="1:16" x14ac:dyDescent="0.35">
      <c r="A4058" t="s">
        <v>37</v>
      </c>
      <c r="B4058" t="s">
        <v>17</v>
      </c>
      <c r="C4058">
        <v>2004</v>
      </c>
      <c r="D4058" t="s">
        <v>30</v>
      </c>
      <c r="E4058" s="3">
        <f>10818+14504</f>
        <v>25322</v>
      </c>
      <c r="F4058" s="3">
        <f>1304+3488</f>
        <v>4792</v>
      </c>
      <c r="G4058" s="1">
        <f t="shared" si="1949"/>
        <v>30114</v>
      </c>
      <c r="H4058" s="2">
        <f t="shared" si="1950"/>
        <v>0.84087135551570702</v>
      </c>
      <c r="I4058" s="2">
        <f t="shared" si="1951"/>
        <v>0.15912864448429301</v>
      </c>
      <c r="J4058" s="3">
        <f>6287.97+64970.97</f>
        <v>71258.94</v>
      </c>
      <c r="K4058" s="3">
        <f>2486.8+73257.11</f>
        <v>75743.91</v>
      </c>
      <c r="L4058" s="1">
        <f t="shared" si="1952"/>
        <v>147002.85</v>
      </c>
      <c r="M4058" s="2">
        <f t="shared" si="1953"/>
        <v>0.48474529575447006</v>
      </c>
      <c r="N4058" s="2">
        <f t="shared" si="1954"/>
        <v>0.51525470424552988</v>
      </c>
      <c r="P4058" s="5">
        <f t="shared" si="1955"/>
        <v>4881.545128511656</v>
      </c>
    </row>
    <row r="4059" spans="1:16" x14ac:dyDescent="0.35">
      <c r="A4059" t="s">
        <v>37</v>
      </c>
      <c r="B4059" t="s">
        <v>19</v>
      </c>
      <c r="C4059">
        <v>2004</v>
      </c>
      <c r="D4059" t="s">
        <v>30</v>
      </c>
      <c r="E4059" s="3">
        <f>10686+14321</f>
        <v>25007</v>
      </c>
      <c r="F4059" s="3">
        <f>1432+3677</f>
        <v>5109</v>
      </c>
      <c r="G4059" s="1">
        <f t="shared" si="1949"/>
        <v>30116</v>
      </c>
      <c r="H4059" s="2">
        <f t="shared" si="1950"/>
        <v>0.83035595696639664</v>
      </c>
      <c r="I4059" s="2">
        <f t="shared" si="1951"/>
        <v>0.16964404303360339</v>
      </c>
      <c r="J4059" s="3">
        <f>6523.93+63909.73</f>
        <v>70433.66</v>
      </c>
      <c r="K4059" s="3">
        <f>2457.16+75008.86</f>
        <v>77466.02</v>
      </c>
      <c r="L4059" s="1">
        <f t="shared" si="1952"/>
        <v>147899.68</v>
      </c>
      <c r="M4059" s="2">
        <f t="shared" si="1953"/>
        <v>0.4762259120506549</v>
      </c>
      <c r="N4059" s="2">
        <f t="shared" si="1954"/>
        <v>0.52377408794934521</v>
      </c>
      <c r="P4059" s="5">
        <f t="shared" si="1955"/>
        <v>4911.0001328197632</v>
      </c>
    </row>
    <row r="4060" spans="1:16" x14ac:dyDescent="0.35">
      <c r="A4060" t="s">
        <v>37</v>
      </c>
      <c r="B4060" t="s">
        <v>20</v>
      </c>
      <c r="C4060">
        <v>2004</v>
      </c>
      <c r="D4060" t="s">
        <v>30</v>
      </c>
      <c r="E4060" s="3">
        <f>10470+14329</f>
        <v>24799</v>
      </c>
      <c r="F4060" s="3">
        <f>1503+3761</f>
        <v>5264</v>
      </c>
      <c r="G4060" s="1">
        <f t="shared" si="1949"/>
        <v>30063</v>
      </c>
      <c r="H4060" s="2">
        <f t="shared" si="1950"/>
        <v>0.82490104114692475</v>
      </c>
      <c r="I4060" s="2">
        <f t="shared" si="1951"/>
        <v>0.17509895885307522</v>
      </c>
      <c r="J4060" s="3">
        <f>5147.93+58621.32</f>
        <v>63769.25</v>
      </c>
      <c r="K4060" s="3">
        <f>1608.49+75383.05</f>
        <v>76991.540000000008</v>
      </c>
      <c r="L4060" s="1">
        <f t="shared" si="1952"/>
        <v>140760.79</v>
      </c>
      <c r="M4060" s="2">
        <f t="shared" si="1953"/>
        <v>0.45303276572971773</v>
      </c>
      <c r="N4060" s="2">
        <f t="shared" si="1954"/>
        <v>0.54696723427028227</v>
      </c>
      <c r="P4060" s="5">
        <f t="shared" si="1955"/>
        <v>4682.1937265076676</v>
      </c>
    </row>
    <row r="4061" spans="1:16" x14ac:dyDescent="0.35">
      <c r="A4061" t="s">
        <v>37</v>
      </c>
      <c r="B4061" t="s">
        <v>21</v>
      </c>
      <c r="C4061">
        <v>2004</v>
      </c>
      <c r="D4061" t="s">
        <v>30</v>
      </c>
      <c r="E4061" s="3">
        <f>10188+14519</f>
        <v>24707</v>
      </c>
      <c r="F4061" s="3">
        <f>1473+3945</f>
        <v>5418</v>
      </c>
      <c r="G4061" s="1">
        <f t="shared" si="1949"/>
        <v>30125</v>
      </c>
      <c r="H4061" s="2">
        <f t="shared" si="1950"/>
        <v>0.82014937759336104</v>
      </c>
      <c r="I4061" s="2">
        <f t="shared" si="1951"/>
        <v>0.17985062240663902</v>
      </c>
      <c r="J4061" s="3">
        <f>3271.41+60258.29</f>
        <v>63529.7</v>
      </c>
      <c r="K4061" s="3">
        <f>695.69+81474.41</f>
        <v>82170.100000000006</v>
      </c>
      <c r="L4061" s="1">
        <f t="shared" si="1952"/>
        <v>145699.79999999999</v>
      </c>
      <c r="M4061" s="2">
        <f t="shared" si="1953"/>
        <v>0.43603148391418523</v>
      </c>
      <c r="N4061" s="2">
        <f t="shared" si="1954"/>
        <v>0.56396851608581489</v>
      </c>
      <c r="P4061" s="5">
        <f t="shared" si="1955"/>
        <v>4836.5078838174277</v>
      </c>
    </row>
    <row r="4062" spans="1:16" x14ac:dyDescent="0.35">
      <c r="A4062" t="s">
        <v>37</v>
      </c>
      <c r="B4062" t="s">
        <v>22</v>
      </c>
      <c r="C4062">
        <v>2004</v>
      </c>
      <c r="D4062" t="s">
        <v>30</v>
      </c>
      <c r="E4062" s="3">
        <f>9973+14358</f>
        <v>24331</v>
      </c>
      <c r="F4062" s="3">
        <f>1497+4041</f>
        <v>5538</v>
      </c>
      <c r="G4062" s="1">
        <f t="shared" si="1949"/>
        <v>29869</v>
      </c>
      <c r="H4062" s="2">
        <f t="shared" si="1950"/>
        <v>0.81459037798386291</v>
      </c>
      <c r="I4062" s="2">
        <f t="shared" si="1951"/>
        <v>0.18540962201613714</v>
      </c>
      <c r="J4062" s="3">
        <f>3475.86+65103.33</f>
        <v>68579.19</v>
      </c>
      <c r="K4062" s="3">
        <f>782.05+85736.18</f>
        <v>86518.23</v>
      </c>
      <c r="L4062" s="1">
        <f t="shared" si="1952"/>
        <v>155097.41999999998</v>
      </c>
      <c r="M4062" s="2">
        <f t="shared" si="1953"/>
        <v>0.4421684770771816</v>
      </c>
      <c r="N4062" s="2">
        <f t="shared" si="1954"/>
        <v>0.55783152292281846</v>
      </c>
      <c r="P4062" s="5">
        <f t="shared" si="1955"/>
        <v>5192.5883022531716</v>
      </c>
    </row>
    <row r="4063" spans="1:16" x14ac:dyDescent="0.35">
      <c r="A4063" t="s">
        <v>37</v>
      </c>
      <c r="B4063" t="s">
        <v>23</v>
      </c>
      <c r="C4063">
        <v>2004</v>
      </c>
      <c r="D4063" t="s">
        <v>30</v>
      </c>
      <c r="E4063" s="3">
        <f>9856+14258</f>
        <v>24114</v>
      </c>
      <c r="F4063" s="3">
        <f>1654+4332</f>
        <v>5986</v>
      </c>
      <c r="G4063" s="1">
        <f t="shared" si="1949"/>
        <v>30100</v>
      </c>
      <c r="H4063" s="2">
        <f t="shared" si="1950"/>
        <v>0.80112956810631231</v>
      </c>
      <c r="I4063" s="2">
        <f t="shared" si="1951"/>
        <v>0.19887043189368772</v>
      </c>
      <c r="J4063" s="3">
        <f>4043.09+75404.22</f>
        <v>79447.31</v>
      </c>
      <c r="K4063" s="3">
        <f>904.08+103561.31</f>
        <v>104465.39</v>
      </c>
      <c r="L4063" s="1">
        <f t="shared" si="1952"/>
        <v>183912.7</v>
      </c>
      <c r="M4063" s="2">
        <f t="shared" si="1953"/>
        <v>0.4319838162345504</v>
      </c>
      <c r="N4063" s="2">
        <f t="shared" si="1954"/>
        <v>0.5680161837654496</v>
      </c>
      <c r="P4063" s="5">
        <f t="shared" si="1955"/>
        <v>6110.0564784053158</v>
      </c>
    </row>
    <row r="4064" spans="1:16" x14ac:dyDescent="0.35">
      <c r="A4064" t="s">
        <v>37</v>
      </c>
      <c r="B4064" t="s">
        <v>24</v>
      </c>
      <c r="C4064">
        <v>2004</v>
      </c>
      <c r="D4064" t="s">
        <v>30</v>
      </c>
      <c r="E4064" s="3">
        <f>9352+14482</f>
        <v>23834</v>
      </c>
      <c r="F4064" s="3">
        <f>1623+4485</f>
        <v>6108</v>
      </c>
      <c r="G4064" s="1">
        <f t="shared" si="1949"/>
        <v>29942</v>
      </c>
      <c r="H4064" s="2">
        <f t="shared" si="1950"/>
        <v>0.79600561084763877</v>
      </c>
      <c r="I4064" s="2">
        <f t="shared" si="1951"/>
        <v>0.20399438915236123</v>
      </c>
      <c r="J4064" s="3">
        <f>3975.76+78546.45</f>
        <v>82522.209999999992</v>
      </c>
      <c r="K4064" s="3">
        <f>785.13+97645.41</f>
        <v>98430.540000000008</v>
      </c>
      <c r="L4064" s="1">
        <f t="shared" si="1952"/>
        <v>180952.75</v>
      </c>
      <c r="M4064" s="2">
        <f t="shared" si="1953"/>
        <v>0.45604286201784716</v>
      </c>
      <c r="N4064" s="2">
        <f t="shared" si="1954"/>
        <v>0.54395713798215284</v>
      </c>
      <c r="P4064" s="5">
        <f t="shared" si="1955"/>
        <v>6043.4423218221891</v>
      </c>
    </row>
    <row r="4065" spans="1:16" x14ac:dyDescent="0.35">
      <c r="A4065" t="s">
        <v>37</v>
      </c>
      <c r="B4065" t="s">
        <v>25</v>
      </c>
      <c r="C4065">
        <v>2004</v>
      </c>
      <c r="D4065" t="s">
        <v>30</v>
      </c>
      <c r="E4065" s="3">
        <f>9393+14149</f>
        <v>23542</v>
      </c>
      <c r="F4065" s="3">
        <f>1674+4497</f>
        <v>6171</v>
      </c>
      <c r="G4065" s="1">
        <f t="shared" si="1949"/>
        <v>29713</v>
      </c>
      <c r="H4065" s="2">
        <f t="shared" si="1950"/>
        <v>0.79231312893346351</v>
      </c>
      <c r="I4065" s="2">
        <f t="shared" si="1951"/>
        <v>0.20768687106653652</v>
      </c>
      <c r="J4065" s="3">
        <f>4167.68+82201.65</f>
        <v>86369.329999999987</v>
      </c>
      <c r="K4065" s="3">
        <f>1003.46+107527.39</f>
        <v>108530.85</v>
      </c>
      <c r="L4065" s="1">
        <f t="shared" si="1952"/>
        <v>194900.18</v>
      </c>
      <c r="M4065" s="2">
        <f t="shared" si="1953"/>
        <v>0.4431464865758461</v>
      </c>
      <c r="N4065" s="2">
        <f t="shared" si="1954"/>
        <v>0.5568535134241539</v>
      </c>
      <c r="P4065" s="5">
        <f t="shared" si="1955"/>
        <v>6559.4244943290814</v>
      </c>
    </row>
    <row r="4066" spans="1:16" x14ac:dyDescent="0.35">
      <c r="A4066" t="s">
        <v>37</v>
      </c>
      <c r="B4066" t="s">
        <v>26</v>
      </c>
      <c r="C4066">
        <v>2004</v>
      </c>
      <c r="D4066" t="s">
        <v>30</v>
      </c>
      <c r="E4066" s="3">
        <f>9480+14066</f>
        <v>23546</v>
      </c>
      <c r="F4066" s="3">
        <f>1692+4595</f>
        <v>6287</v>
      </c>
      <c r="G4066" s="1">
        <f t="shared" si="1949"/>
        <v>29833</v>
      </c>
      <c r="H4066" s="2">
        <f t="shared" si="1950"/>
        <v>0.78926021519793521</v>
      </c>
      <c r="I4066" s="2">
        <f t="shared" si="1951"/>
        <v>0.21073978480206482</v>
      </c>
      <c r="J4066" s="3">
        <f>4013.57+77338.82</f>
        <v>81352.390000000014</v>
      </c>
      <c r="K4066" s="3">
        <f>832.01+109246.92</f>
        <v>110078.93</v>
      </c>
      <c r="L4066" s="1">
        <f t="shared" si="1952"/>
        <v>191431.32</v>
      </c>
      <c r="M4066" s="2">
        <f t="shared" si="1953"/>
        <v>0.42496906984708671</v>
      </c>
      <c r="N4066" s="2">
        <f t="shared" si="1954"/>
        <v>0.57503093015291329</v>
      </c>
      <c r="P4066" s="5">
        <f t="shared" si="1955"/>
        <v>6416.7639861897896</v>
      </c>
    </row>
    <row r="4067" spans="1:16" x14ac:dyDescent="0.35">
      <c r="A4067" t="s">
        <v>37</v>
      </c>
      <c r="B4067" t="s">
        <v>27</v>
      </c>
      <c r="C4067">
        <v>2004</v>
      </c>
      <c r="D4067" t="s">
        <v>30</v>
      </c>
      <c r="E4067" s="3">
        <f>9216+13985</f>
        <v>23201</v>
      </c>
      <c r="F4067" s="3">
        <f>1769+4729</f>
        <v>6498</v>
      </c>
      <c r="G4067" s="1">
        <f t="shared" si="1949"/>
        <v>29699</v>
      </c>
      <c r="H4067" s="2">
        <f t="shared" si="1950"/>
        <v>0.78120475436883396</v>
      </c>
      <c r="I4067" s="2">
        <f t="shared" si="1951"/>
        <v>0.21879524563116604</v>
      </c>
      <c r="J4067" s="3">
        <f>3186.96+67009.91</f>
        <v>70196.87000000001</v>
      </c>
      <c r="K4067" s="3">
        <f>777.5+97755.12</f>
        <v>98532.62</v>
      </c>
      <c r="L4067" s="1">
        <f t="shared" si="1952"/>
        <v>168729.49</v>
      </c>
      <c r="M4067" s="2">
        <f t="shared" si="1953"/>
        <v>0.41603201669133244</v>
      </c>
      <c r="N4067" s="2">
        <f t="shared" si="1954"/>
        <v>0.58396798330866762</v>
      </c>
      <c r="P4067" s="5">
        <f t="shared" si="1955"/>
        <v>5681.3188996262497</v>
      </c>
    </row>
    <row r="4068" spans="1:16" x14ac:dyDescent="0.35">
      <c r="A4068" t="s">
        <v>37</v>
      </c>
      <c r="B4068" t="s">
        <v>28</v>
      </c>
      <c r="C4068">
        <v>2004</v>
      </c>
      <c r="D4068" t="s">
        <v>30</v>
      </c>
      <c r="E4068" s="3">
        <f>9264+13849</f>
        <v>23113</v>
      </c>
      <c r="F4068" s="3">
        <f>1823+4901</f>
        <v>6724</v>
      </c>
      <c r="G4068" s="1">
        <f t="shared" si="1949"/>
        <v>29837</v>
      </c>
      <c r="H4068" s="2">
        <f t="shared" si="1950"/>
        <v>0.77464222274357342</v>
      </c>
      <c r="I4068" s="2">
        <f t="shared" si="1951"/>
        <v>0.22535777725642658</v>
      </c>
      <c r="J4068" s="3">
        <f>2952.63+59866.12</f>
        <v>62818.75</v>
      </c>
      <c r="K4068" s="3">
        <f>891.16+93521.99</f>
        <v>94413.150000000009</v>
      </c>
      <c r="L4068" s="1">
        <f t="shared" si="1952"/>
        <v>157231.90000000002</v>
      </c>
      <c r="M4068" s="2">
        <f t="shared" si="1953"/>
        <v>0.39952929399186798</v>
      </c>
      <c r="N4068" s="2">
        <f t="shared" si="1954"/>
        <v>0.6004707060081319</v>
      </c>
      <c r="P4068" s="5">
        <f t="shared" si="1955"/>
        <v>5269.6953447062378</v>
      </c>
    </row>
    <row r="4069" spans="1:16" x14ac:dyDescent="0.35">
      <c r="A4069" t="s">
        <v>37</v>
      </c>
      <c r="B4069" t="s">
        <v>29</v>
      </c>
      <c r="C4069">
        <v>2004</v>
      </c>
      <c r="D4069" t="s">
        <v>30</v>
      </c>
      <c r="E4069" s="3">
        <f>9304+13737</f>
        <v>23041</v>
      </c>
      <c r="F4069" s="3">
        <f>1846+4979</f>
        <v>6825</v>
      </c>
      <c r="G4069" s="1">
        <f t="shared" si="1949"/>
        <v>29866</v>
      </c>
      <c r="H4069" s="2">
        <f t="shared" si="1950"/>
        <v>0.77147927409093953</v>
      </c>
      <c r="I4069" s="2">
        <f t="shared" si="1951"/>
        <v>0.22852072590906047</v>
      </c>
      <c r="J4069" s="3">
        <f>3782.68+55601.15</f>
        <v>59383.83</v>
      </c>
      <c r="K4069" s="3">
        <f>784.05+80958.48</f>
        <v>81742.53</v>
      </c>
      <c r="L4069" s="1">
        <f t="shared" si="1952"/>
        <v>141126.35999999999</v>
      </c>
      <c r="M4069" s="2">
        <f t="shared" si="1953"/>
        <v>0.42078482007188456</v>
      </c>
      <c r="N4069" s="2">
        <f t="shared" si="1954"/>
        <v>0.57921517992811555</v>
      </c>
      <c r="P4069" s="5">
        <f t="shared" si="1955"/>
        <v>4725.3184222862119</v>
      </c>
    </row>
    <row r="4070" spans="1:16" x14ac:dyDescent="0.35">
      <c r="A4070" t="s">
        <v>37</v>
      </c>
      <c r="B4070" t="s">
        <v>17</v>
      </c>
      <c r="C4070">
        <v>2005</v>
      </c>
      <c r="D4070" t="s">
        <v>30</v>
      </c>
      <c r="E4070" s="3">
        <f>9065+13620</f>
        <v>22685</v>
      </c>
      <c r="F4070" s="3">
        <f>1867+5109</f>
        <v>6976</v>
      </c>
      <c r="G4070" s="1">
        <f t="shared" si="1949"/>
        <v>29661</v>
      </c>
      <c r="H4070" s="2">
        <f t="shared" si="1950"/>
        <v>0.7648090084622905</v>
      </c>
      <c r="I4070" s="2">
        <f t="shared" si="1951"/>
        <v>0.23519099153770945</v>
      </c>
      <c r="J4070" s="3">
        <f>3193.5+52994.13</f>
        <v>56187.63</v>
      </c>
      <c r="K4070" s="3">
        <f>861.21+84796.41</f>
        <v>85657.62000000001</v>
      </c>
      <c r="L4070" s="1">
        <f t="shared" si="1952"/>
        <v>141845.25</v>
      </c>
      <c r="M4070" s="2">
        <f t="shared" si="1953"/>
        <v>0.39611922147551643</v>
      </c>
      <c r="N4070" s="2">
        <f t="shared" si="1954"/>
        <v>0.60388077852448363</v>
      </c>
      <c r="P4070" s="5">
        <f t="shared" si="1955"/>
        <v>4782.2140184080108</v>
      </c>
    </row>
    <row r="4071" spans="1:16" x14ac:dyDescent="0.35">
      <c r="A4071" t="s">
        <v>37</v>
      </c>
      <c r="B4071" t="s">
        <v>19</v>
      </c>
      <c r="C4071">
        <v>2005</v>
      </c>
      <c r="D4071" t="s">
        <v>30</v>
      </c>
      <c r="E4071" s="3">
        <f>8660+13360</f>
        <v>22020</v>
      </c>
      <c r="F4071" s="3">
        <f>2367+5387</f>
        <v>7754</v>
      </c>
      <c r="G4071" s="1">
        <f t="shared" si="1949"/>
        <v>29774</v>
      </c>
      <c r="H4071" s="2">
        <f t="shared" si="1950"/>
        <v>0.73957143816752868</v>
      </c>
      <c r="I4071" s="2">
        <f t="shared" si="1951"/>
        <v>0.26042856183247126</v>
      </c>
      <c r="J4071" s="3">
        <f>3009.79+51019.93</f>
        <v>54029.72</v>
      </c>
      <c r="K4071" s="3">
        <f>93106.99+1079.94</f>
        <v>94186.930000000008</v>
      </c>
      <c r="L4071" s="1">
        <f t="shared" si="1952"/>
        <v>148216.65000000002</v>
      </c>
      <c r="M4071" s="2">
        <f t="shared" si="1953"/>
        <v>0.36453205493444896</v>
      </c>
      <c r="N4071" s="2">
        <f t="shared" si="1954"/>
        <v>0.63546794506555093</v>
      </c>
      <c r="P4071" s="5">
        <f t="shared" si="1955"/>
        <v>4978.0563578961519</v>
      </c>
    </row>
    <row r="4072" spans="1:16" x14ac:dyDescent="0.35">
      <c r="A4072" t="s">
        <v>37</v>
      </c>
      <c r="B4072" t="s">
        <v>20</v>
      </c>
      <c r="C4072">
        <v>2005</v>
      </c>
      <c r="D4072" t="s">
        <v>30</v>
      </c>
      <c r="E4072" s="3">
        <f>8762+13252</f>
        <v>22014</v>
      </c>
      <c r="F4072" s="3">
        <f>2389+5481</f>
        <v>7870</v>
      </c>
      <c r="G4072" s="1">
        <f t="shared" si="1949"/>
        <v>29884</v>
      </c>
      <c r="H4072" s="2">
        <f t="shared" si="1950"/>
        <v>0.73664837371168523</v>
      </c>
      <c r="I4072" s="2">
        <f t="shared" si="1951"/>
        <v>0.26335162628831482</v>
      </c>
      <c r="J4072" s="3">
        <f>2673.18+48684.79</f>
        <v>51357.97</v>
      </c>
      <c r="K4072" s="3">
        <f>89769.17+996.27</f>
        <v>90765.440000000002</v>
      </c>
      <c r="L4072" s="1">
        <f t="shared" si="1952"/>
        <v>142123.41</v>
      </c>
      <c r="M4072" s="2">
        <f t="shared" si="1953"/>
        <v>0.36136179113630895</v>
      </c>
      <c r="N4072" s="2">
        <f t="shared" si="1954"/>
        <v>0.63863820886369105</v>
      </c>
      <c r="P4072" s="5">
        <f t="shared" si="1955"/>
        <v>4755.8362334359526</v>
      </c>
    </row>
    <row r="4073" spans="1:16" x14ac:dyDescent="0.35">
      <c r="A4073" t="s">
        <v>37</v>
      </c>
      <c r="B4073" t="s">
        <v>21</v>
      </c>
      <c r="C4073">
        <v>2005</v>
      </c>
      <c r="D4073" t="s">
        <v>30</v>
      </c>
      <c r="E4073" s="3">
        <f>8541+13250</f>
        <v>21791</v>
      </c>
      <c r="F4073" s="3">
        <f>2431+5624</f>
        <v>8055</v>
      </c>
      <c r="G4073" s="1">
        <f t="shared" si="1949"/>
        <v>29846</v>
      </c>
      <c r="H4073" s="2">
        <f t="shared" si="1950"/>
        <v>0.73011458821952691</v>
      </c>
      <c r="I4073" s="2">
        <f t="shared" si="1951"/>
        <v>0.26988541178047309</v>
      </c>
      <c r="J4073" s="3">
        <f>2413.72+46748.55</f>
        <v>49162.270000000004</v>
      </c>
      <c r="K4073" s="3">
        <f>930.13+87412.13</f>
        <v>88342.260000000009</v>
      </c>
      <c r="L4073" s="1">
        <f t="shared" si="1952"/>
        <v>137504.53000000003</v>
      </c>
      <c r="M4073" s="2">
        <f t="shared" si="1953"/>
        <v>0.35753200276383618</v>
      </c>
      <c r="N4073" s="2">
        <f t="shared" si="1954"/>
        <v>0.64246799723616377</v>
      </c>
      <c r="P4073" s="5">
        <f t="shared" si="1955"/>
        <v>4607.1342893520077</v>
      </c>
    </row>
    <row r="4074" spans="1:16" x14ac:dyDescent="0.35">
      <c r="A4074" t="s">
        <v>37</v>
      </c>
      <c r="B4074" t="s">
        <v>22</v>
      </c>
      <c r="C4074">
        <v>2005</v>
      </c>
      <c r="D4074" t="s">
        <v>30</v>
      </c>
      <c r="E4074" s="3">
        <f>8599+13171</f>
        <v>21770</v>
      </c>
      <c r="F4074" s="3">
        <f>2497+5770</f>
        <v>8267</v>
      </c>
      <c r="G4074" s="1">
        <f t="shared" si="1949"/>
        <v>30037</v>
      </c>
      <c r="H4074" s="2">
        <f t="shared" si="1950"/>
        <v>0.72477278023770686</v>
      </c>
      <c r="I4074" s="2">
        <f t="shared" si="1951"/>
        <v>0.2752272197622932</v>
      </c>
      <c r="J4074" s="3">
        <f>52239.21+2571.96</f>
        <v>54811.17</v>
      </c>
      <c r="K4074" s="3">
        <f>990.22+103270.91</f>
        <v>104261.13</v>
      </c>
      <c r="L4074" s="1">
        <f t="shared" si="1952"/>
        <v>159072.29999999999</v>
      </c>
      <c r="M4074" s="2">
        <f t="shared" si="1953"/>
        <v>0.34456765885701029</v>
      </c>
      <c r="N4074" s="2">
        <f t="shared" si="1954"/>
        <v>0.65543234114298976</v>
      </c>
      <c r="P4074" s="5">
        <f t="shared" si="1955"/>
        <v>5295.8784166195028</v>
      </c>
    </row>
    <row r="4075" spans="1:16" x14ac:dyDescent="0.35">
      <c r="A4075" t="s">
        <v>37</v>
      </c>
      <c r="B4075" t="s">
        <v>23</v>
      </c>
      <c r="C4075">
        <v>2005</v>
      </c>
      <c r="D4075" t="s">
        <v>30</v>
      </c>
      <c r="E4075" s="3">
        <f>8705+13025</f>
        <v>21730</v>
      </c>
      <c r="F4075" s="3">
        <f>2596+5925</f>
        <v>8521</v>
      </c>
      <c r="G4075" s="1">
        <f t="shared" si="1949"/>
        <v>30251</v>
      </c>
      <c r="H4075" s="2">
        <f t="shared" si="1950"/>
        <v>0.71832336121119966</v>
      </c>
      <c r="I4075" s="2">
        <f t="shared" si="1951"/>
        <v>0.28167663878880039</v>
      </c>
      <c r="J4075" s="3">
        <f>3344.1+61560.67</f>
        <v>64904.77</v>
      </c>
      <c r="K4075" s="3">
        <f>118565.82+1202.49</f>
        <v>119768.31000000001</v>
      </c>
      <c r="L4075" s="1">
        <f t="shared" si="1952"/>
        <v>184673.08000000002</v>
      </c>
      <c r="M4075" s="2">
        <f t="shared" si="1953"/>
        <v>0.35145766778785514</v>
      </c>
      <c r="N4075" s="2">
        <f t="shared" si="1954"/>
        <v>0.64854233221214486</v>
      </c>
      <c r="P4075" s="5">
        <f t="shared" si="1955"/>
        <v>6104.6933985653377</v>
      </c>
    </row>
    <row r="4076" spans="1:16" x14ac:dyDescent="0.35">
      <c r="A4076" t="s">
        <v>37</v>
      </c>
      <c r="B4076" t="s">
        <v>24</v>
      </c>
      <c r="C4076">
        <v>2005</v>
      </c>
      <c r="D4076" t="s">
        <v>30</v>
      </c>
      <c r="E4076" s="3">
        <f>8506+12922</f>
        <v>21428</v>
      </c>
      <c r="F4076" s="3">
        <f>2640+6095</f>
        <v>8735</v>
      </c>
      <c r="G4076" s="1">
        <f t="shared" si="1949"/>
        <v>30163</v>
      </c>
      <c r="H4076" s="2">
        <f t="shared" si="1950"/>
        <v>0.71040678977555283</v>
      </c>
      <c r="I4076" s="2">
        <f t="shared" si="1951"/>
        <v>0.28959321022444717</v>
      </c>
      <c r="J4076" s="3">
        <f>3928.36+67948.67</f>
        <v>71877.03</v>
      </c>
      <c r="K4076" s="3">
        <f>1462.07+122365.3</f>
        <v>123827.37000000001</v>
      </c>
      <c r="L4076" s="1">
        <f t="shared" si="1952"/>
        <v>195704.40000000002</v>
      </c>
      <c r="M4076" s="2">
        <f t="shared" si="1953"/>
        <v>0.36727344914064269</v>
      </c>
      <c r="N4076" s="2">
        <f t="shared" si="1954"/>
        <v>0.63272655085935725</v>
      </c>
      <c r="P4076" s="5">
        <f t="shared" si="1955"/>
        <v>6488.227298345656</v>
      </c>
    </row>
    <row r="4077" spans="1:16" x14ac:dyDescent="0.35">
      <c r="A4077" t="s">
        <v>37</v>
      </c>
      <c r="B4077" t="s">
        <v>25</v>
      </c>
      <c r="C4077">
        <v>2005</v>
      </c>
      <c r="D4077" t="s">
        <v>30</v>
      </c>
      <c r="E4077" s="3">
        <f>8468+12818</f>
        <v>21286</v>
      </c>
      <c r="F4077" s="3">
        <f>2826+6224</f>
        <v>9050</v>
      </c>
      <c r="G4077" s="1">
        <f t="shared" si="1949"/>
        <v>30336</v>
      </c>
      <c r="H4077" s="2">
        <f t="shared" si="1950"/>
        <v>0.70167457805907174</v>
      </c>
      <c r="I4077" s="2">
        <f t="shared" si="1951"/>
        <v>0.29832542194092826</v>
      </c>
      <c r="J4077" s="3">
        <f>3729.84+65594.01</f>
        <v>69323.849999999991</v>
      </c>
      <c r="K4077" s="3">
        <f>1513.11+132890.79</f>
        <v>134403.9</v>
      </c>
      <c r="L4077" s="1">
        <f t="shared" si="1952"/>
        <v>203727.75</v>
      </c>
      <c r="M4077" s="2">
        <f t="shared" si="1953"/>
        <v>0.34027691367523566</v>
      </c>
      <c r="N4077" s="2">
        <f t="shared" si="1954"/>
        <v>0.65972308632476429</v>
      </c>
      <c r="P4077" s="5">
        <f t="shared" si="1955"/>
        <v>6715.7090585443038</v>
      </c>
    </row>
    <row r="4078" spans="1:16" x14ac:dyDescent="0.35">
      <c r="A4078" t="s">
        <v>37</v>
      </c>
      <c r="B4078" t="s">
        <v>26</v>
      </c>
      <c r="C4078">
        <v>2005</v>
      </c>
      <c r="D4078" t="s">
        <v>30</v>
      </c>
      <c r="E4078" s="3">
        <f>8553+12727</f>
        <v>21280</v>
      </c>
      <c r="F4078" s="3">
        <f>2899+6323</f>
        <v>9222</v>
      </c>
      <c r="G4078" s="1">
        <f t="shared" si="1949"/>
        <v>30502</v>
      </c>
      <c r="H4078" s="2">
        <f t="shared" si="1950"/>
        <v>0.69765916989049903</v>
      </c>
      <c r="I4078" s="2">
        <f t="shared" si="1951"/>
        <v>0.30234083010950102</v>
      </c>
      <c r="J4078" s="3">
        <f>3432.94+64906.33</f>
        <v>68339.27</v>
      </c>
      <c r="K4078" s="3">
        <f>1556.31+135773.73</f>
        <v>137330.04</v>
      </c>
      <c r="L4078" s="1">
        <f t="shared" si="1952"/>
        <v>205669.31</v>
      </c>
      <c r="M4078" s="2">
        <f t="shared" si="1953"/>
        <v>0.33227743118309683</v>
      </c>
      <c r="N4078" s="2">
        <f t="shared" si="1954"/>
        <v>0.66772256881690328</v>
      </c>
      <c r="P4078" s="5">
        <f t="shared" si="1955"/>
        <v>6742.8139138417155</v>
      </c>
    </row>
    <row r="4079" spans="1:16" x14ac:dyDescent="0.35">
      <c r="A4079" t="s">
        <v>37</v>
      </c>
      <c r="B4079" t="s">
        <v>27</v>
      </c>
      <c r="C4079">
        <v>2005</v>
      </c>
      <c r="D4079" t="s">
        <v>30</v>
      </c>
      <c r="E4079" s="3">
        <f>8284+12702</f>
        <v>20986</v>
      </c>
      <c r="F4079" s="3">
        <f>2848+6432</f>
        <v>9280</v>
      </c>
      <c r="G4079" s="1">
        <f t="shared" si="1949"/>
        <v>30266</v>
      </c>
      <c r="H4079" s="2">
        <f t="shared" si="1950"/>
        <v>0.69338531685719951</v>
      </c>
      <c r="I4079" s="2">
        <f t="shared" si="1951"/>
        <v>0.30661468314280049</v>
      </c>
      <c r="J4079" s="3">
        <f>57542.76+3058</f>
        <v>60600.76</v>
      </c>
      <c r="K4079" s="3">
        <f>1357.73+123301.29</f>
        <v>124659.01999999999</v>
      </c>
      <c r="L4079" s="1">
        <f t="shared" si="1952"/>
        <v>185259.78</v>
      </c>
      <c r="M4079" s="2">
        <f t="shared" si="1953"/>
        <v>0.32711233922441235</v>
      </c>
      <c r="N4079" s="2">
        <f t="shared" si="1954"/>
        <v>0.67288766077558759</v>
      </c>
      <c r="P4079" s="5">
        <f t="shared" si="1955"/>
        <v>6121.0526663582896</v>
      </c>
    </row>
    <row r="4080" spans="1:16" x14ac:dyDescent="0.35">
      <c r="A4080" t="s">
        <v>37</v>
      </c>
      <c r="B4080" t="s">
        <v>28</v>
      </c>
      <c r="C4080">
        <v>2005</v>
      </c>
      <c r="D4080" t="s">
        <v>30</v>
      </c>
      <c r="E4080" s="3">
        <f>8332+12882</f>
        <v>21214</v>
      </c>
      <c r="F4080" s="3">
        <f>2945+6676</f>
        <v>9621</v>
      </c>
      <c r="G4080" s="1">
        <f t="shared" si="1949"/>
        <v>30835</v>
      </c>
      <c r="H4080" s="2">
        <f t="shared" si="1950"/>
        <v>0.68798443327387704</v>
      </c>
      <c r="I4080" s="2">
        <f t="shared" si="1951"/>
        <v>0.31201556672612291</v>
      </c>
      <c r="J4080" s="3">
        <f>2262.37+46444.34</f>
        <v>48706.71</v>
      </c>
      <c r="K4080" s="3">
        <f>1137.57+102966.01</f>
        <v>104103.58</v>
      </c>
      <c r="L4080" s="1">
        <f t="shared" si="1952"/>
        <v>152810.29</v>
      </c>
      <c r="M4080" s="2">
        <f t="shared" si="1953"/>
        <v>0.31873972623178709</v>
      </c>
      <c r="N4080" s="2">
        <f t="shared" si="1954"/>
        <v>0.68126027376821285</v>
      </c>
      <c r="P4080" s="5">
        <f t="shared" si="1955"/>
        <v>4955.7415274850009</v>
      </c>
    </row>
    <row r="4081" spans="1:16" x14ac:dyDescent="0.35">
      <c r="A4081" t="s">
        <v>37</v>
      </c>
      <c r="B4081" t="s">
        <v>29</v>
      </c>
      <c r="C4081">
        <v>2005</v>
      </c>
      <c r="D4081" t="s">
        <v>30</v>
      </c>
      <c r="E4081" s="3">
        <f>8464+12556</f>
        <v>21020</v>
      </c>
      <c r="F4081" s="3">
        <f>3019+6596</f>
        <v>9615</v>
      </c>
      <c r="G4081" s="1">
        <f t="shared" si="1949"/>
        <v>30635</v>
      </c>
      <c r="H4081" s="2">
        <f t="shared" si="1950"/>
        <v>0.68614330014689084</v>
      </c>
      <c r="I4081" s="2">
        <f t="shared" si="1951"/>
        <v>0.31385669985310921</v>
      </c>
      <c r="J4081" s="3">
        <f>2563.23+44534.2</f>
        <v>47097.43</v>
      </c>
      <c r="K4081" s="3">
        <f>1214.31+96884.98</f>
        <v>98099.29</v>
      </c>
      <c r="L4081" s="1">
        <f t="shared" si="1952"/>
        <v>145196.72</v>
      </c>
      <c r="M4081" s="2">
        <f t="shared" si="1953"/>
        <v>0.32436979292645179</v>
      </c>
      <c r="N4081" s="2">
        <f t="shared" si="1954"/>
        <v>0.67563020707354815</v>
      </c>
      <c r="P4081" s="5">
        <f t="shared" si="1955"/>
        <v>4739.569773135303</v>
      </c>
    </row>
    <row r="4082" spans="1:16" x14ac:dyDescent="0.35">
      <c r="A4082" t="s">
        <v>37</v>
      </c>
      <c r="B4082" t="s">
        <v>17</v>
      </c>
      <c r="C4082">
        <v>2006</v>
      </c>
      <c r="D4082" t="s">
        <v>30</v>
      </c>
      <c r="E4082" s="3">
        <f>20713+9</f>
        <v>20722</v>
      </c>
      <c r="F4082" s="3">
        <f>9408+21</f>
        <v>9429</v>
      </c>
      <c r="G4082" s="1">
        <f t="shared" si="1949"/>
        <v>30151</v>
      </c>
      <c r="H4082" s="2">
        <f t="shared" si="1950"/>
        <v>0.68727405392855956</v>
      </c>
      <c r="I4082" s="2">
        <f t="shared" si="1951"/>
        <v>0.31272594607144044</v>
      </c>
      <c r="J4082" s="3">
        <f>2635.38+44509.7</f>
        <v>47145.079999999994</v>
      </c>
      <c r="K4082" s="3">
        <f>1218.46+93162.85</f>
        <v>94381.310000000012</v>
      </c>
      <c r="L4082" s="1">
        <f t="shared" si="1952"/>
        <v>141526.39000000001</v>
      </c>
      <c r="M4082" s="2">
        <f t="shared" si="1953"/>
        <v>0.33311865016835368</v>
      </c>
      <c r="N4082" s="2">
        <f t="shared" si="1954"/>
        <v>0.66688134983164626</v>
      </c>
      <c r="P4082" s="5">
        <f t="shared" si="1955"/>
        <v>4693.9202679844784</v>
      </c>
    </row>
    <row r="4083" spans="1:16" x14ac:dyDescent="0.35">
      <c r="A4083" t="s">
        <v>37</v>
      </c>
      <c r="B4083" t="s">
        <v>19</v>
      </c>
      <c r="C4083">
        <v>2006</v>
      </c>
      <c r="D4083" t="s">
        <v>30</v>
      </c>
      <c r="E4083" s="3">
        <f>20894+9</f>
        <v>20903</v>
      </c>
      <c r="F4083" s="3">
        <f>9369+19</f>
        <v>9388</v>
      </c>
      <c r="G4083" s="1">
        <f t="shared" si="1949"/>
        <v>30291</v>
      </c>
      <c r="H4083" s="2">
        <f t="shared" si="1950"/>
        <v>0.69007295896470899</v>
      </c>
      <c r="I4083" s="2">
        <f t="shared" si="1951"/>
        <v>0.30992704103529101</v>
      </c>
      <c r="J4083" s="3">
        <f>2335.56+43606</f>
        <v>45941.56</v>
      </c>
      <c r="K4083" s="3">
        <f>1089.15+92762.21</f>
        <v>93851.36</v>
      </c>
      <c r="L4083" s="1">
        <f t="shared" si="1952"/>
        <v>139792.91999999998</v>
      </c>
      <c r="M4083" s="2">
        <f t="shared" si="1953"/>
        <v>0.3286401056648649</v>
      </c>
      <c r="N4083" s="2">
        <f t="shared" si="1954"/>
        <v>0.67135989433513521</v>
      </c>
      <c r="P4083" s="5">
        <f t="shared" si="1955"/>
        <v>4614.9985144102202</v>
      </c>
    </row>
    <row r="4084" spans="1:16" x14ac:dyDescent="0.35">
      <c r="A4084" t="s">
        <v>37</v>
      </c>
      <c r="B4084" t="s">
        <v>20</v>
      </c>
      <c r="C4084">
        <v>2006</v>
      </c>
      <c r="D4084" t="s">
        <v>30</v>
      </c>
      <c r="E4084" s="3">
        <f>21081+9</f>
        <v>21090</v>
      </c>
      <c r="F4084" s="3">
        <f>9498+24</f>
        <v>9522</v>
      </c>
      <c r="G4084" s="1">
        <f t="shared" si="1949"/>
        <v>30612</v>
      </c>
      <c r="H4084" s="2">
        <f t="shared" si="1950"/>
        <v>0.68894551156409256</v>
      </c>
      <c r="I4084" s="2">
        <f t="shared" si="1951"/>
        <v>0.31105448843590749</v>
      </c>
      <c r="J4084" s="3">
        <f>2364.31+46938.6</f>
        <v>49302.909999999996</v>
      </c>
      <c r="K4084" s="3">
        <f>1046.1+98030.1</f>
        <v>99076.200000000012</v>
      </c>
      <c r="L4084" s="1">
        <f t="shared" si="1952"/>
        <v>148379.11000000002</v>
      </c>
      <c r="M4084" s="2">
        <f t="shared" si="1953"/>
        <v>0.33227662573255756</v>
      </c>
      <c r="N4084" s="2">
        <f t="shared" si="1954"/>
        <v>0.66772337426744233</v>
      </c>
      <c r="P4084" s="5">
        <f t="shared" si="1955"/>
        <v>4847.0897033842948</v>
      </c>
    </row>
    <row r="4085" spans="1:16" x14ac:dyDescent="0.35">
      <c r="A4085" t="s">
        <v>37</v>
      </c>
      <c r="B4085" t="s">
        <v>21</v>
      </c>
      <c r="C4085">
        <v>2006</v>
      </c>
      <c r="D4085" t="s">
        <v>30</v>
      </c>
      <c r="E4085" s="3">
        <f>8310+12563</f>
        <v>20873</v>
      </c>
      <c r="F4085" s="3">
        <f>2835+6820</f>
        <v>9655</v>
      </c>
      <c r="G4085" s="1">
        <f t="shared" si="1949"/>
        <v>30528</v>
      </c>
      <c r="H4085" s="2">
        <f t="shared" si="1950"/>
        <v>0.68373296645702308</v>
      </c>
      <c r="I4085" s="2">
        <f t="shared" si="1951"/>
        <v>0.31626703354297692</v>
      </c>
      <c r="J4085" s="3">
        <f>2195.01+47231.77</f>
        <v>49426.78</v>
      </c>
      <c r="K4085" s="3">
        <f>1066.61+102538.4</f>
        <v>103605.01</v>
      </c>
      <c r="L4085" s="1">
        <f t="shared" si="1952"/>
        <v>153031.78999999998</v>
      </c>
      <c r="M4085" s="2">
        <f t="shared" si="1953"/>
        <v>0.32298374082927478</v>
      </c>
      <c r="N4085" s="2">
        <f t="shared" si="1954"/>
        <v>0.67701625917072528</v>
      </c>
      <c r="P4085" s="5">
        <f t="shared" si="1955"/>
        <v>5012.8337919287205</v>
      </c>
    </row>
    <row r="4086" spans="1:16" x14ac:dyDescent="0.35">
      <c r="A4086" t="s">
        <v>37</v>
      </c>
      <c r="B4086" t="s">
        <v>22</v>
      </c>
      <c r="C4086">
        <v>2006</v>
      </c>
      <c r="D4086" t="s">
        <v>30</v>
      </c>
      <c r="E4086" s="3">
        <f>8395+12393</f>
        <v>20788</v>
      </c>
      <c r="F4086" s="3">
        <f>2921+6978</f>
        <v>9899</v>
      </c>
      <c r="G4086" s="1">
        <f t="shared" si="1949"/>
        <v>30687</v>
      </c>
      <c r="H4086" s="2">
        <f t="shared" si="1950"/>
        <v>0.67742040603512887</v>
      </c>
      <c r="I4086" s="2">
        <f t="shared" si="1951"/>
        <v>0.32257959396487113</v>
      </c>
      <c r="J4086" s="3">
        <f>2353.39+51977.01</f>
        <v>54330.400000000001</v>
      </c>
      <c r="K4086" s="3">
        <f>1095.5+114845.42</f>
        <v>115940.92</v>
      </c>
      <c r="L4086" s="1">
        <f t="shared" si="1952"/>
        <v>170271.32</v>
      </c>
      <c r="M4086" s="2">
        <f t="shared" si="1953"/>
        <v>0.31908133442555092</v>
      </c>
      <c r="N4086" s="2">
        <f t="shared" si="1954"/>
        <v>0.68091866557444902</v>
      </c>
      <c r="P4086" s="5">
        <f t="shared" si="1955"/>
        <v>5548.6466581940231</v>
      </c>
    </row>
    <row r="4087" spans="1:16" x14ac:dyDescent="0.35">
      <c r="A4087" t="s">
        <v>37</v>
      </c>
      <c r="B4087" t="s">
        <v>23</v>
      </c>
      <c r="C4087">
        <v>2006</v>
      </c>
      <c r="D4087" t="s">
        <v>30</v>
      </c>
      <c r="E4087" s="3">
        <f>8517+12328</f>
        <v>20845</v>
      </c>
      <c r="F4087" s="3">
        <f>3033+7129</f>
        <v>10162</v>
      </c>
      <c r="G4087" s="1">
        <f t="shared" ref="G4087:G4150" si="1956">SUM(E4087:F4087)</f>
        <v>31007</v>
      </c>
      <c r="H4087" s="2">
        <f t="shared" ref="H4087:H4150" si="1957">SUM(E4087)/G4087</f>
        <v>0.67226755248814785</v>
      </c>
      <c r="I4087" s="2">
        <f t="shared" ref="I4087:I4150" si="1958">SUM(F4087/G4087)</f>
        <v>0.32773244751185215</v>
      </c>
      <c r="J4087" s="3">
        <f>2999.63+61308.67</f>
        <v>64308.299999999996</v>
      </c>
      <c r="K4087" s="3">
        <f>1312.87+127754.81</f>
        <v>129067.68</v>
      </c>
      <c r="L4087" s="1">
        <f t="shared" si="1952"/>
        <v>193375.97999999998</v>
      </c>
      <c r="M4087" s="2">
        <f t="shared" si="1953"/>
        <v>0.33255578071278552</v>
      </c>
      <c r="N4087" s="2">
        <f t="shared" si="1954"/>
        <v>0.66744421928721454</v>
      </c>
      <c r="P4087" s="5">
        <f t="shared" si="1955"/>
        <v>6236.5265907698249</v>
      </c>
    </row>
    <row r="4088" spans="1:16" x14ac:dyDescent="0.35">
      <c r="A4088" t="s">
        <v>37</v>
      </c>
      <c r="B4088" t="s">
        <v>24</v>
      </c>
      <c r="C4088">
        <v>2006</v>
      </c>
      <c r="D4088" t="s">
        <v>30</v>
      </c>
      <c r="E4088" s="3">
        <f>8308+12138</f>
        <v>20446</v>
      </c>
      <c r="F4088" s="3">
        <f>2965+7254</f>
        <v>10219</v>
      </c>
      <c r="G4088" s="1">
        <f t="shared" si="1956"/>
        <v>30665</v>
      </c>
      <c r="H4088" s="2">
        <f t="shared" si="1957"/>
        <v>0.66675362791456061</v>
      </c>
      <c r="I4088" s="2">
        <f t="shared" si="1958"/>
        <v>0.33324637208543945</v>
      </c>
      <c r="J4088" s="3">
        <f>3200.17+60637.34</f>
        <v>63837.509999999995</v>
      </c>
      <c r="K4088" s="3">
        <f>1371.76+130137.2</f>
        <v>131508.96</v>
      </c>
      <c r="L4088" s="1">
        <f t="shared" si="1952"/>
        <v>195346.46999999997</v>
      </c>
      <c r="M4088" s="2">
        <f t="shared" si="1953"/>
        <v>0.32679121358067031</v>
      </c>
      <c r="N4088" s="2">
        <f t="shared" si="1954"/>
        <v>0.6732087864193298</v>
      </c>
      <c r="P4088" s="5">
        <f t="shared" si="1955"/>
        <v>6370.3398010761448</v>
      </c>
    </row>
    <row r="4089" spans="1:16" x14ac:dyDescent="0.35">
      <c r="A4089" t="s">
        <v>37</v>
      </c>
      <c r="B4089" t="s">
        <v>25</v>
      </c>
      <c r="C4089">
        <v>2006</v>
      </c>
      <c r="D4089" t="s">
        <v>30</v>
      </c>
      <c r="E4089" s="3">
        <f>8378+11989</f>
        <v>20367</v>
      </c>
      <c r="F4089" s="3">
        <f>3045+7420</f>
        <v>10465</v>
      </c>
      <c r="G4089" s="1">
        <f t="shared" si="1956"/>
        <v>30832</v>
      </c>
      <c r="H4089" s="2">
        <f t="shared" si="1957"/>
        <v>0.66057991696938245</v>
      </c>
      <c r="I4089" s="2">
        <f t="shared" si="1958"/>
        <v>0.33942008303061755</v>
      </c>
      <c r="J4089" s="3">
        <f>3550.35+65086.06</f>
        <v>68636.41</v>
      </c>
      <c r="K4089" s="3">
        <f>146617.69+1479.84</f>
        <v>148097.53</v>
      </c>
      <c r="L4089" s="1">
        <f t="shared" si="1952"/>
        <v>216733.94</v>
      </c>
      <c r="M4089" s="2">
        <f t="shared" si="1953"/>
        <v>0.31668510248094972</v>
      </c>
      <c r="N4089" s="2">
        <f t="shared" si="1954"/>
        <v>0.68331489751905028</v>
      </c>
      <c r="P4089" s="5">
        <f t="shared" si="1955"/>
        <v>7029.5128437986505</v>
      </c>
    </row>
    <row r="4090" spans="1:16" x14ac:dyDescent="0.35">
      <c r="A4090" t="s">
        <v>37</v>
      </c>
      <c r="B4090" t="s">
        <v>26</v>
      </c>
      <c r="C4090">
        <v>2006</v>
      </c>
      <c r="D4090" t="s">
        <v>30</v>
      </c>
      <c r="E4090" s="3">
        <f>8392+11915</f>
        <v>20307</v>
      </c>
      <c r="F4090" s="3">
        <f>7556+3112</f>
        <v>10668</v>
      </c>
      <c r="G4090" s="1">
        <f t="shared" si="1956"/>
        <v>30975</v>
      </c>
      <c r="H4090" s="2">
        <f t="shared" si="1957"/>
        <v>0.65559322033898304</v>
      </c>
      <c r="I4090" s="2">
        <f t="shared" si="1958"/>
        <v>0.34440677966101696</v>
      </c>
      <c r="J4090" s="3">
        <f>3119.78+59363.06</f>
        <v>62482.84</v>
      </c>
      <c r="K4090" s="3">
        <f>139775.06+1377.08</f>
        <v>141152.13999999998</v>
      </c>
      <c r="L4090" s="1">
        <f t="shared" si="1952"/>
        <v>203634.97999999998</v>
      </c>
      <c r="M4090" s="2">
        <f t="shared" si="1953"/>
        <v>0.3068374598509549</v>
      </c>
      <c r="N4090" s="2">
        <f t="shared" si="1954"/>
        <v>0.6931625401490451</v>
      </c>
      <c r="P4090" s="5">
        <f t="shared" si="1955"/>
        <v>6574.1720742534289</v>
      </c>
    </row>
    <row r="4091" spans="1:16" x14ac:dyDescent="0.35">
      <c r="A4091" t="s">
        <v>37</v>
      </c>
      <c r="B4091" t="s">
        <v>27</v>
      </c>
      <c r="C4091">
        <v>2006</v>
      </c>
      <c r="D4091" t="s">
        <v>30</v>
      </c>
      <c r="E4091" s="3">
        <f>9813+11829</f>
        <v>21642</v>
      </c>
      <c r="F4091" s="3">
        <f>4350+7696</f>
        <v>12046</v>
      </c>
      <c r="G4091" s="1">
        <f t="shared" si="1956"/>
        <v>33688</v>
      </c>
      <c r="H4091" s="2">
        <f t="shared" si="1957"/>
        <v>0.64242460223224884</v>
      </c>
      <c r="I4091" s="2">
        <f t="shared" si="1958"/>
        <v>0.3575753977677511</v>
      </c>
      <c r="J4091" s="3">
        <f>2377.86+50593.19</f>
        <v>52971.05</v>
      </c>
      <c r="K4091" s="3">
        <f>1208.76+126061.68</f>
        <v>127270.43999999999</v>
      </c>
      <c r="L4091" s="1">
        <f t="shared" si="1952"/>
        <v>180241.49</v>
      </c>
      <c r="M4091" s="2">
        <f t="shared" si="1953"/>
        <v>0.29388932592601186</v>
      </c>
      <c r="N4091" s="2">
        <f t="shared" si="1954"/>
        <v>0.7061106740739882</v>
      </c>
      <c r="P4091" s="5">
        <f t="shared" si="1955"/>
        <v>5350.3173236760867</v>
      </c>
    </row>
    <row r="4092" spans="1:16" x14ac:dyDescent="0.35">
      <c r="A4092" t="s">
        <v>37</v>
      </c>
      <c r="B4092" t="s">
        <v>28</v>
      </c>
      <c r="C4092">
        <v>2006</v>
      </c>
      <c r="D4092" t="s">
        <v>30</v>
      </c>
      <c r="E4092" s="3">
        <f>9806+11867</f>
        <v>21673</v>
      </c>
      <c r="F4092" s="3">
        <f>4422+7950</f>
        <v>12372</v>
      </c>
      <c r="G4092" s="1">
        <f t="shared" si="1956"/>
        <v>34045</v>
      </c>
      <c r="H4092" s="2">
        <f t="shared" si="1957"/>
        <v>0.63659861947422525</v>
      </c>
      <c r="I4092" s="2">
        <f t="shared" si="1958"/>
        <v>0.3634013805257747</v>
      </c>
      <c r="J4092" s="3">
        <f>2104.92+42157.48</f>
        <v>44262.400000000001</v>
      </c>
      <c r="K4092" s="3">
        <f>1140.56+112074.88</f>
        <v>113215.44</v>
      </c>
      <c r="L4092" s="1">
        <f t="shared" si="1952"/>
        <v>157477.84</v>
      </c>
      <c r="M4092" s="2">
        <f t="shared" si="1953"/>
        <v>0.28107065730645026</v>
      </c>
      <c r="N4092" s="2">
        <f t="shared" si="1954"/>
        <v>0.7189293426935498</v>
      </c>
      <c r="P4092" s="5">
        <f t="shared" si="1955"/>
        <v>4625.5790865031577</v>
      </c>
    </row>
    <row r="4093" spans="1:16" x14ac:dyDescent="0.35">
      <c r="A4093" t="s">
        <v>37</v>
      </c>
      <c r="B4093" t="s">
        <v>29</v>
      </c>
      <c r="C4093">
        <v>2006</v>
      </c>
      <c r="D4093" t="s">
        <v>30</v>
      </c>
      <c r="E4093" s="3">
        <f>10028+11802</f>
        <v>21830</v>
      </c>
      <c r="F4093" s="3">
        <f>4461+7972</f>
        <v>12433</v>
      </c>
      <c r="G4093" s="1">
        <f t="shared" si="1956"/>
        <v>34263</v>
      </c>
      <c r="H4093" s="2">
        <f t="shared" si="1957"/>
        <v>0.63713043224469545</v>
      </c>
      <c r="I4093" s="2">
        <f t="shared" si="1958"/>
        <v>0.36286956775530455</v>
      </c>
      <c r="J4093" s="3">
        <f>3138.59+40588.73</f>
        <v>43727.320000000007</v>
      </c>
      <c r="K4093" s="3">
        <f>105387.19+1915.14</f>
        <v>107302.33</v>
      </c>
      <c r="L4093" s="1">
        <f t="shared" si="1952"/>
        <v>151029.65000000002</v>
      </c>
      <c r="M4093" s="2">
        <f t="shared" si="1953"/>
        <v>0.28952804962469292</v>
      </c>
      <c r="N4093" s="2">
        <f t="shared" si="1954"/>
        <v>0.71047195037530697</v>
      </c>
      <c r="P4093" s="5">
        <f t="shared" si="1955"/>
        <v>4407.951726352042</v>
      </c>
    </row>
    <row r="4094" spans="1:16" x14ac:dyDescent="0.35">
      <c r="A4094" t="s">
        <v>37</v>
      </c>
      <c r="B4094" t="s">
        <v>17</v>
      </c>
      <c r="C4094">
        <v>2007</v>
      </c>
      <c r="D4094" t="s">
        <v>30</v>
      </c>
      <c r="E4094" s="3">
        <f>9773+11579</f>
        <v>21352</v>
      </c>
      <c r="F4094" s="3">
        <f>4495+8072</f>
        <v>12567</v>
      </c>
      <c r="G4094" s="1">
        <f t="shared" si="1956"/>
        <v>33919</v>
      </c>
      <c r="H4094" s="2">
        <f t="shared" si="1957"/>
        <v>0.62949969043898701</v>
      </c>
      <c r="I4094" s="2">
        <f t="shared" si="1958"/>
        <v>0.37050030956101299</v>
      </c>
      <c r="J4094" s="3">
        <f>3623.99+39713.87</f>
        <v>43337.86</v>
      </c>
      <c r="K4094" s="3">
        <f>2211.66+96070.57</f>
        <v>98282.23000000001</v>
      </c>
      <c r="L4094" s="1">
        <f t="shared" si="1952"/>
        <v>141620.09000000003</v>
      </c>
      <c r="M4094" s="2">
        <f t="shared" si="1953"/>
        <v>0.30601491638650979</v>
      </c>
      <c r="N4094" s="2">
        <f t="shared" si="1954"/>
        <v>0.69398508361349009</v>
      </c>
      <c r="P4094" s="5">
        <f t="shared" si="1955"/>
        <v>4175.2436687402351</v>
      </c>
    </row>
    <row r="4095" spans="1:16" x14ac:dyDescent="0.35">
      <c r="A4095" t="s">
        <v>37</v>
      </c>
      <c r="B4095" t="s">
        <v>19</v>
      </c>
      <c r="C4095">
        <v>2007</v>
      </c>
      <c r="D4095" t="s">
        <v>30</v>
      </c>
      <c r="E4095" s="3">
        <f>9664+11311</f>
        <v>20975</v>
      </c>
      <c r="F4095" s="3">
        <f>4623+8276</f>
        <v>12899</v>
      </c>
      <c r="G4095" s="1">
        <f t="shared" si="1956"/>
        <v>33874</v>
      </c>
      <c r="H4095" s="2">
        <f t="shared" si="1957"/>
        <v>0.61920647103973547</v>
      </c>
      <c r="I4095" s="2">
        <f t="shared" si="1958"/>
        <v>0.38079352896026453</v>
      </c>
      <c r="J4095" s="3">
        <f>3794.03+43345.5</f>
        <v>47139.53</v>
      </c>
      <c r="K4095" s="3">
        <f>107657.98+2378.74</f>
        <v>110036.72</v>
      </c>
      <c r="L4095" s="1">
        <f t="shared" si="1952"/>
        <v>157176.25</v>
      </c>
      <c r="M4095" s="2">
        <f t="shared" si="1953"/>
        <v>0.29991509531497285</v>
      </c>
      <c r="N4095" s="2">
        <f t="shared" si="1954"/>
        <v>0.70008490468502715</v>
      </c>
      <c r="P4095" s="5">
        <f t="shared" si="1955"/>
        <v>4640.0262738383417</v>
      </c>
    </row>
    <row r="4096" spans="1:16" x14ac:dyDescent="0.35">
      <c r="A4096" t="s">
        <v>37</v>
      </c>
      <c r="B4096" t="s">
        <v>20</v>
      </c>
      <c r="C4096">
        <v>2007</v>
      </c>
      <c r="D4096" t="s">
        <v>30</v>
      </c>
      <c r="E4096" s="3">
        <f>9727+11248</f>
        <v>20975</v>
      </c>
      <c r="F4096" s="3">
        <f>4726+8398</f>
        <v>13124</v>
      </c>
      <c r="G4096" s="1">
        <f t="shared" si="1956"/>
        <v>34099</v>
      </c>
      <c r="H4096" s="2">
        <f t="shared" si="1957"/>
        <v>0.61512067802574855</v>
      </c>
      <c r="I4096" s="2">
        <f t="shared" si="1958"/>
        <v>0.38487932197425145</v>
      </c>
      <c r="J4096" s="3">
        <f>2876+39922.45</f>
        <v>42798.45</v>
      </c>
      <c r="K4096" s="3">
        <f>1797.27+106405.08</f>
        <v>108202.35</v>
      </c>
      <c r="L4096" s="1">
        <f t="shared" si="1952"/>
        <v>151000.79999999999</v>
      </c>
      <c r="M4096" s="2">
        <f t="shared" si="1953"/>
        <v>0.28343194208242606</v>
      </c>
      <c r="N4096" s="2">
        <f t="shared" si="1954"/>
        <v>0.71656805791757405</v>
      </c>
      <c r="P4096" s="5">
        <f t="shared" si="1955"/>
        <v>4428.305815419807</v>
      </c>
    </row>
    <row r="4097" spans="1:16" x14ac:dyDescent="0.35">
      <c r="A4097" t="s">
        <v>37</v>
      </c>
      <c r="B4097" t="s">
        <v>21</v>
      </c>
      <c r="C4097">
        <v>2007</v>
      </c>
      <c r="D4097" t="s">
        <v>30</v>
      </c>
      <c r="E4097" s="3">
        <f>9450+11037</f>
        <v>20487</v>
      </c>
      <c r="F4097" s="3">
        <f>4838+8562</f>
        <v>13400</v>
      </c>
      <c r="G4097" s="1">
        <f t="shared" si="1956"/>
        <v>33887</v>
      </c>
      <c r="H4097" s="2">
        <f t="shared" si="1957"/>
        <v>0.60456812346917699</v>
      </c>
      <c r="I4097" s="2">
        <f t="shared" si="1958"/>
        <v>0.39543187653082301</v>
      </c>
      <c r="J4097" s="3">
        <f>2528.04+37777.09</f>
        <v>40305.129999999997</v>
      </c>
      <c r="K4097" s="3">
        <f>1805.02+107276.93</f>
        <v>109081.95</v>
      </c>
      <c r="L4097" s="1">
        <f t="shared" si="1952"/>
        <v>149387.07999999999</v>
      </c>
      <c r="M4097" s="2">
        <f t="shared" si="1953"/>
        <v>0.26980331900188426</v>
      </c>
      <c r="N4097" s="2">
        <f t="shared" si="1954"/>
        <v>0.73019668099811585</v>
      </c>
      <c r="P4097" s="5">
        <f t="shared" si="1955"/>
        <v>4408.38905775076</v>
      </c>
    </row>
    <row r="4098" spans="1:16" x14ac:dyDescent="0.35">
      <c r="A4098" t="s">
        <v>37</v>
      </c>
      <c r="B4098" t="s">
        <v>22</v>
      </c>
      <c r="C4098">
        <v>2007</v>
      </c>
      <c r="D4098" t="s">
        <v>30</v>
      </c>
      <c r="E4098" s="3">
        <f>9489+10993</f>
        <v>20482</v>
      </c>
      <c r="F4098" s="3">
        <f>4951+8765</f>
        <v>13716</v>
      </c>
      <c r="G4098" s="1">
        <f t="shared" si="1956"/>
        <v>34198</v>
      </c>
      <c r="H4098" s="2">
        <f t="shared" si="1957"/>
        <v>0.59892391367916253</v>
      </c>
      <c r="I4098" s="2">
        <f t="shared" si="1958"/>
        <v>0.40107608632083747</v>
      </c>
      <c r="J4098" s="3">
        <f>2825.66+42029.97</f>
        <v>44855.630000000005</v>
      </c>
      <c r="K4098" s="3">
        <f>2042.57+125649.84</f>
        <v>127692.41</v>
      </c>
      <c r="L4098" s="1">
        <f t="shared" si="1952"/>
        <v>172548.04</v>
      </c>
      <c r="M4098" s="2">
        <f t="shared" si="1953"/>
        <v>0.25996024063791162</v>
      </c>
      <c r="N4098" s="2">
        <f t="shared" si="1954"/>
        <v>0.74003975936208832</v>
      </c>
      <c r="P4098" s="5">
        <f t="shared" si="1955"/>
        <v>5045.559389437979</v>
      </c>
    </row>
    <row r="4099" spans="1:16" x14ac:dyDescent="0.35">
      <c r="A4099" t="s">
        <v>37</v>
      </c>
      <c r="B4099" t="s">
        <v>23</v>
      </c>
      <c r="C4099">
        <v>2007</v>
      </c>
      <c r="D4099" t="s">
        <v>30</v>
      </c>
      <c r="E4099" s="3">
        <f>9629+10976</f>
        <v>20605</v>
      </c>
      <c r="F4099" s="3">
        <f>5156+9034</f>
        <v>14190</v>
      </c>
      <c r="G4099" s="1">
        <f t="shared" si="1956"/>
        <v>34795</v>
      </c>
      <c r="H4099" s="2">
        <f t="shared" si="1957"/>
        <v>0.59218278488288545</v>
      </c>
      <c r="I4099" s="2">
        <f t="shared" si="1958"/>
        <v>0.40781721511711455</v>
      </c>
      <c r="J4099" s="3">
        <f>3283.17+46059.49</f>
        <v>49342.659999999996</v>
      </c>
      <c r="K4099" s="3">
        <f>2432.74+128935.14</f>
        <v>131367.88</v>
      </c>
      <c r="L4099" s="1">
        <f t="shared" ref="L4099:L4162" si="1959">SUM(J4099:K4099)</f>
        <v>180710.54</v>
      </c>
      <c r="M4099" s="2">
        <f t="shared" ref="M4099:M4162" si="1960">SUM(J4099)/L4099</f>
        <v>0.27304804689311424</v>
      </c>
      <c r="N4099" s="2">
        <f t="shared" ref="N4099:N4162" si="1961">SUM(K4099/L4099)</f>
        <v>0.72695195310688576</v>
      </c>
      <c r="P4099" s="5">
        <f t="shared" si="1955"/>
        <v>5193.5778129041528</v>
      </c>
    </row>
    <row r="4100" spans="1:16" x14ac:dyDescent="0.35">
      <c r="A4100" t="s">
        <v>37</v>
      </c>
      <c r="B4100" t="s">
        <v>24</v>
      </c>
      <c r="C4100">
        <v>2007</v>
      </c>
      <c r="D4100" t="s">
        <v>30</v>
      </c>
      <c r="E4100" s="3">
        <f>9301+10558</f>
        <v>19859</v>
      </c>
      <c r="F4100" s="3">
        <f>5155+9047</f>
        <v>14202</v>
      </c>
      <c r="G4100" s="1">
        <f t="shared" si="1956"/>
        <v>34061</v>
      </c>
      <c r="H4100" s="2">
        <f t="shared" si="1957"/>
        <v>0.58304218901382809</v>
      </c>
      <c r="I4100" s="2">
        <f t="shared" si="1958"/>
        <v>0.41695781098617185</v>
      </c>
      <c r="J4100" s="3">
        <f>3663.24+48323.56</f>
        <v>51986.799999999996</v>
      </c>
      <c r="K4100" s="3">
        <f>2663.21+137160.43</f>
        <v>139823.63999999998</v>
      </c>
      <c r="L4100" s="1">
        <f t="shared" si="1959"/>
        <v>191810.43999999997</v>
      </c>
      <c r="M4100" s="2">
        <f t="shared" si="1960"/>
        <v>0.27103217113729577</v>
      </c>
      <c r="N4100" s="2">
        <f t="shared" si="1961"/>
        <v>0.72896782886270428</v>
      </c>
      <c r="P4100" s="5">
        <f t="shared" ref="P4100:P4163" si="1962">SUM(1000*L4100)/G4100</f>
        <v>5631.3801708699093</v>
      </c>
    </row>
    <row r="4101" spans="1:16" x14ac:dyDescent="0.35">
      <c r="A4101" t="s">
        <v>37</v>
      </c>
      <c r="B4101" t="s">
        <v>25</v>
      </c>
      <c r="C4101">
        <v>2007</v>
      </c>
      <c r="D4101" t="s">
        <v>30</v>
      </c>
      <c r="E4101" s="3">
        <f>9247+10317</f>
        <v>19564</v>
      </c>
      <c r="F4101" s="3">
        <f>5370+9323</f>
        <v>14693</v>
      </c>
      <c r="G4101" s="1">
        <f t="shared" si="1956"/>
        <v>34257</v>
      </c>
      <c r="H4101" s="2">
        <f t="shared" si="1957"/>
        <v>0.57109495869457338</v>
      </c>
      <c r="I4101" s="2">
        <f t="shared" si="1958"/>
        <v>0.42890504130542662</v>
      </c>
      <c r="J4101" s="3">
        <f>4028.31+51155.58</f>
        <v>55183.89</v>
      </c>
      <c r="K4101" s="3">
        <f>2996.62+147891.77</f>
        <v>150888.38999999998</v>
      </c>
      <c r="L4101" s="1">
        <f t="shared" si="1959"/>
        <v>206072.27999999997</v>
      </c>
      <c r="M4101" s="2">
        <f t="shared" si="1960"/>
        <v>0.26778900102430081</v>
      </c>
      <c r="N4101" s="2">
        <f t="shared" si="1961"/>
        <v>0.73221099897569919</v>
      </c>
      <c r="P4101" s="5">
        <f t="shared" si="1962"/>
        <v>6015.4794640511418</v>
      </c>
    </row>
    <row r="4102" spans="1:16" x14ac:dyDescent="0.35">
      <c r="A4102" t="s">
        <v>37</v>
      </c>
      <c r="B4102" t="s">
        <v>26</v>
      </c>
      <c r="C4102">
        <v>2007</v>
      </c>
      <c r="D4102" t="s">
        <v>30</v>
      </c>
      <c r="E4102" s="3">
        <f>9236+10140</f>
        <v>19376</v>
      </c>
      <c r="F4102" s="3">
        <f>5517+9532</f>
        <v>15049</v>
      </c>
      <c r="G4102" s="1">
        <f t="shared" si="1956"/>
        <v>34425</v>
      </c>
      <c r="H4102" s="2">
        <f t="shared" si="1957"/>
        <v>0.56284676833696445</v>
      </c>
      <c r="I4102" s="2">
        <f t="shared" si="1958"/>
        <v>0.4371532316630356</v>
      </c>
      <c r="J4102" s="3">
        <f>3831.72+50124.41</f>
        <v>53956.130000000005</v>
      </c>
      <c r="K4102" s="3">
        <f>2921.23+154900.6</f>
        <v>157821.83000000002</v>
      </c>
      <c r="L4102" s="1">
        <f t="shared" si="1959"/>
        <v>211777.96000000002</v>
      </c>
      <c r="M4102" s="2">
        <f t="shared" si="1960"/>
        <v>0.25477688990865716</v>
      </c>
      <c r="N4102" s="2">
        <f t="shared" si="1961"/>
        <v>0.74522311009134279</v>
      </c>
      <c r="P4102" s="5">
        <f t="shared" si="1962"/>
        <v>6151.8652142338424</v>
      </c>
    </row>
    <row r="4103" spans="1:16" x14ac:dyDescent="0.35">
      <c r="A4103" t="s">
        <v>37</v>
      </c>
      <c r="B4103" t="s">
        <v>27</v>
      </c>
      <c r="C4103">
        <v>2007</v>
      </c>
      <c r="D4103" t="s">
        <v>30</v>
      </c>
      <c r="E4103" s="3">
        <f>8616+9967</f>
        <v>18583</v>
      </c>
      <c r="F4103" s="3">
        <f>4777+9681</f>
        <v>14458</v>
      </c>
      <c r="G4103" s="1">
        <f t="shared" si="1956"/>
        <v>33041</v>
      </c>
      <c r="H4103" s="2">
        <f t="shared" si="1957"/>
        <v>0.56242244484125781</v>
      </c>
      <c r="I4103" s="2">
        <f t="shared" si="1958"/>
        <v>0.43757755515874219</v>
      </c>
      <c r="J4103" s="3">
        <f>3976.61+45243.34</f>
        <v>49219.95</v>
      </c>
      <c r="K4103" s="3">
        <f>2845.93+147763.11</f>
        <v>150609.03999999998</v>
      </c>
      <c r="L4103" s="1">
        <f t="shared" si="1959"/>
        <v>199828.99</v>
      </c>
      <c r="M4103" s="2">
        <f t="shared" si="1960"/>
        <v>0.24631035767132686</v>
      </c>
      <c r="N4103" s="2">
        <f t="shared" si="1961"/>
        <v>0.75368964232867308</v>
      </c>
      <c r="P4103" s="5">
        <f t="shared" si="1962"/>
        <v>6047.909869556006</v>
      </c>
    </row>
    <row r="4104" spans="1:16" x14ac:dyDescent="0.35">
      <c r="A4104" t="s">
        <v>37</v>
      </c>
      <c r="B4104" t="s">
        <v>28</v>
      </c>
      <c r="C4104">
        <v>2007</v>
      </c>
      <c r="D4104" t="s">
        <v>30</v>
      </c>
      <c r="E4104" s="3">
        <f>8581+9753</f>
        <v>18334</v>
      </c>
      <c r="F4104" s="3">
        <f>4942+9889</f>
        <v>14831</v>
      </c>
      <c r="G4104" s="1">
        <f t="shared" si="1956"/>
        <v>33165</v>
      </c>
      <c r="H4104" s="2">
        <f t="shared" si="1957"/>
        <v>0.55281169908035577</v>
      </c>
      <c r="I4104" s="2">
        <f t="shared" si="1958"/>
        <v>0.44718830091964418</v>
      </c>
      <c r="J4104" s="3">
        <f>2830.28+36096.96</f>
        <v>38927.24</v>
      </c>
      <c r="K4104" s="3">
        <f>2149.43+121268.18</f>
        <v>123417.60999999999</v>
      </c>
      <c r="L4104" s="1">
        <f t="shared" si="1959"/>
        <v>162344.84999999998</v>
      </c>
      <c r="M4104" s="2">
        <f t="shared" si="1960"/>
        <v>0.23978118184839251</v>
      </c>
      <c r="N4104" s="2">
        <f t="shared" si="1961"/>
        <v>0.76021881815160752</v>
      </c>
      <c r="P4104" s="5">
        <f t="shared" si="1962"/>
        <v>4895.0655811849829</v>
      </c>
    </row>
    <row r="4105" spans="1:16" x14ac:dyDescent="0.35">
      <c r="A4105" t="s">
        <v>37</v>
      </c>
      <c r="B4105" t="s">
        <v>29</v>
      </c>
      <c r="C4105">
        <v>2007</v>
      </c>
      <c r="D4105" t="s">
        <v>30</v>
      </c>
      <c r="E4105" s="3">
        <f>8549+9602</f>
        <v>18151</v>
      </c>
      <c r="F4105" s="3">
        <f>5101+10057</f>
        <v>15158</v>
      </c>
      <c r="G4105" s="1">
        <f t="shared" si="1956"/>
        <v>33309</v>
      </c>
      <c r="H4105" s="2">
        <f t="shared" si="1957"/>
        <v>0.54492779729202323</v>
      </c>
      <c r="I4105" s="2">
        <f t="shared" si="1958"/>
        <v>0.45507220270797683</v>
      </c>
      <c r="J4105" s="3">
        <f>2890.07+32677.83</f>
        <v>35567.9</v>
      </c>
      <c r="K4105" s="3">
        <f>2349.67+115579.25</f>
        <v>117928.92</v>
      </c>
      <c r="L4105" s="1">
        <f t="shared" si="1959"/>
        <v>153496.82</v>
      </c>
      <c r="M4105" s="2">
        <f t="shared" si="1960"/>
        <v>0.23171750398477312</v>
      </c>
      <c r="N4105" s="2">
        <f t="shared" si="1961"/>
        <v>0.7682824960152268</v>
      </c>
      <c r="P4105" s="5">
        <f t="shared" si="1962"/>
        <v>4608.2686361043561</v>
      </c>
    </row>
    <row r="4106" spans="1:16" x14ac:dyDescent="0.35">
      <c r="A4106" t="s">
        <v>37</v>
      </c>
      <c r="B4106" t="s">
        <v>17</v>
      </c>
      <c r="C4106">
        <v>2008</v>
      </c>
      <c r="D4106" t="s">
        <v>30</v>
      </c>
      <c r="E4106" s="3">
        <f>9233+8285</f>
        <v>17518</v>
      </c>
      <c r="F4106" s="3">
        <f>5617+9452</f>
        <v>15069</v>
      </c>
      <c r="G4106" s="1">
        <f t="shared" si="1956"/>
        <v>32587</v>
      </c>
      <c r="H4106" s="2">
        <f t="shared" si="1957"/>
        <v>0.5375763341209685</v>
      </c>
      <c r="I4106" s="2">
        <f t="shared" si="1958"/>
        <v>0.4624236658790315</v>
      </c>
      <c r="J4106" s="3">
        <f>3633.82+34741.01</f>
        <v>38374.83</v>
      </c>
      <c r="K4106" s="3">
        <f>2836.16+118289.81</f>
        <v>121125.97</v>
      </c>
      <c r="L4106" s="1">
        <f t="shared" si="1959"/>
        <v>159500.79999999999</v>
      </c>
      <c r="M4106" s="2">
        <f t="shared" si="1960"/>
        <v>0.24059333871679645</v>
      </c>
      <c r="N4106" s="2">
        <f t="shared" si="1961"/>
        <v>0.75940666128320367</v>
      </c>
      <c r="P4106" s="5">
        <f t="shared" si="1962"/>
        <v>4894.614416791972</v>
      </c>
    </row>
    <row r="4107" spans="1:16" x14ac:dyDescent="0.35">
      <c r="A4107" t="s">
        <v>37</v>
      </c>
      <c r="B4107" t="s">
        <v>19</v>
      </c>
      <c r="C4107">
        <v>2008</v>
      </c>
      <c r="D4107" t="s">
        <v>30</v>
      </c>
      <c r="E4107" s="3">
        <f>9099+8084</f>
        <v>17183</v>
      </c>
      <c r="F4107" s="3">
        <f>5821+9666</f>
        <v>15487</v>
      </c>
      <c r="G4107" s="1">
        <f t="shared" si="1956"/>
        <v>32670</v>
      </c>
      <c r="H4107" s="2">
        <f t="shared" si="1957"/>
        <v>0.52595653504744411</v>
      </c>
      <c r="I4107" s="2">
        <f t="shared" si="1958"/>
        <v>0.47404346495255584</v>
      </c>
      <c r="J4107" s="3">
        <f>33733+3253.33</f>
        <v>36986.33</v>
      </c>
      <c r="K4107" s="3">
        <f>118144.16+2902.57</f>
        <v>121046.73000000001</v>
      </c>
      <c r="L4107" s="1">
        <f t="shared" si="1959"/>
        <v>158033.06</v>
      </c>
      <c r="M4107" s="2">
        <f t="shared" si="1960"/>
        <v>0.23404172519345004</v>
      </c>
      <c r="N4107" s="2">
        <f t="shared" si="1961"/>
        <v>0.7659582748065501</v>
      </c>
      <c r="P4107" s="5">
        <f t="shared" si="1962"/>
        <v>4837.2531374349555</v>
      </c>
    </row>
    <row r="4108" spans="1:16" x14ac:dyDescent="0.35">
      <c r="A4108" t="s">
        <v>37</v>
      </c>
      <c r="B4108" t="s">
        <v>20</v>
      </c>
      <c r="C4108">
        <v>2008</v>
      </c>
      <c r="D4108" t="s">
        <v>30</v>
      </c>
      <c r="E4108" s="3">
        <f>9030+7978</f>
        <v>17008</v>
      </c>
      <c r="F4108" s="3">
        <f>6034+9818</f>
        <v>15852</v>
      </c>
      <c r="G4108" s="1">
        <f t="shared" si="1956"/>
        <v>32860</v>
      </c>
      <c r="H4108" s="2">
        <f t="shared" si="1957"/>
        <v>0.51758977480219115</v>
      </c>
      <c r="I4108" s="2">
        <f t="shared" si="1958"/>
        <v>0.48241022519780891</v>
      </c>
      <c r="J4108" s="3">
        <f>2895.45+32560.94</f>
        <v>35456.39</v>
      </c>
      <c r="K4108" s="3">
        <f>2629.28+115875.54</f>
        <v>118504.81999999999</v>
      </c>
      <c r="L4108" s="1">
        <f t="shared" si="1959"/>
        <v>153961.21</v>
      </c>
      <c r="M4108" s="2">
        <f t="shared" si="1960"/>
        <v>0.23029430594888156</v>
      </c>
      <c r="N4108" s="2">
        <f t="shared" si="1961"/>
        <v>0.76970569405111844</v>
      </c>
      <c r="P4108" s="5">
        <f t="shared" si="1962"/>
        <v>4685.3685331710285</v>
      </c>
    </row>
    <row r="4109" spans="1:16" x14ac:dyDescent="0.35">
      <c r="A4109" t="s">
        <v>37</v>
      </c>
      <c r="B4109" t="s">
        <v>21</v>
      </c>
      <c r="C4109">
        <v>2008</v>
      </c>
      <c r="D4109" t="s">
        <v>30</v>
      </c>
      <c r="E4109" s="3">
        <f>9115+7409</f>
        <v>16524</v>
      </c>
      <c r="F4109" s="3">
        <f>6174+9539</f>
        <v>15713</v>
      </c>
      <c r="G4109" s="1">
        <f t="shared" si="1956"/>
        <v>32237</v>
      </c>
      <c r="H4109" s="2">
        <f t="shared" si="1957"/>
        <v>0.51257871390017684</v>
      </c>
      <c r="I4109" s="2">
        <f t="shared" si="1958"/>
        <v>0.48742128609982316</v>
      </c>
      <c r="J4109" s="3">
        <f>2965.57+32793.46</f>
        <v>35759.03</v>
      </c>
      <c r="K4109" s="3">
        <f>2951.36+121126.83</f>
        <v>124078.19</v>
      </c>
      <c r="L4109" s="1">
        <f t="shared" si="1959"/>
        <v>159837.22</v>
      </c>
      <c r="M4109" s="2">
        <f t="shared" si="1960"/>
        <v>0.22372154620807344</v>
      </c>
      <c r="N4109" s="2">
        <f t="shared" si="1961"/>
        <v>0.77627845379192661</v>
      </c>
      <c r="P4109" s="5">
        <f t="shared" si="1962"/>
        <v>4958.1915190619475</v>
      </c>
    </row>
    <row r="4110" spans="1:16" x14ac:dyDescent="0.35">
      <c r="A4110" t="s">
        <v>37</v>
      </c>
      <c r="B4110" t="s">
        <v>22</v>
      </c>
      <c r="C4110">
        <v>2008</v>
      </c>
      <c r="D4110" t="s">
        <v>30</v>
      </c>
      <c r="E4110" s="3">
        <f>9072+7295</f>
        <v>16367</v>
      </c>
      <c r="F4110" s="3">
        <f>6304+9684</f>
        <v>15988</v>
      </c>
      <c r="G4110" s="1">
        <f t="shared" si="1956"/>
        <v>32355</v>
      </c>
      <c r="H4110" s="2">
        <f t="shared" si="1957"/>
        <v>0.50585690001545358</v>
      </c>
      <c r="I4110" s="2">
        <f t="shared" si="1958"/>
        <v>0.49414309998454642</v>
      </c>
      <c r="J4110" s="3">
        <f>2916.69+34228.15</f>
        <v>37144.840000000004</v>
      </c>
      <c r="K4110" s="3">
        <f>128008.3+3039.68</f>
        <v>131047.98</v>
      </c>
      <c r="L4110" s="1">
        <f t="shared" si="1959"/>
        <v>168192.82</v>
      </c>
      <c r="M4110" s="2">
        <f t="shared" si="1960"/>
        <v>0.22084676385115609</v>
      </c>
      <c r="N4110" s="2">
        <f t="shared" si="1961"/>
        <v>0.77915323614884391</v>
      </c>
      <c r="P4110" s="5">
        <f t="shared" si="1962"/>
        <v>5198.3563591407819</v>
      </c>
    </row>
    <row r="4111" spans="1:16" x14ac:dyDescent="0.35">
      <c r="A4111" t="s">
        <v>37</v>
      </c>
      <c r="B4111" t="s">
        <v>23</v>
      </c>
      <c r="C4111">
        <v>2008</v>
      </c>
      <c r="D4111" t="s">
        <v>30</v>
      </c>
      <c r="E4111" s="3">
        <f>9040+7217</f>
        <v>16257</v>
      </c>
      <c r="F4111" s="3">
        <f>6687+9806</f>
        <v>16493</v>
      </c>
      <c r="G4111" s="1">
        <f t="shared" si="1956"/>
        <v>32750</v>
      </c>
      <c r="H4111" s="2">
        <f t="shared" si="1957"/>
        <v>0.49639694656488548</v>
      </c>
      <c r="I4111" s="2">
        <f t="shared" si="1958"/>
        <v>0.50360305343511447</v>
      </c>
      <c r="J4111" s="3">
        <f>3650.19+39681.52</f>
        <v>43331.71</v>
      </c>
      <c r="K4111" s="3">
        <f>3782.45+149981.72</f>
        <v>153764.17000000001</v>
      </c>
      <c r="L4111" s="1">
        <f t="shared" si="1959"/>
        <v>197095.88</v>
      </c>
      <c r="M4111" s="2">
        <f t="shared" si="1960"/>
        <v>0.21985091722871122</v>
      </c>
      <c r="N4111" s="2">
        <f t="shared" si="1961"/>
        <v>0.7801490827712888</v>
      </c>
      <c r="P4111" s="5">
        <f t="shared" si="1962"/>
        <v>6018.1948091603053</v>
      </c>
    </row>
    <row r="4112" spans="1:16" x14ac:dyDescent="0.35">
      <c r="A4112" t="s">
        <v>37</v>
      </c>
      <c r="B4112" t="s">
        <v>24</v>
      </c>
      <c r="C4112">
        <v>2008</v>
      </c>
      <c r="D4112" t="s">
        <v>30</v>
      </c>
      <c r="E4112" s="3">
        <f>8856+7064</f>
        <v>15920</v>
      </c>
      <c r="F4112" s="3">
        <f>6370+9989</f>
        <v>16359</v>
      </c>
      <c r="G4112" s="1">
        <f t="shared" si="1956"/>
        <v>32279</v>
      </c>
      <c r="H4112" s="2">
        <f t="shared" si="1957"/>
        <v>0.49319991325629664</v>
      </c>
      <c r="I4112" s="2">
        <f t="shared" si="1958"/>
        <v>0.50680008674370336</v>
      </c>
      <c r="J4112" s="3">
        <f>4123.49+42904.11</f>
        <v>47027.6</v>
      </c>
      <c r="K4112" s="3">
        <f>4167.63+160068.22</f>
        <v>164235.85</v>
      </c>
      <c r="L4112" s="1">
        <f t="shared" si="1959"/>
        <v>211263.45</v>
      </c>
      <c r="M4112" s="2">
        <f t="shared" si="1960"/>
        <v>0.22260168524181537</v>
      </c>
      <c r="N4112" s="2">
        <f t="shared" si="1961"/>
        <v>0.77739831475818466</v>
      </c>
      <c r="P4112" s="5">
        <f t="shared" si="1962"/>
        <v>6544.9192973760028</v>
      </c>
    </row>
    <row r="4113" spans="1:16" x14ac:dyDescent="0.35">
      <c r="A4113" t="s">
        <v>37</v>
      </c>
      <c r="B4113" t="s">
        <v>25</v>
      </c>
      <c r="C4113">
        <v>2008</v>
      </c>
      <c r="D4113" t="s">
        <v>30</v>
      </c>
      <c r="E4113" s="3">
        <f>8735+6828</f>
        <v>15563</v>
      </c>
      <c r="F4113" s="3">
        <f>6545+10220</f>
        <v>16765</v>
      </c>
      <c r="G4113" s="1">
        <f t="shared" si="1956"/>
        <v>32328</v>
      </c>
      <c r="H4113" s="2">
        <f t="shared" si="1957"/>
        <v>0.48140930462756742</v>
      </c>
      <c r="I4113" s="2">
        <f t="shared" si="1958"/>
        <v>0.51859069537243252</v>
      </c>
      <c r="J4113" s="3">
        <f>3968.2+41668.53</f>
        <v>45636.729999999996</v>
      </c>
      <c r="K4113" s="3">
        <f>4264.39+166505.54</f>
        <v>170769.93000000002</v>
      </c>
      <c r="L4113" s="1">
        <f t="shared" si="1959"/>
        <v>216406.66000000003</v>
      </c>
      <c r="M4113" s="2">
        <f t="shared" si="1960"/>
        <v>0.21088412898198231</v>
      </c>
      <c r="N4113" s="2">
        <f t="shared" si="1961"/>
        <v>0.78911587101801761</v>
      </c>
      <c r="P4113" s="5">
        <f t="shared" si="1962"/>
        <v>6694.093664934423</v>
      </c>
    </row>
    <row r="4114" spans="1:16" x14ac:dyDescent="0.35">
      <c r="A4114" t="s">
        <v>37</v>
      </c>
      <c r="B4114" t="s">
        <v>26</v>
      </c>
      <c r="C4114">
        <v>2008</v>
      </c>
      <c r="D4114" t="s">
        <v>30</v>
      </c>
      <c r="E4114" s="3">
        <f>8607+6586</f>
        <v>15193</v>
      </c>
      <c r="F4114" s="3">
        <f>6764+10492</f>
        <v>17256</v>
      </c>
      <c r="G4114" s="1">
        <f t="shared" si="1956"/>
        <v>32449</v>
      </c>
      <c r="H4114" s="2">
        <f t="shared" si="1957"/>
        <v>0.46821165521279545</v>
      </c>
      <c r="I4114" s="2">
        <f t="shared" si="1958"/>
        <v>0.53178834478720449</v>
      </c>
      <c r="J4114" s="3">
        <f>3303.57+34945.17</f>
        <v>38248.74</v>
      </c>
      <c r="K4114" s="3">
        <f>3717.19+157358.36</f>
        <v>161075.54999999999</v>
      </c>
      <c r="L4114" s="1">
        <f t="shared" si="1959"/>
        <v>199324.28999999998</v>
      </c>
      <c r="M4114" s="2">
        <f t="shared" si="1960"/>
        <v>0.19189201677326934</v>
      </c>
      <c r="N4114" s="2">
        <f t="shared" si="1961"/>
        <v>0.80810798322673072</v>
      </c>
      <c r="P4114" s="5">
        <f t="shared" si="1962"/>
        <v>6142.694381953218</v>
      </c>
    </row>
    <row r="4115" spans="1:16" x14ac:dyDescent="0.35">
      <c r="A4115" t="s">
        <v>37</v>
      </c>
      <c r="B4115" t="s">
        <v>27</v>
      </c>
      <c r="C4115">
        <v>2008</v>
      </c>
      <c r="D4115" t="s">
        <v>30</v>
      </c>
      <c r="E4115" s="3">
        <f>8266+6190</f>
        <v>14456</v>
      </c>
      <c r="F4115" s="3">
        <f>6908+10825</f>
        <v>17733</v>
      </c>
      <c r="G4115" s="1">
        <f t="shared" si="1956"/>
        <v>32189</v>
      </c>
      <c r="H4115" s="2">
        <f t="shared" si="1957"/>
        <v>0.44909751778557894</v>
      </c>
      <c r="I4115" s="2">
        <f t="shared" si="1958"/>
        <v>0.55090248221442106</v>
      </c>
      <c r="J4115" s="3">
        <f>2708.2+27309.11</f>
        <v>30017.31</v>
      </c>
      <c r="K4115" s="3">
        <f>3731.27+141212.37</f>
        <v>144943.63999999998</v>
      </c>
      <c r="L4115" s="1">
        <f t="shared" si="1959"/>
        <v>174960.94999999998</v>
      </c>
      <c r="M4115" s="2">
        <f t="shared" si="1960"/>
        <v>0.17156576939025539</v>
      </c>
      <c r="N4115" s="2">
        <f t="shared" si="1961"/>
        <v>0.82843423060974464</v>
      </c>
      <c r="P4115" s="5">
        <f t="shared" si="1962"/>
        <v>5435.4266985616196</v>
      </c>
    </row>
    <row r="4116" spans="1:16" x14ac:dyDescent="0.35">
      <c r="A4116" t="s">
        <v>37</v>
      </c>
      <c r="B4116" t="s">
        <v>28</v>
      </c>
      <c r="C4116">
        <v>2008</v>
      </c>
      <c r="D4116" t="s">
        <v>30</v>
      </c>
      <c r="E4116" s="3">
        <f>7996+5794</f>
        <v>13790</v>
      </c>
      <c r="F4116" s="3">
        <f>7243+11270</f>
        <v>18513</v>
      </c>
      <c r="G4116" s="1">
        <f t="shared" si="1956"/>
        <v>32303</v>
      </c>
      <c r="H4116" s="2">
        <f t="shared" si="1957"/>
        <v>0.42689533479862551</v>
      </c>
      <c r="I4116" s="2">
        <f t="shared" si="1958"/>
        <v>0.57310466520137449</v>
      </c>
      <c r="J4116" s="3">
        <f>2289.26+22961.96</f>
        <v>25251.22</v>
      </c>
      <c r="K4116" s="3">
        <f>3288.46+124868.72</f>
        <v>128157.18000000001</v>
      </c>
      <c r="L4116" s="1">
        <f t="shared" si="1959"/>
        <v>153408.40000000002</v>
      </c>
      <c r="M4116" s="2">
        <f t="shared" si="1960"/>
        <v>0.16460128650060882</v>
      </c>
      <c r="N4116" s="2">
        <f t="shared" si="1961"/>
        <v>0.8353987134993911</v>
      </c>
      <c r="P4116" s="5">
        <f t="shared" si="1962"/>
        <v>4749.0449803423844</v>
      </c>
    </row>
    <row r="4117" spans="1:16" x14ac:dyDescent="0.35">
      <c r="A4117" t="s">
        <v>37</v>
      </c>
      <c r="B4117" t="s">
        <v>29</v>
      </c>
      <c r="C4117">
        <v>2008</v>
      </c>
      <c r="D4117" t="s">
        <v>30</v>
      </c>
      <c r="E4117" s="3">
        <f>7888+5559</f>
        <v>13447</v>
      </c>
      <c r="F4117" s="3">
        <f>7394+11514</f>
        <v>18908</v>
      </c>
      <c r="G4117" s="1">
        <f t="shared" si="1956"/>
        <v>32355</v>
      </c>
      <c r="H4117" s="2">
        <f t="shared" si="1957"/>
        <v>0.41560809766651213</v>
      </c>
      <c r="I4117" s="2">
        <f t="shared" si="1958"/>
        <v>0.58439190233348792</v>
      </c>
      <c r="J4117" s="3">
        <f>2487.7+21754.11</f>
        <v>24241.81</v>
      </c>
      <c r="K4117" s="3">
        <f>3613.76+122225.17</f>
        <v>125838.93</v>
      </c>
      <c r="L4117" s="1">
        <f t="shared" si="1959"/>
        <v>150080.74</v>
      </c>
      <c r="M4117" s="2">
        <f t="shared" si="1960"/>
        <v>0.16152512307708505</v>
      </c>
      <c r="N4117" s="2">
        <f t="shared" si="1961"/>
        <v>0.838474876922915</v>
      </c>
      <c r="P4117" s="5">
        <f t="shared" si="1962"/>
        <v>4638.5640550146809</v>
      </c>
    </row>
    <row r="4118" spans="1:16" x14ac:dyDescent="0.35">
      <c r="A4118" t="s">
        <v>37</v>
      </c>
      <c r="B4118" t="s">
        <v>17</v>
      </c>
      <c r="C4118">
        <v>2009</v>
      </c>
      <c r="D4118" t="s">
        <v>30</v>
      </c>
      <c r="E4118" s="3">
        <f>7741+5381</f>
        <v>13122</v>
      </c>
      <c r="F4118" s="3">
        <f>7459+11650</f>
        <v>19109</v>
      </c>
      <c r="G4118" s="1">
        <f t="shared" si="1956"/>
        <v>32231</v>
      </c>
      <c r="H4118" s="2">
        <f t="shared" si="1957"/>
        <v>0.40712357668083521</v>
      </c>
      <c r="I4118" s="2">
        <f t="shared" si="1958"/>
        <v>0.59287642331916479</v>
      </c>
      <c r="J4118" s="3">
        <f>2796.98+22439.84</f>
        <v>25236.82</v>
      </c>
      <c r="K4118" s="3">
        <f>4217.17+123515.04</f>
        <v>127732.20999999999</v>
      </c>
      <c r="L4118" s="1">
        <f t="shared" si="1959"/>
        <v>152969.03</v>
      </c>
      <c r="M4118" s="2">
        <f t="shared" si="1960"/>
        <v>0.16497993090496815</v>
      </c>
      <c r="N4118" s="2">
        <f t="shared" si="1961"/>
        <v>0.83502006909503179</v>
      </c>
      <c r="P4118" s="5">
        <f t="shared" si="1962"/>
        <v>4746.0218423257111</v>
      </c>
    </row>
    <row r="4119" spans="1:16" x14ac:dyDescent="0.35">
      <c r="A4119" t="s">
        <v>37</v>
      </c>
      <c r="B4119" t="s">
        <v>19</v>
      </c>
      <c r="C4119">
        <v>2009</v>
      </c>
      <c r="D4119" t="s">
        <v>30</v>
      </c>
      <c r="E4119" s="3">
        <f>7658+5257</f>
        <v>12915</v>
      </c>
      <c r="F4119" s="3">
        <f>7615+11807</f>
        <v>19422</v>
      </c>
      <c r="G4119" s="1">
        <f t="shared" si="1956"/>
        <v>32337</v>
      </c>
      <c r="H4119" s="2">
        <f t="shared" si="1957"/>
        <v>0.3993876983022544</v>
      </c>
      <c r="I4119" s="2">
        <f t="shared" si="1958"/>
        <v>0.6006123016977456</v>
      </c>
      <c r="J4119" s="3">
        <f>2736.82+23433.71</f>
        <v>26170.53</v>
      </c>
      <c r="K4119" s="3">
        <f>4196.23+124763.79</f>
        <v>128960.01999999999</v>
      </c>
      <c r="L4119" s="1">
        <f t="shared" si="1959"/>
        <v>155130.54999999999</v>
      </c>
      <c r="M4119" s="2">
        <f t="shared" si="1960"/>
        <v>0.1687000400630308</v>
      </c>
      <c r="N4119" s="2">
        <f t="shared" si="1961"/>
        <v>0.83129995993696926</v>
      </c>
      <c r="P4119" s="5">
        <f t="shared" si="1962"/>
        <v>4797.3080372328914</v>
      </c>
    </row>
    <row r="4120" spans="1:16" x14ac:dyDescent="0.35">
      <c r="A4120" t="s">
        <v>37</v>
      </c>
      <c r="B4120" t="s">
        <v>20</v>
      </c>
      <c r="C4120">
        <v>2009</v>
      </c>
      <c r="D4120" t="s">
        <v>30</v>
      </c>
      <c r="E4120" s="3">
        <f>7570+5210</f>
        <v>12780</v>
      </c>
      <c r="F4120" s="3">
        <f>7689+11896</f>
        <v>19585</v>
      </c>
      <c r="G4120" s="1">
        <f t="shared" si="1956"/>
        <v>32365</v>
      </c>
      <c r="H4120" s="2">
        <f t="shared" si="1957"/>
        <v>0.39487100262629382</v>
      </c>
      <c r="I4120" s="2">
        <f t="shared" si="1958"/>
        <v>0.60512899737370618</v>
      </c>
      <c r="J4120" s="3">
        <f>2286+22643.96</f>
        <v>24929.96</v>
      </c>
      <c r="K4120" s="3">
        <f>3949.49+127897.18</f>
        <v>131846.66999999998</v>
      </c>
      <c r="L4120" s="1">
        <f t="shared" si="1959"/>
        <v>156776.62999999998</v>
      </c>
      <c r="M4120" s="2">
        <f t="shared" si="1960"/>
        <v>0.15901579208584854</v>
      </c>
      <c r="N4120" s="2">
        <f t="shared" si="1961"/>
        <v>0.84098420791415152</v>
      </c>
      <c r="P4120" s="5">
        <f t="shared" si="1962"/>
        <v>4844.0176116174871</v>
      </c>
    </row>
    <row r="4121" spans="1:16" x14ac:dyDescent="0.35">
      <c r="A4121" t="s">
        <v>37</v>
      </c>
      <c r="B4121" t="s">
        <v>21</v>
      </c>
      <c r="C4121">
        <v>2009</v>
      </c>
      <c r="D4121" t="s">
        <v>30</v>
      </c>
      <c r="E4121" s="3">
        <f>7343+5153</f>
        <v>12496</v>
      </c>
      <c r="F4121" s="3">
        <f>7630+12063</f>
        <v>19693</v>
      </c>
      <c r="G4121" s="1">
        <f t="shared" si="1956"/>
        <v>32189</v>
      </c>
      <c r="H4121" s="2">
        <f t="shared" si="1957"/>
        <v>0.38820715151138585</v>
      </c>
      <c r="I4121" s="2">
        <f t="shared" si="1958"/>
        <v>0.61179284848861415</v>
      </c>
      <c r="J4121" s="3">
        <f>2083.94+20651.56</f>
        <v>22735.5</v>
      </c>
      <c r="K4121" s="3">
        <f>3528.75+121530.81</f>
        <v>125059.56</v>
      </c>
      <c r="L4121" s="1">
        <f t="shared" si="1959"/>
        <v>147795.06</v>
      </c>
      <c r="M4121" s="2">
        <f t="shared" si="1960"/>
        <v>0.15383125795950148</v>
      </c>
      <c r="N4121" s="2">
        <f t="shared" si="1961"/>
        <v>0.84616874204049852</v>
      </c>
      <c r="P4121" s="5">
        <f t="shared" si="1962"/>
        <v>4591.477212712417</v>
      </c>
    </row>
    <row r="4122" spans="1:16" x14ac:dyDescent="0.35">
      <c r="A4122" t="s">
        <v>37</v>
      </c>
      <c r="B4122" t="s">
        <v>22</v>
      </c>
      <c r="C4122">
        <v>2009</v>
      </c>
      <c r="D4122" t="s">
        <v>30</v>
      </c>
      <c r="E4122" s="3">
        <f>7295+5076</f>
        <v>12371</v>
      </c>
      <c r="F4122" s="3">
        <f>7718+12154</f>
        <v>19872</v>
      </c>
      <c r="G4122" s="1">
        <f t="shared" si="1956"/>
        <v>32243</v>
      </c>
      <c r="H4122" s="2">
        <f t="shared" si="1957"/>
        <v>0.38368017864342646</v>
      </c>
      <c r="I4122" s="2">
        <f t="shared" si="1958"/>
        <v>0.61631982135657348</v>
      </c>
      <c r="J4122" s="3">
        <f>2204.55+22373.66</f>
        <v>24578.21</v>
      </c>
      <c r="K4122" s="3">
        <f>3971.32+137446.24</f>
        <v>141417.56</v>
      </c>
      <c r="L4122" s="1">
        <f t="shared" si="1959"/>
        <v>165995.76999999999</v>
      </c>
      <c r="M4122" s="2">
        <f t="shared" si="1960"/>
        <v>0.14806527901283267</v>
      </c>
      <c r="N4122" s="2">
        <f t="shared" si="1961"/>
        <v>0.85193472098716738</v>
      </c>
      <c r="P4122" s="5">
        <f t="shared" si="1962"/>
        <v>5148.2731135440254</v>
      </c>
    </row>
    <row r="4123" spans="1:16" x14ac:dyDescent="0.35">
      <c r="A4123" t="s">
        <v>37</v>
      </c>
      <c r="B4123" t="s">
        <v>23</v>
      </c>
      <c r="C4123">
        <v>2009</v>
      </c>
      <c r="D4123" t="s">
        <v>30</v>
      </c>
      <c r="E4123" s="3">
        <f>7228+4995</f>
        <v>12223</v>
      </c>
      <c r="F4123" s="3">
        <f>7873+12256</f>
        <v>20129</v>
      </c>
      <c r="G4123" s="1">
        <f t="shared" si="1956"/>
        <v>32352</v>
      </c>
      <c r="H4123" s="2">
        <f t="shared" si="1957"/>
        <v>0.37781280909990111</v>
      </c>
      <c r="I4123" s="2">
        <f t="shared" si="1958"/>
        <v>0.62218719090009889</v>
      </c>
      <c r="J4123" s="3">
        <f>2500.11+24767.26</f>
        <v>27267.37</v>
      </c>
      <c r="K4123" s="3">
        <f>4520.59+159824.81</f>
        <v>164345.4</v>
      </c>
      <c r="L4123" s="1">
        <f t="shared" si="1959"/>
        <v>191612.77</v>
      </c>
      <c r="M4123" s="2">
        <f t="shared" si="1960"/>
        <v>0.14230455517134896</v>
      </c>
      <c r="N4123" s="2">
        <f t="shared" si="1961"/>
        <v>0.85769544482865101</v>
      </c>
      <c r="P4123" s="5">
        <f t="shared" si="1962"/>
        <v>5922.7488254203763</v>
      </c>
    </row>
    <row r="4124" spans="1:16" x14ac:dyDescent="0.35">
      <c r="A4124" t="s">
        <v>37</v>
      </c>
      <c r="B4124" t="s">
        <v>24</v>
      </c>
      <c r="C4124">
        <v>2009</v>
      </c>
      <c r="D4124" t="s">
        <v>30</v>
      </c>
      <c r="E4124" s="3">
        <f>7233+4935</f>
        <v>12168</v>
      </c>
      <c r="F4124" s="3">
        <f>7716+12359</f>
        <v>20075</v>
      </c>
      <c r="G4124" s="1">
        <f t="shared" si="1956"/>
        <v>32243</v>
      </c>
      <c r="H4124" s="2">
        <f t="shared" si="1957"/>
        <v>0.37738423843935115</v>
      </c>
      <c r="I4124" s="2">
        <f t="shared" si="1958"/>
        <v>0.62261576156064879</v>
      </c>
      <c r="J4124" s="3">
        <f>3117.74+27430.14</f>
        <v>30547.879999999997</v>
      </c>
      <c r="K4124" s="3">
        <f>5213.37+174273.9</f>
        <v>179487.27</v>
      </c>
      <c r="L4124" s="1">
        <f t="shared" si="1959"/>
        <v>210035.15</v>
      </c>
      <c r="M4124" s="2">
        <f t="shared" si="1960"/>
        <v>0.14544175105928697</v>
      </c>
      <c r="N4124" s="2">
        <f t="shared" si="1961"/>
        <v>0.85455824894071297</v>
      </c>
      <c r="P4124" s="5">
        <f t="shared" si="1962"/>
        <v>6514.1317495270296</v>
      </c>
    </row>
    <row r="4125" spans="1:16" x14ac:dyDescent="0.35">
      <c r="A4125" t="s">
        <v>37</v>
      </c>
      <c r="B4125" t="s">
        <v>25</v>
      </c>
      <c r="C4125">
        <v>2009</v>
      </c>
      <c r="D4125" t="s">
        <v>30</v>
      </c>
      <c r="E4125" s="3">
        <f>7152+4853</f>
        <v>12005</v>
      </c>
      <c r="F4125" s="3">
        <f>7861+12454</f>
        <v>20315</v>
      </c>
      <c r="G4125" s="1">
        <f t="shared" si="1956"/>
        <v>32320</v>
      </c>
      <c r="H4125" s="2">
        <f t="shared" si="1957"/>
        <v>0.3714418316831683</v>
      </c>
      <c r="I4125" s="2">
        <f t="shared" si="1958"/>
        <v>0.62855816831683164</v>
      </c>
      <c r="J4125" s="3">
        <f>3073.36+27641.15</f>
        <v>30714.510000000002</v>
      </c>
      <c r="K4125" s="3">
        <f>5322.14+177991.69</f>
        <v>183313.83000000002</v>
      </c>
      <c r="L4125" s="1">
        <f t="shared" si="1959"/>
        <v>214028.34000000003</v>
      </c>
      <c r="M4125" s="2">
        <f t="shared" si="1960"/>
        <v>0.14350674307897729</v>
      </c>
      <c r="N4125" s="2">
        <f t="shared" si="1961"/>
        <v>0.85649325692102263</v>
      </c>
      <c r="P4125" s="5">
        <f t="shared" si="1962"/>
        <v>6622.1639851485161</v>
      </c>
    </row>
    <row r="4126" spans="1:16" x14ac:dyDescent="0.35">
      <c r="A4126" t="s">
        <v>37</v>
      </c>
      <c r="B4126" t="s">
        <v>26</v>
      </c>
      <c r="C4126">
        <v>2009</v>
      </c>
      <c r="D4126" t="s">
        <v>30</v>
      </c>
      <c r="E4126" s="3">
        <f>7078+4729</f>
        <v>11807</v>
      </c>
      <c r="F4126" s="3">
        <f>7906+12567</f>
        <v>20473</v>
      </c>
      <c r="G4126" s="1">
        <f t="shared" si="1956"/>
        <v>32280</v>
      </c>
      <c r="H4126" s="2">
        <f t="shared" si="1957"/>
        <v>0.36576827757125158</v>
      </c>
      <c r="I4126" s="2">
        <f t="shared" si="1958"/>
        <v>0.63423172242874848</v>
      </c>
      <c r="J4126" s="3">
        <f>2761.42+25093.17</f>
        <v>27854.589999999997</v>
      </c>
      <c r="K4126" s="3">
        <f>5033.18+171828.77</f>
        <v>176861.94999999998</v>
      </c>
      <c r="L4126" s="1">
        <f t="shared" si="1959"/>
        <v>204716.53999999998</v>
      </c>
      <c r="M4126" s="2">
        <f t="shared" si="1960"/>
        <v>0.13606418904891612</v>
      </c>
      <c r="N4126" s="2">
        <f t="shared" si="1961"/>
        <v>0.86393581095108385</v>
      </c>
      <c r="P4126" s="5">
        <f t="shared" si="1962"/>
        <v>6341.9002478314733</v>
      </c>
    </row>
    <row r="4127" spans="1:16" x14ac:dyDescent="0.35">
      <c r="A4127" t="s">
        <v>37</v>
      </c>
      <c r="B4127" t="s">
        <v>27</v>
      </c>
      <c r="C4127">
        <v>2009</v>
      </c>
      <c r="D4127" t="s">
        <v>30</v>
      </c>
      <c r="E4127" s="3">
        <f>6966+4666</f>
        <v>11632</v>
      </c>
      <c r="F4127" s="3">
        <f>7906+12626</f>
        <v>20532</v>
      </c>
      <c r="G4127" s="1">
        <f t="shared" si="1956"/>
        <v>32164</v>
      </c>
      <c r="H4127" s="2">
        <f t="shared" si="1957"/>
        <v>0.36164656137296358</v>
      </c>
      <c r="I4127" s="2">
        <f t="shared" si="1958"/>
        <v>0.63835343862703642</v>
      </c>
      <c r="J4127" s="3">
        <f>2340.54+21008.82</f>
        <v>23349.360000000001</v>
      </c>
      <c r="K4127" s="3">
        <f>4423.02+150594.23</f>
        <v>155017.25</v>
      </c>
      <c r="L4127" s="1">
        <f t="shared" si="1959"/>
        <v>178366.61</v>
      </c>
      <c r="M4127" s="2">
        <f t="shared" si="1960"/>
        <v>0.13090656373409801</v>
      </c>
      <c r="N4127" s="2">
        <f t="shared" si="1961"/>
        <v>0.86909343626590208</v>
      </c>
      <c r="P4127" s="5">
        <f t="shared" si="1962"/>
        <v>5545.5356920780996</v>
      </c>
    </row>
    <row r="4128" spans="1:16" x14ac:dyDescent="0.35">
      <c r="A4128" t="s">
        <v>37</v>
      </c>
      <c r="B4128" t="s">
        <v>28</v>
      </c>
      <c r="C4128">
        <v>2009</v>
      </c>
      <c r="D4128" t="s">
        <v>30</v>
      </c>
      <c r="E4128" s="3">
        <f>6816+4600</f>
        <v>11416</v>
      </c>
      <c r="F4128" s="3">
        <f>8135+12696</f>
        <v>20831</v>
      </c>
      <c r="G4128" s="1">
        <f t="shared" si="1956"/>
        <v>32247</v>
      </c>
      <c r="H4128" s="2">
        <f t="shared" si="1957"/>
        <v>0.3540174279777964</v>
      </c>
      <c r="I4128" s="2">
        <f t="shared" si="1958"/>
        <v>0.64598257202220366</v>
      </c>
      <c r="J4128" s="3">
        <f>2089.24+17562.74</f>
        <v>19651.980000000003</v>
      </c>
      <c r="K4128" s="3">
        <f>4131.43+127765.04</f>
        <v>131896.47</v>
      </c>
      <c r="L4128" s="1">
        <f t="shared" si="1959"/>
        <v>151548.45000000001</v>
      </c>
      <c r="M4128" s="2">
        <f t="shared" si="1960"/>
        <v>0.12967456941987859</v>
      </c>
      <c r="N4128" s="2">
        <f t="shared" si="1961"/>
        <v>0.87032543058012135</v>
      </c>
      <c r="P4128" s="5">
        <f t="shared" si="1962"/>
        <v>4699.613917573728</v>
      </c>
    </row>
    <row r="4129" spans="1:16" x14ac:dyDescent="0.35">
      <c r="A4129" t="s">
        <v>37</v>
      </c>
      <c r="B4129" t="s">
        <v>29</v>
      </c>
      <c r="C4129">
        <v>2009</v>
      </c>
      <c r="D4129" t="s">
        <v>30</v>
      </c>
      <c r="E4129" s="3">
        <f>6761+4558</f>
        <v>11319</v>
      </c>
      <c r="F4129" s="3">
        <f>8244+12738</f>
        <v>20982</v>
      </c>
      <c r="G4129" s="1">
        <f t="shared" si="1956"/>
        <v>32301</v>
      </c>
      <c r="H4129" s="2">
        <f t="shared" si="1957"/>
        <v>0.35042258753598959</v>
      </c>
      <c r="I4129" s="2">
        <f t="shared" si="1958"/>
        <v>0.64957741246401035</v>
      </c>
      <c r="J4129" s="3">
        <f>2276.56+16518.32</f>
        <v>18794.88</v>
      </c>
      <c r="K4129" s="3">
        <f>4588.92+123081.34</f>
        <v>127670.26</v>
      </c>
      <c r="L4129" s="1">
        <f t="shared" si="1959"/>
        <v>146465.13999999998</v>
      </c>
      <c r="M4129" s="2">
        <f t="shared" si="1960"/>
        <v>0.12832323104323665</v>
      </c>
      <c r="N4129" s="2">
        <f t="shared" si="1961"/>
        <v>0.87167676895676338</v>
      </c>
      <c r="P4129" s="5">
        <f t="shared" si="1962"/>
        <v>4534.384074796445</v>
      </c>
    </row>
    <row r="4130" spans="1:16" x14ac:dyDescent="0.35">
      <c r="A4130" t="s">
        <v>37</v>
      </c>
      <c r="B4130" t="s">
        <v>17</v>
      </c>
      <c r="C4130">
        <v>2010</v>
      </c>
      <c r="D4130" t="s">
        <v>30</v>
      </c>
      <c r="E4130" s="3">
        <f>6713+4513</f>
        <v>11226</v>
      </c>
      <c r="F4130" s="3">
        <f>8292+12774</f>
        <v>21066</v>
      </c>
      <c r="G4130" s="1">
        <f t="shared" si="1956"/>
        <v>32292</v>
      </c>
      <c r="H4130" s="2">
        <f t="shared" si="1957"/>
        <v>0.34764028242289113</v>
      </c>
      <c r="I4130" s="2">
        <f t="shared" si="1958"/>
        <v>0.65235971757710887</v>
      </c>
      <c r="J4130" s="20">
        <f>2494.24+18957.15</f>
        <v>21451.39</v>
      </c>
      <c r="K4130" s="16">
        <f>5360.37+128402.03</f>
        <v>133762.4</v>
      </c>
      <c r="L4130" s="1">
        <f t="shared" si="1959"/>
        <v>155213.78999999998</v>
      </c>
      <c r="M4130" s="2">
        <f t="shared" si="1960"/>
        <v>0.13820543909146218</v>
      </c>
      <c r="N4130" s="2">
        <f t="shared" si="1961"/>
        <v>0.8617945609085379</v>
      </c>
      <c r="P4130" s="5">
        <f t="shared" si="1962"/>
        <v>4806.5709773318458</v>
      </c>
    </row>
    <row r="4131" spans="1:16" x14ac:dyDescent="0.35">
      <c r="A4131" t="s">
        <v>37</v>
      </c>
      <c r="B4131" t="s">
        <v>19</v>
      </c>
      <c r="C4131">
        <v>2010</v>
      </c>
      <c r="D4131" t="s">
        <v>30</v>
      </c>
      <c r="E4131" s="3">
        <f>6713+4474</f>
        <v>11187</v>
      </c>
      <c r="F4131" s="3">
        <f>8345+12832</f>
        <v>21177</v>
      </c>
      <c r="G4131" s="1">
        <f t="shared" si="1956"/>
        <v>32364</v>
      </c>
      <c r="H4131" s="2">
        <f t="shared" si="1957"/>
        <v>0.34566184649610676</v>
      </c>
      <c r="I4131" s="2">
        <f t="shared" si="1958"/>
        <v>0.65433815350389324</v>
      </c>
      <c r="J4131" s="16">
        <f>2411.03+18773.78</f>
        <v>21184.809999999998</v>
      </c>
      <c r="K4131" s="16">
        <f>5388.91+131363.26</f>
        <v>136752.17000000001</v>
      </c>
      <c r="L4131" s="1">
        <f t="shared" si="1959"/>
        <v>157936.98000000001</v>
      </c>
      <c r="M4131" s="2">
        <f t="shared" si="1960"/>
        <v>0.13413457696861114</v>
      </c>
      <c r="N4131" s="2">
        <f t="shared" si="1961"/>
        <v>0.86586542303138891</v>
      </c>
      <c r="P4131" s="5">
        <f t="shared" si="1962"/>
        <v>4880.0203930292919</v>
      </c>
    </row>
    <row r="4132" spans="1:16" x14ac:dyDescent="0.35">
      <c r="A4132" t="s">
        <v>37</v>
      </c>
      <c r="B4132" t="s">
        <v>20</v>
      </c>
      <c r="C4132">
        <v>2010</v>
      </c>
      <c r="D4132" t="s">
        <v>30</v>
      </c>
      <c r="E4132" s="3">
        <f>6666+4450</f>
        <v>11116</v>
      </c>
      <c r="F4132" s="3">
        <f>8353+12878</f>
        <v>21231</v>
      </c>
      <c r="G4132" s="1">
        <f t="shared" si="1956"/>
        <v>32347</v>
      </c>
      <c r="H4132" s="2">
        <f t="shared" si="1957"/>
        <v>0.34364856091755031</v>
      </c>
      <c r="I4132" s="2">
        <f t="shared" si="1958"/>
        <v>0.65635143908244964</v>
      </c>
      <c r="J4132" s="16">
        <f>2258.26+18511.01</f>
        <v>20769.269999999997</v>
      </c>
      <c r="K4132" s="16">
        <f>5253.43+133809.77</f>
        <v>139063.19999999998</v>
      </c>
      <c r="L4132" s="1">
        <f t="shared" si="1959"/>
        <v>159832.46999999997</v>
      </c>
      <c r="M4132" s="2">
        <f t="shared" si="1960"/>
        <v>0.12994399698634451</v>
      </c>
      <c r="N4132" s="2">
        <f t="shared" si="1961"/>
        <v>0.87005600301365549</v>
      </c>
      <c r="P4132" s="5">
        <f t="shared" si="1962"/>
        <v>4941.1837264661317</v>
      </c>
    </row>
    <row r="4133" spans="1:16" x14ac:dyDescent="0.35">
      <c r="A4133" t="s">
        <v>37</v>
      </c>
      <c r="B4133" t="s">
        <v>21</v>
      </c>
      <c r="C4133">
        <v>2010</v>
      </c>
      <c r="D4133" t="s">
        <v>30</v>
      </c>
      <c r="E4133" s="3">
        <f>6569+4413</f>
        <v>10982</v>
      </c>
      <c r="F4133" s="3">
        <f>8293+12920</f>
        <v>21213</v>
      </c>
      <c r="G4133" s="1">
        <f t="shared" si="1956"/>
        <v>32195</v>
      </c>
      <c r="H4133" s="2">
        <f t="shared" si="1957"/>
        <v>0.34110886783662059</v>
      </c>
      <c r="I4133" s="2">
        <f t="shared" si="1958"/>
        <v>0.65889113216337936</v>
      </c>
      <c r="J4133" s="16">
        <f>1861.7+17139.98</f>
        <v>19001.68</v>
      </c>
      <c r="K4133" s="16">
        <f>4750.5+128974.69</f>
        <v>133725.19</v>
      </c>
      <c r="L4133" s="1">
        <f t="shared" si="1959"/>
        <v>152726.87</v>
      </c>
      <c r="M4133" s="2">
        <f t="shared" si="1960"/>
        <v>0.12441608997814203</v>
      </c>
      <c r="N4133" s="2">
        <f t="shared" si="1961"/>
        <v>0.87558391002185798</v>
      </c>
      <c r="P4133" s="5">
        <f t="shared" si="1962"/>
        <v>4743.8071129057307</v>
      </c>
    </row>
    <row r="4134" spans="1:16" x14ac:dyDescent="0.35">
      <c r="A4134" t="s">
        <v>37</v>
      </c>
      <c r="B4134" t="s">
        <v>22</v>
      </c>
      <c r="C4134">
        <v>2010</v>
      </c>
      <c r="D4134" t="s">
        <v>30</v>
      </c>
      <c r="E4134" s="3">
        <f>6542+4368</f>
        <v>10910</v>
      </c>
      <c r="F4134" s="3">
        <f>8430+12960</f>
        <v>21390</v>
      </c>
      <c r="G4134" s="1">
        <f t="shared" si="1956"/>
        <v>32300</v>
      </c>
      <c r="H4134" s="2">
        <f t="shared" si="1957"/>
        <v>0.33777089783281733</v>
      </c>
      <c r="I4134" s="2">
        <f t="shared" si="1958"/>
        <v>0.66222910216718267</v>
      </c>
      <c r="J4134" s="16">
        <f>1936.97+18415.83</f>
        <v>20352.800000000003</v>
      </c>
      <c r="K4134" s="16">
        <f>5042.86+139045.26</f>
        <v>144088.12</v>
      </c>
      <c r="L4134" s="1">
        <f t="shared" si="1959"/>
        <v>164440.91999999998</v>
      </c>
      <c r="M4134" s="2">
        <f t="shared" si="1960"/>
        <v>0.12376967971232468</v>
      </c>
      <c r="N4134" s="2">
        <f t="shared" si="1961"/>
        <v>0.87623032028767545</v>
      </c>
      <c r="P4134" s="5">
        <f t="shared" si="1962"/>
        <v>5091.0501547987606</v>
      </c>
    </row>
    <row r="4135" spans="1:16" x14ac:dyDescent="0.35">
      <c r="A4135" t="s">
        <v>37</v>
      </c>
      <c r="B4135" t="s">
        <v>23</v>
      </c>
      <c r="C4135">
        <v>2010</v>
      </c>
      <c r="D4135" t="s">
        <v>30</v>
      </c>
      <c r="E4135" s="3">
        <f>6463+4318</f>
        <v>10781</v>
      </c>
      <c r="F4135" s="3">
        <f>8410+13012</f>
        <v>21422</v>
      </c>
      <c r="G4135" s="1">
        <f t="shared" si="1956"/>
        <v>32203</v>
      </c>
      <c r="H4135" s="2">
        <f t="shared" si="1957"/>
        <v>0.33478247368257613</v>
      </c>
      <c r="I4135" s="2">
        <f t="shared" si="1958"/>
        <v>0.66521752631742381</v>
      </c>
      <c r="J4135" s="16">
        <f>2542.14+23769.62</f>
        <v>26311.759999999998</v>
      </c>
      <c r="K4135" s="16">
        <f>6723.38+177299.77</f>
        <v>184023.15</v>
      </c>
      <c r="L4135" s="1">
        <f t="shared" si="1959"/>
        <v>210334.91</v>
      </c>
      <c r="M4135" s="2">
        <f t="shared" si="1960"/>
        <v>0.12509459318949953</v>
      </c>
      <c r="N4135" s="2">
        <f t="shared" si="1961"/>
        <v>0.87490540681050044</v>
      </c>
      <c r="P4135" s="5">
        <f t="shared" si="1962"/>
        <v>6531.5315343290995</v>
      </c>
    </row>
    <row r="4136" spans="1:16" x14ac:dyDescent="0.35">
      <c r="A4136" t="s">
        <v>37</v>
      </c>
      <c r="B4136" t="s">
        <v>24</v>
      </c>
      <c r="C4136">
        <v>2010</v>
      </c>
      <c r="D4136" t="s">
        <v>30</v>
      </c>
      <c r="E4136" s="3">
        <f>6360+4289</f>
        <v>10649</v>
      </c>
      <c r="F4136" s="3">
        <f>8488+13044</f>
        <v>21532</v>
      </c>
      <c r="G4136" s="1">
        <f t="shared" si="1956"/>
        <v>32181</v>
      </c>
      <c r="H4136" s="2">
        <f t="shared" si="1957"/>
        <v>0.3309095428979833</v>
      </c>
      <c r="I4136" s="2">
        <f t="shared" si="1958"/>
        <v>0.66909045710201676</v>
      </c>
      <c r="J4136" s="16">
        <f>2418.3+23259.36</f>
        <v>25677.66</v>
      </c>
      <c r="K4136" s="16">
        <f>6723.38+177299.77</f>
        <v>184023.15</v>
      </c>
      <c r="L4136" s="1">
        <f t="shared" si="1959"/>
        <v>209700.81</v>
      </c>
      <c r="M4136" s="2">
        <f t="shared" si="1960"/>
        <v>0.12244902630562085</v>
      </c>
      <c r="N4136" s="2">
        <f t="shared" si="1961"/>
        <v>0.87755097369437918</v>
      </c>
      <c r="P4136" s="5">
        <f t="shared" si="1962"/>
        <v>6516.2925328610054</v>
      </c>
    </row>
    <row r="4137" spans="1:16" x14ac:dyDescent="0.35">
      <c r="A4137" t="s">
        <v>37</v>
      </c>
      <c r="B4137" t="s">
        <v>25</v>
      </c>
      <c r="C4137">
        <v>2010</v>
      </c>
      <c r="D4137" t="s">
        <v>30</v>
      </c>
      <c r="E4137" s="3">
        <f>6269+4207</f>
        <v>10476</v>
      </c>
      <c r="F4137" s="3">
        <f>8584+13132</f>
        <v>21716</v>
      </c>
      <c r="G4137" s="1">
        <f t="shared" si="1956"/>
        <v>32192</v>
      </c>
      <c r="H4137" s="2">
        <f t="shared" si="1957"/>
        <v>0.32542246520874751</v>
      </c>
      <c r="I4137" s="2">
        <f t="shared" si="1958"/>
        <v>0.67457753479125249</v>
      </c>
      <c r="J4137" s="16">
        <f>2694.1+25033.77</f>
        <v>27727.87</v>
      </c>
      <c r="K4137" s="16">
        <f>6723.38+177299.77</f>
        <v>184023.15</v>
      </c>
      <c r="L4137" s="1">
        <f t="shared" si="1959"/>
        <v>211751.02</v>
      </c>
      <c r="M4137" s="2">
        <f t="shared" si="1960"/>
        <v>0.13094562661374665</v>
      </c>
      <c r="N4137" s="2">
        <f t="shared" si="1961"/>
        <v>0.86905437338625335</v>
      </c>
      <c r="P4137" s="5">
        <f t="shared" si="1962"/>
        <v>6577.7528578528827</v>
      </c>
    </row>
    <row r="4138" spans="1:16" x14ac:dyDescent="0.35">
      <c r="A4138" t="s">
        <v>37</v>
      </c>
      <c r="B4138" t="s">
        <v>26</v>
      </c>
      <c r="C4138">
        <v>2010</v>
      </c>
      <c r="D4138" t="s">
        <v>30</v>
      </c>
      <c r="E4138" s="3">
        <f>6211+4153</f>
        <v>10364</v>
      </c>
      <c r="F4138" s="3">
        <f>8641+13196</f>
        <v>21837</v>
      </c>
      <c r="G4138" s="1">
        <f t="shared" si="1956"/>
        <v>32201</v>
      </c>
      <c r="H4138" s="2">
        <f t="shared" si="1957"/>
        <v>0.32185335859134812</v>
      </c>
      <c r="I4138" s="2">
        <f t="shared" si="1958"/>
        <v>0.67814664140865188</v>
      </c>
      <c r="J4138" s="16">
        <f>2554.05+23222.29</f>
        <v>25776.34</v>
      </c>
      <c r="K4138" s="16">
        <f>6723.38+177299.77</f>
        <v>184023.15</v>
      </c>
      <c r="L4138" s="1">
        <f t="shared" si="1959"/>
        <v>209799.49</v>
      </c>
      <c r="M4138" s="2">
        <f t="shared" si="1960"/>
        <v>0.12286178579366423</v>
      </c>
      <c r="N4138" s="2">
        <f t="shared" si="1961"/>
        <v>0.87713821420633575</v>
      </c>
      <c r="P4138" s="5">
        <f t="shared" si="1962"/>
        <v>6515.3097729884166</v>
      </c>
    </row>
    <row r="4139" spans="1:16" x14ac:dyDescent="0.35">
      <c r="A4139" t="s">
        <v>37</v>
      </c>
      <c r="B4139" t="s">
        <v>27</v>
      </c>
      <c r="C4139">
        <v>2010</v>
      </c>
      <c r="D4139" t="s">
        <v>30</v>
      </c>
      <c r="E4139" s="3">
        <f>6161+4071</f>
        <v>10232</v>
      </c>
      <c r="F4139" s="3">
        <f>8713+13257</f>
        <v>21970</v>
      </c>
      <c r="G4139" s="1">
        <f t="shared" si="1956"/>
        <v>32202</v>
      </c>
      <c r="H4139" s="2">
        <f t="shared" si="1957"/>
        <v>0.31774423948823055</v>
      </c>
      <c r="I4139" s="2">
        <f t="shared" si="1958"/>
        <v>0.6822557605117695</v>
      </c>
      <c r="J4139" s="16">
        <f>2056.33+18917.97</f>
        <v>20974.300000000003</v>
      </c>
      <c r="K4139" s="16">
        <f>5736.31+153121.52</f>
        <v>158857.82999999999</v>
      </c>
      <c r="L4139" s="1">
        <f t="shared" si="1959"/>
        <v>179832.13</v>
      </c>
      <c r="M4139" s="2">
        <f t="shared" si="1960"/>
        <v>0.1166326618052069</v>
      </c>
      <c r="N4139" s="2">
        <f t="shared" si="1961"/>
        <v>0.88336733819479296</v>
      </c>
      <c r="P4139" s="5">
        <f t="shared" si="1962"/>
        <v>5584.5018942922798</v>
      </c>
    </row>
    <row r="4140" spans="1:16" x14ac:dyDescent="0.35">
      <c r="A4140" t="s">
        <v>37</v>
      </c>
      <c r="B4140" t="s">
        <v>28</v>
      </c>
      <c r="C4140">
        <v>2010</v>
      </c>
      <c r="D4140" t="s">
        <v>30</v>
      </c>
      <c r="E4140" s="3">
        <f>6052+4092</f>
        <v>10144</v>
      </c>
      <c r="F4140" s="3">
        <f>8576+13420</f>
        <v>21996</v>
      </c>
      <c r="G4140" s="1">
        <f t="shared" si="1956"/>
        <v>32140</v>
      </c>
      <c r="H4140" s="2">
        <f t="shared" si="1957"/>
        <v>0.31561916614810204</v>
      </c>
      <c r="I4140" s="2">
        <f t="shared" si="1958"/>
        <v>0.68438083385189796</v>
      </c>
      <c r="J4140" s="16">
        <f>1764.98+16342.85</f>
        <v>18107.830000000002</v>
      </c>
      <c r="K4140" s="16">
        <f>5337.8+135772.9</f>
        <v>141110.69999999998</v>
      </c>
      <c r="L4140" s="1">
        <f t="shared" si="1959"/>
        <v>159218.52999999997</v>
      </c>
      <c r="M4140" s="2">
        <f t="shared" si="1960"/>
        <v>0.11372941327871829</v>
      </c>
      <c r="N4140" s="2">
        <f t="shared" si="1961"/>
        <v>0.88627058672128178</v>
      </c>
      <c r="P4140" s="5">
        <f t="shared" si="1962"/>
        <v>4953.905724953328</v>
      </c>
    </row>
    <row r="4141" spans="1:16" x14ac:dyDescent="0.35">
      <c r="A4141" t="s">
        <v>37</v>
      </c>
      <c r="B4141" t="s">
        <v>29</v>
      </c>
      <c r="C4141">
        <v>2010</v>
      </c>
      <c r="D4141" t="s">
        <v>30</v>
      </c>
      <c r="E4141" s="3">
        <f>5999+4057</f>
        <v>10056</v>
      </c>
      <c r="F4141" s="3">
        <f>8686+13456</f>
        <v>22142</v>
      </c>
      <c r="G4141" s="1">
        <f t="shared" si="1956"/>
        <v>32198</v>
      </c>
      <c r="H4141" s="2">
        <f t="shared" si="1957"/>
        <v>0.31231753525063671</v>
      </c>
      <c r="I4141" s="2">
        <f t="shared" si="1958"/>
        <v>0.68768246474936334</v>
      </c>
      <c r="J4141" s="16">
        <f>1822.67+15058.43</f>
        <v>16881.099999999999</v>
      </c>
      <c r="K4141" s="16">
        <f>5127.79+127622.78</f>
        <v>132750.57</v>
      </c>
      <c r="L4141" s="1">
        <f t="shared" si="1959"/>
        <v>149631.67000000001</v>
      </c>
      <c r="M4141" s="2">
        <f t="shared" si="1960"/>
        <v>0.11281769427555007</v>
      </c>
      <c r="N4141" s="2">
        <f t="shared" si="1961"/>
        <v>0.88718230572444989</v>
      </c>
      <c r="P4141" s="5">
        <f t="shared" si="1962"/>
        <v>4647.234921423691</v>
      </c>
    </row>
    <row r="4142" spans="1:16" x14ac:dyDescent="0.35">
      <c r="A4142" t="s">
        <v>37</v>
      </c>
      <c r="B4142" t="s">
        <v>17</v>
      </c>
      <c r="C4142">
        <v>2011</v>
      </c>
      <c r="D4142" t="s">
        <v>30</v>
      </c>
      <c r="E4142" s="3">
        <f>5717+4236</f>
        <v>9953</v>
      </c>
      <c r="F4142" s="3">
        <f>8155+13985</f>
        <v>22140</v>
      </c>
      <c r="G4142" s="1">
        <f t="shared" si="1956"/>
        <v>32093</v>
      </c>
      <c r="H4142" s="2">
        <f t="shared" si="1957"/>
        <v>0.31012993487676438</v>
      </c>
      <c r="I4142" s="2">
        <f t="shared" si="1958"/>
        <v>0.68987006512323557</v>
      </c>
      <c r="J4142" s="16">
        <f>2084.99+16488.45</f>
        <v>18573.440000000002</v>
      </c>
      <c r="K4142" s="16">
        <f>5818.19+129332.55</f>
        <v>135150.74</v>
      </c>
      <c r="L4142" s="1">
        <f t="shared" si="1959"/>
        <v>153724.18</v>
      </c>
      <c r="M4142" s="2">
        <f t="shared" si="1960"/>
        <v>0.12082315221977442</v>
      </c>
      <c r="N4142" s="2">
        <f t="shared" si="1961"/>
        <v>0.87917684778022553</v>
      </c>
      <c r="P4142" s="5">
        <f t="shared" si="1962"/>
        <v>4789.9598043186988</v>
      </c>
    </row>
    <row r="4143" spans="1:16" x14ac:dyDescent="0.35">
      <c r="A4143" t="s">
        <v>37</v>
      </c>
      <c r="B4143" t="s">
        <v>19</v>
      </c>
      <c r="C4143">
        <v>2011</v>
      </c>
      <c r="D4143" t="s">
        <v>30</v>
      </c>
      <c r="E4143" s="3">
        <f>5690+4204</f>
        <v>9894</v>
      </c>
      <c r="F4143" s="3">
        <f>8195+14060</f>
        <v>22255</v>
      </c>
      <c r="G4143" s="1">
        <f t="shared" si="1956"/>
        <v>32149</v>
      </c>
      <c r="H4143" s="2">
        <f t="shared" si="1957"/>
        <v>0.30775451802544401</v>
      </c>
      <c r="I4143" s="2">
        <f t="shared" si="1958"/>
        <v>0.69224548197455593</v>
      </c>
      <c r="J4143" s="16">
        <f>1961.45+18457.23</f>
        <v>20418.68</v>
      </c>
      <c r="K4143" s="16">
        <f>4157.15+134149.16</f>
        <v>138306.31</v>
      </c>
      <c r="L4143" s="1">
        <f t="shared" si="1959"/>
        <v>158724.99</v>
      </c>
      <c r="M4143" s="2">
        <f t="shared" si="1960"/>
        <v>0.12864187296530938</v>
      </c>
      <c r="N4143" s="2">
        <f t="shared" si="1961"/>
        <v>0.87135812703469062</v>
      </c>
      <c r="P4143" s="5">
        <f t="shared" si="1962"/>
        <v>4937.1672524806372</v>
      </c>
    </row>
    <row r="4144" spans="1:16" x14ac:dyDescent="0.35">
      <c r="A4144" t="s">
        <v>37</v>
      </c>
      <c r="B4144" t="s">
        <v>20</v>
      </c>
      <c r="C4144">
        <v>2011</v>
      </c>
      <c r="D4144" t="s">
        <v>30</v>
      </c>
      <c r="E4144" s="3">
        <f>5719+4211</f>
        <v>9930</v>
      </c>
      <c r="F4144" s="3">
        <f>8244+14054</f>
        <v>22298</v>
      </c>
      <c r="G4144" s="1">
        <f t="shared" si="1956"/>
        <v>32228</v>
      </c>
      <c r="H4144" s="2">
        <f t="shared" si="1957"/>
        <v>0.3081171651979645</v>
      </c>
      <c r="I4144" s="2">
        <f t="shared" si="1958"/>
        <v>0.6918828348020355</v>
      </c>
      <c r="J4144" s="16">
        <f>1637.65+17142.83</f>
        <v>18780.480000000003</v>
      </c>
      <c r="K4144" s="16">
        <f>3556.14+146042.98</f>
        <v>149599.12000000002</v>
      </c>
      <c r="L4144" s="1">
        <f t="shared" si="1959"/>
        <v>168379.60000000003</v>
      </c>
      <c r="M4144" s="2">
        <f t="shared" si="1960"/>
        <v>0.11153655193384471</v>
      </c>
      <c r="N4144" s="2">
        <f t="shared" si="1961"/>
        <v>0.88846344806615529</v>
      </c>
      <c r="P4144" s="5">
        <f t="shared" si="1962"/>
        <v>5224.6369616482571</v>
      </c>
    </row>
    <row r="4145" spans="1:16" x14ac:dyDescent="0.35">
      <c r="A4145" t="s">
        <v>37</v>
      </c>
      <c r="B4145" t="s">
        <v>21</v>
      </c>
      <c r="C4145">
        <v>2011</v>
      </c>
      <c r="D4145" t="s">
        <v>30</v>
      </c>
      <c r="E4145" s="3">
        <f>5699+4207</f>
        <v>9906</v>
      </c>
      <c r="F4145" s="3">
        <f>8286+14143</f>
        <v>22429</v>
      </c>
      <c r="G4145" s="1">
        <f t="shared" si="1956"/>
        <v>32335</v>
      </c>
      <c r="H4145" s="2">
        <f t="shared" si="1957"/>
        <v>0.30635534250811813</v>
      </c>
      <c r="I4145" s="2">
        <f t="shared" si="1958"/>
        <v>0.69364465749188187</v>
      </c>
      <c r="J4145" s="16">
        <f>1468.25+18077.26</f>
        <v>19545.509999999998</v>
      </c>
      <c r="K4145" s="16">
        <f>3505.1+134809.08</f>
        <v>138314.18</v>
      </c>
      <c r="L4145" s="1">
        <f t="shared" si="1959"/>
        <v>157859.69</v>
      </c>
      <c r="M4145" s="2">
        <f t="shared" si="1960"/>
        <v>0.12381571254827625</v>
      </c>
      <c r="N4145" s="2">
        <f t="shared" si="1961"/>
        <v>0.87618428745172372</v>
      </c>
      <c r="P4145" s="5">
        <f t="shared" si="1962"/>
        <v>4882.0068037730016</v>
      </c>
    </row>
    <row r="4146" spans="1:16" x14ac:dyDescent="0.35">
      <c r="A4146" t="s">
        <v>37</v>
      </c>
      <c r="B4146" t="s">
        <v>22</v>
      </c>
      <c r="C4146">
        <v>2011</v>
      </c>
      <c r="D4146" t="s">
        <v>30</v>
      </c>
      <c r="E4146" s="3">
        <f>5676+4198</f>
        <v>9874</v>
      </c>
      <c r="F4146" s="3">
        <f>8419+14144</f>
        <v>22563</v>
      </c>
      <c r="G4146" s="1">
        <f t="shared" si="1956"/>
        <v>32437</v>
      </c>
      <c r="H4146" s="2">
        <f t="shared" si="1957"/>
        <v>0.30440546289730863</v>
      </c>
      <c r="I4146" s="2">
        <f t="shared" si="1958"/>
        <v>0.69559453710269137</v>
      </c>
      <c r="J4146" s="16">
        <f>1646.28+18654.66</f>
        <v>20300.939999999999</v>
      </c>
      <c r="K4146" s="16">
        <f>3480.99+149101.92</f>
        <v>152582.91</v>
      </c>
      <c r="L4146" s="1">
        <f t="shared" si="1959"/>
        <v>172883.85</v>
      </c>
      <c r="M4146" s="2">
        <f t="shared" si="1960"/>
        <v>0.11742531184954522</v>
      </c>
      <c r="N4146" s="2">
        <f t="shared" si="1961"/>
        <v>0.88257468815045481</v>
      </c>
      <c r="P4146" s="5">
        <f t="shared" si="1962"/>
        <v>5329.8347566051116</v>
      </c>
    </row>
    <row r="4147" spans="1:16" x14ac:dyDescent="0.35">
      <c r="A4147" t="s">
        <v>37</v>
      </c>
      <c r="B4147" t="s">
        <v>23</v>
      </c>
      <c r="C4147">
        <v>2011</v>
      </c>
      <c r="D4147" t="s">
        <v>30</v>
      </c>
      <c r="E4147" s="3">
        <f>5617+4219</f>
        <v>9836</v>
      </c>
      <c r="F4147" s="3">
        <f>8467+14161</f>
        <v>22628</v>
      </c>
      <c r="G4147" s="1">
        <f t="shared" si="1956"/>
        <v>32464</v>
      </c>
      <c r="H4147" s="2">
        <f t="shared" si="1957"/>
        <v>0.30298176441596847</v>
      </c>
      <c r="I4147" s="2">
        <f t="shared" si="1958"/>
        <v>0.69701823558403153</v>
      </c>
      <c r="J4147" s="16">
        <f>2032.55+22378.03</f>
        <v>24410.579999999998</v>
      </c>
      <c r="K4147" s="16">
        <f>4686.71+173850.36</f>
        <v>178537.06999999998</v>
      </c>
      <c r="L4147" s="1">
        <f t="shared" si="1959"/>
        <v>202947.64999999997</v>
      </c>
      <c r="M4147" s="2">
        <f t="shared" si="1960"/>
        <v>0.12028018062786143</v>
      </c>
      <c r="N4147" s="2">
        <f t="shared" si="1961"/>
        <v>0.87971981937213861</v>
      </c>
      <c r="P4147" s="5">
        <f t="shared" si="1962"/>
        <v>6251.4677796944297</v>
      </c>
    </row>
    <row r="4148" spans="1:16" x14ac:dyDescent="0.35">
      <c r="A4148" t="s">
        <v>37</v>
      </c>
      <c r="B4148" t="s">
        <v>24</v>
      </c>
      <c r="C4148">
        <v>2011</v>
      </c>
      <c r="D4148" t="s">
        <v>30</v>
      </c>
      <c r="E4148" s="3">
        <f>5553+4250</f>
        <v>9803</v>
      </c>
      <c r="F4148" s="3">
        <f>8318+14244</f>
        <v>22562</v>
      </c>
      <c r="G4148" s="1">
        <f t="shared" si="1956"/>
        <v>32365</v>
      </c>
      <c r="H4148" s="2">
        <f t="shared" si="1957"/>
        <v>0.30288892321952726</v>
      </c>
      <c r="I4148" s="2">
        <f t="shared" si="1958"/>
        <v>0.69711107678047268</v>
      </c>
      <c r="J4148" s="16">
        <f>2125.93+24766.53</f>
        <v>26892.46</v>
      </c>
      <c r="K4148" s="16">
        <f>4697.76+188098.1</f>
        <v>192795.86000000002</v>
      </c>
      <c r="L4148" s="1">
        <f t="shared" si="1959"/>
        <v>219688.32000000001</v>
      </c>
      <c r="M4148" s="2">
        <f t="shared" si="1960"/>
        <v>0.12241187879264587</v>
      </c>
      <c r="N4148" s="2">
        <f t="shared" si="1961"/>
        <v>0.87758812120735419</v>
      </c>
      <c r="P4148" s="5">
        <f t="shared" si="1962"/>
        <v>6787.8362428549362</v>
      </c>
    </row>
    <row r="4149" spans="1:16" x14ac:dyDescent="0.35">
      <c r="A4149" t="s">
        <v>37</v>
      </c>
      <c r="B4149" t="s">
        <v>25</v>
      </c>
      <c r="C4149">
        <v>2011</v>
      </c>
      <c r="D4149" t="s">
        <v>30</v>
      </c>
      <c r="E4149" s="3">
        <f>5556+4215</f>
        <v>9771</v>
      </c>
      <c r="F4149" s="3">
        <f>8433+14272</f>
        <v>22705</v>
      </c>
      <c r="G4149" s="1">
        <f t="shared" si="1956"/>
        <v>32476</v>
      </c>
      <c r="H4149" s="2">
        <f t="shared" si="1957"/>
        <v>0.30086833353861314</v>
      </c>
      <c r="I4149" s="2">
        <f t="shared" si="1958"/>
        <v>0.69913166646138691</v>
      </c>
      <c r="J4149" s="16">
        <f>2462.76+26417.96</f>
        <v>28880.720000000001</v>
      </c>
      <c r="K4149" s="16">
        <f>4771.71+203317.41</f>
        <v>208089.12</v>
      </c>
      <c r="L4149" s="1">
        <f t="shared" si="1959"/>
        <v>236969.84</v>
      </c>
      <c r="M4149" s="2">
        <f t="shared" si="1960"/>
        <v>0.12187508756388578</v>
      </c>
      <c r="N4149" s="2">
        <f t="shared" si="1961"/>
        <v>0.87812491243611424</v>
      </c>
      <c r="P4149" s="5">
        <f t="shared" si="1962"/>
        <v>7296.7680748860694</v>
      </c>
    </row>
    <row r="4150" spans="1:16" x14ac:dyDescent="0.35">
      <c r="A4150" t="s">
        <v>37</v>
      </c>
      <c r="B4150" t="s">
        <v>26</v>
      </c>
      <c r="C4150">
        <v>2011</v>
      </c>
      <c r="D4150" t="s">
        <v>30</v>
      </c>
      <c r="E4150" s="3">
        <f>5548+4229</f>
        <v>9777</v>
      </c>
      <c r="F4150" s="3">
        <f>8367+14296</f>
        <v>22663</v>
      </c>
      <c r="G4150" s="1">
        <f t="shared" si="1956"/>
        <v>32440</v>
      </c>
      <c r="H4150" s="2">
        <f t="shared" si="1957"/>
        <v>0.30138717632552403</v>
      </c>
      <c r="I4150" s="2">
        <f t="shared" si="1958"/>
        <v>0.69861282367447597</v>
      </c>
      <c r="J4150" s="16">
        <f>2169.69+25300.19</f>
        <v>27469.879999999997</v>
      </c>
      <c r="K4150" s="16">
        <f>4904.51+195684.44</f>
        <v>200588.95</v>
      </c>
      <c r="L4150" s="1">
        <f t="shared" si="1959"/>
        <v>228058.83000000002</v>
      </c>
      <c r="M4150" s="2">
        <f t="shared" si="1960"/>
        <v>0.12045085033541562</v>
      </c>
      <c r="N4150" s="2">
        <f t="shared" si="1961"/>
        <v>0.87954914966458431</v>
      </c>
      <c r="P4150" s="5">
        <f t="shared" si="1962"/>
        <v>7030.1735511713941</v>
      </c>
    </row>
    <row r="4151" spans="1:16" x14ac:dyDescent="0.35">
      <c r="A4151" t="s">
        <v>37</v>
      </c>
      <c r="B4151" t="s">
        <v>27</v>
      </c>
      <c r="C4151">
        <v>2011</v>
      </c>
      <c r="D4151" t="s">
        <v>30</v>
      </c>
      <c r="E4151" s="3">
        <v>9613</v>
      </c>
      <c r="F4151" s="3">
        <v>22707</v>
      </c>
      <c r="G4151" s="1">
        <f t="shared" ref="G4151:G4214" si="1963">SUM(E4151:F4151)</f>
        <v>32320</v>
      </c>
      <c r="H4151" s="2">
        <f t="shared" ref="H4151:H4214" si="1964">SUM(E4151)/G4151</f>
        <v>0.29743193069306928</v>
      </c>
      <c r="I4151" s="2">
        <f t="shared" ref="I4151:I4214" si="1965">SUM(F4151/G4151)</f>
        <v>0.70256806930693072</v>
      </c>
      <c r="J4151" s="16">
        <f>1843.06+19233.45</f>
        <v>21076.510000000002</v>
      </c>
      <c r="K4151" s="16">
        <v>163410.78</v>
      </c>
      <c r="L4151" s="1">
        <f t="shared" si="1959"/>
        <v>184487.29</v>
      </c>
      <c r="M4151" s="2">
        <f t="shared" si="1960"/>
        <v>0.1142436966795924</v>
      </c>
      <c r="N4151" s="2">
        <f t="shared" si="1961"/>
        <v>0.88575630332040756</v>
      </c>
      <c r="P4151" s="5">
        <f t="shared" si="1962"/>
        <v>5708.1463490099013</v>
      </c>
    </row>
    <row r="4152" spans="1:16" x14ac:dyDescent="0.35">
      <c r="A4152" t="s">
        <v>37</v>
      </c>
      <c r="B4152" t="s">
        <v>28</v>
      </c>
      <c r="C4152">
        <v>2011</v>
      </c>
      <c r="D4152" t="s">
        <v>30</v>
      </c>
      <c r="E4152" s="3">
        <v>9412</v>
      </c>
      <c r="F4152" s="3">
        <v>22914</v>
      </c>
      <c r="G4152" s="1">
        <f t="shared" si="1963"/>
        <v>32326</v>
      </c>
      <c r="H4152" s="2">
        <f t="shared" si="1964"/>
        <v>0.29115881952607808</v>
      </c>
      <c r="I4152" s="2">
        <f t="shared" si="1965"/>
        <v>0.70884118047392197</v>
      </c>
      <c r="J4152" s="16">
        <f>1357.09+15667.42</f>
        <v>17024.509999999998</v>
      </c>
      <c r="K4152" s="16">
        <v>138888.67000000001</v>
      </c>
      <c r="L4152" s="1">
        <f t="shared" si="1959"/>
        <v>155913.18000000002</v>
      </c>
      <c r="M4152" s="2">
        <f t="shared" si="1960"/>
        <v>0.10919224404248568</v>
      </c>
      <c r="N4152" s="2">
        <f t="shared" si="1961"/>
        <v>0.89080775595751427</v>
      </c>
      <c r="P4152" s="5">
        <f t="shared" si="1962"/>
        <v>4823.1510239435756</v>
      </c>
    </row>
    <row r="4153" spans="1:16" x14ac:dyDescent="0.35">
      <c r="A4153" t="s">
        <v>37</v>
      </c>
      <c r="B4153" t="s">
        <v>29</v>
      </c>
      <c r="C4153">
        <v>2011</v>
      </c>
      <c r="D4153" t="s">
        <v>30</v>
      </c>
      <c r="E4153" s="3">
        <v>9336</v>
      </c>
      <c r="F4153" s="3">
        <v>23075</v>
      </c>
      <c r="G4153" s="1">
        <f t="shared" si="1963"/>
        <v>32411</v>
      </c>
      <c r="H4153" s="2">
        <f t="shared" si="1964"/>
        <v>0.28805035327512263</v>
      </c>
      <c r="I4153" s="2">
        <f t="shared" si="1965"/>
        <v>0.71194964672487737</v>
      </c>
      <c r="J4153" s="16">
        <f>1549.85+14893.38</f>
        <v>16443.23</v>
      </c>
      <c r="K4153" s="16">
        <v>135533.37</v>
      </c>
      <c r="L4153" s="1">
        <f t="shared" si="1959"/>
        <v>151976.6</v>
      </c>
      <c r="M4153" s="2">
        <f t="shared" si="1960"/>
        <v>0.10819580119571039</v>
      </c>
      <c r="N4153" s="2">
        <f t="shared" si="1961"/>
        <v>0.89180419880428952</v>
      </c>
      <c r="P4153" s="5">
        <f t="shared" si="1962"/>
        <v>4689.0438431396751</v>
      </c>
    </row>
    <row r="4154" spans="1:16" x14ac:dyDescent="0.35">
      <c r="A4154" t="s">
        <v>37</v>
      </c>
      <c r="B4154" t="s">
        <v>17</v>
      </c>
      <c r="C4154">
        <v>2012</v>
      </c>
      <c r="D4154" t="s">
        <v>30</v>
      </c>
      <c r="E4154" s="3">
        <f>5259+4032</f>
        <v>9291</v>
      </c>
      <c r="F4154" s="3">
        <v>22997</v>
      </c>
      <c r="G4154" s="1">
        <f t="shared" si="1963"/>
        <v>32288</v>
      </c>
      <c r="H4154" s="2">
        <f t="shared" si="1964"/>
        <v>0.28775396432111</v>
      </c>
      <c r="I4154" s="2">
        <f t="shared" si="1965"/>
        <v>0.71224603567889</v>
      </c>
      <c r="J4154" s="16">
        <f>1726.77+15310.97</f>
        <v>17037.739999999998</v>
      </c>
      <c r="K4154" s="16">
        <v>131124.65</v>
      </c>
      <c r="L4154" s="1">
        <f t="shared" si="1959"/>
        <v>148162.38999999998</v>
      </c>
      <c r="M4154" s="2">
        <f t="shared" si="1960"/>
        <v>0.1149936903690606</v>
      </c>
      <c r="N4154" s="2">
        <f t="shared" si="1961"/>
        <v>0.8850063096309394</v>
      </c>
      <c r="P4154" s="5">
        <f t="shared" si="1962"/>
        <v>4588.7757061446964</v>
      </c>
    </row>
    <row r="4155" spans="1:16" x14ac:dyDescent="0.35">
      <c r="A4155" t="s">
        <v>37</v>
      </c>
      <c r="B4155" t="s">
        <v>19</v>
      </c>
      <c r="C4155">
        <v>2012</v>
      </c>
      <c r="D4155" t="s">
        <v>30</v>
      </c>
      <c r="E4155" s="3">
        <f>5139+3995</f>
        <v>9134</v>
      </c>
      <c r="F4155" s="3">
        <v>23198</v>
      </c>
      <c r="G4155" s="1">
        <f t="shared" si="1963"/>
        <v>32332</v>
      </c>
      <c r="H4155" s="2">
        <f t="shared" si="1964"/>
        <v>0.28250649511320053</v>
      </c>
      <c r="I4155" s="2">
        <f t="shared" si="1965"/>
        <v>0.71749350488679942</v>
      </c>
      <c r="J4155" s="16">
        <f>1545.22+15554.57</f>
        <v>17099.79</v>
      </c>
      <c r="K4155" s="16">
        <v>134859.16</v>
      </c>
      <c r="L4155" s="1">
        <f t="shared" si="1959"/>
        <v>151958.95000000001</v>
      </c>
      <c r="M4155" s="2">
        <f t="shared" si="1960"/>
        <v>0.11252900865661417</v>
      </c>
      <c r="N4155" s="2">
        <f t="shared" si="1961"/>
        <v>0.88747099134338581</v>
      </c>
      <c r="P4155" s="5">
        <f t="shared" si="1962"/>
        <v>4699.9551527898057</v>
      </c>
    </row>
    <row r="4156" spans="1:16" x14ac:dyDescent="0.35">
      <c r="A4156" t="s">
        <v>37</v>
      </c>
      <c r="B4156" t="s">
        <v>20</v>
      </c>
      <c r="C4156">
        <v>2012</v>
      </c>
      <c r="D4156" t="s">
        <v>30</v>
      </c>
      <c r="E4156" s="3">
        <f>5065+3944</f>
        <v>9009</v>
      </c>
      <c r="F4156" s="3">
        <v>23403</v>
      </c>
      <c r="G4156" s="1">
        <f t="shared" si="1963"/>
        <v>32412</v>
      </c>
      <c r="H4156" s="2">
        <f t="shared" si="1964"/>
        <v>0.27795261014439099</v>
      </c>
      <c r="I4156" s="2">
        <f t="shared" si="1965"/>
        <v>0.72204738985560901</v>
      </c>
      <c r="J4156" s="16">
        <f>1394.99+15433.8</f>
        <v>16828.79</v>
      </c>
      <c r="K4156" s="16">
        <v>138200.10999999999</v>
      </c>
      <c r="L4156" s="1">
        <f t="shared" si="1959"/>
        <v>155028.9</v>
      </c>
      <c r="M4156" s="2">
        <f t="shared" si="1960"/>
        <v>0.10855259890252722</v>
      </c>
      <c r="N4156" s="2">
        <f t="shared" si="1961"/>
        <v>0.89144740109747278</v>
      </c>
      <c r="P4156" s="5">
        <f t="shared" si="1962"/>
        <v>4783.0710847834134</v>
      </c>
    </row>
    <row r="4157" spans="1:16" x14ac:dyDescent="0.35">
      <c r="A4157" t="s">
        <v>37</v>
      </c>
      <c r="B4157" t="s">
        <v>21</v>
      </c>
      <c r="C4157">
        <v>2012</v>
      </c>
      <c r="D4157" t="s">
        <v>30</v>
      </c>
      <c r="E4157" s="3">
        <f>5034+3896</f>
        <v>8930</v>
      </c>
      <c r="F4157" s="3">
        <v>23626</v>
      </c>
      <c r="G4157" s="1">
        <f t="shared" si="1963"/>
        <v>32556</v>
      </c>
      <c r="H4157" s="2">
        <f t="shared" si="1964"/>
        <v>0.27429659663349304</v>
      </c>
      <c r="I4157" s="2">
        <f t="shared" si="1965"/>
        <v>0.72570340336650696</v>
      </c>
      <c r="J4157" s="16">
        <f>1337.9+15259.44</f>
        <v>16597.34</v>
      </c>
      <c r="K4157" s="16">
        <v>141675.45000000001</v>
      </c>
      <c r="L4157" s="1">
        <f t="shared" si="1959"/>
        <v>158272.79</v>
      </c>
      <c r="M4157" s="2">
        <f t="shared" si="1960"/>
        <v>0.10486540358579639</v>
      </c>
      <c r="N4157" s="2">
        <f t="shared" si="1961"/>
        <v>0.89513459641420368</v>
      </c>
      <c r="P4157" s="5">
        <f t="shared" si="1962"/>
        <v>4861.5551664823688</v>
      </c>
    </row>
    <row r="4158" spans="1:16" x14ac:dyDescent="0.35">
      <c r="A4158" t="s">
        <v>37</v>
      </c>
      <c r="B4158" t="s">
        <v>22</v>
      </c>
      <c r="C4158">
        <v>2012</v>
      </c>
      <c r="D4158" t="s">
        <v>30</v>
      </c>
      <c r="E4158" s="3">
        <f>4449+3422</f>
        <v>7871</v>
      </c>
      <c r="F4158" s="3">
        <v>24525</v>
      </c>
      <c r="G4158" s="1">
        <f t="shared" si="1963"/>
        <v>32396</v>
      </c>
      <c r="H4158" s="2">
        <f t="shared" si="1964"/>
        <v>0.24296209408568958</v>
      </c>
      <c r="I4158" s="2">
        <f t="shared" si="1965"/>
        <v>0.75703790591431042</v>
      </c>
      <c r="J4158" s="16">
        <f>1225.86+14116.91</f>
        <v>15342.77</v>
      </c>
      <c r="K4158" s="16">
        <v>160685.6</v>
      </c>
      <c r="L4158" s="1">
        <f t="shared" si="1959"/>
        <v>176028.37</v>
      </c>
      <c r="M4158" s="2">
        <f t="shared" si="1960"/>
        <v>8.7160779822025289E-2</v>
      </c>
      <c r="N4158" s="2">
        <f t="shared" si="1961"/>
        <v>0.91283922017797481</v>
      </c>
      <c r="P4158" s="5">
        <f t="shared" si="1962"/>
        <v>5433.645203111495</v>
      </c>
    </row>
    <row r="4159" spans="1:16" x14ac:dyDescent="0.35">
      <c r="A4159" t="s">
        <v>37</v>
      </c>
      <c r="B4159" t="s">
        <v>23</v>
      </c>
      <c r="C4159">
        <v>2012</v>
      </c>
      <c r="D4159" t="s">
        <v>30</v>
      </c>
      <c r="E4159" s="3">
        <f>1638+1113</f>
        <v>2751</v>
      </c>
      <c r="F4159" s="3">
        <v>29826</v>
      </c>
      <c r="G4159" s="1">
        <f t="shared" si="1963"/>
        <v>32577</v>
      </c>
      <c r="H4159" s="2">
        <f t="shared" si="1964"/>
        <v>8.4446081591306746E-2</v>
      </c>
      <c r="I4159" s="2">
        <f t="shared" si="1965"/>
        <v>0.91555391840869327</v>
      </c>
      <c r="J4159" s="16">
        <f>534.34+2599.33</f>
        <v>3133.67</v>
      </c>
      <c r="K4159" s="16">
        <v>189044.95</v>
      </c>
      <c r="L4159" s="1">
        <f t="shared" si="1959"/>
        <v>192178.62000000002</v>
      </c>
      <c r="M4159" s="2">
        <f t="shared" si="1960"/>
        <v>1.630602821479309E-2</v>
      </c>
      <c r="N4159" s="2">
        <f t="shared" si="1961"/>
        <v>0.98369397178520679</v>
      </c>
      <c r="P4159" s="5">
        <f t="shared" si="1962"/>
        <v>5899.2117137858004</v>
      </c>
    </row>
    <row r="4160" spans="1:16" x14ac:dyDescent="0.35">
      <c r="A4160" t="s">
        <v>37</v>
      </c>
      <c r="B4160" t="s">
        <v>24</v>
      </c>
      <c r="C4160">
        <v>2012</v>
      </c>
      <c r="D4160" t="s">
        <v>30</v>
      </c>
      <c r="E4160" s="3">
        <f>1353+361</f>
        <v>1714</v>
      </c>
      <c r="F4160" s="3">
        <v>30788</v>
      </c>
      <c r="G4160" s="1">
        <f t="shared" si="1963"/>
        <v>32502</v>
      </c>
      <c r="H4160" s="2">
        <f t="shared" si="1964"/>
        <v>5.2735216294381881E-2</v>
      </c>
      <c r="I4160" s="2">
        <f t="shared" si="1965"/>
        <v>0.94726478370561806</v>
      </c>
      <c r="J4160" s="16">
        <f>533.83+727.92</f>
        <v>1261.75</v>
      </c>
      <c r="K4160" s="16">
        <v>219945.39</v>
      </c>
      <c r="L4160" s="1">
        <f t="shared" si="1959"/>
        <v>221207.14</v>
      </c>
      <c r="M4160" s="2">
        <f t="shared" si="1960"/>
        <v>5.7039298098605674E-3</v>
      </c>
      <c r="N4160" s="2">
        <f t="shared" si="1961"/>
        <v>0.99429607019013944</v>
      </c>
      <c r="P4160" s="5">
        <f t="shared" si="1962"/>
        <v>6805.9547104793555</v>
      </c>
    </row>
    <row r="4161" spans="1:16" x14ac:dyDescent="0.35">
      <c r="A4161" t="s">
        <v>37</v>
      </c>
      <c r="B4161" t="s">
        <v>25</v>
      </c>
      <c r="C4161">
        <v>2012</v>
      </c>
      <c r="D4161" t="s">
        <v>30</v>
      </c>
      <c r="E4161" s="3">
        <f>1341+349</f>
        <v>1690</v>
      </c>
      <c r="F4161" s="8">
        <v>30931</v>
      </c>
      <c r="G4161" s="1">
        <f t="shared" si="1963"/>
        <v>32621</v>
      </c>
      <c r="H4161" s="2">
        <f t="shared" si="1964"/>
        <v>5.1807118114098279E-2</v>
      </c>
      <c r="I4161" s="2">
        <f t="shared" si="1965"/>
        <v>0.94819288188590167</v>
      </c>
      <c r="J4161" s="16">
        <f>562.29+664.54</f>
        <v>1226.83</v>
      </c>
      <c r="K4161" s="19">
        <v>220707.63</v>
      </c>
      <c r="L4161" s="1">
        <f t="shared" si="1959"/>
        <v>221934.46</v>
      </c>
      <c r="M4161" s="2">
        <f t="shared" si="1960"/>
        <v>5.5278932347865217E-3</v>
      </c>
      <c r="N4161" s="2">
        <f t="shared" si="1961"/>
        <v>0.99447210676521358</v>
      </c>
      <c r="P4161" s="5">
        <f t="shared" si="1962"/>
        <v>6803.4229484074676</v>
      </c>
    </row>
    <row r="4162" spans="1:16" x14ac:dyDescent="0.35">
      <c r="A4162" t="s">
        <v>37</v>
      </c>
      <c r="B4162" t="s">
        <v>26</v>
      </c>
      <c r="C4162">
        <v>2012</v>
      </c>
      <c r="D4162" t="s">
        <v>30</v>
      </c>
      <c r="E4162" s="3">
        <f>1320+332</f>
        <v>1652</v>
      </c>
      <c r="F4162" s="3">
        <v>31055</v>
      </c>
      <c r="G4162" s="1">
        <f t="shared" si="1963"/>
        <v>32707</v>
      </c>
      <c r="H4162" s="2">
        <f t="shared" si="1964"/>
        <v>5.0509065337695294E-2</v>
      </c>
      <c r="I4162" s="2">
        <f t="shared" si="1965"/>
        <v>0.94949093466230472</v>
      </c>
      <c r="J4162" s="16">
        <f>462.25+611.27</f>
        <v>1073.52</v>
      </c>
      <c r="K4162" s="8">
        <v>209336.46</v>
      </c>
      <c r="L4162" s="1">
        <f t="shared" si="1959"/>
        <v>210409.97999999998</v>
      </c>
      <c r="M4162" s="2">
        <f t="shared" si="1960"/>
        <v>5.1020393614409354E-3</v>
      </c>
      <c r="N4162" s="2">
        <f t="shared" si="1961"/>
        <v>0.99489796063855906</v>
      </c>
      <c r="P4162" s="5">
        <f t="shared" si="1962"/>
        <v>6433.1788302198293</v>
      </c>
    </row>
    <row r="4163" spans="1:16" x14ac:dyDescent="0.35">
      <c r="A4163" t="s">
        <v>37</v>
      </c>
      <c r="B4163" t="s">
        <v>27</v>
      </c>
      <c r="C4163">
        <v>2012</v>
      </c>
      <c r="D4163" t="s">
        <v>30</v>
      </c>
      <c r="E4163" s="3">
        <v>1609</v>
      </c>
      <c r="F4163" s="3">
        <v>30990</v>
      </c>
      <c r="G4163" s="1">
        <f t="shared" si="1963"/>
        <v>32599</v>
      </c>
      <c r="H4163" s="2">
        <f t="shared" si="1964"/>
        <v>4.9357342249762265E-2</v>
      </c>
      <c r="I4163" s="2">
        <f t="shared" si="1965"/>
        <v>0.95064265775023771</v>
      </c>
      <c r="J4163" s="16">
        <v>757.09</v>
      </c>
      <c r="K4163" s="8">
        <v>176943.35999999999</v>
      </c>
      <c r="L4163" s="1">
        <f t="shared" ref="L4163:L4226" si="1966">SUM(J4163:K4163)</f>
        <v>177700.44999999998</v>
      </c>
      <c r="M4163" s="2">
        <f t="shared" ref="M4163:M4226" si="1967">SUM(J4163)/L4163</f>
        <v>4.2604844275858618E-3</v>
      </c>
      <c r="N4163" s="2">
        <f t="shared" ref="N4163:N4226" si="1968">SUM(K4163/L4163)</f>
        <v>0.99573951557241414</v>
      </c>
      <c r="P4163" s="5">
        <f t="shared" si="1962"/>
        <v>5451.1012607748698</v>
      </c>
    </row>
    <row r="4164" spans="1:16" x14ac:dyDescent="0.35">
      <c r="A4164" t="s">
        <v>37</v>
      </c>
      <c r="B4164" t="s">
        <v>28</v>
      </c>
      <c r="C4164">
        <v>2012</v>
      </c>
      <c r="D4164" t="s">
        <v>30</v>
      </c>
      <c r="E4164" s="3">
        <v>1568</v>
      </c>
      <c r="F4164" s="3">
        <v>31075</v>
      </c>
      <c r="G4164" s="1">
        <f t="shared" si="1963"/>
        <v>32643</v>
      </c>
      <c r="H4164" s="2">
        <f t="shared" si="1964"/>
        <v>4.8034800722972767E-2</v>
      </c>
      <c r="I4164" s="2">
        <f t="shared" si="1965"/>
        <v>0.95196519927702727</v>
      </c>
      <c r="J4164" s="16">
        <v>663.21</v>
      </c>
      <c r="K4164" s="8">
        <v>162069.1</v>
      </c>
      <c r="L4164" s="1">
        <f t="shared" si="1966"/>
        <v>162732.31</v>
      </c>
      <c r="M4164" s="2">
        <f t="shared" si="1967"/>
        <v>4.0754660214680173E-3</v>
      </c>
      <c r="N4164" s="2">
        <f t="shared" si="1968"/>
        <v>0.99592453397853198</v>
      </c>
      <c r="P4164" s="5">
        <f t="shared" ref="P4164:P4225" si="1969">SUM(1000*L4164)/G4164</f>
        <v>4985.2130625248901</v>
      </c>
    </row>
    <row r="4165" spans="1:16" x14ac:dyDescent="0.35">
      <c r="A4165" t="s">
        <v>37</v>
      </c>
      <c r="B4165" t="s">
        <v>29</v>
      </c>
      <c r="C4165">
        <v>2012</v>
      </c>
      <c r="D4165" t="s">
        <v>30</v>
      </c>
      <c r="E4165" s="3">
        <v>1551</v>
      </c>
      <c r="F4165" s="3">
        <v>31161</v>
      </c>
      <c r="G4165" s="1">
        <f t="shared" si="1963"/>
        <v>32712</v>
      </c>
      <c r="H4165" s="2">
        <f t="shared" si="1964"/>
        <v>4.7413793103448273E-2</v>
      </c>
      <c r="I4165" s="2">
        <f t="shared" si="1965"/>
        <v>0.95258620689655171</v>
      </c>
      <c r="J4165" s="16">
        <v>620.21</v>
      </c>
      <c r="K4165" s="8">
        <v>149416.71</v>
      </c>
      <c r="L4165" s="1">
        <f t="shared" si="1966"/>
        <v>150036.91999999998</v>
      </c>
      <c r="M4165" s="2">
        <f t="shared" si="1967"/>
        <v>4.1337158880627523E-3</v>
      </c>
      <c r="N4165" s="2">
        <f t="shared" si="1968"/>
        <v>0.99586628411193734</v>
      </c>
      <c r="P4165" s="5">
        <f t="shared" si="1969"/>
        <v>4586.6018586451446</v>
      </c>
    </row>
    <row r="4166" spans="1:16" x14ac:dyDescent="0.35">
      <c r="A4166" t="s">
        <v>37</v>
      </c>
      <c r="B4166" t="s">
        <v>17</v>
      </c>
      <c r="C4166">
        <v>2013</v>
      </c>
      <c r="D4166" t="s">
        <v>30</v>
      </c>
      <c r="E4166" s="3">
        <f>1220+315</f>
        <v>1535</v>
      </c>
      <c r="F4166" s="3">
        <v>31435</v>
      </c>
      <c r="G4166" s="1">
        <f t="shared" si="1963"/>
        <v>32970</v>
      </c>
      <c r="H4166" s="2">
        <f t="shared" si="1964"/>
        <v>4.6557476493782224E-2</v>
      </c>
      <c r="I4166" s="2">
        <f t="shared" si="1965"/>
        <v>0.95344252350621772</v>
      </c>
      <c r="J4166" s="16">
        <f>411.06+365.04</f>
        <v>776.1</v>
      </c>
      <c r="K4166" s="8">
        <v>141907.13</v>
      </c>
      <c r="L4166" s="1">
        <f t="shared" si="1966"/>
        <v>142683.23000000001</v>
      </c>
      <c r="M4166" s="2">
        <f t="shared" si="1967"/>
        <v>5.4393217759368074E-3</v>
      </c>
      <c r="N4166" s="2">
        <f t="shared" si="1968"/>
        <v>0.99456067822406313</v>
      </c>
      <c r="P4166" s="5">
        <f t="shared" si="1969"/>
        <v>4327.668486502881</v>
      </c>
    </row>
    <row r="4167" spans="1:16" x14ac:dyDescent="0.35">
      <c r="A4167" t="s">
        <v>37</v>
      </c>
      <c r="B4167" t="s">
        <v>19</v>
      </c>
      <c r="C4167">
        <v>2013</v>
      </c>
      <c r="D4167" t="s">
        <v>30</v>
      </c>
      <c r="E4167" s="3">
        <f>1188+310</f>
        <v>1498</v>
      </c>
      <c r="F4167" s="3">
        <v>31251</v>
      </c>
      <c r="G4167" s="1">
        <f t="shared" si="1963"/>
        <v>32749</v>
      </c>
      <c r="H4167" s="2">
        <f t="shared" si="1964"/>
        <v>4.5741854713121012E-2</v>
      </c>
      <c r="I4167" s="2">
        <f t="shared" si="1965"/>
        <v>0.95425814528687902</v>
      </c>
      <c r="J4167" s="16">
        <f>335.14+182.67</f>
        <v>517.80999999999995</v>
      </c>
      <c r="K4167" s="8">
        <v>160987.4</v>
      </c>
      <c r="L4167" s="1">
        <f t="shared" si="1966"/>
        <v>161505.21</v>
      </c>
      <c r="M4167" s="2">
        <f t="shared" si="1967"/>
        <v>3.2061504393573431E-3</v>
      </c>
      <c r="N4167" s="2">
        <f t="shared" si="1968"/>
        <v>0.99679384956064265</v>
      </c>
      <c r="P4167" s="5">
        <f t="shared" si="1969"/>
        <v>4931.6073773244989</v>
      </c>
    </row>
    <row r="4168" spans="1:16" x14ac:dyDescent="0.35">
      <c r="A4168" t="s">
        <v>37</v>
      </c>
      <c r="B4168" t="s">
        <v>20</v>
      </c>
      <c r="C4168">
        <v>2013</v>
      </c>
      <c r="D4168" t="s">
        <v>30</v>
      </c>
      <c r="E4168" s="3">
        <f>1176+307</f>
        <v>1483</v>
      </c>
      <c r="F4168" s="3">
        <v>31167</v>
      </c>
      <c r="G4168" s="1">
        <f t="shared" si="1963"/>
        <v>32650</v>
      </c>
      <c r="H4168" s="2">
        <f t="shared" si="1964"/>
        <v>4.5421133231240432E-2</v>
      </c>
      <c r="I4168" s="2">
        <f t="shared" si="1965"/>
        <v>0.95457886676875958</v>
      </c>
      <c r="J4168" s="16">
        <f>304.48+271.49</f>
        <v>575.97</v>
      </c>
      <c r="K4168" s="8">
        <v>124531.15</v>
      </c>
      <c r="L4168" s="1">
        <f t="shared" si="1966"/>
        <v>125107.12</v>
      </c>
      <c r="M4168" s="2">
        <f t="shared" si="1967"/>
        <v>4.6038147149418838E-3</v>
      </c>
      <c r="N4168" s="2">
        <f t="shared" si="1968"/>
        <v>0.99539618528505813</v>
      </c>
      <c r="P4168" s="5">
        <f t="shared" si="1969"/>
        <v>3831.7647779479325</v>
      </c>
    </row>
    <row r="4169" spans="1:16" x14ac:dyDescent="0.35">
      <c r="A4169" t="s">
        <v>37</v>
      </c>
      <c r="B4169" t="s">
        <v>21</v>
      </c>
      <c r="C4169">
        <v>2013</v>
      </c>
      <c r="D4169" t="s">
        <v>30</v>
      </c>
      <c r="E4169" s="3">
        <f>1166+306</f>
        <v>1472</v>
      </c>
      <c r="F4169" s="3">
        <v>31479</v>
      </c>
      <c r="G4169" s="1">
        <f t="shared" si="1963"/>
        <v>32951</v>
      </c>
      <c r="H4169" s="2">
        <f t="shared" si="1964"/>
        <v>4.467239234014142E-2</v>
      </c>
      <c r="I4169" s="2">
        <f t="shared" si="1965"/>
        <v>0.95532760765985858</v>
      </c>
      <c r="J4169" s="16">
        <f>360.44+276.31</f>
        <v>636.75</v>
      </c>
      <c r="K4169" s="8">
        <v>177841.19</v>
      </c>
      <c r="L4169" s="1">
        <f t="shared" si="1966"/>
        <v>178477.94</v>
      </c>
      <c r="M4169" s="2">
        <f t="shared" si="1967"/>
        <v>3.5676678025306657E-3</v>
      </c>
      <c r="N4169" s="2">
        <f t="shared" si="1968"/>
        <v>0.99643233219746929</v>
      </c>
      <c r="P4169" s="5">
        <f t="shared" si="1969"/>
        <v>5416.4650541713454</v>
      </c>
    </row>
    <row r="4170" spans="1:16" x14ac:dyDescent="0.35">
      <c r="A4170" t="s">
        <v>37</v>
      </c>
      <c r="B4170" t="s">
        <v>22</v>
      </c>
      <c r="C4170">
        <v>2013</v>
      </c>
      <c r="D4170" t="s">
        <v>30</v>
      </c>
      <c r="E4170" s="3">
        <f>1163+310</f>
        <v>1473</v>
      </c>
      <c r="F4170" s="3">
        <v>31510</v>
      </c>
      <c r="G4170" s="1">
        <f t="shared" si="1963"/>
        <v>32983</v>
      </c>
      <c r="H4170" s="2">
        <f t="shared" si="1964"/>
        <v>4.4659369978473758E-2</v>
      </c>
      <c r="I4170" s="2">
        <f t="shared" si="1965"/>
        <v>0.95534063002152625</v>
      </c>
      <c r="J4170" s="16">
        <f>208.86+288.71</f>
        <v>497.57</v>
      </c>
      <c r="K4170" s="8">
        <v>164650.62</v>
      </c>
      <c r="L4170" s="1">
        <f t="shared" si="1966"/>
        <v>165148.19</v>
      </c>
      <c r="M4170" s="2">
        <f t="shared" si="1967"/>
        <v>3.0128698352673436E-3</v>
      </c>
      <c r="N4170" s="2">
        <f t="shared" si="1968"/>
        <v>0.99698713016473262</v>
      </c>
      <c r="P4170" s="5">
        <f t="shared" si="1969"/>
        <v>5007.0700057605436</v>
      </c>
    </row>
    <row r="4171" spans="1:16" x14ac:dyDescent="0.35">
      <c r="A4171" t="s">
        <v>37</v>
      </c>
      <c r="B4171" t="s">
        <v>23</v>
      </c>
      <c r="C4171">
        <v>2013</v>
      </c>
      <c r="D4171" t="s">
        <v>30</v>
      </c>
      <c r="E4171" s="3">
        <f>1132+312</f>
        <v>1444</v>
      </c>
      <c r="F4171" s="3">
        <v>31451</v>
      </c>
      <c r="G4171" s="1">
        <f t="shared" si="1963"/>
        <v>32895</v>
      </c>
      <c r="H4171" s="2">
        <f t="shared" si="1964"/>
        <v>4.3897248822009426E-2</v>
      </c>
      <c r="I4171" s="2">
        <f t="shared" si="1965"/>
        <v>0.9561027511779906</v>
      </c>
      <c r="J4171" s="16">
        <f>411.48+356.44</f>
        <v>767.92000000000007</v>
      </c>
      <c r="K4171" s="8">
        <v>198102.02</v>
      </c>
      <c r="L4171" s="1">
        <f t="shared" si="1966"/>
        <v>198869.94</v>
      </c>
      <c r="M4171" s="2">
        <f t="shared" si="1967"/>
        <v>3.8614181710921219E-3</v>
      </c>
      <c r="N4171" s="2">
        <f t="shared" si="1968"/>
        <v>0.9961385818289078</v>
      </c>
      <c r="P4171" s="5">
        <f t="shared" si="1969"/>
        <v>6045.5978112175098</v>
      </c>
    </row>
    <row r="4172" spans="1:16" x14ac:dyDescent="0.35">
      <c r="A4172" t="s">
        <v>37</v>
      </c>
      <c r="B4172" t="s">
        <v>24</v>
      </c>
      <c r="C4172">
        <v>2013</v>
      </c>
      <c r="D4172" t="s">
        <v>30</v>
      </c>
      <c r="E4172" s="3">
        <f>1134+322</f>
        <v>1456</v>
      </c>
      <c r="F4172" s="3">
        <v>31727</v>
      </c>
      <c r="G4172" s="1">
        <f t="shared" si="1963"/>
        <v>33183</v>
      </c>
      <c r="H4172" s="2">
        <f t="shared" si="1964"/>
        <v>4.3877889280655759E-2</v>
      </c>
      <c r="I4172" s="2">
        <f t="shared" si="1965"/>
        <v>0.95612211071934428</v>
      </c>
      <c r="J4172" s="16">
        <f>418.88+513.44</f>
        <v>932.32</v>
      </c>
      <c r="K4172" s="8">
        <v>212832.42</v>
      </c>
      <c r="L4172" s="1">
        <f t="shared" si="1966"/>
        <v>213764.74000000002</v>
      </c>
      <c r="M4172" s="2">
        <f t="shared" si="1967"/>
        <v>4.3614302340039797E-3</v>
      </c>
      <c r="N4172" s="2">
        <f t="shared" si="1968"/>
        <v>0.99563856976599596</v>
      </c>
      <c r="P4172" s="5">
        <f t="shared" si="1969"/>
        <v>6441.995600156708</v>
      </c>
    </row>
    <row r="4173" spans="1:16" x14ac:dyDescent="0.35">
      <c r="A4173" t="s">
        <v>37</v>
      </c>
      <c r="B4173" t="s">
        <v>25</v>
      </c>
      <c r="C4173">
        <v>2013</v>
      </c>
      <c r="D4173" t="s">
        <v>30</v>
      </c>
      <c r="E4173" s="3">
        <f>1133+323</f>
        <v>1456</v>
      </c>
      <c r="F4173" s="3">
        <v>31804</v>
      </c>
      <c r="G4173" s="1">
        <f t="shared" si="1963"/>
        <v>33260</v>
      </c>
      <c r="H4173" s="2">
        <f t="shared" si="1964"/>
        <v>4.3776307877330126E-2</v>
      </c>
      <c r="I4173" s="2">
        <f t="shared" si="1965"/>
        <v>0.95622369212266989</v>
      </c>
      <c r="J4173" s="16">
        <f>423.05+501.34</f>
        <v>924.39</v>
      </c>
      <c r="K4173" s="8">
        <v>215227.46</v>
      </c>
      <c r="L4173" s="1">
        <f t="shared" si="1966"/>
        <v>216151.85</v>
      </c>
      <c r="M4173" s="2">
        <f t="shared" si="1967"/>
        <v>4.2765768602026771E-3</v>
      </c>
      <c r="N4173" s="2">
        <f t="shared" si="1968"/>
        <v>0.99572342313979723</v>
      </c>
      <c r="P4173" s="5">
        <f t="shared" si="1969"/>
        <v>6498.8529765484063</v>
      </c>
    </row>
    <row r="4174" spans="1:16" x14ac:dyDescent="0.35">
      <c r="A4174" t="s">
        <v>37</v>
      </c>
      <c r="B4174" t="s">
        <v>26</v>
      </c>
      <c r="C4174">
        <v>2013</v>
      </c>
      <c r="D4174" t="s">
        <v>30</v>
      </c>
      <c r="E4174" s="3">
        <f>1118+322</f>
        <v>1440</v>
      </c>
      <c r="F4174" s="3">
        <v>31834</v>
      </c>
      <c r="G4174" s="1">
        <f t="shared" si="1963"/>
        <v>33274</v>
      </c>
      <c r="H4174" s="2">
        <f t="shared" si="1964"/>
        <v>4.3277033118951737E-2</v>
      </c>
      <c r="I4174" s="2">
        <f t="shared" si="1965"/>
        <v>0.9567229668810483</v>
      </c>
      <c r="J4174" s="16">
        <f>402.11+483.97</f>
        <v>886.08</v>
      </c>
      <c r="K4174" s="8">
        <v>218630.68</v>
      </c>
      <c r="L4174" s="1">
        <f t="shared" si="1966"/>
        <v>219516.75999999998</v>
      </c>
      <c r="M4174" s="2">
        <f t="shared" si="1967"/>
        <v>4.0365027253499918E-3</v>
      </c>
      <c r="N4174" s="2">
        <f t="shared" si="1968"/>
        <v>0.99596349727465006</v>
      </c>
      <c r="P4174" s="5">
        <f t="shared" si="1969"/>
        <v>6597.2458976979015</v>
      </c>
    </row>
    <row r="4175" spans="1:16" x14ac:dyDescent="0.35">
      <c r="A4175" t="s">
        <v>37</v>
      </c>
      <c r="B4175" t="s">
        <v>27</v>
      </c>
      <c r="C4175">
        <v>2013</v>
      </c>
      <c r="D4175" t="s">
        <v>30</v>
      </c>
      <c r="E4175" s="3">
        <f>1131+324</f>
        <v>1455</v>
      </c>
      <c r="F4175" s="3">
        <v>32131</v>
      </c>
      <c r="G4175" s="1">
        <f t="shared" si="1963"/>
        <v>33586</v>
      </c>
      <c r="H4175" s="2">
        <f t="shared" si="1964"/>
        <v>4.332162210444828E-2</v>
      </c>
      <c r="I4175" s="2">
        <f t="shared" si="1965"/>
        <v>0.95667837789555177</v>
      </c>
      <c r="J4175" s="16">
        <f>325.07+664.47</f>
        <v>989.54</v>
      </c>
      <c r="K4175" s="8">
        <v>337508.46</v>
      </c>
      <c r="L4175" s="1">
        <f t="shared" si="1966"/>
        <v>338498</v>
      </c>
      <c r="M4175" s="2">
        <f t="shared" si="1967"/>
        <v>2.9233259871550201E-3</v>
      </c>
      <c r="N4175" s="2">
        <f t="shared" si="1968"/>
        <v>0.99707667401284505</v>
      </c>
      <c r="P4175" s="5">
        <f t="shared" si="1969"/>
        <v>10078.544631691777</v>
      </c>
    </row>
    <row r="4176" spans="1:16" x14ac:dyDescent="0.35">
      <c r="A4176" t="s">
        <v>37</v>
      </c>
      <c r="B4176" t="s">
        <v>28</v>
      </c>
      <c r="C4176">
        <v>2013</v>
      </c>
      <c r="D4176" t="s">
        <v>30</v>
      </c>
      <c r="E4176" s="3">
        <f>1092+316</f>
        <v>1408</v>
      </c>
      <c r="F4176" s="3">
        <v>31911</v>
      </c>
      <c r="G4176" s="1">
        <f t="shared" si="1963"/>
        <v>33319</v>
      </c>
      <c r="H4176" s="2">
        <f t="shared" si="1964"/>
        <v>4.2258171013535822E-2</v>
      </c>
      <c r="I4176" s="2">
        <f t="shared" si="1965"/>
        <v>0.95774182898646421</v>
      </c>
      <c r="J4176" s="16">
        <f>244.07+500.16</f>
        <v>744.23</v>
      </c>
      <c r="K4176" s="8">
        <v>274804.37400000001</v>
      </c>
      <c r="L4176" s="1">
        <f t="shared" si="1966"/>
        <v>275548.60399999999</v>
      </c>
      <c r="M4176" s="2">
        <f t="shared" si="1967"/>
        <v>2.7009028142272861E-3</v>
      </c>
      <c r="N4176" s="2">
        <f t="shared" si="1968"/>
        <v>0.99729909718577281</v>
      </c>
      <c r="P4176" s="5">
        <f t="shared" si="1969"/>
        <v>8270.0142261172296</v>
      </c>
    </row>
    <row r="4177" spans="1:16" x14ac:dyDescent="0.35">
      <c r="A4177" t="s">
        <v>37</v>
      </c>
      <c r="B4177" t="s">
        <v>29</v>
      </c>
      <c r="C4177">
        <v>2013</v>
      </c>
      <c r="D4177" t="s">
        <v>30</v>
      </c>
      <c r="E4177" s="3">
        <f>1101+336</f>
        <v>1437</v>
      </c>
      <c r="F4177" s="3">
        <v>32179</v>
      </c>
      <c r="G4177" s="1">
        <f t="shared" si="1963"/>
        <v>33616</v>
      </c>
      <c r="H4177" s="2">
        <f t="shared" si="1964"/>
        <v>4.2747501189909567E-2</v>
      </c>
      <c r="I4177" s="2">
        <f t="shared" si="1965"/>
        <v>0.95725249881009045</v>
      </c>
      <c r="J4177" s="16">
        <f>326.37+679.75</f>
        <v>1006.12</v>
      </c>
      <c r="K4177" s="8">
        <v>278429.28000000003</v>
      </c>
      <c r="L4177" s="1">
        <f t="shared" si="1966"/>
        <v>279435.40000000002</v>
      </c>
      <c r="M4177" s="2">
        <f t="shared" si="1967"/>
        <v>3.6005459580282237E-3</v>
      </c>
      <c r="N4177" s="2">
        <f t="shared" si="1968"/>
        <v>0.99639945404197183</v>
      </c>
      <c r="P4177" s="5">
        <f t="shared" si="1969"/>
        <v>8312.5713945740117</v>
      </c>
    </row>
    <row r="4178" spans="1:16" x14ac:dyDescent="0.35">
      <c r="A4178" t="s">
        <v>37</v>
      </c>
      <c r="B4178" t="s">
        <v>17</v>
      </c>
      <c r="C4178">
        <v>2014</v>
      </c>
      <c r="D4178" t="s">
        <v>30</v>
      </c>
      <c r="E4178" s="3">
        <f>1084+337</f>
        <v>1421</v>
      </c>
      <c r="F4178" s="3">
        <v>32179</v>
      </c>
      <c r="G4178" s="1">
        <f t="shared" si="1963"/>
        <v>33600</v>
      </c>
      <c r="H4178" s="2">
        <f t="shared" si="1964"/>
        <v>4.2291666666666665E-2</v>
      </c>
      <c r="I4178" s="2">
        <f t="shared" si="1965"/>
        <v>0.95770833333333338</v>
      </c>
      <c r="J4178" s="16">
        <f>368.45+770.97</f>
        <v>1139.42</v>
      </c>
      <c r="K4178" s="8">
        <v>286908.28999999998</v>
      </c>
      <c r="L4178" s="1">
        <f t="shared" si="1966"/>
        <v>288047.70999999996</v>
      </c>
      <c r="M4178" s="2">
        <f t="shared" si="1967"/>
        <v>3.9556641502201152E-3</v>
      </c>
      <c r="N4178" s="2">
        <f t="shared" si="1968"/>
        <v>0.99604433584977992</v>
      </c>
      <c r="P4178" s="5">
        <f t="shared" si="1969"/>
        <v>8572.84851190476</v>
      </c>
    </row>
    <row r="4179" spans="1:16" x14ac:dyDescent="0.35">
      <c r="A4179" t="s">
        <v>37</v>
      </c>
      <c r="B4179" t="s">
        <v>19</v>
      </c>
      <c r="C4179">
        <v>2014</v>
      </c>
      <c r="D4179" t="s">
        <v>30</v>
      </c>
      <c r="E4179" s="3">
        <f>1089+336</f>
        <v>1425</v>
      </c>
      <c r="F4179" s="3">
        <v>32179</v>
      </c>
      <c r="G4179" s="1">
        <f t="shared" si="1963"/>
        <v>33604</v>
      </c>
      <c r="H4179" s="2">
        <f t="shared" si="1964"/>
        <v>4.2405665992143793E-2</v>
      </c>
      <c r="I4179" s="2">
        <f t="shared" si="1965"/>
        <v>0.95759433400785621</v>
      </c>
      <c r="J4179" s="16">
        <f>352.29+767.66</f>
        <v>1119.95</v>
      </c>
      <c r="K4179" s="8">
        <v>293290.13</v>
      </c>
      <c r="L4179" s="1">
        <f t="shared" si="1966"/>
        <v>294410.08</v>
      </c>
      <c r="M4179" s="2">
        <f t="shared" si="1967"/>
        <v>3.8040477418436218E-3</v>
      </c>
      <c r="N4179" s="2">
        <f t="shared" si="1968"/>
        <v>0.99619595225815638</v>
      </c>
      <c r="P4179" s="5">
        <f t="shared" si="1969"/>
        <v>8761.1617664563746</v>
      </c>
    </row>
    <row r="4180" spans="1:16" x14ac:dyDescent="0.35">
      <c r="A4180" t="s">
        <v>37</v>
      </c>
      <c r="B4180" t="s">
        <v>20</v>
      </c>
      <c r="C4180">
        <v>2014</v>
      </c>
      <c r="D4180" t="s">
        <v>30</v>
      </c>
      <c r="E4180" s="3">
        <f>1075+342</f>
        <v>1417</v>
      </c>
      <c r="F4180" s="3">
        <v>32179</v>
      </c>
      <c r="G4180" s="1">
        <f t="shared" si="1963"/>
        <v>33596</v>
      </c>
      <c r="H4180" s="2">
        <f t="shared" si="1964"/>
        <v>4.2177640195261337E-2</v>
      </c>
      <c r="I4180" s="2">
        <f t="shared" si="1965"/>
        <v>0.95782235980473862</v>
      </c>
      <c r="J4180" s="16">
        <f>295.82+616.39</f>
        <v>912.21</v>
      </c>
      <c r="K4180" s="8">
        <v>269443.09999999998</v>
      </c>
      <c r="L4180" s="1">
        <f t="shared" si="1966"/>
        <v>270355.31</v>
      </c>
      <c r="M4180" s="2">
        <f t="shared" si="1967"/>
        <v>3.3741153447291272E-3</v>
      </c>
      <c r="N4180" s="2">
        <f t="shared" si="1968"/>
        <v>0.9966258846552708</v>
      </c>
      <c r="P4180" s="5">
        <f t="shared" si="1969"/>
        <v>8047.2469936897251</v>
      </c>
    </row>
    <row r="4181" spans="1:16" x14ac:dyDescent="0.35">
      <c r="A4181" t="s">
        <v>37</v>
      </c>
      <c r="B4181" t="s">
        <v>21</v>
      </c>
      <c r="C4181">
        <v>2014</v>
      </c>
      <c r="D4181" t="s">
        <v>30</v>
      </c>
      <c r="E4181" s="3">
        <f>1048+337</f>
        <v>1385</v>
      </c>
      <c r="F4181" s="3">
        <v>32186</v>
      </c>
      <c r="G4181" s="1">
        <f t="shared" si="1963"/>
        <v>33571</v>
      </c>
      <c r="H4181" s="2">
        <f t="shared" si="1964"/>
        <v>4.1255845819308329E-2</v>
      </c>
      <c r="I4181" s="2">
        <f t="shared" si="1965"/>
        <v>0.9587441541806917</v>
      </c>
      <c r="J4181" s="16">
        <f>218+525.68</f>
        <v>743.68</v>
      </c>
      <c r="K4181" s="8">
        <v>279547.55</v>
      </c>
      <c r="L4181" s="1">
        <f t="shared" si="1966"/>
        <v>280291.23</v>
      </c>
      <c r="M4181" s="2">
        <f t="shared" si="1967"/>
        <v>2.6532403457646533E-3</v>
      </c>
      <c r="N4181" s="2">
        <f t="shared" si="1968"/>
        <v>0.99734675965423536</v>
      </c>
      <c r="P4181" s="5">
        <f t="shared" si="1969"/>
        <v>8349.2070537070686</v>
      </c>
    </row>
    <row r="4182" spans="1:16" x14ac:dyDescent="0.35">
      <c r="A4182" t="s">
        <v>37</v>
      </c>
      <c r="B4182" t="s">
        <v>22</v>
      </c>
      <c r="C4182">
        <v>2014</v>
      </c>
      <c r="D4182" t="s">
        <v>30</v>
      </c>
      <c r="E4182" s="3">
        <f>1045+340</f>
        <v>1385</v>
      </c>
      <c r="F4182" s="3">
        <v>32172</v>
      </c>
      <c r="G4182" s="1">
        <f t="shared" si="1963"/>
        <v>33557</v>
      </c>
      <c r="H4182" s="2">
        <f t="shared" si="1964"/>
        <v>4.1273057782280895E-2</v>
      </c>
      <c r="I4182" s="2">
        <f t="shared" si="1965"/>
        <v>0.95872694221771915</v>
      </c>
      <c r="J4182" s="16">
        <f>251.5+639.02</f>
        <v>890.52</v>
      </c>
      <c r="K4182" s="8">
        <v>296736.71000000002</v>
      </c>
      <c r="L4182" s="1">
        <f t="shared" si="1966"/>
        <v>297627.23000000004</v>
      </c>
      <c r="M4182" s="2">
        <f t="shared" si="1967"/>
        <v>2.9920649397570239E-3</v>
      </c>
      <c r="N4182" s="2">
        <f t="shared" si="1968"/>
        <v>0.99700793506024288</v>
      </c>
      <c r="P4182" s="5">
        <f t="shared" si="1969"/>
        <v>8869.3038710254204</v>
      </c>
    </row>
    <row r="4183" spans="1:16" x14ac:dyDescent="0.35">
      <c r="A4183" t="s">
        <v>37</v>
      </c>
      <c r="B4183" t="s">
        <v>23</v>
      </c>
      <c r="C4183">
        <v>2014</v>
      </c>
      <c r="D4183" t="s">
        <v>30</v>
      </c>
      <c r="E4183" s="3">
        <f>1027+340</f>
        <v>1367</v>
      </c>
      <c r="F4183" s="3">
        <v>32397</v>
      </c>
      <c r="G4183" s="1">
        <f t="shared" si="1963"/>
        <v>33764</v>
      </c>
      <c r="H4183" s="2">
        <f t="shared" si="1964"/>
        <v>4.0486909133988863E-2</v>
      </c>
      <c r="I4183" s="2">
        <f t="shared" si="1965"/>
        <v>0.95951309086601111</v>
      </c>
      <c r="J4183" s="16">
        <f>271.2+800.53</f>
        <v>1071.73</v>
      </c>
      <c r="K4183" s="8">
        <v>351832.7</v>
      </c>
      <c r="L4183" s="1">
        <f t="shared" si="1966"/>
        <v>352904.43</v>
      </c>
      <c r="M4183" s="2">
        <f t="shared" si="1967"/>
        <v>3.036884518564984E-3</v>
      </c>
      <c r="N4183" s="2">
        <f t="shared" si="1968"/>
        <v>0.99696311548143501</v>
      </c>
      <c r="P4183" s="5">
        <f t="shared" si="1969"/>
        <v>10452.091873000829</v>
      </c>
    </row>
    <row r="4184" spans="1:16" x14ac:dyDescent="0.35">
      <c r="A4184" t="s">
        <v>37</v>
      </c>
      <c r="B4184" t="s">
        <v>24</v>
      </c>
      <c r="C4184">
        <v>2014</v>
      </c>
      <c r="D4184" t="s">
        <v>30</v>
      </c>
      <c r="E4184" s="3">
        <f>1017+337</f>
        <v>1354</v>
      </c>
      <c r="F4184" s="3">
        <v>32479</v>
      </c>
      <c r="G4184" s="1">
        <f t="shared" si="1963"/>
        <v>33833</v>
      </c>
      <c r="H4184" s="2">
        <f t="shared" si="1964"/>
        <v>4.0020098720184437E-2</v>
      </c>
      <c r="I4184" s="2">
        <f t="shared" si="1965"/>
        <v>0.95997990127981558</v>
      </c>
      <c r="J4184" s="3">
        <v>1274.02</v>
      </c>
      <c r="K4184" s="8">
        <v>374287.1</v>
      </c>
      <c r="L4184" s="1">
        <f t="shared" si="1966"/>
        <v>375561.12</v>
      </c>
      <c r="M4184" s="2">
        <f t="shared" si="1967"/>
        <v>3.3923106843434699E-3</v>
      </c>
      <c r="N4184" s="2">
        <f t="shared" si="1968"/>
        <v>0.99660768931565646</v>
      </c>
      <c r="P4184" s="5">
        <f t="shared" si="1969"/>
        <v>11100.438033872255</v>
      </c>
    </row>
    <row r="4185" spans="1:16" x14ac:dyDescent="0.35">
      <c r="A4185" t="s">
        <v>37</v>
      </c>
      <c r="B4185" t="s">
        <v>25</v>
      </c>
      <c r="C4185">
        <v>2014</v>
      </c>
      <c r="D4185" t="s">
        <v>30</v>
      </c>
      <c r="E4185" s="3">
        <f>1010+335</f>
        <v>1345</v>
      </c>
      <c r="F4185" s="3">
        <v>32546</v>
      </c>
      <c r="G4185" s="1">
        <f t="shared" si="1963"/>
        <v>33891</v>
      </c>
      <c r="H4185" s="2">
        <f t="shared" si="1964"/>
        <v>3.9686052344280194E-2</v>
      </c>
      <c r="I4185" s="2">
        <f t="shared" si="1965"/>
        <v>0.96031394765571976</v>
      </c>
      <c r="J4185" s="3">
        <v>1309.78</v>
      </c>
      <c r="K4185" s="8">
        <v>389265.34</v>
      </c>
      <c r="L4185" s="1">
        <f t="shared" si="1966"/>
        <v>390575.12000000005</v>
      </c>
      <c r="M4185" s="2">
        <f t="shared" si="1967"/>
        <v>3.3534650133372544E-3</v>
      </c>
      <c r="N4185" s="2">
        <f t="shared" si="1968"/>
        <v>0.99664653498666267</v>
      </c>
      <c r="P4185" s="5">
        <f t="shared" si="1969"/>
        <v>11524.44955887994</v>
      </c>
    </row>
    <row r="4186" spans="1:16" x14ac:dyDescent="0.35">
      <c r="A4186" t="s">
        <v>37</v>
      </c>
      <c r="B4186" t="s">
        <v>26</v>
      </c>
      <c r="C4186">
        <v>2014</v>
      </c>
      <c r="D4186" t="s">
        <v>30</v>
      </c>
      <c r="E4186" s="3">
        <f>1008+335</f>
        <v>1343</v>
      </c>
      <c r="F4186" s="3">
        <v>32697</v>
      </c>
      <c r="G4186" s="1">
        <f t="shared" si="1963"/>
        <v>34040</v>
      </c>
      <c r="H4186" s="2">
        <f t="shared" si="1964"/>
        <v>3.9453584018801412E-2</v>
      </c>
      <c r="I4186" s="2">
        <f t="shared" si="1965"/>
        <v>0.96054641598119861</v>
      </c>
      <c r="J4186" s="3">
        <v>1247.6600000000001</v>
      </c>
      <c r="K4186" s="8">
        <v>389441.58</v>
      </c>
      <c r="L4186" s="1">
        <f t="shared" si="1966"/>
        <v>390689.24</v>
      </c>
      <c r="M4186" s="2">
        <f t="shared" si="1967"/>
        <v>3.1934844174362213E-3</v>
      </c>
      <c r="N4186" s="2">
        <f t="shared" si="1968"/>
        <v>0.99680651558256383</v>
      </c>
      <c r="P4186" s="5">
        <f t="shared" si="1969"/>
        <v>11477.35722679201</v>
      </c>
    </row>
    <row r="4187" spans="1:16" x14ac:dyDescent="0.35">
      <c r="A4187" t="s">
        <v>37</v>
      </c>
      <c r="B4187" t="s">
        <v>27</v>
      </c>
      <c r="C4187">
        <v>2014</v>
      </c>
      <c r="D4187" t="s">
        <v>30</v>
      </c>
      <c r="E4187" s="3">
        <v>1373</v>
      </c>
      <c r="F4187" s="3">
        <v>32675</v>
      </c>
      <c r="G4187" s="1">
        <f t="shared" si="1963"/>
        <v>34048</v>
      </c>
      <c r="H4187" s="2">
        <f t="shared" si="1964"/>
        <v>4.032542293233083E-2</v>
      </c>
      <c r="I4187" s="2">
        <f t="shared" si="1965"/>
        <v>0.95967457706766912</v>
      </c>
      <c r="J4187" s="19">
        <v>979.25</v>
      </c>
      <c r="K4187" s="19">
        <v>345698.47</v>
      </c>
      <c r="L4187" s="1">
        <f t="shared" si="1966"/>
        <v>346677.72</v>
      </c>
      <c r="M4187" s="2">
        <f t="shared" si="1967"/>
        <v>2.824669551882365E-3</v>
      </c>
      <c r="N4187" s="2">
        <f t="shared" si="1968"/>
        <v>0.99717533044811768</v>
      </c>
      <c r="P4187" s="5">
        <f t="shared" si="1969"/>
        <v>10182.028900375939</v>
      </c>
    </row>
    <row r="4188" spans="1:16" x14ac:dyDescent="0.35">
      <c r="A4188" t="s">
        <v>37</v>
      </c>
      <c r="B4188" t="s">
        <v>28</v>
      </c>
      <c r="C4188">
        <v>2014</v>
      </c>
      <c r="D4188" t="s">
        <v>30</v>
      </c>
      <c r="E4188" s="3">
        <v>1374</v>
      </c>
      <c r="F4188" s="3">
        <v>32796</v>
      </c>
      <c r="G4188" s="1">
        <f t="shared" si="1963"/>
        <v>34170</v>
      </c>
      <c r="H4188" s="2">
        <f t="shared" si="1964"/>
        <v>4.0210711150131695E-2</v>
      </c>
      <c r="I4188" s="2">
        <f t="shared" si="1965"/>
        <v>0.95978928884986836</v>
      </c>
      <c r="J4188" s="19">
        <v>873.7</v>
      </c>
      <c r="K4188" s="8">
        <v>293195.34999999998</v>
      </c>
      <c r="L4188" s="1">
        <f t="shared" si="1966"/>
        <v>294069.05</v>
      </c>
      <c r="M4188" s="2">
        <f t="shared" si="1967"/>
        <v>2.9710709100464671E-3</v>
      </c>
      <c r="N4188" s="2">
        <f t="shared" si="1968"/>
        <v>0.99702892908995344</v>
      </c>
      <c r="P4188" s="5">
        <f t="shared" si="1969"/>
        <v>8606.0594088381622</v>
      </c>
    </row>
    <row r="4189" spans="1:16" x14ac:dyDescent="0.35">
      <c r="A4189" t="s">
        <v>37</v>
      </c>
      <c r="B4189" t="s">
        <v>29</v>
      </c>
      <c r="C4189">
        <v>2014</v>
      </c>
      <c r="D4189" t="s">
        <v>30</v>
      </c>
      <c r="E4189" s="3">
        <v>1384</v>
      </c>
      <c r="F4189" s="3">
        <v>32833</v>
      </c>
      <c r="G4189" s="1">
        <f t="shared" si="1963"/>
        <v>34217</v>
      </c>
      <c r="H4189" s="2">
        <f t="shared" si="1964"/>
        <v>4.0447730660198147E-2</v>
      </c>
      <c r="I4189" s="2">
        <f t="shared" si="1965"/>
        <v>0.95955226933980187</v>
      </c>
      <c r="J4189" s="19">
        <v>862.94</v>
      </c>
      <c r="K4189" s="8">
        <v>273728.68</v>
      </c>
      <c r="L4189" s="1">
        <f t="shared" si="1966"/>
        <v>274591.62</v>
      </c>
      <c r="M4189" s="2">
        <f t="shared" si="1967"/>
        <v>3.1426304997945677E-3</v>
      </c>
      <c r="N4189" s="2">
        <f t="shared" si="1968"/>
        <v>0.99685736950020543</v>
      </c>
      <c r="P4189" s="5">
        <f t="shared" si="1969"/>
        <v>8025.0056989215891</v>
      </c>
    </row>
    <row r="4190" spans="1:16" x14ac:dyDescent="0.35">
      <c r="A4190" t="s">
        <v>37</v>
      </c>
      <c r="B4190" t="s">
        <v>17</v>
      </c>
      <c r="C4190">
        <v>2015</v>
      </c>
      <c r="D4190" t="s">
        <v>30</v>
      </c>
      <c r="E4190" s="3">
        <v>1412</v>
      </c>
      <c r="F4190" s="3">
        <v>32763</v>
      </c>
      <c r="G4190" s="1">
        <f t="shared" si="1963"/>
        <v>34175</v>
      </c>
      <c r="H4190" s="2">
        <f t="shared" si="1964"/>
        <v>4.1316752011704462E-2</v>
      </c>
      <c r="I4190" s="2">
        <f t="shared" si="1965"/>
        <v>0.95868324798829552</v>
      </c>
      <c r="J4190" s="3">
        <v>1169.04</v>
      </c>
      <c r="K4190" s="8">
        <v>292737.59000000003</v>
      </c>
      <c r="L4190" s="1">
        <f t="shared" si="1966"/>
        <v>293906.63</v>
      </c>
      <c r="M4190" s="2">
        <f t="shared" si="1967"/>
        <v>3.9775897535894306E-3</v>
      </c>
      <c r="N4190" s="2">
        <f t="shared" si="1968"/>
        <v>0.99602241024641069</v>
      </c>
      <c r="P4190" s="5">
        <f t="shared" si="1969"/>
        <v>8600.0476956839793</v>
      </c>
    </row>
    <row r="4191" spans="1:16" x14ac:dyDescent="0.35">
      <c r="A4191" t="s">
        <v>37</v>
      </c>
      <c r="B4191" t="s">
        <v>19</v>
      </c>
      <c r="C4191">
        <v>2015</v>
      </c>
      <c r="D4191" t="s">
        <v>30</v>
      </c>
      <c r="E4191" s="3">
        <v>1418</v>
      </c>
      <c r="F4191" s="3">
        <v>32960</v>
      </c>
      <c r="G4191" s="1">
        <f t="shared" si="1963"/>
        <v>34378</v>
      </c>
      <c r="H4191" s="2">
        <f t="shared" si="1964"/>
        <v>4.124730932573157E-2</v>
      </c>
      <c r="I4191" s="2">
        <f t="shared" si="1965"/>
        <v>0.95875269067426838</v>
      </c>
      <c r="J4191" s="3">
        <v>1068.28</v>
      </c>
      <c r="K4191" s="3">
        <v>285743.19</v>
      </c>
      <c r="L4191" s="1">
        <f t="shared" si="1966"/>
        <v>286811.47000000003</v>
      </c>
      <c r="M4191" s="2">
        <f t="shared" si="1967"/>
        <v>3.7246767013885459E-3</v>
      </c>
      <c r="N4191" s="2">
        <f t="shared" si="1968"/>
        <v>0.99627532329861135</v>
      </c>
      <c r="P4191" s="5">
        <f t="shared" si="1969"/>
        <v>8342.8782942579583</v>
      </c>
    </row>
    <row r="4192" spans="1:16" x14ac:dyDescent="0.35">
      <c r="A4192" t="s">
        <v>37</v>
      </c>
      <c r="B4192" t="s">
        <v>20</v>
      </c>
      <c r="C4192">
        <v>2015</v>
      </c>
      <c r="D4192" t="s">
        <v>30</v>
      </c>
      <c r="E4192" s="3">
        <v>1433</v>
      </c>
      <c r="F4192" s="3">
        <v>33140</v>
      </c>
      <c r="G4192" s="1">
        <f t="shared" si="1963"/>
        <v>34573</v>
      </c>
      <c r="H4192" s="2">
        <f t="shared" si="1964"/>
        <v>4.1448529199085989E-2</v>
      </c>
      <c r="I4192" s="2">
        <f t="shared" si="1965"/>
        <v>0.95855147080091396</v>
      </c>
      <c r="J4192" s="3">
        <v>1057.4100000000001</v>
      </c>
      <c r="K4192" s="3">
        <v>307686.76</v>
      </c>
      <c r="L4192" s="1">
        <f t="shared" si="1966"/>
        <v>308744.17</v>
      </c>
      <c r="M4192" s="2">
        <f t="shared" si="1967"/>
        <v>3.4248743871017878E-3</v>
      </c>
      <c r="N4192" s="2">
        <f t="shared" si="1968"/>
        <v>0.99657512561289829</v>
      </c>
      <c r="P4192" s="5">
        <f t="shared" si="1969"/>
        <v>8930.2105689410819</v>
      </c>
    </row>
    <row r="4193" spans="1:16" x14ac:dyDescent="0.35">
      <c r="A4193" t="s">
        <v>37</v>
      </c>
      <c r="B4193" t="s">
        <v>21</v>
      </c>
      <c r="C4193">
        <v>2015</v>
      </c>
      <c r="D4193" t="s">
        <v>30</v>
      </c>
      <c r="E4193" s="3">
        <v>1480</v>
      </c>
      <c r="F4193" s="3">
        <v>33240</v>
      </c>
      <c r="G4193" s="1">
        <f t="shared" si="1963"/>
        <v>34720</v>
      </c>
      <c r="H4193" s="2">
        <f t="shared" si="1964"/>
        <v>4.2626728110599081E-2</v>
      </c>
      <c r="I4193" s="2">
        <f t="shared" si="1965"/>
        <v>0.95737327188940091</v>
      </c>
      <c r="J4193" s="3">
        <v>823</v>
      </c>
      <c r="K4193" s="3">
        <v>297786</v>
      </c>
      <c r="L4193" s="1">
        <f t="shared" si="1966"/>
        <v>298609</v>
      </c>
      <c r="M4193" s="2">
        <f t="shared" si="1967"/>
        <v>2.7561125083302913E-3</v>
      </c>
      <c r="N4193" s="2">
        <f t="shared" si="1968"/>
        <v>0.9972438874916697</v>
      </c>
      <c r="P4193" s="5">
        <f t="shared" si="1969"/>
        <v>8600.4896313364061</v>
      </c>
    </row>
    <row r="4194" spans="1:16" x14ac:dyDescent="0.35">
      <c r="A4194" t="s">
        <v>37</v>
      </c>
      <c r="B4194" t="s">
        <v>22</v>
      </c>
      <c r="C4194">
        <v>2015</v>
      </c>
      <c r="D4194" t="s">
        <v>30</v>
      </c>
      <c r="E4194" s="3">
        <v>1490</v>
      </c>
      <c r="F4194" s="3">
        <v>33439</v>
      </c>
      <c r="G4194" s="1">
        <f t="shared" si="1963"/>
        <v>34929</v>
      </c>
      <c r="H4194" s="2">
        <f t="shared" si="1964"/>
        <v>4.2657963296973862E-2</v>
      </c>
      <c r="I4194" s="2">
        <f t="shared" si="1965"/>
        <v>0.95734203670302609</v>
      </c>
      <c r="J4194" s="3">
        <v>840</v>
      </c>
      <c r="K4194" s="3">
        <v>300595</v>
      </c>
      <c r="L4194" s="1">
        <f t="shared" si="1966"/>
        <v>301435</v>
      </c>
      <c r="M4194" s="2">
        <f t="shared" si="1967"/>
        <v>2.7866704264600992E-3</v>
      </c>
      <c r="N4194" s="2">
        <f t="shared" si="1968"/>
        <v>0.99721332957353992</v>
      </c>
      <c r="P4194" s="5">
        <f t="shared" si="1969"/>
        <v>8629.9350110223604</v>
      </c>
    </row>
    <row r="4195" spans="1:16" x14ac:dyDescent="0.35">
      <c r="A4195" t="s">
        <v>37</v>
      </c>
      <c r="B4195" t="s">
        <v>23</v>
      </c>
      <c r="C4195">
        <v>2015</v>
      </c>
      <c r="D4195" t="s">
        <v>30</v>
      </c>
      <c r="E4195" s="3">
        <v>1503</v>
      </c>
      <c r="F4195" s="3">
        <v>33510</v>
      </c>
      <c r="G4195" s="1">
        <f t="shared" si="1963"/>
        <v>35013</v>
      </c>
      <c r="H4195" s="2">
        <f t="shared" si="1964"/>
        <v>4.2926912860937368E-2</v>
      </c>
      <c r="I4195" s="2">
        <f t="shared" si="1965"/>
        <v>0.95707308713906258</v>
      </c>
      <c r="J4195" s="3">
        <v>1063</v>
      </c>
      <c r="K4195" s="3">
        <v>340251</v>
      </c>
      <c r="L4195" s="1">
        <f t="shared" si="1966"/>
        <v>341314</v>
      </c>
      <c r="M4195" s="2">
        <f t="shared" si="1967"/>
        <v>3.1144342160005158E-3</v>
      </c>
      <c r="N4195" s="2">
        <f t="shared" si="1968"/>
        <v>0.99688556578399945</v>
      </c>
      <c r="P4195" s="5">
        <f t="shared" si="1969"/>
        <v>9748.207808528261</v>
      </c>
    </row>
    <row r="4196" spans="1:16" x14ac:dyDescent="0.35">
      <c r="A4196" t="s">
        <v>37</v>
      </c>
      <c r="B4196" t="s">
        <v>24</v>
      </c>
      <c r="C4196">
        <v>2015</v>
      </c>
      <c r="D4196" t="s">
        <v>30</v>
      </c>
      <c r="E4196" s="3">
        <f xml:space="preserve"> 1156+418</f>
        <v>1574</v>
      </c>
      <c r="F4196" s="3">
        <v>33606</v>
      </c>
      <c r="G4196" s="1">
        <f t="shared" si="1963"/>
        <v>35180</v>
      </c>
      <c r="H4196" s="2">
        <f t="shared" si="1964"/>
        <v>4.4741330301307558E-2</v>
      </c>
      <c r="I4196" s="2">
        <f t="shared" si="1965"/>
        <v>0.95525866969869244</v>
      </c>
      <c r="J4196" s="19">
        <f>324.92+534.66</f>
        <v>859.57999999999993</v>
      </c>
      <c r="K4196" s="3">
        <v>211271.55</v>
      </c>
      <c r="L4196" s="1">
        <f t="shared" si="1966"/>
        <v>212131.12999999998</v>
      </c>
      <c r="M4196" s="2">
        <f t="shared" si="1967"/>
        <v>4.052116254695857E-3</v>
      </c>
      <c r="N4196" s="2">
        <f t="shared" si="1968"/>
        <v>0.99594788374530419</v>
      </c>
      <c r="P4196" s="5">
        <f t="shared" si="1969"/>
        <v>6029.878624218305</v>
      </c>
    </row>
    <row r="4197" spans="1:16" x14ac:dyDescent="0.35">
      <c r="A4197" t="s">
        <v>37</v>
      </c>
      <c r="B4197" t="s">
        <v>25</v>
      </c>
      <c r="C4197">
        <v>2015</v>
      </c>
      <c r="D4197" t="s">
        <v>30</v>
      </c>
      <c r="E4197" s="3">
        <f xml:space="preserve"> 1150+409</f>
        <v>1559</v>
      </c>
      <c r="F4197" s="3">
        <v>33760</v>
      </c>
      <c r="G4197" s="1">
        <f t="shared" si="1963"/>
        <v>35319</v>
      </c>
      <c r="H4197" s="2">
        <f t="shared" si="1964"/>
        <v>4.414054758062233E-2</v>
      </c>
      <c r="I4197" s="2">
        <f t="shared" si="1965"/>
        <v>0.95585945241937764</v>
      </c>
      <c r="J4197" s="19">
        <f>362.57+610.28</f>
        <v>972.84999999999991</v>
      </c>
      <c r="K4197" s="3">
        <v>244149.28</v>
      </c>
      <c r="L4197" s="1">
        <f t="shared" si="1966"/>
        <v>245122.13</v>
      </c>
      <c r="M4197" s="2">
        <f t="shared" si="1967"/>
        <v>3.9688379013351422E-3</v>
      </c>
      <c r="N4197" s="2">
        <f t="shared" si="1968"/>
        <v>0.99603116209866482</v>
      </c>
      <c r="P4197" s="5">
        <f t="shared" si="1969"/>
        <v>6940.2341515897961</v>
      </c>
    </row>
    <row r="4198" spans="1:16" x14ac:dyDescent="0.35">
      <c r="A4198" t="s">
        <v>37</v>
      </c>
      <c r="B4198" t="s">
        <v>26</v>
      </c>
      <c r="C4198">
        <v>2015</v>
      </c>
      <c r="D4198" t="s">
        <v>30</v>
      </c>
      <c r="E4198" s="3">
        <f xml:space="preserve"> 1142+402</f>
        <v>1544</v>
      </c>
      <c r="F4198" s="3">
        <v>33903</v>
      </c>
      <c r="G4198" s="1">
        <f t="shared" si="1963"/>
        <v>35447</v>
      </c>
      <c r="H4198" s="2">
        <f t="shared" si="1964"/>
        <v>4.3557987982057719E-2</v>
      </c>
      <c r="I4198" s="2">
        <f t="shared" si="1965"/>
        <v>0.95644201201794232</v>
      </c>
      <c r="J4198" s="19">
        <f>310.07+538.97</f>
        <v>849.04</v>
      </c>
      <c r="K4198" s="3">
        <v>220941.28</v>
      </c>
      <c r="L4198" s="1">
        <f t="shared" si="1966"/>
        <v>221790.32</v>
      </c>
      <c r="M4198" s="2">
        <f t="shared" si="1967"/>
        <v>3.8281201812594883E-3</v>
      </c>
      <c r="N4198" s="2">
        <f t="shared" si="1968"/>
        <v>0.99617187981874045</v>
      </c>
      <c r="P4198" s="5">
        <f t="shared" si="1969"/>
        <v>6256.9560188450359</v>
      </c>
    </row>
    <row r="4199" spans="1:16" x14ac:dyDescent="0.35">
      <c r="A4199" t="s">
        <v>37</v>
      </c>
      <c r="B4199" t="s">
        <v>27</v>
      </c>
      <c r="C4199">
        <v>2015</v>
      </c>
      <c r="D4199" t="s">
        <v>30</v>
      </c>
      <c r="E4199" s="3">
        <f xml:space="preserve"> 1172+420</f>
        <v>1592</v>
      </c>
      <c r="F4199" s="3">
        <v>33861</v>
      </c>
      <c r="G4199" s="1">
        <f t="shared" si="1963"/>
        <v>35453</v>
      </c>
      <c r="H4199" s="2">
        <f t="shared" si="1964"/>
        <v>4.4904521479141396E-2</v>
      </c>
      <c r="I4199" s="2">
        <f t="shared" si="1965"/>
        <v>0.95509547852085863</v>
      </c>
      <c r="J4199" s="19">
        <f>257.24+448.35</f>
        <v>705.59</v>
      </c>
      <c r="K4199" s="3">
        <v>199833.37</v>
      </c>
      <c r="L4199" s="1">
        <f t="shared" si="1966"/>
        <v>200538.96</v>
      </c>
      <c r="M4199" s="2">
        <f t="shared" si="1967"/>
        <v>3.5184684312714099E-3</v>
      </c>
      <c r="N4199" s="2">
        <f t="shared" si="1968"/>
        <v>0.99648153156872865</v>
      </c>
      <c r="P4199" s="5">
        <f t="shared" si="1969"/>
        <v>5656.4736411587173</v>
      </c>
    </row>
    <row r="4200" spans="1:16" x14ac:dyDescent="0.35">
      <c r="A4200" t="s">
        <v>37</v>
      </c>
      <c r="B4200" t="s">
        <v>28</v>
      </c>
      <c r="C4200">
        <v>2015</v>
      </c>
      <c r="D4200" t="s">
        <v>30</v>
      </c>
      <c r="E4200" s="3">
        <f xml:space="preserve"> 1172+411</f>
        <v>1583</v>
      </c>
      <c r="F4200" s="3">
        <v>34026</v>
      </c>
      <c r="G4200" s="1">
        <f t="shared" si="1963"/>
        <v>35609</v>
      </c>
      <c r="H4200" s="2">
        <f t="shared" si="1964"/>
        <v>4.4455053497711255E-2</v>
      </c>
      <c r="I4200" s="2">
        <f t="shared" si="1965"/>
        <v>0.95554494650228872</v>
      </c>
      <c r="J4200" s="19">
        <f>192.39+317.11</f>
        <v>509.5</v>
      </c>
      <c r="K4200" s="3">
        <v>170103.05</v>
      </c>
      <c r="L4200" s="1">
        <f t="shared" si="1966"/>
        <v>170612.55</v>
      </c>
      <c r="M4200" s="2">
        <f t="shared" si="1967"/>
        <v>2.9862984874207675E-3</v>
      </c>
      <c r="N4200" s="2">
        <f t="shared" si="1968"/>
        <v>0.99701370151257929</v>
      </c>
      <c r="P4200" s="5">
        <f t="shared" si="1969"/>
        <v>4791.2760818894103</v>
      </c>
    </row>
    <row r="4201" spans="1:16" x14ac:dyDescent="0.35">
      <c r="A4201" t="s">
        <v>37</v>
      </c>
      <c r="B4201" t="s">
        <v>29</v>
      </c>
      <c r="C4201">
        <v>2015</v>
      </c>
      <c r="D4201" t="s">
        <v>30</v>
      </c>
      <c r="E4201" s="3">
        <f xml:space="preserve"> 1166+407</f>
        <v>1573</v>
      </c>
      <c r="F4201" s="3">
        <v>34129</v>
      </c>
      <c r="G4201" s="1">
        <f t="shared" si="1963"/>
        <v>35702</v>
      </c>
      <c r="H4201" s="2">
        <f t="shared" si="1964"/>
        <v>4.4059156349784329E-2</v>
      </c>
      <c r="I4201" s="2">
        <f t="shared" si="1965"/>
        <v>0.9559408436502157</v>
      </c>
      <c r="J4201" s="19">
        <f>218.46+322.24</f>
        <v>540.70000000000005</v>
      </c>
      <c r="K4201" s="3">
        <v>151761.32999999999</v>
      </c>
      <c r="L4201" s="1">
        <f t="shared" si="1966"/>
        <v>152302.03</v>
      </c>
      <c r="M4201" s="2">
        <f t="shared" si="1967"/>
        <v>3.5501824893601226E-3</v>
      </c>
      <c r="N4201" s="2">
        <f t="shared" si="1968"/>
        <v>0.99644981751063977</v>
      </c>
      <c r="P4201" s="5">
        <f t="shared" si="1969"/>
        <v>4265.9243179653804</v>
      </c>
    </row>
    <row r="4202" spans="1:16" x14ac:dyDescent="0.35">
      <c r="A4202" t="s">
        <v>37</v>
      </c>
      <c r="B4202" t="s">
        <v>17</v>
      </c>
      <c r="C4202">
        <v>2016</v>
      </c>
      <c r="D4202" t="s">
        <v>30</v>
      </c>
      <c r="E4202" s="3">
        <f xml:space="preserve"> 1170+420</f>
        <v>1590</v>
      </c>
      <c r="F4202" s="3">
        <v>34060</v>
      </c>
      <c r="G4202" s="1">
        <f t="shared" si="1963"/>
        <v>35650</v>
      </c>
      <c r="H4202" s="2">
        <f t="shared" si="1964"/>
        <v>4.4600280504908836E-2</v>
      </c>
      <c r="I4202" s="2">
        <f t="shared" si="1965"/>
        <v>0.95539971949509117</v>
      </c>
      <c r="J4202" s="19">
        <f>268.43+367.91</f>
        <v>636.34</v>
      </c>
      <c r="K4202" s="3">
        <v>158773.89000000001</v>
      </c>
      <c r="L4202" s="1">
        <f t="shared" si="1966"/>
        <v>159410.23000000001</v>
      </c>
      <c r="M4202" s="2">
        <f t="shared" si="1967"/>
        <v>3.9918391686656497E-3</v>
      </c>
      <c r="N4202" s="2">
        <f t="shared" si="1968"/>
        <v>0.99600816083133437</v>
      </c>
      <c r="P4202" s="5">
        <f t="shared" si="1969"/>
        <v>4471.5352033660592</v>
      </c>
    </row>
    <row r="4203" spans="1:16" x14ac:dyDescent="0.35">
      <c r="A4203" t="s">
        <v>37</v>
      </c>
      <c r="B4203" t="s">
        <v>19</v>
      </c>
      <c r="C4203">
        <v>2016</v>
      </c>
      <c r="D4203" t="s">
        <v>30</v>
      </c>
      <c r="E4203" s="3">
        <f xml:space="preserve"> 1164+412</f>
        <v>1576</v>
      </c>
      <c r="F4203" s="3">
        <v>34211</v>
      </c>
      <c r="G4203" s="1">
        <f t="shared" si="1963"/>
        <v>35787</v>
      </c>
      <c r="H4203" s="2">
        <f t="shared" si="1964"/>
        <v>4.4038337943946126E-2</v>
      </c>
      <c r="I4203" s="2">
        <f t="shared" si="1965"/>
        <v>0.95596166205605393</v>
      </c>
      <c r="J4203" s="19">
        <f>229.67+362.07</f>
        <v>591.74</v>
      </c>
      <c r="K4203" s="3">
        <v>155879.14000000001</v>
      </c>
      <c r="L4203" s="1">
        <f t="shared" si="1966"/>
        <v>156470.88</v>
      </c>
      <c r="M4203" s="2">
        <f t="shared" si="1967"/>
        <v>3.7817899407225166E-3</v>
      </c>
      <c r="N4203" s="2">
        <f t="shared" si="1968"/>
        <v>0.99621821005927758</v>
      </c>
      <c r="P4203" s="5">
        <f t="shared" si="1969"/>
        <v>4372.2826724788329</v>
      </c>
    </row>
    <row r="4204" spans="1:16" x14ac:dyDescent="0.35">
      <c r="A4204" t="s">
        <v>37</v>
      </c>
      <c r="B4204" t="s">
        <v>20</v>
      </c>
      <c r="C4204">
        <v>2016</v>
      </c>
      <c r="D4204" t="s">
        <v>30</v>
      </c>
      <c r="E4204" s="3">
        <f xml:space="preserve"> 1155+407</f>
        <v>1562</v>
      </c>
      <c r="F4204" s="3">
        <v>34459</v>
      </c>
      <c r="G4204" s="1">
        <f t="shared" si="1963"/>
        <v>36021</v>
      </c>
      <c r="H4204" s="2">
        <f t="shared" si="1964"/>
        <v>4.3363593459370922E-2</v>
      </c>
      <c r="I4204" s="2">
        <f t="shared" si="1965"/>
        <v>0.95663640654062909</v>
      </c>
      <c r="J4204" s="19">
        <f>190.63+302.27</f>
        <v>492.9</v>
      </c>
      <c r="K4204" s="3">
        <v>160662.76</v>
      </c>
      <c r="L4204" s="1">
        <f t="shared" si="1966"/>
        <v>161155.66</v>
      </c>
      <c r="M4204" s="2">
        <f t="shared" si="1967"/>
        <v>3.058533594166038E-3</v>
      </c>
      <c r="N4204" s="2">
        <f t="shared" si="1968"/>
        <v>0.99694146640583403</v>
      </c>
      <c r="P4204" s="5">
        <f t="shared" si="1969"/>
        <v>4473.9363149274031</v>
      </c>
    </row>
    <row r="4205" spans="1:16" x14ac:dyDescent="0.35">
      <c r="A4205" t="s">
        <v>37</v>
      </c>
      <c r="B4205" t="s">
        <v>21</v>
      </c>
      <c r="C4205">
        <v>2016</v>
      </c>
      <c r="D4205" t="s">
        <v>30</v>
      </c>
      <c r="E4205" s="3">
        <v>1601</v>
      </c>
      <c r="F4205" s="3">
        <v>34366</v>
      </c>
      <c r="G4205" s="1">
        <f t="shared" si="1963"/>
        <v>35967</v>
      </c>
      <c r="H4205" s="2">
        <f t="shared" si="1964"/>
        <v>4.4513025829232354E-2</v>
      </c>
      <c r="I4205" s="2">
        <f t="shared" si="1965"/>
        <v>0.95548697417076767</v>
      </c>
      <c r="J4205" s="19">
        <f>191.04+310.48</f>
        <v>501.52</v>
      </c>
      <c r="K4205" s="3">
        <v>164694.56</v>
      </c>
      <c r="L4205" s="1">
        <f t="shared" si="1966"/>
        <v>165196.07999999999</v>
      </c>
      <c r="M4205" s="2">
        <f t="shared" si="1967"/>
        <v>3.0359073895700191E-3</v>
      </c>
      <c r="N4205" s="2">
        <f t="shared" si="1968"/>
        <v>0.99696409261043006</v>
      </c>
      <c r="P4205" s="5">
        <f t="shared" si="1969"/>
        <v>4592.9902410543</v>
      </c>
    </row>
    <row r="4206" spans="1:16" x14ac:dyDescent="0.35">
      <c r="A4206" t="s">
        <v>37</v>
      </c>
      <c r="B4206" t="s">
        <v>22</v>
      </c>
      <c r="C4206">
        <v>2016</v>
      </c>
      <c r="D4206" t="s">
        <v>30</v>
      </c>
      <c r="E4206" s="3">
        <v>1585</v>
      </c>
      <c r="F4206" s="3">
        <v>34573</v>
      </c>
      <c r="G4206" s="1">
        <f t="shared" si="1963"/>
        <v>36158</v>
      </c>
      <c r="H4206" s="2">
        <f t="shared" si="1964"/>
        <v>4.3835389125504727E-2</v>
      </c>
      <c r="I4206" s="2">
        <f t="shared" si="1965"/>
        <v>0.95616461087449522</v>
      </c>
      <c r="J4206" s="19">
        <f>205.78+339.48</f>
        <v>545.26</v>
      </c>
      <c r="K4206" s="3">
        <v>183508.78</v>
      </c>
      <c r="L4206" s="1">
        <f t="shared" si="1966"/>
        <v>184054.04</v>
      </c>
      <c r="M4206" s="2">
        <f t="shared" si="1967"/>
        <v>2.9624994919970242E-3</v>
      </c>
      <c r="N4206" s="2">
        <f t="shared" si="1968"/>
        <v>0.99703750050800288</v>
      </c>
      <c r="P4206" s="5">
        <f t="shared" si="1969"/>
        <v>5090.2715858177999</v>
      </c>
    </row>
    <row r="4207" spans="1:16" x14ac:dyDescent="0.35">
      <c r="A4207" t="s">
        <v>37</v>
      </c>
      <c r="B4207" t="s">
        <v>23</v>
      </c>
      <c r="C4207">
        <v>2016</v>
      </c>
      <c r="D4207" t="s">
        <v>30</v>
      </c>
      <c r="E4207" s="3">
        <v>1565</v>
      </c>
      <c r="F4207" s="3">
        <v>34791</v>
      </c>
      <c r="G4207" s="1">
        <f t="shared" si="1963"/>
        <v>36356</v>
      </c>
      <c r="H4207" s="2">
        <f t="shared" si="1964"/>
        <v>4.3046539773352405E-2</v>
      </c>
      <c r="I4207" s="2">
        <f t="shared" si="1965"/>
        <v>0.95695346022664762</v>
      </c>
      <c r="J4207" s="19">
        <f>234+416.75</f>
        <v>650.75</v>
      </c>
      <c r="K4207" s="3">
        <v>196126.24</v>
      </c>
      <c r="L4207" s="1">
        <f t="shared" si="1966"/>
        <v>196776.99</v>
      </c>
      <c r="M4207" s="2">
        <f t="shared" si="1967"/>
        <v>3.307043165971794E-3</v>
      </c>
      <c r="N4207" s="2">
        <f t="shared" si="1968"/>
        <v>0.99669295683402825</v>
      </c>
      <c r="P4207" s="5">
        <f t="shared" si="1969"/>
        <v>5412.50385080867</v>
      </c>
    </row>
    <row r="4208" spans="1:16" x14ac:dyDescent="0.35">
      <c r="A4208" t="s">
        <v>37</v>
      </c>
      <c r="B4208" t="s">
        <v>24</v>
      </c>
      <c r="C4208">
        <v>2016</v>
      </c>
      <c r="D4208" t="s">
        <v>30</v>
      </c>
      <c r="E4208" s="3">
        <f>1176+467</f>
        <v>1643</v>
      </c>
      <c r="F4208" s="3">
        <f>12800+23430-1643</f>
        <v>34587</v>
      </c>
      <c r="G4208" s="1">
        <f t="shared" si="1963"/>
        <v>36230</v>
      </c>
      <c r="H4208" s="2">
        <f t="shared" si="1964"/>
        <v>4.5349158156224124E-2</v>
      </c>
      <c r="I4208" s="2">
        <f t="shared" si="1965"/>
        <v>0.95465084184377591</v>
      </c>
      <c r="J4208" s="19">
        <f>301.74+583.08</f>
        <v>884.82</v>
      </c>
      <c r="K4208" s="10">
        <f>4948.57+230587.54-885</f>
        <v>234651.11000000002</v>
      </c>
      <c r="L4208" s="1">
        <f t="shared" si="1966"/>
        <v>235535.93000000002</v>
      </c>
      <c r="M4208" s="2">
        <f t="shared" si="1967"/>
        <v>3.7566243078073053E-3</v>
      </c>
      <c r="N4208" s="2">
        <f t="shared" si="1968"/>
        <v>0.99624337569219268</v>
      </c>
      <c r="P4208" s="5">
        <f t="shared" si="1969"/>
        <v>6501.1297267457912</v>
      </c>
    </row>
    <row r="4209" spans="1:16" x14ac:dyDescent="0.35">
      <c r="A4209" t="s">
        <v>37</v>
      </c>
      <c r="B4209" t="s">
        <v>25</v>
      </c>
      <c r="C4209">
        <v>2016</v>
      </c>
      <c r="D4209" t="s">
        <v>30</v>
      </c>
      <c r="E4209" s="3">
        <f>1174+461</f>
        <v>1635</v>
      </c>
      <c r="F4209" s="3">
        <f>12908+23457-1635</f>
        <v>34730</v>
      </c>
      <c r="G4209" s="1">
        <f t="shared" si="1963"/>
        <v>36365</v>
      </c>
      <c r="H4209" s="2">
        <f t="shared" si="1964"/>
        <v>4.4960813969476147E-2</v>
      </c>
      <c r="I4209" s="2">
        <f t="shared" si="1965"/>
        <v>0.95503918603052385</v>
      </c>
      <c r="J4209" s="19">
        <f>295.79+604.58</f>
        <v>900.37000000000012</v>
      </c>
      <c r="K4209" s="10">
        <f>4769.3+231871.86-900</f>
        <v>235741.15999999997</v>
      </c>
      <c r="L4209" s="1">
        <f t="shared" si="1966"/>
        <v>236641.52999999997</v>
      </c>
      <c r="M4209" s="2">
        <f t="shared" si="1967"/>
        <v>3.8047843926634528E-3</v>
      </c>
      <c r="N4209" s="2">
        <f t="shared" si="1968"/>
        <v>0.99619521560733659</v>
      </c>
      <c r="P4209" s="5">
        <f t="shared" si="1969"/>
        <v>6507.3980475732151</v>
      </c>
    </row>
    <row r="4210" spans="1:16" x14ac:dyDescent="0.35">
      <c r="A4210" t="s">
        <v>37</v>
      </c>
      <c r="B4210" t="s">
        <v>26</v>
      </c>
      <c r="C4210">
        <v>2016</v>
      </c>
      <c r="D4210" t="s">
        <v>30</v>
      </c>
      <c r="E4210" s="3">
        <f>1169+449</f>
        <v>1618</v>
      </c>
      <c r="F4210" s="3">
        <f>13047+23439-1618</f>
        <v>34868</v>
      </c>
      <c r="G4210" s="1">
        <f t="shared" si="1963"/>
        <v>36486</v>
      </c>
      <c r="H4210" s="2">
        <f t="shared" si="1964"/>
        <v>4.4345776462204681E-2</v>
      </c>
      <c r="I4210" s="2">
        <f t="shared" si="1965"/>
        <v>0.95565422353779528</v>
      </c>
      <c r="J4210" s="19">
        <f>258.29+546.11</f>
        <v>804.40000000000009</v>
      </c>
      <c r="K4210" s="10">
        <f>4568.04+226823.59-804</f>
        <v>230587.63</v>
      </c>
      <c r="L4210" s="1">
        <f t="shared" si="1966"/>
        <v>231392.03</v>
      </c>
      <c r="M4210" s="2">
        <f t="shared" si="1967"/>
        <v>3.4763513678496192E-3</v>
      </c>
      <c r="N4210" s="2">
        <f t="shared" si="1968"/>
        <v>0.99652364863215037</v>
      </c>
      <c r="P4210" s="5">
        <f t="shared" si="1969"/>
        <v>6341.9401962396532</v>
      </c>
    </row>
    <row r="4211" spans="1:16" x14ac:dyDescent="0.35">
      <c r="A4211" t="s">
        <v>37</v>
      </c>
      <c r="B4211" t="s">
        <v>27</v>
      </c>
      <c r="C4211">
        <v>2016</v>
      </c>
      <c r="D4211" t="s">
        <v>30</v>
      </c>
      <c r="E4211" s="3">
        <f>1141+461</f>
        <v>1602</v>
      </c>
      <c r="F4211" s="3">
        <f>12700+23683-1602</f>
        <v>34781</v>
      </c>
      <c r="G4211" s="1">
        <f t="shared" si="1963"/>
        <v>36383</v>
      </c>
      <c r="H4211" s="2">
        <f t="shared" si="1964"/>
        <v>4.4031553197922103E-2</v>
      </c>
      <c r="I4211" s="2">
        <f t="shared" si="1965"/>
        <v>0.95596844680207793</v>
      </c>
      <c r="J4211" s="19">
        <f>212.61+410.99</f>
        <v>623.6</v>
      </c>
      <c r="K4211" s="10">
        <f>4090.92+198829.79-624</f>
        <v>202296.71000000002</v>
      </c>
      <c r="L4211" s="1">
        <f t="shared" si="1966"/>
        <v>202920.31000000003</v>
      </c>
      <c r="M4211" s="2">
        <f t="shared" si="1967"/>
        <v>3.0731275740708257E-3</v>
      </c>
      <c r="N4211" s="2">
        <f t="shared" si="1968"/>
        <v>0.99692687242592914</v>
      </c>
      <c r="P4211" s="5">
        <f t="shared" si="1969"/>
        <v>5577.3385921996542</v>
      </c>
    </row>
    <row r="4212" spans="1:16" x14ac:dyDescent="0.35">
      <c r="A4212" t="s">
        <v>37</v>
      </c>
      <c r="B4212" t="s">
        <v>28</v>
      </c>
      <c r="C4212">
        <v>2016</v>
      </c>
      <c r="D4212" t="s">
        <v>30</v>
      </c>
      <c r="E4212" s="3">
        <f>1133+456</f>
        <v>1589</v>
      </c>
      <c r="F4212" s="3">
        <f>12795+23702-1589</f>
        <v>34908</v>
      </c>
      <c r="G4212" s="1">
        <f t="shared" si="1963"/>
        <v>36497</v>
      </c>
      <c r="H4212" s="2">
        <f t="shared" si="1964"/>
        <v>4.3537825026714522E-2</v>
      </c>
      <c r="I4212" s="2">
        <f t="shared" si="1965"/>
        <v>0.95646217497328545</v>
      </c>
      <c r="J4212" s="19">
        <f>186.34+317.94</f>
        <v>504.28</v>
      </c>
      <c r="K4212" s="10">
        <f>3780.17+178978.37-504</f>
        <v>182254.54</v>
      </c>
      <c r="L4212" s="1">
        <f t="shared" si="1966"/>
        <v>182758.82</v>
      </c>
      <c r="M4212" s="2">
        <f t="shared" si="1967"/>
        <v>2.7592649153676957E-3</v>
      </c>
      <c r="N4212" s="2">
        <f t="shared" si="1968"/>
        <v>0.99724073508463229</v>
      </c>
      <c r="P4212" s="5">
        <f t="shared" si="1969"/>
        <v>5007.5025344548867</v>
      </c>
    </row>
    <row r="4213" spans="1:16" x14ac:dyDescent="0.35">
      <c r="A4213" t="s">
        <v>37</v>
      </c>
      <c r="B4213" t="s">
        <v>29</v>
      </c>
      <c r="C4213">
        <v>2016</v>
      </c>
      <c r="D4213" t="s">
        <v>30</v>
      </c>
      <c r="E4213" s="3">
        <f>1130+448</f>
        <v>1578</v>
      </c>
      <c r="F4213" s="3">
        <f>12902+23701-1578</f>
        <v>35025</v>
      </c>
      <c r="G4213" s="1">
        <f t="shared" si="1963"/>
        <v>36603</v>
      </c>
      <c r="H4213" s="2">
        <f t="shared" si="1964"/>
        <v>4.3111220391771163E-2</v>
      </c>
      <c r="I4213" s="2">
        <f t="shared" si="1965"/>
        <v>0.95688877960822882</v>
      </c>
      <c r="J4213" s="19">
        <f>186.99+346.43</f>
        <v>533.42000000000007</v>
      </c>
      <c r="K4213" s="10">
        <f>3706.02+156466.12-533</f>
        <v>159639.13999999998</v>
      </c>
      <c r="L4213" s="1">
        <f t="shared" si="1966"/>
        <v>160172.56</v>
      </c>
      <c r="M4213" s="2">
        <f t="shared" si="1967"/>
        <v>3.3302832894723045E-3</v>
      </c>
      <c r="N4213" s="2">
        <f t="shared" si="1968"/>
        <v>0.99666971671052762</v>
      </c>
      <c r="P4213" s="5">
        <f t="shared" si="1969"/>
        <v>4375.9407698822497</v>
      </c>
    </row>
    <row r="4214" spans="1:16" x14ac:dyDescent="0.35">
      <c r="A4214" t="s">
        <v>37</v>
      </c>
      <c r="B4214" t="s">
        <v>17</v>
      </c>
      <c r="C4214">
        <v>2017</v>
      </c>
      <c r="D4214" t="s">
        <v>30</v>
      </c>
      <c r="E4214" s="3">
        <f>1052+444</f>
        <v>1496</v>
      </c>
      <c r="F4214" s="3">
        <f>12274+23791-1496</f>
        <v>34569</v>
      </c>
      <c r="G4214" s="1">
        <f t="shared" si="1963"/>
        <v>36065</v>
      </c>
      <c r="H4214" s="2">
        <f t="shared" si="1964"/>
        <v>4.148065991958963E-2</v>
      </c>
      <c r="I4214" s="2">
        <f t="shared" si="1965"/>
        <v>0.9585193400804104</v>
      </c>
      <c r="J4214" s="19">
        <f>214.69+386.39</f>
        <v>601.07999999999993</v>
      </c>
      <c r="K4214" s="10">
        <f>4173.64+165130.14-601</f>
        <v>168702.78000000003</v>
      </c>
      <c r="L4214" s="1">
        <f t="shared" si="1966"/>
        <v>169303.86000000002</v>
      </c>
      <c r="M4214" s="2">
        <f t="shared" si="1967"/>
        <v>3.5503029877759426E-3</v>
      </c>
      <c r="N4214" s="2">
        <f t="shared" si="1968"/>
        <v>0.99644969701222408</v>
      </c>
      <c r="P4214" s="5">
        <f t="shared" si="1969"/>
        <v>4694.4089837792881</v>
      </c>
    </row>
    <row r="4215" spans="1:16" x14ac:dyDescent="0.35">
      <c r="A4215" t="s">
        <v>37</v>
      </c>
      <c r="B4215" t="s">
        <v>19</v>
      </c>
      <c r="C4215">
        <v>2017</v>
      </c>
      <c r="D4215" t="s">
        <v>30</v>
      </c>
      <c r="E4215" s="3">
        <f>1047+434</f>
        <v>1481</v>
      </c>
      <c r="F4215" s="3">
        <f>12360+23812-1481</f>
        <v>34691</v>
      </c>
      <c r="G4215" s="1">
        <f t="shared" ref="G4215:G4278" si="1970">SUM(E4215:F4215)</f>
        <v>36172</v>
      </c>
      <c r="H4215" s="2">
        <f t="shared" ref="H4215:H4278" si="1971">SUM(E4215)/G4215</f>
        <v>4.0943271038372218E-2</v>
      </c>
      <c r="I4215" s="2">
        <f t="shared" ref="I4215:I4278" si="1972">SUM(F4215/G4215)</f>
        <v>0.95905672896162775</v>
      </c>
      <c r="J4215" s="19">
        <f>103.819+333.39</f>
        <v>437.209</v>
      </c>
      <c r="K4215" s="10">
        <f>3689.29+163367.43-437</f>
        <v>166619.72</v>
      </c>
      <c r="L4215" s="1">
        <f t="shared" si="1966"/>
        <v>167056.929</v>
      </c>
      <c r="M4215" s="2">
        <f t="shared" si="1967"/>
        <v>2.6171258062573388E-3</v>
      </c>
      <c r="N4215" s="2">
        <f t="shared" si="1968"/>
        <v>0.99738287419374261</v>
      </c>
      <c r="P4215" s="5">
        <f t="shared" si="1969"/>
        <v>4618.4045394227578</v>
      </c>
    </row>
    <row r="4216" spans="1:16" x14ac:dyDescent="0.35">
      <c r="A4216" t="s">
        <v>37</v>
      </c>
      <c r="B4216" t="s">
        <v>20</v>
      </c>
      <c r="C4216">
        <v>2017</v>
      </c>
      <c r="D4216" t="s">
        <v>30</v>
      </c>
      <c r="E4216" s="3">
        <f>1045+422</f>
        <v>1467</v>
      </c>
      <c r="F4216" s="3">
        <f>12548+23852-1467</f>
        <v>34933</v>
      </c>
      <c r="G4216" s="1">
        <f t="shared" si="1970"/>
        <v>36400</v>
      </c>
      <c r="H4216" s="2">
        <f t="shared" si="1971"/>
        <v>4.0302197802197799E-2</v>
      </c>
      <c r="I4216" s="2">
        <f t="shared" si="1972"/>
        <v>0.95969780219780221</v>
      </c>
      <c r="J4216" s="19">
        <f>144.81+281.64</f>
        <v>426.45</v>
      </c>
      <c r="K4216" s="10">
        <f>3365.71+164703.93-426</f>
        <v>167643.63999999998</v>
      </c>
      <c r="L4216" s="1">
        <f t="shared" si="1966"/>
        <v>168070.09</v>
      </c>
      <c r="M4216" s="2">
        <f t="shared" si="1967"/>
        <v>2.5373342752419543E-3</v>
      </c>
      <c r="N4216" s="2">
        <f t="shared" si="1968"/>
        <v>0.99746266572475795</v>
      </c>
      <c r="P4216" s="5">
        <f t="shared" si="1969"/>
        <v>4617.3101648351649</v>
      </c>
    </row>
    <row r="4217" spans="1:16" x14ac:dyDescent="0.35">
      <c r="A4217" t="s">
        <v>37</v>
      </c>
      <c r="B4217" t="s">
        <v>21</v>
      </c>
      <c r="C4217">
        <v>2017</v>
      </c>
      <c r="D4217" t="s">
        <v>30</v>
      </c>
      <c r="E4217" s="3">
        <f>998+421</f>
        <v>1419</v>
      </c>
      <c r="F4217" s="3">
        <f>11873+24051-E4217</f>
        <v>34505</v>
      </c>
      <c r="G4217" s="1">
        <f t="shared" si="1970"/>
        <v>35924</v>
      </c>
      <c r="H4217" s="2">
        <f t="shared" si="1971"/>
        <v>3.9500055673087626E-2</v>
      </c>
      <c r="I4217" s="2">
        <f t="shared" si="1972"/>
        <v>0.96049994432691232</v>
      </c>
      <c r="J4217" s="19">
        <f>125.83+284.44</f>
        <v>410.27</v>
      </c>
      <c r="K4217" s="19">
        <f>3130.58+169489.22-J4217</f>
        <v>172209.53</v>
      </c>
      <c r="L4217" s="1">
        <f t="shared" si="1966"/>
        <v>172619.8</v>
      </c>
      <c r="M4217" s="2">
        <f t="shared" si="1967"/>
        <v>2.3767261924761817E-3</v>
      </c>
      <c r="N4217" s="2">
        <f t="shared" si="1968"/>
        <v>0.99762327380752391</v>
      </c>
      <c r="P4217" s="5">
        <f t="shared" si="1969"/>
        <v>4805.1386259881974</v>
      </c>
    </row>
    <row r="4218" spans="1:16" x14ac:dyDescent="0.35">
      <c r="A4218" t="s">
        <v>37</v>
      </c>
      <c r="B4218" t="s">
        <v>22</v>
      </c>
      <c r="C4218">
        <v>2017</v>
      </c>
      <c r="D4218" t="s">
        <v>30</v>
      </c>
      <c r="E4218" s="3">
        <f>993+414</f>
        <v>1407</v>
      </c>
      <c r="F4218" s="3">
        <f>12003+24086-E4218</f>
        <v>34682</v>
      </c>
      <c r="G4218" s="1">
        <f t="shared" si="1970"/>
        <v>36089</v>
      </c>
      <c r="H4218" s="2">
        <f t="shared" si="1971"/>
        <v>3.8986948931807479E-2</v>
      </c>
      <c r="I4218" s="2">
        <f t="shared" si="1972"/>
        <v>0.96101305106819257</v>
      </c>
      <c r="J4218" s="19">
        <f>127.79+336.44</f>
        <v>464.23</v>
      </c>
      <c r="K4218" s="19">
        <f>3162.42+183973.08-J4218</f>
        <v>186671.27</v>
      </c>
      <c r="L4218" s="1">
        <f t="shared" si="1966"/>
        <v>187135.5</v>
      </c>
      <c r="M4218" s="2">
        <f t="shared" si="1967"/>
        <v>2.4807158449358887E-3</v>
      </c>
      <c r="N4218" s="2">
        <f t="shared" si="1968"/>
        <v>0.99751928415506408</v>
      </c>
      <c r="P4218" s="5">
        <f t="shared" si="1969"/>
        <v>5185.3888996647174</v>
      </c>
    </row>
    <row r="4219" spans="1:16" x14ac:dyDescent="0.35">
      <c r="A4219" t="s">
        <v>37</v>
      </c>
      <c r="B4219" t="s">
        <v>23</v>
      </c>
      <c r="C4219">
        <v>2017</v>
      </c>
      <c r="D4219" t="s">
        <v>30</v>
      </c>
      <c r="E4219" s="3">
        <f>986+403</f>
        <v>1389</v>
      </c>
      <c r="F4219" s="3">
        <f>12186+24090-E4219</f>
        <v>34887</v>
      </c>
      <c r="G4219" s="1">
        <f t="shared" si="1970"/>
        <v>36276</v>
      </c>
      <c r="H4219" s="2">
        <f t="shared" si="1971"/>
        <v>3.8289778365861726E-2</v>
      </c>
      <c r="I4219" s="2">
        <f t="shared" si="1972"/>
        <v>0.96171022163413822</v>
      </c>
      <c r="J4219" s="19">
        <f>115.68+341.72</f>
        <v>457.40000000000003</v>
      </c>
      <c r="K4219" s="19">
        <f>3068.82+195755.32-J4219</f>
        <v>198366.74000000002</v>
      </c>
      <c r="L4219" s="1">
        <f t="shared" si="1966"/>
        <v>198824.14</v>
      </c>
      <c r="M4219" s="2">
        <f t="shared" si="1967"/>
        <v>2.3005254794513383E-3</v>
      </c>
      <c r="N4219" s="2">
        <f t="shared" si="1968"/>
        <v>0.99769947452054875</v>
      </c>
      <c r="P4219" s="5">
        <f t="shared" si="1969"/>
        <v>5480.8727533355386</v>
      </c>
    </row>
    <row r="4220" spans="1:16" x14ac:dyDescent="0.35">
      <c r="A4220" t="s">
        <v>37</v>
      </c>
      <c r="B4220" t="s">
        <v>24</v>
      </c>
      <c r="C4220">
        <v>2017</v>
      </c>
      <c r="D4220" t="s">
        <v>30</v>
      </c>
      <c r="E4220" s="3">
        <f>955+412</f>
        <v>1367</v>
      </c>
      <c r="F4220" s="3">
        <f>11773+24238-E4220</f>
        <v>34644</v>
      </c>
      <c r="G4220" s="1">
        <f t="shared" si="1970"/>
        <v>36011</v>
      </c>
      <c r="H4220" s="2">
        <f t="shared" si="1971"/>
        <v>3.796062314292855E-2</v>
      </c>
      <c r="I4220" s="2">
        <f t="shared" si="1972"/>
        <v>0.96203937685707142</v>
      </c>
      <c r="J4220" s="19">
        <f>131.47+433.17</f>
        <v>564.64</v>
      </c>
      <c r="K4220" s="19">
        <f>3214.58+220730.73-J4220</f>
        <v>223380.66999999998</v>
      </c>
      <c r="L4220" s="1">
        <f t="shared" si="1966"/>
        <v>223945.31</v>
      </c>
      <c r="M4220" s="2">
        <f t="shared" si="1967"/>
        <v>2.5213298729051302E-3</v>
      </c>
      <c r="N4220" s="2">
        <f t="shared" si="1968"/>
        <v>0.99747867012709479</v>
      </c>
      <c r="P4220" s="5">
        <f t="shared" si="1969"/>
        <v>6218.8028657910081</v>
      </c>
    </row>
    <row r="4221" spans="1:16" x14ac:dyDescent="0.35">
      <c r="A4221" t="s">
        <v>37</v>
      </c>
      <c r="B4221" t="s">
        <v>25</v>
      </c>
      <c r="C4221">
        <v>2017</v>
      </c>
      <c r="D4221" t="s">
        <v>30</v>
      </c>
      <c r="E4221" s="3">
        <f>950+410</f>
        <v>1360</v>
      </c>
      <c r="F4221" s="3">
        <f>12036+24262-E4221</f>
        <v>34938</v>
      </c>
      <c r="G4221" s="1">
        <f t="shared" si="1970"/>
        <v>36298</v>
      </c>
      <c r="H4221" s="2">
        <f t="shared" si="1971"/>
        <v>3.74676290704722E-2</v>
      </c>
      <c r="I4221" s="2">
        <f t="shared" si="1972"/>
        <v>0.96253237092952781</v>
      </c>
      <c r="J4221" s="19">
        <f>120.06+457.13</f>
        <v>577.19000000000005</v>
      </c>
      <c r="K4221" s="19">
        <f>3011.26+230545.12-J4221</f>
        <v>232979.19</v>
      </c>
      <c r="L4221" s="1">
        <f t="shared" si="1966"/>
        <v>233556.38</v>
      </c>
      <c r="M4221" s="2">
        <f t="shared" si="1967"/>
        <v>2.4713090689280253E-3</v>
      </c>
      <c r="N4221" s="2">
        <f t="shared" si="1968"/>
        <v>0.99752869093107199</v>
      </c>
      <c r="P4221" s="5">
        <f t="shared" si="1969"/>
        <v>6434.4145682957742</v>
      </c>
    </row>
    <row r="4222" spans="1:16" x14ac:dyDescent="0.35">
      <c r="A4222" t="s">
        <v>37</v>
      </c>
      <c r="B4222" t="s">
        <v>26</v>
      </c>
      <c r="C4222">
        <v>2017</v>
      </c>
      <c r="D4222" t="s">
        <v>30</v>
      </c>
      <c r="E4222" s="3">
        <f>944+407</f>
        <v>1351</v>
      </c>
      <c r="F4222" s="3">
        <f>12270+24239-E4222</f>
        <v>35158</v>
      </c>
      <c r="G4222" s="1">
        <f t="shared" si="1970"/>
        <v>36509</v>
      </c>
      <c r="H4222" s="2">
        <f t="shared" si="1971"/>
        <v>3.7004574214577229E-2</v>
      </c>
      <c r="I4222" s="2">
        <f t="shared" si="1972"/>
        <v>0.96299542578542274</v>
      </c>
      <c r="J4222" s="19">
        <f>96.14+398.08</f>
        <v>494.21999999999997</v>
      </c>
      <c r="K4222" s="19">
        <f>2878.55+215816.57-J4222</f>
        <v>218200.9</v>
      </c>
      <c r="L4222" s="1">
        <f t="shared" si="1966"/>
        <v>218695.12</v>
      </c>
      <c r="M4222" s="2">
        <f t="shared" si="1967"/>
        <v>2.2598583818422653E-3</v>
      </c>
      <c r="N4222" s="2">
        <f t="shared" si="1968"/>
        <v>0.99774014161815772</v>
      </c>
      <c r="P4222" s="5">
        <f t="shared" si="1969"/>
        <v>5990.1700950450577</v>
      </c>
    </row>
    <row r="4223" spans="1:16" x14ac:dyDescent="0.35">
      <c r="A4223" t="s">
        <v>37</v>
      </c>
      <c r="B4223" t="s">
        <v>27</v>
      </c>
      <c r="C4223">
        <v>2017</v>
      </c>
      <c r="D4223" t="s">
        <v>30</v>
      </c>
      <c r="E4223" s="3">
        <f>931+410</f>
        <v>1341</v>
      </c>
      <c r="F4223" s="3">
        <f>11679+24516-E4223</f>
        <v>34854</v>
      </c>
      <c r="G4223" s="1">
        <f t="shared" si="1970"/>
        <v>36195</v>
      </c>
      <c r="H4223" s="2">
        <f t="shared" si="1971"/>
        <v>3.7049316203895566E-2</v>
      </c>
      <c r="I4223" s="2">
        <f t="shared" si="1972"/>
        <v>0.96295068379610449</v>
      </c>
      <c r="J4223" s="19">
        <f>96.14+350.52</f>
        <v>446.65999999999997</v>
      </c>
      <c r="K4223" s="19">
        <f>2830+206719.77-J4223</f>
        <v>209103.11</v>
      </c>
      <c r="L4223" s="1">
        <f t="shared" si="1966"/>
        <v>209549.77</v>
      </c>
      <c r="M4223" s="2">
        <f t="shared" si="1967"/>
        <v>2.1315222631835863E-3</v>
      </c>
      <c r="N4223" s="2">
        <f t="shared" si="1968"/>
        <v>0.99786847773681642</v>
      </c>
      <c r="P4223" s="5">
        <f t="shared" si="1969"/>
        <v>5789.4673297416766</v>
      </c>
    </row>
    <row r="4224" spans="1:16" x14ac:dyDescent="0.35">
      <c r="A4224" t="s">
        <v>37</v>
      </c>
      <c r="B4224" t="s">
        <v>28</v>
      </c>
      <c r="C4224">
        <v>2017</v>
      </c>
      <c r="D4224" t="s">
        <v>30</v>
      </c>
      <c r="E4224" s="3">
        <f>920+404</f>
        <v>1324</v>
      </c>
      <c r="F4224" s="3">
        <f>11810+24527-E4224</f>
        <v>35013</v>
      </c>
      <c r="G4224" s="1">
        <f t="shared" si="1970"/>
        <v>36337</v>
      </c>
      <c r="H4224" s="2">
        <f t="shared" si="1971"/>
        <v>3.6436689875333682E-2</v>
      </c>
      <c r="I4224" s="2">
        <f t="shared" si="1972"/>
        <v>0.96356331012466634</v>
      </c>
      <c r="J4224" s="19">
        <f>82.78+274.35</f>
        <v>357.13</v>
      </c>
      <c r="K4224" s="19">
        <f>2762.89+173118.81-J4224</f>
        <v>175524.57</v>
      </c>
      <c r="L4224" s="1">
        <f t="shared" si="1966"/>
        <v>175881.7</v>
      </c>
      <c r="M4224" s="2">
        <f t="shared" si="1967"/>
        <v>2.0305125547456044E-3</v>
      </c>
      <c r="N4224" s="2">
        <f t="shared" si="1968"/>
        <v>0.99796948744525438</v>
      </c>
      <c r="P4224" s="5">
        <f t="shared" si="1969"/>
        <v>4840.2922640834413</v>
      </c>
    </row>
    <row r="4225" spans="1:16" x14ac:dyDescent="0.35">
      <c r="A4225" t="s">
        <v>37</v>
      </c>
      <c r="B4225" t="s">
        <v>29</v>
      </c>
      <c r="C4225">
        <v>2017</v>
      </c>
      <c r="D4225" t="s">
        <v>30</v>
      </c>
      <c r="E4225" s="3">
        <f>911+397</f>
        <v>1308</v>
      </c>
      <c r="F4225" s="3">
        <f>11995+24505-E4225</f>
        <v>35192</v>
      </c>
      <c r="G4225" s="1">
        <f t="shared" si="1970"/>
        <v>36500</v>
      </c>
      <c r="H4225" s="2">
        <f t="shared" si="1971"/>
        <v>3.5835616438356165E-2</v>
      </c>
      <c r="I4225" s="2">
        <f t="shared" si="1972"/>
        <v>0.9641643835616438</v>
      </c>
      <c r="J4225" s="19">
        <f>81.16+303.39</f>
        <v>384.54999999999995</v>
      </c>
      <c r="K4225" s="19">
        <f>2815.96+159976.11-J4225</f>
        <v>162407.51999999999</v>
      </c>
      <c r="L4225" s="1">
        <f t="shared" si="1966"/>
        <v>162792.06999999998</v>
      </c>
      <c r="M4225" s="2">
        <f t="shared" si="1967"/>
        <v>2.3622158008065135E-3</v>
      </c>
      <c r="N4225" s="2">
        <f t="shared" si="1968"/>
        <v>0.99763778419919358</v>
      </c>
      <c r="P4225" s="5">
        <f t="shared" si="1969"/>
        <v>4460.0567123287665</v>
      </c>
    </row>
    <row r="4226" spans="1:16" x14ac:dyDescent="0.35">
      <c r="A4226" t="s">
        <v>37</v>
      </c>
      <c r="B4226" t="s">
        <v>17</v>
      </c>
      <c r="C4226">
        <v>2002</v>
      </c>
      <c r="D4226" t="s">
        <v>31</v>
      </c>
      <c r="E4226" s="8">
        <f>E4227</f>
        <v>29</v>
      </c>
      <c r="F4226" s="8">
        <v>5</v>
      </c>
      <c r="G4226" s="1">
        <f t="shared" si="1970"/>
        <v>34</v>
      </c>
      <c r="H4226" s="2">
        <f t="shared" si="1971"/>
        <v>0.8529411764705882</v>
      </c>
      <c r="I4226" s="2">
        <f t="shared" si="1972"/>
        <v>0.14705882352941177</v>
      </c>
      <c r="J4226" s="4">
        <f>J4227</f>
        <v>157492.39239999995</v>
      </c>
      <c r="K4226" s="4">
        <v>925.5809999999999</v>
      </c>
      <c r="L4226" s="1">
        <f t="shared" si="1966"/>
        <v>158417.97339999996</v>
      </c>
      <c r="M4226" s="2">
        <f t="shared" si="1967"/>
        <v>0.99415734856257154</v>
      </c>
      <c r="N4226" s="2">
        <f t="shared" si="1968"/>
        <v>5.8426514374283756E-3</v>
      </c>
    </row>
    <row r="4227" spans="1:16" x14ac:dyDescent="0.35">
      <c r="A4227" t="s">
        <v>37</v>
      </c>
      <c r="B4227" t="s">
        <v>19</v>
      </c>
      <c r="C4227">
        <v>2002</v>
      </c>
      <c r="D4227" t="s">
        <v>31</v>
      </c>
      <c r="E4227" s="9">
        <v>29</v>
      </c>
      <c r="F4227" s="8">
        <v>9</v>
      </c>
      <c r="G4227" s="1">
        <f t="shared" si="1970"/>
        <v>38</v>
      </c>
      <c r="H4227" s="2">
        <f t="shared" si="1971"/>
        <v>0.76315789473684215</v>
      </c>
      <c r="I4227" s="2">
        <f t="shared" si="1972"/>
        <v>0.23684210526315788</v>
      </c>
      <c r="J4227" s="4">
        <v>157492.39239999995</v>
      </c>
      <c r="K4227" s="4">
        <v>2118.0839999999998</v>
      </c>
      <c r="L4227" s="1">
        <f t="shared" ref="L4227:L4290" si="1973">SUM(J4227:K4227)</f>
        <v>159610.47639999996</v>
      </c>
      <c r="M4227" s="2">
        <f t="shared" ref="M4227:M4290" si="1974">SUM(J4227)/L4227</f>
        <v>0.98672966807835427</v>
      </c>
      <c r="N4227" s="2">
        <f t="shared" ref="N4227:N4290" si="1975">SUM(K4227/L4227)</f>
        <v>1.3270331921645718E-2</v>
      </c>
    </row>
    <row r="4228" spans="1:16" x14ac:dyDescent="0.35">
      <c r="A4228" t="s">
        <v>37</v>
      </c>
      <c r="B4228" t="s">
        <v>20</v>
      </c>
      <c r="C4228">
        <v>2002</v>
      </c>
      <c r="D4228" t="s">
        <v>31</v>
      </c>
      <c r="E4228" s="9">
        <v>34</v>
      </c>
      <c r="F4228" s="8">
        <v>17</v>
      </c>
      <c r="G4228" s="1">
        <f t="shared" si="1970"/>
        <v>51</v>
      </c>
      <c r="H4228" s="2">
        <f t="shared" si="1971"/>
        <v>0.66666666666666663</v>
      </c>
      <c r="I4228" s="2">
        <f t="shared" si="1972"/>
        <v>0.33333333333333331</v>
      </c>
      <c r="J4228" s="4">
        <v>21629.316430000035</v>
      </c>
      <c r="K4228" s="4">
        <v>26883.847539999999</v>
      </c>
      <c r="L4228" s="1">
        <f t="shared" si="1973"/>
        <v>48513.163970000038</v>
      </c>
      <c r="M4228" s="2">
        <f t="shared" si="1974"/>
        <v>0.44584427524404197</v>
      </c>
      <c r="N4228" s="2">
        <f t="shared" si="1975"/>
        <v>0.55415572475595798</v>
      </c>
    </row>
    <row r="4229" spans="1:16" x14ac:dyDescent="0.35">
      <c r="A4229" t="s">
        <v>37</v>
      </c>
      <c r="B4229" t="s">
        <v>21</v>
      </c>
      <c r="C4229">
        <v>2002</v>
      </c>
      <c r="D4229" t="s">
        <v>31</v>
      </c>
      <c r="E4229" s="9">
        <v>31</v>
      </c>
      <c r="F4229" s="8">
        <v>20</v>
      </c>
      <c r="G4229" s="1">
        <f t="shared" si="1970"/>
        <v>51</v>
      </c>
      <c r="H4229" s="2">
        <f t="shared" si="1971"/>
        <v>0.60784313725490191</v>
      </c>
      <c r="I4229" s="2">
        <f t="shared" si="1972"/>
        <v>0.39215686274509803</v>
      </c>
      <c r="J4229" s="4">
        <v>43932.187889999979</v>
      </c>
      <c r="K4229" s="4">
        <v>38563.991119999991</v>
      </c>
      <c r="L4229" s="1">
        <f t="shared" si="1973"/>
        <v>82496.179009999963</v>
      </c>
      <c r="M4229" s="2">
        <f t="shared" si="1974"/>
        <v>0.53253603278613226</v>
      </c>
      <c r="N4229" s="2">
        <f t="shared" si="1975"/>
        <v>0.46746396721386779</v>
      </c>
    </row>
    <row r="4230" spans="1:16" x14ac:dyDescent="0.35">
      <c r="A4230" t="s">
        <v>37</v>
      </c>
      <c r="B4230" t="s">
        <v>22</v>
      </c>
      <c r="C4230">
        <v>2002</v>
      </c>
      <c r="D4230" t="s">
        <v>31</v>
      </c>
      <c r="E4230" s="9">
        <v>34</v>
      </c>
      <c r="F4230" s="8">
        <v>20</v>
      </c>
      <c r="G4230" s="1">
        <f t="shared" si="1970"/>
        <v>54</v>
      </c>
      <c r="H4230" s="2">
        <f t="shared" si="1971"/>
        <v>0.62962962962962965</v>
      </c>
      <c r="I4230" s="2">
        <f t="shared" si="1972"/>
        <v>0.37037037037037035</v>
      </c>
      <c r="J4230" s="4">
        <v>143021.81308999984</v>
      </c>
      <c r="K4230" s="4">
        <v>42893.29608</v>
      </c>
      <c r="L4230" s="1">
        <f t="shared" si="1973"/>
        <v>185915.10916999984</v>
      </c>
      <c r="M4230" s="2">
        <f t="shared" si="1974"/>
        <v>0.76928558269689318</v>
      </c>
      <c r="N4230" s="2">
        <f t="shared" si="1975"/>
        <v>0.23071441730310679</v>
      </c>
    </row>
    <row r="4231" spans="1:16" x14ac:dyDescent="0.35">
      <c r="A4231" t="s">
        <v>37</v>
      </c>
      <c r="B4231" t="s">
        <v>23</v>
      </c>
      <c r="C4231">
        <v>2002</v>
      </c>
      <c r="D4231" t="s">
        <v>31</v>
      </c>
      <c r="E4231" s="17">
        <v>31</v>
      </c>
      <c r="F4231" s="8">
        <v>18</v>
      </c>
      <c r="G4231" s="1">
        <f t="shared" si="1970"/>
        <v>49</v>
      </c>
      <c r="H4231" s="2">
        <f t="shared" si="1971"/>
        <v>0.63265306122448983</v>
      </c>
      <c r="I4231" s="2">
        <f t="shared" si="1972"/>
        <v>0.36734693877551022</v>
      </c>
      <c r="J4231" s="4">
        <v>61308.342180000087</v>
      </c>
      <c r="K4231" s="4">
        <v>122512.10200000001</v>
      </c>
      <c r="L4231" s="1">
        <f t="shared" si="1973"/>
        <v>183820.44418000011</v>
      </c>
      <c r="M4231" s="2">
        <f t="shared" si="1974"/>
        <v>0.33352297919575208</v>
      </c>
      <c r="N4231" s="2">
        <f t="shared" si="1975"/>
        <v>0.66647702080424787</v>
      </c>
    </row>
    <row r="4232" spans="1:16" x14ac:dyDescent="0.35">
      <c r="A4232" t="s">
        <v>37</v>
      </c>
      <c r="B4232" t="s">
        <v>24</v>
      </c>
      <c r="C4232">
        <v>2002</v>
      </c>
      <c r="D4232" t="s">
        <v>31</v>
      </c>
      <c r="E4232" s="9">
        <v>36</v>
      </c>
      <c r="F4232" s="8">
        <v>25</v>
      </c>
      <c r="G4232" s="1">
        <f t="shared" si="1970"/>
        <v>61</v>
      </c>
      <c r="H4232" s="2">
        <f t="shared" si="1971"/>
        <v>0.5901639344262295</v>
      </c>
      <c r="I4232" s="2">
        <f t="shared" si="1972"/>
        <v>0.4098360655737705</v>
      </c>
      <c r="J4232" s="4">
        <v>-1259.1041100001557</v>
      </c>
      <c r="K4232" s="4">
        <v>99388.391000000003</v>
      </c>
      <c r="L4232" s="1">
        <f t="shared" si="1973"/>
        <v>98129.286889999843</v>
      </c>
      <c r="M4232" s="2">
        <f t="shared" si="1974"/>
        <v>-1.2831073677439192E-2</v>
      </c>
      <c r="N4232" s="2">
        <f t="shared" si="1975"/>
        <v>1.0128310736774393</v>
      </c>
    </row>
    <row r="4233" spans="1:16" x14ac:dyDescent="0.35">
      <c r="A4233" t="s">
        <v>37</v>
      </c>
      <c r="B4233" t="s">
        <v>25</v>
      </c>
      <c r="C4233">
        <v>2002</v>
      </c>
      <c r="D4233" t="s">
        <v>31</v>
      </c>
      <c r="E4233" s="9">
        <v>38</v>
      </c>
      <c r="F4233" s="8">
        <v>25</v>
      </c>
      <c r="G4233" s="1">
        <f t="shared" si="1970"/>
        <v>63</v>
      </c>
      <c r="H4233" s="2">
        <f t="shared" si="1971"/>
        <v>0.60317460317460314</v>
      </c>
      <c r="I4233" s="2">
        <f t="shared" si="1972"/>
        <v>0.3968253968253968</v>
      </c>
      <c r="J4233" s="4">
        <v>-54136.42</v>
      </c>
      <c r="K4233" s="4">
        <v>152441.66</v>
      </c>
      <c r="L4233" s="1">
        <f t="shared" si="1973"/>
        <v>98305.24</v>
      </c>
      <c r="M4233" s="2">
        <f t="shared" si="1974"/>
        <v>-0.55069719579546317</v>
      </c>
      <c r="N4233" s="2">
        <f t="shared" si="1975"/>
        <v>1.5506971957954632</v>
      </c>
    </row>
    <row r="4234" spans="1:16" x14ac:dyDescent="0.35">
      <c r="A4234" t="s">
        <v>37</v>
      </c>
      <c r="B4234" t="s">
        <v>26</v>
      </c>
      <c r="C4234">
        <v>2002</v>
      </c>
      <c r="D4234" t="s">
        <v>31</v>
      </c>
      <c r="E4234" s="9">
        <v>39</v>
      </c>
      <c r="F4234" s="8">
        <v>28</v>
      </c>
      <c r="G4234" s="1">
        <f t="shared" si="1970"/>
        <v>67</v>
      </c>
      <c r="H4234" s="2">
        <f t="shared" si="1971"/>
        <v>0.58208955223880599</v>
      </c>
      <c r="I4234" s="2">
        <f t="shared" si="1972"/>
        <v>0.41791044776119401</v>
      </c>
      <c r="J4234" s="4">
        <v>28397.68</v>
      </c>
      <c r="K4234" s="4">
        <v>145167.45000000001</v>
      </c>
      <c r="L4234" s="1">
        <f t="shared" si="1973"/>
        <v>173565.13</v>
      </c>
      <c r="M4234" s="2">
        <f t="shared" si="1974"/>
        <v>0.16361397015633267</v>
      </c>
      <c r="N4234" s="2">
        <f t="shared" si="1975"/>
        <v>0.83638602984366739</v>
      </c>
    </row>
    <row r="4235" spans="1:16" x14ac:dyDescent="0.35">
      <c r="A4235" t="s">
        <v>37</v>
      </c>
      <c r="B4235" t="s">
        <v>27</v>
      </c>
      <c r="C4235">
        <v>2002</v>
      </c>
      <c r="D4235" t="s">
        <v>31</v>
      </c>
      <c r="E4235" s="8">
        <v>43</v>
      </c>
      <c r="F4235" s="8">
        <v>27</v>
      </c>
      <c r="G4235" s="1">
        <f t="shared" si="1970"/>
        <v>70</v>
      </c>
      <c r="H4235" s="2">
        <f t="shared" si="1971"/>
        <v>0.61428571428571432</v>
      </c>
      <c r="I4235" s="2">
        <f t="shared" si="1972"/>
        <v>0.38571428571428573</v>
      </c>
      <c r="J4235" s="4">
        <v>6909.88</v>
      </c>
      <c r="K4235" s="4">
        <v>132354.0834</v>
      </c>
      <c r="L4235" s="1">
        <f t="shared" si="1973"/>
        <v>139263.96340000001</v>
      </c>
      <c r="M4235" s="2">
        <f t="shared" si="1974"/>
        <v>4.9617143095038466E-2</v>
      </c>
      <c r="N4235" s="2">
        <f t="shared" si="1975"/>
        <v>0.95038285690496149</v>
      </c>
    </row>
    <row r="4236" spans="1:16" x14ac:dyDescent="0.35">
      <c r="A4236" t="s">
        <v>37</v>
      </c>
      <c r="B4236" t="s">
        <v>28</v>
      </c>
      <c r="C4236">
        <v>2002</v>
      </c>
      <c r="D4236" t="s">
        <v>31</v>
      </c>
      <c r="E4236" s="8">
        <v>41</v>
      </c>
      <c r="F4236" s="8">
        <v>20</v>
      </c>
      <c r="G4236" s="1">
        <f t="shared" si="1970"/>
        <v>61</v>
      </c>
      <c r="H4236" s="2">
        <f t="shared" si="1971"/>
        <v>0.67213114754098358</v>
      </c>
      <c r="I4236" s="2">
        <f t="shared" si="1972"/>
        <v>0.32786885245901637</v>
      </c>
      <c r="J4236" s="4">
        <v>1565.04</v>
      </c>
      <c r="K4236" s="4">
        <v>93767.27</v>
      </c>
      <c r="L4236" s="1">
        <f t="shared" si="1973"/>
        <v>95332.31</v>
      </c>
      <c r="M4236" s="2">
        <f t="shared" si="1974"/>
        <v>1.6416679717506058E-2</v>
      </c>
      <c r="N4236" s="2">
        <f t="shared" si="1975"/>
        <v>0.98358332028249396</v>
      </c>
    </row>
    <row r="4237" spans="1:16" x14ac:dyDescent="0.35">
      <c r="A4237" t="s">
        <v>37</v>
      </c>
      <c r="B4237" t="s">
        <v>29</v>
      </c>
      <c r="C4237">
        <v>2002</v>
      </c>
      <c r="D4237" t="s">
        <v>31</v>
      </c>
      <c r="E4237" s="8">
        <v>38</v>
      </c>
      <c r="F4237" s="8">
        <v>24</v>
      </c>
      <c r="G4237" s="1">
        <f t="shared" si="1970"/>
        <v>62</v>
      </c>
      <c r="H4237" s="2">
        <f t="shared" si="1971"/>
        <v>0.61290322580645162</v>
      </c>
      <c r="I4237" s="2">
        <f t="shared" si="1972"/>
        <v>0.38709677419354838</v>
      </c>
      <c r="J4237" s="4">
        <v>9372.26</v>
      </c>
      <c r="K4237" s="4">
        <v>44878.923999999992</v>
      </c>
      <c r="L4237" s="1">
        <f t="shared" si="1973"/>
        <v>54251.183999999994</v>
      </c>
      <c r="M4237" s="2">
        <f t="shared" si="1974"/>
        <v>0.17275678259851437</v>
      </c>
      <c r="N4237" s="2">
        <f t="shared" si="1975"/>
        <v>0.82724321740148554</v>
      </c>
    </row>
    <row r="4238" spans="1:16" x14ac:dyDescent="0.35">
      <c r="A4238" t="s">
        <v>37</v>
      </c>
      <c r="B4238" t="s">
        <v>17</v>
      </c>
      <c r="C4238">
        <v>2003</v>
      </c>
      <c r="D4238" t="s">
        <v>31</v>
      </c>
      <c r="E4238" s="8">
        <f>36+3</f>
        <v>39</v>
      </c>
      <c r="F4238" s="8">
        <f>17+4</f>
        <v>21</v>
      </c>
      <c r="G4238" s="1">
        <f t="shared" si="1970"/>
        <v>60</v>
      </c>
      <c r="H4238" s="2">
        <f t="shared" si="1971"/>
        <v>0.65</v>
      </c>
      <c r="I4238" s="2">
        <f t="shared" si="1972"/>
        <v>0.35</v>
      </c>
      <c r="J4238" s="4">
        <f>3811+4330</f>
        <v>8141</v>
      </c>
      <c r="K4238" s="4">
        <f>6649+48279</f>
        <v>54928</v>
      </c>
      <c r="L4238" s="1">
        <f t="shared" si="1973"/>
        <v>63069</v>
      </c>
      <c r="M4238" s="2">
        <f t="shared" si="1974"/>
        <v>0.12908084796017061</v>
      </c>
      <c r="N4238" s="2">
        <f t="shared" si="1975"/>
        <v>0.87091915203982939</v>
      </c>
    </row>
    <row r="4239" spans="1:16" x14ac:dyDescent="0.35">
      <c r="A4239" t="s">
        <v>37</v>
      </c>
      <c r="B4239" t="s">
        <v>19</v>
      </c>
      <c r="C4239">
        <v>2003</v>
      </c>
      <c r="D4239" t="s">
        <v>31</v>
      </c>
      <c r="E4239" s="9">
        <f>36+5</f>
        <v>41</v>
      </c>
      <c r="F4239" s="8">
        <f>13+4</f>
        <v>17</v>
      </c>
      <c r="G4239" s="1">
        <f t="shared" si="1970"/>
        <v>58</v>
      </c>
      <c r="H4239" s="2">
        <f t="shared" si="1971"/>
        <v>0.7068965517241379</v>
      </c>
      <c r="I4239" s="2">
        <f t="shared" si="1972"/>
        <v>0.29310344827586204</v>
      </c>
      <c r="J4239" s="4">
        <f>9966+4369</f>
        <v>14335</v>
      </c>
      <c r="K4239" s="4">
        <f>2883+65769</f>
        <v>68652</v>
      </c>
      <c r="L4239" s="1">
        <f t="shared" si="1973"/>
        <v>82987</v>
      </c>
      <c r="M4239" s="2">
        <f t="shared" si="1974"/>
        <v>0.17273789870702641</v>
      </c>
      <c r="N4239" s="2">
        <f t="shared" si="1975"/>
        <v>0.82726210129297362</v>
      </c>
    </row>
    <row r="4240" spans="1:16" x14ac:dyDescent="0.35">
      <c r="A4240" t="s">
        <v>37</v>
      </c>
      <c r="B4240" t="s">
        <v>20</v>
      </c>
      <c r="C4240">
        <v>2003</v>
      </c>
      <c r="D4240" t="s">
        <v>31</v>
      </c>
      <c r="E4240" s="9">
        <f>40+3</f>
        <v>43</v>
      </c>
      <c r="F4240" s="8">
        <f>19+10</f>
        <v>29</v>
      </c>
      <c r="G4240" s="1">
        <f t="shared" si="1970"/>
        <v>72</v>
      </c>
      <c r="H4240" s="2">
        <f t="shared" si="1971"/>
        <v>0.59722222222222221</v>
      </c>
      <c r="I4240" s="2">
        <f t="shared" si="1972"/>
        <v>0.40277777777777779</v>
      </c>
      <c r="J4240" s="4">
        <f>5242+4317</f>
        <v>9559</v>
      </c>
      <c r="K4240" s="4">
        <f>5836+93598</f>
        <v>99434</v>
      </c>
      <c r="L4240" s="1">
        <f t="shared" si="1973"/>
        <v>108993</v>
      </c>
      <c r="M4240" s="2">
        <f t="shared" si="1974"/>
        <v>8.7702880001467989E-2</v>
      </c>
      <c r="N4240" s="2">
        <f t="shared" si="1975"/>
        <v>0.91229711999853202</v>
      </c>
    </row>
    <row r="4241" spans="1:14" x14ac:dyDescent="0.35">
      <c r="A4241" t="s">
        <v>37</v>
      </c>
      <c r="B4241" t="s">
        <v>21</v>
      </c>
      <c r="C4241">
        <v>2003</v>
      </c>
      <c r="D4241" t="s">
        <v>31</v>
      </c>
      <c r="E4241" s="9">
        <v>42</v>
      </c>
      <c r="F4241" s="8">
        <v>30</v>
      </c>
      <c r="G4241" s="1">
        <f t="shared" si="1970"/>
        <v>72</v>
      </c>
      <c r="H4241" s="2">
        <f t="shared" si="1971"/>
        <v>0.58333333333333337</v>
      </c>
      <c r="I4241" s="2">
        <f t="shared" si="1972"/>
        <v>0.41666666666666669</v>
      </c>
      <c r="J4241" s="4">
        <f>4849.93+1258.68</f>
        <v>6108.6100000000006</v>
      </c>
      <c r="K4241" s="4">
        <f>5657.54+224661.39</f>
        <v>230318.93000000002</v>
      </c>
      <c r="L4241" s="1">
        <f t="shared" si="1973"/>
        <v>236427.54000000004</v>
      </c>
      <c r="M4241" s="2">
        <f t="shared" si="1974"/>
        <v>2.5837133863508454E-2</v>
      </c>
      <c r="N4241" s="2">
        <f t="shared" si="1975"/>
        <v>0.9741628661364915</v>
      </c>
    </row>
    <row r="4242" spans="1:14" x14ac:dyDescent="0.35">
      <c r="A4242" t="s">
        <v>37</v>
      </c>
      <c r="B4242" t="s">
        <v>22</v>
      </c>
      <c r="C4242">
        <v>2003</v>
      </c>
      <c r="D4242" t="s">
        <v>31</v>
      </c>
      <c r="E4242" s="9">
        <v>40</v>
      </c>
      <c r="F4242" s="8">
        <v>27</v>
      </c>
      <c r="G4242" s="1">
        <f t="shared" si="1970"/>
        <v>67</v>
      </c>
      <c r="H4242" s="2">
        <f t="shared" si="1971"/>
        <v>0.59701492537313428</v>
      </c>
      <c r="I4242" s="2">
        <f t="shared" si="1972"/>
        <v>0.40298507462686567</v>
      </c>
      <c r="J4242" s="4">
        <f>3426.94+1387.4</f>
        <v>4814.34</v>
      </c>
      <c r="K4242" s="4">
        <f>5064.04+3440.36</f>
        <v>8504.4</v>
      </c>
      <c r="L4242" s="1">
        <f t="shared" si="1973"/>
        <v>13318.74</v>
      </c>
      <c r="M4242" s="2">
        <f t="shared" si="1974"/>
        <v>0.36147113015195131</v>
      </c>
      <c r="N4242" s="2">
        <f t="shared" si="1975"/>
        <v>0.63852886984804869</v>
      </c>
    </row>
    <row r="4243" spans="1:14" x14ac:dyDescent="0.35">
      <c r="A4243" t="s">
        <v>37</v>
      </c>
      <c r="B4243" t="s">
        <v>23</v>
      </c>
      <c r="C4243">
        <v>2003</v>
      </c>
      <c r="D4243" t="s">
        <v>31</v>
      </c>
      <c r="E4243" s="9">
        <v>46</v>
      </c>
      <c r="F4243" s="8">
        <v>23</v>
      </c>
      <c r="G4243" s="1">
        <f t="shared" si="1970"/>
        <v>69</v>
      </c>
      <c r="H4243" s="2">
        <f t="shared" si="1971"/>
        <v>0.66666666666666663</v>
      </c>
      <c r="I4243" s="2">
        <f t="shared" si="1972"/>
        <v>0.33333333333333331</v>
      </c>
      <c r="J4243" s="4">
        <f>7762.68+6436.92</f>
        <v>14199.6</v>
      </c>
      <c r="K4243" s="4">
        <f>7003.44+37944.12</f>
        <v>44947.560000000005</v>
      </c>
      <c r="L4243" s="1">
        <f t="shared" si="1973"/>
        <v>59147.16</v>
      </c>
      <c r="M4243" s="2">
        <f t="shared" si="1974"/>
        <v>0.24007238893634114</v>
      </c>
      <c r="N4243" s="2">
        <f t="shared" si="1975"/>
        <v>0.75992761106365891</v>
      </c>
    </row>
    <row r="4244" spans="1:14" x14ac:dyDescent="0.35">
      <c r="A4244" t="s">
        <v>37</v>
      </c>
      <c r="B4244" t="s">
        <v>24</v>
      </c>
      <c r="C4244">
        <v>2003</v>
      </c>
      <c r="D4244" t="s">
        <v>31</v>
      </c>
      <c r="E4244" s="9">
        <f>47</f>
        <v>47</v>
      </c>
      <c r="F4244" s="8">
        <v>26</v>
      </c>
      <c r="G4244" s="1">
        <f t="shared" si="1970"/>
        <v>73</v>
      </c>
      <c r="H4244" s="2">
        <f t="shared" si="1971"/>
        <v>0.64383561643835618</v>
      </c>
      <c r="I4244" s="2">
        <f t="shared" si="1972"/>
        <v>0.35616438356164382</v>
      </c>
      <c r="J4244" s="4">
        <f>6747.07+7547.97</f>
        <v>14295.04</v>
      </c>
      <c r="K4244" s="4">
        <f>7262.53+57871.49</f>
        <v>65134.02</v>
      </c>
      <c r="L4244" s="1">
        <f t="shared" si="1973"/>
        <v>79429.06</v>
      </c>
      <c r="M4244" s="2">
        <f t="shared" si="1974"/>
        <v>0.17997241815526963</v>
      </c>
      <c r="N4244" s="2">
        <f t="shared" si="1975"/>
        <v>0.82002758184473035</v>
      </c>
    </row>
    <row r="4245" spans="1:14" x14ac:dyDescent="0.35">
      <c r="A4245" t="s">
        <v>37</v>
      </c>
      <c r="B4245" t="s">
        <v>25</v>
      </c>
      <c r="C4245">
        <v>2003</v>
      </c>
      <c r="D4245" t="s">
        <v>31</v>
      </c>
      <c r="E4245" s="9">
        <v>45</v>
      </c>
      <c r="F4245" s="8">
        <v>28</v>
      </c>
      <c r="G4245" s="1">
        <f t="shared" si="1970"/>
        <v>73</v>
      </c>
      <c r="H4245" s="2">
        <f t="shared" si="1971"/>
        <v>0.61643835616438358</v>
      </c>
      <c r="I4245" s="2">
        <f t="shared" si="1972"/>
        <v>0.38356164383561642</v>
      </c>
      <c r="J4245" s="4">
        <f>8676.76+7632.52</f>
        <v>16309.28</v>
      </c>
      <c r="K4245" s="4">
        <f>8552.42+43733.37</f>
        <v>52285.79</v>
      </c>
      <c r="L4245" s="1">
        <f t="shared" si="1973"/>
        <v>68595.070000000007</v>
      </c>
      <c r="M4245" s="2">
        <f t="shared" si="1974"/>
        <v>0.23776169336950889</v>
      </c>
      <c r="N4245" s="2">
        <f t="shared" si="1975"/>
        <v>0.76223830663049097</v>
      </c>
    </row>
    <row r="4246" spans="1:14" x14ac:dyDescent="0.35">
      <c r="A4246" t="s">
        <v>37</v>
      </c>
      <c r="B4246" t="s">
        <v>26</v>
      </c>
      <c r="C4246">
        <v>2003</v>
      </c>
      <c r="D4246" t="s">
        <v>31</v>
      </c>
      <c r="E4246" s="9">
        <v>40</v>
      </c>
      <c r="F4246" s="8">
        <v>25</v>
      </c>
      <c r="G4246" s="1">
        <f t="shared" si="1970"/>
        <v>65</v>
      </c>
      <c r="H4246" s="2">
        <f t="shared" si="1971"/>
        <v>0.61538461538461542</v>
      </c>
      <c r="I4246" s="2">
        <f t="shared" si="1972"/>
        <v>0.38461538461538464</v>
      </c>
      <c r="J4246" s="4">
        <f>7500.11+1485.52</f>
        <v>8985.6299999999992</v>
      </c>
      <c r="K4246" s="4">
        <f>7410.08+45082.89</f>
        <v>52492.97</v>
      </c>
      <c r="L4246" s="1">
        <f t="shared" si="1973"/>
        <v>61478.6</v>
      </c>
      <c r="M4246" s="2">
        <f t="shared" si="1974"/>
        <v>0.14615866333976374</v>
      </c>
      <c r="N4246" s="2">
        <f t="shared" si="1975"/>
        <v>0.85384133666023632</v>
      </c>
    </row>
    <row r="4247" spans="1:14" x14ac:dyDescent="0.35">
      <c r="A4247" t="s">
        <v>37</v>
      </c>
      <c r="B4247" t="s">
        <v>27</v>
      </c>
      <c r="C4247">
        <v>2003</v>
      </c>
      <c r="D4247" t="s">
        <v>31</v>
      </c>
      <c r="E4247" s="9">
        <v>42</v>
      </c>
      <c r="F4247" s="8">
        <v>27</v>
      </c>
      <c r="G4247" s="1">
        <f t="shared" si="1970"/>
        <v>69</v>
      </c>
      <c r="H4247" s="2">
        <f t="shared" si="1971"/>
        <v>0.60869565217391308</v>
      </c>
      <c r="I4247" s="2">
        <f t="shared" si="1972"/>
        <v>0.39130434782608697</v>
      </c>
      <c r="J4247" s="4">
        <f>5734.69+6964.21</f>
        <v>12698.9</v>
      </c>
      <c r="K4247" s="4">
        <f>6250.43+24112.41</f>
        <v>30362.84</v>
      </c>
      <c r="L4247" s="1">
        <f t="shared" si="1973"/>
        <v>43061.74</v>
      </c>
      <c r="M4247" s="2">
        <f t="shared" si="1974"/>
        <v>0.29489983451667307</v>
      </c>
      <c r="N4247" s="2">
        <f t="shared" si="1975"/>
        <v>0.70510016548332699</v>
      </c>
    </row>
    <row r="4248" spans="1:14" x14ac:dyDescent="0.35">
      <c r="A4248" t="s">
        <v>37</v>
      </c>
      <c r="B4248" t="s">
        <v>28</v>
      </c>
      <c r="C4248">
        <v>2003</v>
      </c>
      <c r="D4248" t="s">
        <v>31</v>
      </c>
      <c r="E4248" s="9">
        <v>38</v>
      </c>
      <c r="F4248" s="8">
        <v>24</v>
      </c>
      <c r="G4248" s="1">
        <f t="shared" si="1970"/>
        <v>62</v>
      </c>
      <c r="H4248" s="2">
        <f t="shared" si="1971"/>
        <v>0.61290322580645162</v>
      </c>
      <c r="I4248" s="2">
        <f t="shared" si="1972"/>
        <v>0.38709677419354838</v>
      </c>
      <c r="J4248" s="4">
        <f>7564.47+1451.99</f>
        <v>9016.4600000000009</v>
      </c>
      <c r="K4248" s="4">
        <f>5819.02+5914.41</f>
        <v>11733.43</v>
      </c>
      <c r="L4248" s="1">
        <f t="shared" si="1973"/>
        <v>20749.89</v>
      </c>
      <c r="M4248" s="2">
        <f t="shared" si="1974"/>
        <v>0.43453049630624552</v>
      </c>
      <c r="N4248" s="2">
        <f t="shared" si="1975"/>
        <v>0.56546950369375459</v>
      </c>
    </row>
    <row r="4249" spans="1:14" x14ac:dyDescent="0.35">
      <c r="A4249" t="s">
        <v>37</v>
      </c>
      <c r="B4249" t="s">
        <v>29</v>
      </c>
      <c r="C4249">
        <v>2003</v>
      </c>
      <c r="D4249" t="s">
        <v>31</v>
      </c>
      <c r="E4249" s="9">
        <v>41</v>
      </c>
      <c r="F4249" s="8">
        <v>34</v>
      </c>
      <c r="G4249" s="1">
        <f t="shared" si="1970"/>
        <v>75</v>
      </c>
      <c r="H4249" s="2">
        <f t="shared" si="1971"/>
        <v>0.54666666666666663</v>
      </c>
      <c r="I4249" s="2">
        <f t="shared" si="1972"/>
        <v>0.45333333333333331</v>
      </c>
      <c r="J4249" s="4">
        <f>4653.64+12209.76</f>
        <v>16863.400000000001</v>
      </c>
      <c r="K4249" s="4">
        <f>6381.87+145318.89</f>
        <v>151700.76</v>
      </c>
      <c r="L4249" s="1">
        <f t="shared" si="1973"/>
        <v>168564.16</v>
      </c>
      <c r="M4249" s="2">
        <f t="shared" si="1974"/>
        <v>0.10004143229497896</v>
      </c>
      <c r="N4249" s="2">
        <f t="shared" si="1975"/>
        <v>0.89995856770502103</v>
      </c>
    </row>
    <row r="4250" spans="1:14" x14ac:dyDescent="0.35">
      <c r="A4250" t="s">
        <v>37</v>
      </c>
      <c r="B4250" t="s">
        <v>17</v>
      </c>
      <c r="C4250">
        <v>2004</v>
      </c>
      <c r="D4250" t="s">
        <v>31</v>
      </c>
      <c r="E4250" s="9">
        <f>39+5</f>
        <v>44</v>
      </c>
      <c r="F4250" s="9">
        <f>25+10</f>
        <v>35</v>
      </c>
      <c r="G4250" s="1">
        <f t="shared" si="1970"/>
        <v>79</v>
      </c>
      <c r="H4250" s="2">
        <f t="shared" si="1971"/>
        <v>0.55696202531645567</v>
      </c>
      <c r="I4250" s="2">
        <f t="shared" si="1972"/>
        <v>0.44303797468354428</v>
      </c>
      <c r="J4250" s="4">
        <f>4907.61+7212.67</f>
        <v>12120.279999999999</v>
      </c>
      <c r="K4250" s="4">
        <f>8554.19+77745.92</f>
        <v>86300.11</v>
      </c>
      <c r="L4250" s="1">
        <f t="shared" si="1973"/>
        <v>98420.39</v>
      </c>
      <c r="M4250" s="2">
        <f t="shared" si="1974"/>
        <v>0.12314805905564892</v>
      </c>
      <c r="N4250" s="2">
        <f t="shared" si="1975"/>
        <v>0.87685194094435104</v>
      </c>
    </row>
    <row r="4251" spans="1:14" x14ac:dyDescent="0.35">
      <c r="A4251" t="s">
        <v>37</v>
      </c>
      <c r="B4251" t="s">
        <v>19</v>
      </c>
      <c r="C4251">
        <v>2004</v>
      </c>
      <c r="D4251" t="s">
        <v>31</v>
      </c>
      <c r="E4251" s="9">
        <f>39+2</f>
        <v>41</v>
      </c>
      <c r="F4251" s="9">
        <f>26+11</f>
        <v>37</v>
      </c>
      <c r="G4251" s="1">
        <f t="shared" si="1970"/>
        <v>78</v>
      </c>
      <c r="H4251" s="2">
        <f t="shared" si="1971"/>
        <v>0.52564102564102566</v>
      </c>
      <c r="I4251" s="2">
        <f t="shared" si="1972"/>
        <v>0.47435897435897434</v>
      </c>
      <c r="J4251" s="4">
        <f>5915.2+2423.47</f>
        <v>8338.67</v>
      </c>
      <c r="K4251" s="4">
        <f>7799.98+55778.71</f>
        <v>63578.69</v>
      </c>
      <c r="L4251" s="1">
        <f t="shared" si="1973"/>
        <v>71917.36</v>
      </c>
      <c r="M4251" s="2">
        <f t="shared" si="1974"/>
        <v>0.11594794358413602</v>
      </c>
      <c r="N4251" s="2">
        <f t="shared" si="1975"/>
        <v>0.88405205641586404</v>
      </c>
    </row>
    <row r="4252" spans="1:14" x14ac:dyDescent="0.35">
      <c r="A4252" t="s">
        <v>37</v>
      </c>
      <c r="B4252" t="s">
        <v>20</v>
      </c>
      <c r="C4252">
        <v>2004</v>
      </c>
      <c r="D4252" t="s">
        <v>31</v>
      </c>
      <c r="E4252" s="9">
        <f>93+2</f>
        <v>95</v>
      </c>
      <c r="F4252" s="9">
        <f>56+9</f>
        <v>65</v>
      </c>
      <c r="G4252" s="1">
        <f t="shared" si="1970"/>
        <v>160</v>
      </c>
      <c r="H4252" s="2">
        <f t="shared" si="1971"/>
        <v>0.59375</v>
      </c>
      <c r="I4252" s="2">
        <f t="shared" si="1972"/>
        <v>0.40625</v>
      </c>
      <c r="J4252" s="4">
        <f>7617.34+2493.53</f>
        <v>10110.870000000001</v>
      </c>
      <c r="K4252" s="4">
        <f>8066.45+66477.13</f>
        <v>74543.58</v>
      </c>
      <c r="L4252" s="1">
        <f t="shared" si="1973"/>
        <v>84654.45</v>
      </c>
      <c r="M4252" s="2">
        <f t="shared" si="1974"/>
        <v>0.11943695812801337</v>
      </c>
      <c r="N4252" s="2">
        <f t="shared" si="1975"/>
        <v>0.88056304187198675</v>
      </c>
    </row>
    <row r="4253" spans="1:14" x14ac:dyDescent="0.35">
      <c r="A4253" t="s">
        <v>37</v>
      </c>
      <c r="B4253" t="s">
        <v>21</v>
      </c>
      <c r="C4253">
        <v>2004</v>
      </c>
      <c r="D4253" t="s">
        <v>31</v>
      </c>
      <c r="E4253" s="9">
        <f>97+2</f>
        <v>99</v>
      </c>
      <c r="F4253" s="9">
        <f>70+12</f>
        <v>82</v>
      </c>
      <c r="G4253" s="1">
        <f t="shared" si="1970"/>
        <v>181</v>
      </c>
      <c r="H4253" s="2">
        <f t="shared" si="1971"/>
        <v>0.54696132596685088</v>
      </c>
      <c r="I4253" s="2">
        <f t="shared" si="1972"/>
        <v>0.45303867403314918</v>
      </c>
      <c r="J4253" s="4">
        <f>7352.9+2413.94</f>
        <v>9766.84</v>
      </c>
      <c r="K4253" s="4">
        <f>13845.93+86454.28</f>
        <v>100300.20999999999</v>
      </c>
      <c r="L4253" s="1">
        <f t="shared" si="1973"/>
        <v>110067.04999999999</v>
      </c>
      <c r="M4253" s="2">
        <f t="shared" si="1974"/>
        <v>8.8735366306265148E-2</v>
      </c>
      <c r="N4253" s="2">
        <f t="shared" si="1975"/>
        <v>0.91126463369373489</v>
      </c>
    </row>
    <row r="4254" spans="1:14" x14ac:dyDescent="0.35">
      <c r="A4254" t="s">
        <v>37</v>
      </c>
      <c r="B4254" t="s">
        <v>22</v>
      </c>
      <c r="C4254">
        <v>2004</v>
      </c>
      <c r="D4254" t="s">
        <v>31</v>
      </c>
      <c r="E4254" s="9">
        <f>99+3</f>
        <v>102</v>
      </c>
      <c r="F4254" s="9">
        <f>69+6</f>
        <v>75</v>
      </c>
      <c r="G4254" s="1">
        <f t="shared" si="1970"/>
        <v>177</v>
      </c>
      <c r="H4254" s="2">
        <f t="shared" si="1971"/>
        <v>0.57627118644067798</v>
      </c>
      <c r="I4254" s="2">
        <f t="shared" si="1972"/>
        <v>0.42372881355932202</v>
      </c>
      <c r="J4254" s="4">
        <f>8173.36+2269.49</f>
        <v>10442.849999999999</v>
      </c>
      <c r="K4254" s="4">
        <f>10358.14+7217.34</f>
        <v>17575.48</v>
      </c>
      <c r="L4254" s="1">
        <f t="shared" si="1973"/>
        <v>28018.329999999998</v>
      </c>
      <c r="M4254" s="2">
        <f t="shared" si="1974"/>
        <v>0.37271493340252609</v>
      </c>
      <c r="N4254" s="2">
        <f t="shared" si="1975"/>
        <v>0.62728506659747385</v>
      </c>
    </row>
    <row r="4255" spans="1:14" x14ac:dyDescent="0.35">
      <c r="A4255" t="s">
        <v>37</v>
      </c>
      <c r="B4255" t="s">
        <v>23</v>
      </c>
      <c r="C4255">
        <v>2004</v>
      </c>
      <c r="D4255" t="s">
        <v>31</v>
      </c>
      <c r="E4255" s="9">
        <f>99+4</f>
        <v>103</v>
      </c>
      <c r="F4255" s="9">
        <f>76+16</f>
        <v>92</v>
      </c>
      <c r="G4255" s="1">
        <f t="shared" si="1970"/>
        <v>195</v>
      </c>
      <c r="H4255" s="2">
        <f t="shared" si="1971"/>
        <v>0.52820512820512822</v>
      </c>
      <c r="I4255" s="2">
        <f t="shared" si="1972"/>
        <v>0.47179487179487178</v>
      </c>
      <c r="J4255" s="4">
        <f>9378.28+2493.05</f>
        <v>11871.330000000002</v>
      </c>
      <c r="K4255" s="4">
        <f>15225.72+124348.66</f>
        <v>139574.38</v>
      </c>
      <c r="L4255" s="1">
        <f t="shared" si="1973"/>
        <v>151445.71000000002</v>
      </c>
      <c r="M4255" s="2">
        <f t="shared" si="1974"/>
        <v>7.8386703723730439E-2</v>
      </c>
      <c r="N4255" s="2">
        <f t="shared" si="1975"/>
        <v>0.92161329627626942</v>
      </c>
    </row>
    <row r="4256" spans="1:14" x14ac:dyDescent="0.35">
      <c r="A4256" t="s">
        <v>37</v>
      </c>
      <c r="B4256" t="s">
        <v>24</v>
      </c>
      <c r="C4256">
        <v>2004</v>
      </c>
      <c r="D4256" t="s">
        <v>31</v>
      </c>
      <c r="E4256" s="9">
        <f>112+4</f>
        <v>116</v>
      </c>
      <c r="F4256" s="9">
        <f>87+23</f>
        <v>110</v>
      </c>
      <c r="G4256" s="1">
        <f t="shared" si="1970"/>
        <v>226</v>
      </c>
      <c r="H4256" s="2">
        <f t="shared" si="1971"/>
        <v>0.51327433628318586</v>
      </c>
      <c r="I4256" s="2">
        <f t="shared" si="1972"/>
        <v>0.48672566371681414</v>
      </c>
      <c r="J4256" s="4">
        <v>9368.2099999999991</v>
      </c>
      <c r="K4256" s="4">
        <f>12688.12+78607.53</f>
        <v>91295.65</v>
      </c>
      <c r="L4256" s="1">
        <f t="shared" si="1973"/>
        <v>100663.85999999999</v>
      </c>
      <c r="M4256" s="2">
        <f t="shared" si="1974"/>
        <v>9.3064283447902754E-2</v>
      </c>
      <c r="N4256" s="2">
        <f t="shared" si="1975"/>
        <v>0.90693571655209737</v>
      </c>
    </row>
    <row r="4257" spans="1:14" x14ac:dyDescent="0.35">
      <c r="A4257" t="s">
        <v>37</v>
      </c>
      <c r="B4257" t="s">
        <v>25</v>
      </c>
      <c r="C4257">
        <v>2004</v>
      </c>
      <c r="D4257" t="s">
        <v>31</v>
      </c>
      <c r="E4257" s="9">
        <f>112+4</f>
        <v>116</v>
      </c>
      <c r="F4257" s="9">
        <f>83+21</f>
        <v>104</v>
      </c>
      <c r="G4257" s="1">
        <f t="shared" si="1970"/>
        <v>220</v>
      </c>
      <c r="H4257" s="2">
        <f t="shared" si="1971"/>
        <v>0.52727272727272723</v>
      </c>
      <c r="I4257" s="2">
        <f t="shared" si="1972"/>
        <v>0.47272727272727272</v>
      </c>
      <c r="J4257" s="4">
        <f>9987.36+2372.36</f>
        <v>12359.720000000001</v>
      </c>
      <c r="K4257" s="4">
        <f>14892.46+96617.34</f>
        <v>111509.79999999999</v>
      </c>
      <c r="L4257" s="1">
        <f t="shared" si="1973"/>
        <v>123869.51999999999</v>
      </c>
      <c r="M4257" s="2">
        <f t="shared" si="1974"/>
        <v>9.9780155763903838E-2</v>
      </c>
      <c r="N4257" s="2">
        <f t="shared" si="1975"/>
        <v>0.90021984423609613</v>
      </c>
    </row>
    <row r="4258" spans="1:14" x14ac:dyDescent="0.35">
      <c r="A4258" t="s">
        <v>37</v>
      </c>
      <c r="B4258" t="s">
        <v>26</v>
      </c>
      <c r="C4258">
        <v>2004</v>
      </c>
      <c r="D4258" t="s">
        <v>31</v>
      </c>
      <c r="E4258" s="9">
        <f>113+4</f>
        <v>117</v>
      </c>
      <c r="F4258" s="9">
        <f>83+21</f>
        <v>104</v>
      </c>
      <c r="G4258" s="1">
        <f t="shared" si="1970"/>
        <v>221</v>
      </c>
      <c r="H4258" s="2">
        <f t="shared" si="1971"/>
        <v>0.52941176470588236</v>
      </c>
      <c r="I4258" s="2">
        <f t="shared" si="1972"/>
        <v>0.47058823529411764</v>
      </c>
      <c r="J4258" s="4">
        <f>10005.63+2242.21</f>
        <v>12247.84</v>
      </c>
      <c r="K4258" s="4">
        <f>15022.97+91239.05</f>
        <v>106262.02</v>
      </c>
      <c r="L4258" s="1">
        <f t="shared" si="1973"/>
        <v>118509.86</v>
      </c>
      <c r="M4258" s="2">
        <f t="shared" si="1974"/>
        <v>0.10334870026848399</v>
      </c>
      <c r="N4258" s="2">
        <f t="shared" si="1975"/>
        <v>0.89665129973151603</v>
      </c>
    </row>
    <row r="4259" spans="1:14" x14ac:dyDescent="0.35">
      <c r="A4259" t="s">
        <v>37</v>
      </c>
      <c r="B4259" t="s">
        <v>27</v>
      </c>
      <c r="C4259">
        <v>2004</v>
      </c>
      <c r="D4259" t="s">
        <v>31</v>
      </c>
      <c r="E4259" s="9">
        <f>111+4</f>
        <v>115</v>
      </c>
      <c r="F4259" s="9">
        <f>87+22</f>
        <v>109</v>
      </c>
      <c r="G4259" s="1">
        <f t="shared" si="1970"/>
        <v>224</v>
      </c>
      <c r="H4259" s="2">
        <f t="shared" si="1971"/>
        <v>0.5133928571428571</v>
      </c>
      <c r="I4259" s="2">
        <f t="shared" si="1972"/>
        <v>0.48660714285714285</v>
      </c>
      <c r="J4259" s="4">
        <f>9506.85+2169.04</f>
        <v>11675.89</v>
      </c>
      <c r="K4259" s="4">
        <f>17980.87+89982.56</f>
        <v>107963.43</v>
      </c>
      <c r="L4259" s="1">
        <f t="shared" si="1973"/>
        <v>119639.31999999999</v>
      </c>
      <c r="M4259" s="2">
        <f t="shared" si="1974"/>
        <v>9.7592413597803795E-2</v>
      </c>
      <c r="N4259" s="2">
        <f t="shared" si="1975"/>
        <v>0.9024075864021962</v>
      </c>
    </row>
    <row r="4260" spans="1:14" x14ac:dyDescent="0.35">
      <c r="A4260" t="s">
        <v>37</v>
      </c>
      <c r="B4260" t="s">
        <v>28</v>
      </c>
      <c r="C4260">
        <v>2004</v>
      </c>
      <c r="D4260" t="s">
        <v>31</v>
      </c>
      <c r="E4260" s="9">
        <f>109+4</f>
        <v>113</v>
      </c>
      <c r="F4260" s="9">
        <f>87+22</f>
        <v>109</v>
      </c>
      <c r="G4260" s="1">
        <f t="shared" si="1970"/>
        <v>222</v>
      </c>
      <c r="H4260" s="2">
        <f t="shared" si="1971"/>
        <v>0.50900900900900903</v>
      </c>
      <c r="I4260" s="2">
        <f t="shared" si="1972"/>
        <v>0.49099099099099097</v>
      </c>
      <c r="J4260" s="4">
        <f>8511.67+2482.1</f>
        <v>10993.77</v>
      </c>
      <c r="K4260" s="4">
        <f>16656.41+137526.21</f>
        <v>154182.62</v>
      </c>
      <c r="L4260" s="1">
        <f t="shared" si="1973"/>
        <v>165176.38999999998</v>
      </c>
      <c r="M4260" s="2">
        <f t="shared" si="1974"/>
        <v>6.6557756831954015E-2</v>
      </c>
      <c r="N4260" s="2">
        <f t="shared" si="1975"/>
        <v>0.93344224316804603</v>
      </c>
    </row>
    <row r="4261" spans="1:14" x14ac:dyDescent="0.35">
      <c r="A4261" t="s">
        <v>37</v>
      </c>
      <c r="B4261" t="s">
        <v>29</v>
      </c>
      <c r="C4261">
        <v>2004</v>
      </c>
      <c r="D4261" t="s">
        <v>31</v>
      </c>
      <c r="E4261" s="9">
        <f>109+4</f>
        <v>113</v>
      </c>
      <c r="F4261" s="9">
        <f>86+22</f>
        <v>108</v>
      </c>
      <c r="G4261" s="1">
        <f t="shared" si="1970"/>
        <v>221</v>
      </c>
      <c r="H4261" s="2">
        <f t="shared" si="1971"/>
        <v>0.5113122171945701</v>
      </c>
      <c r="I4261" s="2">
        <f t="shared" si="1972"/>
        <v>0.48868778280542985</v>
      </c>
      <c r="J4261" s="4">
        <f>7540.26+3249.19</f>
        <v>10789.45</v>
      </c>
      <c r="K4261" s="4">
        <f>14030.73+98334.97</f>
        <v>112365.7</v>
      </c>
      <c r="L4261" s="1">
        <f t="shared" si="1973"/>
        <v>123155.15</v>
      </c>
      <c r="M4261" s="2">
        <f t="shared" si="1974"/>
        <v>8.7608597772809355E-2</v>
      </c>
      <c r="N4261" s="2">
        <f t="shared" si="1975"/>
        <v>0.91239140222719073</v>
      </c>
    </row>
    <row r="4262" spans="1:14" x14ac:dyDescent="0.35">
      <c r="A4262" t="s">
        <v>37</v>
      </c>
      <c r="B4262" t="s">
        <v>17</v>
      </c>
      <c r="C4262">
        <v>2005</v>
      </c>
      <c r="D4262" t="s">
        <v>31</v>
      </c>
      <c r="E4262" s="9">
        <f>105+4</f>
        <v>109</v>
      </c>
      <c r="F4262" s="9">
        <v>114</v>
      </c>
      <c r="G4262" s="1">
        <f t="shared" si="1970"/>
        <v>223</v>
      </c>
      <c r="H4262" s="2">
        <f t="shared" si="1971"/>
        <v>0.48878923766816146</v>
      </c>
      <c r="I4262" s="2">
        <f t="shared" si="1972"/>
        <v>0.5112107623318386</v>
      </c>
      <c r="J4262" s="4">
        <f>7773+2170.1</f>
        <v>9943.1</v>
      </c>
      <c r="K4262" s="4">
        <f>13420.77+80387.18</f>
        <v>93807.95</v>
      </c>
      <c r="L4262" s="1">
        <f t="shared" si="1973"/>
        <v>103751.05</v>
      </c>
      <c r="M4262" s="2">
        <f t="shared" si="1974"/>
        <v>9.5836138525826967E-2</v>
      </c>
      <c r="N4262" s="2">
        <f t="shared" si="1975"/>
        <v>0.90416386147417294</v>
      </c>
    </row>
    <row r="4263" spans="1:14" x14ac:dyDescent="0.35">
      <c r="A4263" t="s">
        <v>37</v>
      </c>
      <c r="B4263" t="s">
        <v>19</v>
      </c>
      <c r="C4263">
        <v>2005</v>
      </c>
      <c r="D4263" t="s">
        <v>31</v>
      </c>
      <c r="E4263" s="9">
        <v>92</v>
      </c>
      <c r="F4263" s="9">
        <v>126</v>
      </c>
      <c r="G4263" s="1">
        <f t="shared" si="1970"/>
        <v>218</v>
      </c>
      <c r="H4263" s="2">
        <f t="shared" si="1971"/>
        <v>0.42201834862385323</v>
      </c>
      <c r="I4263" s="2">
        <f t="shared" si="1972"/>
        <v>0.57798165137614677</v>
      </c>
      <c r="J4263" s="4">
        <f>3822.06+65.5</f>
        <v>3887.56</v>
      </c>
      <c r="K4263" s="4">
        <f>19128.26+118137.31</f>
        <v>137265.57</v>
      </c>
      <c r="L4263" s="1">
        <f t="shared" si="1973"/>
        <v>141153.13</v>
      </c>
      <c r="M4263" s="2">
        <f t="shared" si="1974"/>
        <v>2.7541436736117718E-2</v>
      </c>
      <c r="N4263" s="2">
        <f t="shared" si="1975"/>
        <v>0.97245856326388225</v>
      </c>
    </row>
    <row r="4264" spans="1:14" x14ac:dyDescent="0.35">
      <c r="A4264" t="s">
        <v>37</v>
      </c>
      <c r="B4264" t="s">
        <v>20</v>
      </c>
      <c r="C4264">
        <v>2005</v>
      </c>
      <c r="D4264" t="s">
        <v>31</v>
      </c>
      <c r="E4264" s="9">
        <v>92</v>
      </c>
      <c r="F4264" s="9">
        <v>127</v>
      </c>
      <c r="G4264" s="1">
        <f t="shared" si="1970"/>
        <v>219</v>
      </c>
      <c r="H4264" s="2">
        <f t="shared" si="1971"/>
        <v>0.42009132420091322</v>
      </c>
      <c r="I4264" s="2">
        <f t="shared" si="1972"/>
        <v>0.57990867579908678</v>
      </c>
      <c r="J4264" s="4">
        <f>3662.23+24.52</f>
        <v>3686.75</v>
      </c>
      <c r="K4264" s="4">
        <f>17852.96+97601.45</f>
        <v>115454.41</v>
      </c>
      <c r="L4264" s="1">
        <f t="shared" si="1973"/>
        <v>119141.16</v>
      </c>
      <c r="M4264" s="2">
        <f t="shared" si="1974"/>
        <v>3.0944385634653883E-2</v>
      </c>
      <c r="N4264" s="2">
        <f t="shared" si="1975"/>
        <v>0.96905561436534615</v>
      </c>
    </row>
    <row r="4265" spans="1:14" x14ac:dyDescent="0.35">
      <c r="A4265" t="s">
        <v>37</v>
      </c>
      <c r="B4265" t="s">
        <v>21</v>
      </c>
      <c r="C4265">
        <v>2005</v>
      </c>
      <c r="D4265" t="s">
        <v>31</v>
      </c>
      <c r="E4265" s="9">
        <f>93</f>
        <v>93</v>
      </c>
      <c r="F4265" s="9">
        <v>125</v>
      </c>
      <c r="G4265" s="1">
        <f t="shared" si="1970"/>
        <v>218</v>
      </c>
      <c r="H4265" s="2">
        <f t="shared" si="1971"/>
        <v>0.42660550458715596</v>
      </c>
      <c r="I4265" s="2">
        <f t="shared" si="1972"/>
        <v>0.57339449541284404</v>
      </c>
      <c r="J4265" s="4">
        <f>3729.07</f>
        <v>3729.07</v>
      </c>
      <c r="K4265" s="4">
        <f>15867.96+82448.57</f>
        <v>98316.53</v>
      </c>
      <c r="L4265" s="1">
        <f t="shared" si="1973"/>
        <v>102045.6</v>
      </c>
      <c r="M4265" s="2">
        <f t="shared" si="1974"/>
        <v>3.6543172856056509E-2</v>
      </c>
      <c r="N4265" s="2">
        <f t="shared" si="1975"/>
        <v>0.96345682714394343</v>
      </c>
    </row>
    <row r="4266" spans="1:14" x14ac:dyDescent="0.35">
      <c r="A4266" t="s">
        <v>37</v>
      </c>
      <c r="B4266" t="s">
        <v>22</v>
      </c>
      <c r="C4266">
        <v>2005</v>
      </c>
      <c r="D4266" t="s">
        <v>31</v>
      </c>
      <c r="E4266" s="9">
        <v>92</v>
      </c>
      <c r="F4266" s="9">
        <v>126</v>
      </c>
      <c r="G4266" s="1">
        <f t="shared" si="1970"/>
        <v>218</v>
      </c>
      <c r="H4266" s="2">
        <f t="shared" si="1971"/>
        <v>0.42201834862385323</v>
      </c>
      <c r="I4266" s="2">
        <f t="shared" si="1972"/>
        <v>0.57798165137614677</v>
      </c>
      <c r="J4266" s="4">
        <f>4109.92+30.6</f>
        <v>4140.5200000000004</v>
      </c>
      <c r="K4266" s="4">
        <f>19315.93+116556.07</f>
        <v>135872</v>
      </c>
      <c r="L4266" s="1">
        <f t="shared" si="1973"/>
        <v>140012.51999999999</v>
      </c>
      <c r="M4266" s="2">
        <f t="shared" si="1974"/>
        <v>2.9572498230872501E-2</v>
      </c>
      <c r="N4266" s="2">
        <f t="shared" si="1975"/>
        <v>0.97042750176912762</v>
      </c>
    </row>
    <row r="4267" spans="1:14" x14ac:dyDescent="0.35">
      <c r="A4267" t="s">
        <v>37</v>
      </c>
      <c r="B4267" t="s">
        <v>23</v>
      </c>
      <c r="C4267">
        <v>2005</v>
      </c>
      <c r="D4267" t="s">
        <v>31</v>
      </c>
      <c r="E4267" s="9">
        <v>88</v>
      </c>
      <c r="F4267" s="9">
        <v>130</v>
      </c>
      <c r="G4267" s="1">
        <f t="shared" si="1970"/>
        <v>218</v>
      </c>
      <c r="H4267" s="2">
        <f t="shared" si="1971"/>
        <v>0.40366972477064222</v>
      </c>
      <c r="I4267" s="2">
        <f t="shared" si="1972"/>
        <v>0.59633027522935778</v>
      </c>
      <c r="J4267" s="4">
        <f>4002.99+6.3</f>
        <v>4009.29</v>
      </c>
      <c r="K4267" s="4">
        <f>20232.7+121547.52</f>
        <v>141780.22</v>
      </c>
      <c r="L4267" s="1">
        <f t="shared" si="1973"/>
        <v>145789.51</v>
      </c>
      <c r="M4267" s="2">
        <f t="shared" si="1974"/>
        <v>2.75005382760392E-2</v>
      </c>
      <c r="N4267" s="2">
        <f t="shared" si="1975"/>
        <v>0.97249946172396073</v>
      </c>
    </row>
    <row r="4268" spans="1:14" x14ac:dyDescent="0.35">
      <c r="A4268" t="s">
        <v>37</v>
      </c>
      <c r="B4268" t="s">
        <v>24</v>
      </c>
      <c r="C4268">
        <v>2005</v>
      </c>
      <c r="D4268" t="s">
        <v>31</v>
      </c>
      <c r="E4268" s="9">
        <f>86</f>
        <v>86</v>
      </c>
      <c r="F4268" s="9">
        <v>136</v>
      </c>
      <c r="G4268" s="1">
        <f t="shared" si="1970"/>
        <v>222</v>
      </c>
      <c r="H4268" s="2">
        <f t="shared" si="1971"/>
        <v>0.38738738738738737</v>
      </c>
      <c r="I4268" s="2">
        <f t="shared" si="1972"/>
        <v>0.61261261261261257</v>
      </c>
      <c r="J4268" s="4">
        <f>4445.25</f>
        <v>4445.25</v>
      </c>
      <c r="K4268" s="4">
        <f>23809.89+127462.59</f>
        <v>151272.47999999998</v>
      </c>
      <c r="L4268" s="1">
        <f t="shared" si="1973"/>
        <v>155717.72999999998</v>
      </c>
      <c r="M4268" s="2">
        <f t="shared" si="1974"/>
        <v>2.8546845628946688E-2</v>
      </c>
      <c r="N4268" s="2">
        <f t="shared" si="1975"/>
        <v>0.97145315437105328</v>
      </c>
    </row>
    <row r="4269" spans="1:14" x14ac:dyDescent="0.35">
      <c r="A4269" t="s">
        <v>37</v>
      </c>
      <c r="B4269" t="s">
        <v>25</v>
      </c>
      <c r="C4269">
        <v>2005</v>
      </c>
      <c r="D4269" t="s">
        <v>31</v>
      </c>
      <c r="E4269" s="9">
        <v>85</v>
      </c>
      <c r="F4269" s="9">
        <v>135</v>
      </c>
      <c r="G4269" s="1">
        <f t="shared" si="1970"/>
        <v>220</v>
      </c>
      <c r="H4269" s="2">
        <f t="shared" si="1971"/>
        <v>0.38636363636363635</v>
      </c>
      <c r="I4269" s="2">
        <f t="shared" si="1972"/>
        <v>0.61363636363636365</v>
      </c>
      <c r="J4269" s="4">
        <f>4164.47+36.61</f>
        <v>4201.08</v>
      </c>
      <c r="K4269" s="4">
        <f>24414.07+136616.58</f>
        <v>161030.65</v>
      </c>
      <c r="L4269" s="1">
        <f t="shared" si="1973"/>
        <v>165231.72999999998</v>
      </c>
      <c r="M4269" s="2">
        <f t="shared" si="1974"/>
        <v>2.5425382884994307E-2</v>
      </c>
      <c r="N4269" s="2">
        <f t="shared" si="1975"/>
        <v>0.97457461711500581</v>
      </c>
    </row>
    <row r="4270" spans="1:14" x14ac:dyDescent="0.35">
      <c r="A4270" t="s">
        <v>37</v>
      </c>
      <c r="B4270" t="s">
        <v>26</v>
      </c>
      <c r="C4270">
        <v>2005</v>
      </c>
      <c r="D4270" t="s">
        <v>31</v>
      </c>
      <c r="E4270" s="9">
        <v>86</v>
      </c>
      <c r="F4270" s="9">
        <v>136</v>
      </c>
      <c r="G4270" s="1">
        <f t="shared" si="1970"/>
        <v>222</v>
      </c>
      <c r="H4270" s="2">
        <f t="shared" si="1971"/>
        <v>0.38738738738738737</v>
      </c>
      <c r="I4270" s="2">
        <f t="shared" si="1972"/>
        <v>0.61261261261261257</v>
      </c>
      <c r="J4270" s="4">
        <f>4337.77+30.16</f>
        <v>4367.93</v>
      </c>
      <c r="K4270" s="4">
        <f>24352.14+103046.29</f>
        <v>127398.43</v>
      </c>
      <c r="L4270" s="1">
        <f t="shared" si="1973"/>
        <v>131766.35999999999</v>
      </c>
      <c r="M4270" s="2">
        <f t="shared" si="1974"/>
        <v>3.3149052611000263E-2</v>
      </c>
      <c r="N4270" s="2">
        <f t="shared" si="1975"/>
        <v>0.96685094738899979</v>
      </c>
    </row>
    <row r="4271" spans="1:14" x14ac:dyDescent="0.35">
      <c r="A4271" t="s">
        <v>37</v>
      </c>
      <c r="B4271" t="s">
        <v>27</v>
      </c>
      <c r="C4271">
        <v>2005</v>
      </c>
      <c r="D4271" t="s">
        <v>31</v>
      </c>
      <c r="E4271" s="9">
        <v>82</v>
      </c>
      <c r="F4271" s="9">
        <v>140</v>
      </c>
      <c r="G4271" s="1">
        <f t="shared" si="1970"/>
        <v>222</v>
      </c>
      <c r="H4271" s="2">
        <f t="shared" si="1971"/>
        <v>0.36936936936936937</v>
      </c>
      <c r="I4271" s="2">
        <f t="shared" si="1972"/>
        <v>0.63063063063063063</v>
      </c>
      <c r="J4271" s="4">
        <f>4357.86+25.54</f>
        <v>4383.3999999999996</v>
      </c>
      <c r="K4271" s="4">
        <f>22979.28+129134.01</f>
        <v>152113.28999999998</v>
      </c>
      <c r="L4271" s="1">
        <f t="shared" si="1973"/>
        <v>156496.68999999997</v>
      </c>
      <c r="M4271" s="2">
        <f t="shared" si="1974"/>
        <v>2.8009538093105996E-2</v>
      </c>
      <c r="N4271" s="2">
        <f t="shared" si="1975"/>
        <v>0.97199046190689409</v>
      </c>
    </row>
    <row r="4272" spans="1:14" x14ac:dyDescent="0.35">
      <c r="A4272" t="s">
        <v>37</v>
      </c>
      <c r="B4272" t="s">
        <v>28</v>
      </c>
      <c r="C4272">
        <v>2005</v>
      </c>
      <c r="D4272" t="s">
        <v>31</v>
      </c>
      <c r="E4272" s="9">
        <v>84</v>
      </c>
      <c r="F4272" s="9">
        <v>143</v>
      </c>
      <c r="G4272" s="1">
        <f t="shared" si="1970"/>
        <v>227</v>
      </c>
      <c r="H4272" s="2">
        <f t="shared" si="1971"/>
        <v>0.37004405286343611</v>
      </c>
      <c r="I4272" s="2">
        <f t="shared" si="1972"/>
        <v>0.62995594713656389</v>
      </c>
      <c r="J4272" s="4">
        <f>29.76+3525.25</f>
        <v>3555.01</v>
      </c>
      <c r="K4272" s="4">
        <f>21873.93+143994.95</f>
        <v>165868.88</v>
      </c>
      <c r="L4272" s="1">
        <f t="shared" si="1973"/>
        <v>169423.89</v>
      </c>
      <c r="M4272" s="2">
        <f t="shared" si="1974"/>
        <v>2.0982932218118706E-2</v>
      </c>
      <c r="N4272" s="2">
        <f t="shared" si="1975"/>
        <v>0.97901706778188125</v>
      </c>
    </row>
    <row r="4273" spans="1:14" x14ac:dyDescent="0.35">
      <c r="A4273" t="s">
        <v>37</v>
      </c>
      <c r="B4273" t="s">
        <v>29</v>
      </c>
      <c r="C4273">
        <v>2005</v>
      </c>
      <c r="D4273" t="s">
        <v>31</v>
      </c>
      <c r="E4273" s="9">
        <v>81</v>
      </c>
      <c r="F4273" s="9">
        <v>140</v>
      </c>
      <c r="G4273" s="1">
        <f t="shared" si="1970"/>
        <v>221</v>
      </c>
      <c r="H4273" s="2">
        <f t="shared" si="1971"/>
        <v>0.36651583710407237</v>
      </c>
      <c r="I4273" s="2">
        <f t="shared" si="1972"/>
        <v>0.63348416289592757</v>
      </c>
      <c r="J4273" s="4">
        <f>2970.6+22.91</f>
        <v>2993.5099999999998</v>
      </c>
      <c r="K4273" s="4">
        <f>20253.58+129863.94</f>
        <v>150117.52000000002</v>
      </c>
      <c r="L4273" s="1">
        <f t="shared" si="1973"/>
        <v>153111.03000000003</v>
      </c>
      <c r="M4273" s="2">
        <f t="shared" si="1974"/>
        <v>1.9551236772425862E-2</v>
      </c>
      <c r="N4273" s="2">
        <f t="shared" si="1975"/>
        <v>0.98044876322757413</v>
      </c>
    </row>
    <row r="4274" spans="1:14" x14ac:dyDescent="0.35">
      <c r="A4274" t="s">
        <v>37</v>
      </c>
      <c r="B4274" t="s">
        <v>17</v>
      </c>
      <c r="C4274">
        <v>2006</v>
      </c>
      <c r="D4274" t="s">
        <v>31</v>
      </c>
      <c r="E4274" s="9">
        <f>82+3</f>
        <v>85</v>
      </c>
      <c r="F4274" s="9">
        <f>116+21</f>
        <v>137</v>
      </c>
      <c r="G4274" s="1">
        <f t="shared" si="1970"/>
        <v>222</v>
      </c>
      <c r="H4274" s="2">
        <f t="shared" si="1971"/>
        <v>0.38288288288288286</v>
      </c>
      <c r="I4274" s="2">
        <f t="shared" si="1972"/>
        <v>0.61711711711711714</v>
      </c>
      <c r="J4274" s="4">
        <f>2823.86+30.83</f>
        <v>2854.69</v>
      </c>
      <c r="K4274" s="4">
        <f>21175+127338.02</f>
        <v>148513.02000000002</v>
      </c>
      <c r="L4274" s="1">
        <f t="shared" si="1973"/>
        <v>151367.71000000002</v>
      </c>
      <c r="M4274" s="2">
        <f t="shared" si="1974"/>
        <v>1.8859306254946973E-2</v>
      </c>
      <c r="N4274" s="2">
        <f t="shared" si="1975"/>
        <v>0.98114069374505297</v>
      </c>
    </row>
    <row r="4275" spans="1:14" x14ac:dyDescent="0.35">
      <c r="A4275" t="s">
        <v>37</v>
      </c>
      <c r="B4275" t="s">
        <v>19</v>
      </c>
      <c r="C4275">
        <v>2006</v>
      </c>
      <c r="D4275" t="s">
        <v>31</v>
      </c>
      <c r="E4275" s="9">
        <f>81+3</f>
        <v>84</v>
      </c>
      <c r="F4275" s="9">
        <f>114+21</f>
        <v>135</v>
      </c>
      <c r="G4275" s="1">
        <f t="shared" si="1970"/>
        <v>219</v>
      </c>
      <c r="H4275" s="2">
        <f t="shared" si="1971"/>
        <v>0.38356164383561642</v>
      </c>
      <c r="I4275" s="2">
        <f t="shared" si="1972"/>
        <v>0.61643835616438358</v>
      </c>
      <c r="J4275" s="4">
        <f>3357.19+24.63</f>
        <v>3381.82</v>
      </c>
      <c r="K4275" s="4">
        <f>20163.88+122420.88</f>
        <v>142584.76</v>
      </c>
      <c r="L4275" s="1">
        <f t="shared" si="1973"/>
        <v>145966.58000000002</v>
      </c>
      <c r="M4275" s="2">
        <f t="shared" si="1974"/>
        <v>2.3168454039273919E-2</v>
      </c>
      <c r="N4275" s="2">
        <f t="shared" si="1975"/>
        <v>0.97683154596072608</v>
      </c>
    </row>
    <row r="4276" spans="1:14" x14ac:dyDescent="0.35">
      <c r="A4276" t="s">
        <v>37</v>
      </c>
      <c r="B4276" t="s">
        <v>20</v>
      </c>
      <c r="C4276">
        <v>2006</v>
      </c>
      <c r="D4276" t="s">
        <v>31</v>
      </c>
      <c r="E4276" s="9">
        <f>82+3</f>
        <v>85</v>
      </c>
      <c r="F4276" s="9">
        <f>116+22</f>
        <v>138</v>
      </c>
      <c r="G4276" s="1">
        <f t="shared" si="1970"/>
        <v>223</v>
      </c>
      <c r="H4276" s="2">
        <f t="shared" si="1971"/>
        <v>0.3811659192825112</v>
      </c>
      <c r="I4276" s="2">
        <f t="shared" si="1972"/>
        <v>0.6188340807174888</v>
      </c>
      <c r="J4276" s="4">
        <f>3205.49+1965.96</f>
        <v>5171.45</v>
      </c>
      <c r="K4276" s="4">
        <f>116719.54+18808.49</f>
        <v>135528.03</v>
      </c>
      <c r="L4276" s="1">
        <f t="shared" si="1973"/>
        <v>140699.48000000001</v>
      </c>
      <c r="M4276" s="2">
        <f t="shared" si="1974"/>
        <v>3.6755288647832951E-2</v>
      </c>
      <c r="N4276" s="2">
        <f t="shared" si="1975"/>
        <v>0.96324471135216694</v>
      </c>
    </row>
    <row r="4277" spans="1:14" x14ac:dyDescent="0.35">
      <c r="A4277" t="s">
        <v>37</v>
      </c>
      <c r="B4277" t="s">
        <v>21</v>
      </c>
      <c r="C4277">
        <v>2006</v>
      </c>
      <c r="D4277" t="s">
        <v>31</v>
      </c>
      <c r="E4277" s="9">
        <v>84</v>
      </c>
      <c r="F4277" s="9">
        <v>139</v>
      </c>
      <c r="G4277" s="1">
        <f t="shared" si="1970"/>
        <v>223</v>
      </c>
      <c r="H4277" s="2">
        <f t="shared" si="1971"/>
        <v>0.37668161434977576</v>
      </c>
      <c r="I4277" s="2">
        <f t="shared" si="1972"/>
        <v>0.62331838565022424</v>
      </c>
      <c r="J4277" s="4">
        <f>3162.34+4284.01</f>
        <v>7446.35</v>
      </c>
      <c r="K4277" s="4">
        <f>20648.79+81788.6</f>
        <v>102437.39000000001</v>
      </c>
      <c r="L4277" s="1">
        <f t="shared" si="1973"/>
        <v>109883.74000000002</v>
      </c>
      <c r="M4277" s="2">
        <f t="shared" si="1974"/>
        <v>6.7765713107325973E-2</v>
      </c>
      <c r="N4277" s="2">
        <f t="shared" si="1975"/>
        <v>0.93223428689267396</v>
      </c>
    </row>
    <row r="4278" spans="1:14" x14ac:dyDescent="0.35">
      <c r="A4278" t="s">
        <v>37</v>
      </c>
      <c r="B4278" t="s">
        <v>22</v>
      </c>
      <c r="C4278">
        <v>2006</v>
      </c>
      <c r="D4278" t="s">
        <v>31</v>
      </c>
      <c r="E4278" s="9">
        <v>84</v>
      </c>
      <c r="F4278" s="9">
        <v>137</v>
      </c>
      <c r="G4278" s="1">
        <f t="shared" si="1970"/>
        <v>221</v>
      </c>
      <c r="H4278" s="2">
        <f t="shared" si="1971"/>
        <v>0.38009049773755654</v>
      </c>
      <c r="I4278" s="2">
        <f t="shared" si="1972"/>
        <v>0.61990950226244346</v>
      </c>
      <c r="J4278" s="4">
        <f>3888.51+4456.03</f>
        <v>8344.5400000000009</v>
      </c>
      <c r="K4278" s="4">
        <f>21264.46+149360.82</f>
        <v>170625.28</v>
      </c>
      <c r="L4278" s="1">
        <f t="shared" si="1973"/>
        <v>178969.82</v>
      </c>
      <c r="M4278" s="2">
        <f t="shared" si="1974"/>
        <v>4.6625403098690052E-2</v>
      </c>
      <c r="N4278" s="2">
        <f t="shared" si="1975"/>
        <v>0.95337459690130988</v>
      </c>
    </row>
    <row r="4279" spans="1:14" x14ac:dyDescent="0.35">
      <c r="A4279" t="s">
        <v>37</v>
      </c>
      <c r="B4279" t="s">
        <v>23</v>
      </c>
      <c r="C4279">
        <v>2006</v>
      </c>
      <c r="D4279" t="s">
        <v>31</v>
      </c>
      <c r="E4279" s="9">
        <v>83</v>
      </c>
      <c r="F4279" s="9">
        <v>140</v>
      </c>
      <c r="G4279" s="1">
        <f t="shared" ref="G4279:G4342" si="1976">SUM(E4279:F4279)</f>
        <v>223</v>
      </c>
      <c r="H4279" s="2">
        <f t="shared" ref="H4279:H4342" si="1977">SUM(E4279)/G4279</f>
        <v>0.37219730941704038</v>
      </c>
      <c r="I4279" s="2">
        <f t="shared" ref="I4279:I4342" si="1978">SUM(F4279/G4279)</f>
        <v>0.62780269058295968</v>
      </c>
      <c r="J4279" s="4">
        <f>4365.53+4653.11</f>
        <v>9018.64</v>
      </c>
      <c r="K4279" s="4">
        <f>22450.74+135569.09</f>
        <v>158019.82999999999</v>
      </c>
      <c r="L4279" s="1">
        <f t="shared" si="1973"/>
        <v>167038.46999999997</v>
      </c>
      <c r="M4279" s="2">
        <f t="shared" si="1974"/>
        <v>5.399139491639262E-2</v>
      </c>
      <c r="N4279" s="2">
        <f t="shared" si="1975"/>
        <v>0.94600860508360751</v>
      </c>
    </row>
    <row r="4280" spans="1:14" x14ac:dyDescent="0.35">
      <c r="A4280" t="s">
        <v>37</v>
      </c>
      <c r="B4280" t="s">
        <v>24</v>
      </c>
      <c r="C4280">
        <v>2006</v>
      </c>
      <c r="D4280" t="s">
        <v>31</v>
      </c>
      <c r="E4280" s="3">
        <v>83</v>
      </c>
      <c r="F4280" s="9">
        <f>119+161</f>
        <v>280</v>
      </c>
      <c r="G4280" s="1">
        <f t="shared" si="1976"/>
        <v>363</v>
      </c>
      <c r="H4280" s="2">
        <f t="shared" si="1977"/>
        <v>0.22865013774104684</v>
      </c>
      <c r="I4280" s="2">
        <f t="shared" si="1978"/>
        <v>0.77134986225895319</v>
      </c>
      <c r="J4280" s="4">
        <f>4364.14+4639.4</f>
        <v>9003.5400000000009</v>
      </c>
      <c r="K4280" s="4">
        <f>23282.82+124812.45</f>
        <v>148095.26999999999</v>
      </c>
      <c r="L4280" s="1">
        <f t="shared" si="1973"/>
        <v>157098.81</v>
      </c>
      <c r="M4280" s="2">
        <f t="shared" si="1974"/>
        <v>5.7311318908144504E-2</v>
      </c>
      <c r="N4280" s="2">
        <f t="shared" si="1975"/>
        <v>0.94268868109185544</v>
      </c>
    </row>
    <row r="4281" spans="1:14" x14ac:dyDescent="0.35">
      <c r="A4281" t="s">
        <v>37</v>
      </c>
      <c r="B4281" t="s">
        <v>25</v>
      </c>
      <c r="C4281">
        <v>2006</v>
      </c>
      <c r="D4281" t="s">
        <v>31</v>
      </c>
      <c r="E4281" s="3">
        <v>84</v>
      </c>
      <c r="F4281" s="9">
        <f>117+168</f>
        <v>285</v>
      </c>
      <c r="G4281" s="1">
        <f t="shared" si="1976"/>
        <v>369</v>
      </c>
      <c r="H4281" s="2">
        <f t="shared" si="1977"/>
        <v>0.22764227642276422</v>
      </c>
      <c r="I4281" s="2">
        <f t="shared" si="1978"/>
        <v>0.77235772357723576</v>
      </c>
      <c r="J4281" s="4">
        <f>4716.77+3531</f>
        <v>8247.77</v>
      </c>
      <c r="K4281" s="4">
        <f>27474.07+115274.58</f>
        <v>142748.65</v>
      </c>
      <c r="L4281" s="1">
        <f t="shared" si="1973"/>
        <v>150996.41999999998</v>
      </c>
      <c r="M4281" s="2">
        <f t="shared" si="1974"/>
        <v>5.4622288395976548E-2</v>
      </c>
      <c r="N4281" s="2">
        <f t="shared" si="1975"/>
        <v>0.94537771160402351</v>
      </c>
    </row>
    <row r="4282" spans="1:14" x14ac:dyDescent="0.35">
      <c r="A4282" t="s">
        <v>37</v>
      </c>
      <c r="B4282" t="s">
        <v>26</v>
      </c>
      <c r="C4282">
        <v>2006</v>
      </c>
      <c r="D4282" t="s">
        <v>31</v>
      </c>
      <c r="E4282" s="3">
        <v>80</v>
      </c>
      <c r="F4282" s="9">
        <f>124+172</f>
        <v>296</v>
      </c>
      <c r="G4282" s="1">
        <f t="shared" si="1976"/>
        <v>376</v>
      </c>
      <c r="H4282" s="2">
        <f t="shared" si="1977"/>
        <v>0.21276595744680851</v>
      </c>
      <c r="I4282" s="2">
        <f t="shared" si="1978"/>
        <v>0.78723404255319152</v>
      </c>
      <c r="J4282" s="4">
        <f>4357.25+3158.46</f>
        <v>7515.71</v>
      </c>
      <c r="K4282" s="4">
        <f>25224.29+126722.39</f>
        <v>151946.68</v>
      </c>
      <c r="L4282" s="1">
        <f t="shared" si="1973"/>
        <v>159462.38999999998</v>
      </c>
      <c r="M4282" s="2">
        <f t="shared" si="1974"/>
        <v>4.7131552461994332E-2</v>
      </c>
      <c r="N4282" s="2">
        <f t="shared" si="1975"/>
        <v>0.9528684475380057</v>
      </c>
    </row>
    <row r="4283" spans="1:14" x14ac:dyDescent="0.35">
      <c r="A4283" t="s">
        <v>37</v>
      </c>
      <c r="B4283" t="s">
        <v>27</v>
      </c>
      <c r="C4283">
        <v>2006</v>
      </c>
      <c r="D4283" t="s">
        <v>31</v>
      </c>
      <c r="E4283" s="9">
        <f>73</f>
        <v>73</v>
      </c>
      <c r="F4283" s="9">
        <v>146</v>
      </c>
      <c r="G4283" s="1">
        <f t="shared" si="1976"/>
        <v>219</v>
      </c>
      <c r="H4283" s="2">
        <f t="shared" si="1977"/>
        <v>0.33333333333333331</v>
      </c>
      <c r="I4283" s="2">
        <f t="shared" si="1978"/>
        <v>0.66666666666666663</v>
      </c>
      <c r="J4283" s="4">
        <f>2198.23+3754.06</f>
        <v>5952.29</v>
      </c>
      <c r="K4283" s="4">
        <f>24998.48+126649.43</f>
        <v>151647.91</v>
      </c>
      <c r="L4283" s="1">
        <f t="shared" si="1973"/>
        <v>157600.20000000001</v>
      </c>
      <c r="M4283" s="2">
        <f t="shared" si="1974"/>
        <v>3.7768289634150208E-2</v>
      </c>
      <c r="N4283" s="2">
        <f t="shared" si="1975"/>
        <v>0.96223171036584976</v>
      </c>
    </row>
    <row r="4284" spans="1:14" x14ac:dyDescent="0.35">
      <c r="A4284" t="s">
        <v>37</v>
      </c>
      <c r="B4284" t="s">
        <v>28</v>
      </c>
      <c r="C4284">
        <v>2006</v>
      </c>
      <c r="D4284" t="s">
        <v>31</v>
      </c>
      <c r="E4284" s="3">
        <v>72</v>
      </c>
      <c r="F4284" s="9">
        <v>151</v>
      </c>
      <c r="G4284" s="1">
        <f t="shared" si="1976"/>
        <v>223</v>
      </c>
      <c r="H4284" s="2">
        <f t="shared" si="1977"/>
        <v>0.32286995515695066</v>
      </c>
      <c r="I4284" s="2">
        <f t="shared" si="1978"/>
        <v>0.67713004484304928</v>
      </c>
      <c r="J4284" s="4">
        <f>2811.05+261.24</f>
        <v>3072.29</v>
      </c>
      <c r="K4284" s="4">
        <f>22781.04+171565.82</f>
        <v>194346.86000000002</v>
      </c>
      <c r="L4284" s="1">
        <f t="shared" si="1973"/>
        <v>197419.15000000002</v>
      </c>
      <c r="M4284" s="2">
        <f t="shared" si="1974"/>
        <v>1.55622694150998E-2</v>
      </c>
      <c r="N4284" s="2">
        <f t="shared" si="1975"/>
        <v>0.98443773058490014</v>
      </c>
    </row>
    <row r="4285" spans="1:14" x14ac:dyDescent="0.35">
      <c r="A4285" t="s">
        <v>37</v>
      </c>
      <c r="B4285" t="s">
        <v>29</v>
      </c>
      <c r="C4285">
        <v>2006</v>
      </c>
      <c r="D4285" t="s">
        <v>31</v>
      </c>
      <c r="E4285" s="3">
        <v>72</v>
      </c>
      <c r="F4285" s="9">
        <v>150</v>
      </c>
      <c r="G4285" s="1">
        <f t="shared" si="1976"/>
        <v>222</v>
      </c>
      <c r="H4285" s="2">
        <f t="shared" si="1977"/>
        <v>0.32432432432432434</v>
      </c>
      <c r="I4285" s="2">
        <f t="shared" si="1978"/>
        <v>0.67567567567567566</v>
      </c>
      <c r="J4285" s="4">
        <f>2619.71+72.56</f>
        <v>2692.27</v>
      </c>
      <c r="K4285" s="4">
        <f>21760.47+119187.08</f>
        <v>140947.54999999999</v>
      </c>
      <c r="L4285" s="1">
        <f t="shared" si="1973"/>
        <v>143639.81999999998</v>
      </c>
      <c r="M4285" s="2">
        <f t="shared" si="1974"/>
        <v>1.8743200875634629E-2</v>
      </c>
      <c r="N4285" s="2">
        <f t="shared" si="1975"/>
        <v>0.98125679912436548</v>
      </c>
    </row>
    <row r="4286" spans="1:14" x14ac:dyDescent="0.35">
      <c r="A4286" t="s">
        <v>37</v>
      </c>
      <c r="B4286" t="s">
        <v>17</v>
      </c>
      <c r="C4286">
        <v>2007</v>
      </c>
      <c r="D4286" t="s">
        <v>31</v>
      </c>
      <c r="E4286" s="9">
        <f>71+3</f>
        <v>74</v>
      </c>
      <c r="F4286" s="9">
        <f>137+21</f>
        <v>158</v>
      </c>
      <c r="G4286" s="1">
        <f t="shared" si="1976"/>
        <v>232</v>
      </c>
      <c r="H4286" s="2">
        <f t="shared" si="1977"/>
        <v>0.31896551724137934</v>
      </c>
      <c r="I4286" s="2">
        <f t="shared" si="1978"/>
        <v>0.68103448275862066</v>
      </c>
      <c r="J4286" s="4">
        <f>3908.84+72.08</f>
        <v>3980.92</v>
      </c>
      <c r="K4286" s="4">
        <f>9632.32+51214.71</f>
        <v>60847.03</v>
      </c>
      <c r="L4286" s="1">
        <f t="shared" si="1973"/>
        <v>64827.95</v>
      </c>
      <c r="M4286" s="2">
        <f t="shared" si="1974"/>
        <v>6.1407463910242426E-2</v>
      </c>
      <c r="N4286" s="2">
        <f t="shared" si="1975"/>
        <v>0.93859253608975757</v>
      </c>
    </row>
    <row r="4287" spans="1:14" x14ac:dyDescent="0.35">
      <c r="A4287" t="s">
        <v>37</v>
      </c>
      <c r="B4287" t="s">
        <v>19</v>
      </c>
      <c r="C4287">
        <v>2007</v>
      </c>
      <c r="D4287" t="s">
        <v>31</v>
      </c>
      <c r="E4287" s="9">
        <f>67+3</f>
        <v>70</v>
      </c>
      <c r="F4287" s="9">
        <f>138+22</f>
        <v>160</v>
      </c>
      <c r="G4287" s="1">
        <f t="shared" si="1976"/>
        <v>230</v>
      </c>
      <c r="H4287" s="2">
        <f t="shared" si="1977"/>
        <v>0.30434782608695654</v>
      </c>
      <c r="I4287" s="2">
        <f t="shared" si="1978"/>
        <v>0.69565217391304346</v>
      </c>
      <c r="J4287" s="4">
        <f>2900.17+82.81</f>
        <v>2982.98</v>
      </c>
      <c r="K4287" s="4">
        <f>26217.35+129824.86</f>
        <v>156042.21</v>
      </c>
      <c r="L4287" s="1">
        <f t="shared" si="1973"/>
        <v>159025.19</v>
      </c>
      <c r="M4287" s="2">
        <f t="shared" si="1974"/>
        <v>1.8757908731314832E-2</v>
      </c>
      <c r="N4287" s="2">
        <f t="shared" si="1975"/>
        <v>0.98124209126868511</v>
      </c>
    </row>
    <row r="4288" spans="1:14" x14ac:dyDescent="0.35">
      <c r="A4288" t="s">
        <v>37</v>
      </c>
      <c r="B4288" t="s">
        <v>20</v>
      </c>
      <c r="C4288">
        <v>2007</v>
      </c>
      <c r="D4288" t="s">
        <v>31</v>
      </c>
      <c r="E4288" s="9">
        <f>66+3</f>
        <v>69</v>
      </c>
      <c r="F4288" s="9">
        <f>138+21</f>
        <v>159</v>
      </c>
      <c r="G4288" s="1">
        <f t="shared" si="1976"/>
        <v>228</v>
      </c>
      <c r="H4288" s="2">
        <f t="shared" si="1977"/>
        <v>0.30263157894736842</v>
      </c>
      <c r="I4288" s="2">
        <f t="shared" si="1978"/>
        <v>0.69736842105263153</v>
      </c>
      <c r="J4288" s="4">
        <f>2309.86+113.21</f>
        <v>2423.0700000000002</v>
      </c>
      <c r="K4288" s="4">
        <f>24330.17+100288.42</f>
        <v>124618.59</v>
      </c>
      <c r="L4288" s="1">
        <f t="shared" si="1973"/>
        <v>127041.66</v>
      </c>
      <c r="M4288" s="2">
        <f t="shared" si="1974"/>
        <v>1.9073034782448529E-2</v>
      </c>
      <c r="N4288" s="2">
        <f t="shared" si="1975"/>
        <v>0.98092696521755141</v>
      </c>
    </row>
    <row r="4289" spans="1:14" x14ac:dyDescent="0.35">
      <c r="A4289" t="s">
        <v>37</v>
      </c>
      <c r="B4289" t="s">
        <v>21</v>
      </c>
      <c r="C4289">
        <v>2007</v>
      </c>
      <c r="D4289" t="s">
        <v>31</v>
      </c>
      <c r="E4289" s="9">
        <v>69</v>
      </c>
      <c r="F4289" s="9">
        <f>136+21</f>
        <v>157</v>
      </c>
      <c r="G4289" s="1">
        <f t="shared" si="1976"/>
        <v>226</v>
      </c>
      <c r="H4289" s="2">
        <f t="shared" si="1977"/>
        <v>0.30530973451327431</v>
      </c>
      <c r="I4289" s="2">
        <f t="shared" si="1978"/>
        <v>0.69469026548672563</v>
      </c>
      <c r="J4289" s="4">
        <f>2254+192.51</f>
        <v>2446.5100000000002</v>
      </c>
      <c r="K4289" s="4">
        <f>114431.17+22391.42</f>
        <v>136822.59</v>
      </c>
      <c r="L4289" s="1">
        <f t="shared" si="1973"/>
        <v>139269.1</v>
      </c>
      <c r="M4289" s="2">
        <f t="shared" si="1974"/>
        <v>1.756678258134791E-2</v>
      </c>
      <c r="N4289" s="2">
        <f t="shared" si="1975"/>
        <v>0.98243321741865197</v>
      </c>
    </row>
    <row r="4290" spans="1:14" x14ac:dyDescent="0.35">
      <c r="A4290" t="s">
        <v>37</v>
      </c>
      <c r="B4290" t="s">
        <v>22</v>
      </c>
      <c r="C4290">
        <v>2007</v>
      </c>
      <c r="D4290" t="s">
        <v>31</v>
      </c>
      <c r="E4290" s="9">
        <v>72</v>
      </c>
      <c r="F4290" s="9">
        <f>140+21</f>
        <v>161</v>
      </c>
      <c r="G4290" s="1">
        <f t="shared" si="1976"/>
        <v>233</v>
      </c>
      <c r="H4290" s="2">
        <f t="shared" si="1977"/>
        <v>0.30901287553648071</v>
      </c>
      <c r="I4290" s="2">
        <f t="shared" si="1978"/>
        <v>0.69098712446351929</v>
      </c>
      <c r="J4290" s="4">
        <f>3009.42+230.64</f>
        <v>3240.06</v>
      </c>
      <c r="K4290" s="4">
        <f>137387.53+24616.85</f>
        <v>162004.38</v>
      </c>
      <c r="L4290" s="1">
        <f t="shared" si="1973"/>
        <v>165244.44</v>
      </c>
      <c r="M4290" s="2">
        <f t="shared" si="1974"/>
        <v>1.9607679386973626E-2</v>
      </c>
      <c r="N4290" s="2">
        <f t="shared" si="1975"/>
        <v>0.98039232061302639</v>
      </c>
    </row>
    <row r="4291" spans="1:14" x14ac:dyDescent="0.35">
      <c r="A4291" t="s">
        <v>37</v>
      </c>
      <c r="B4291" t="s">
        <v>23</v>
      </c>
      <c r="C4291">
        <v>2007</v>
      </c>
      <c r="D4291" t="s">
        <v>31</v>
      </c>
      <c r="E4291" s="9">
        <v>70</v>
      </c>
      <c r="F4291" s="9">
        <f>147+21</f>
        <v>168</v>
      </c>
      <c r="G4291" s="1">
        <f t="shared" si="1976"/>
        <v>238</v>
      </c>
      <c r="H4291" s="2">
        <f t="shared" si="1977"/>
        <v>0.29411764705882354</v>
      </c>
      <c r="I4291" s="2">
        <f t="shared" si="1978"/>
        <v>0.70588235294117652</v>
      </c>
      <c r="J4291" s="4">
        <f>100.89+3113.75</f>
        <v>3214.64</v>
      </c>
      <c r="K4291" s="4">
        <f>24830.12+151233.4</f>
        <v>176063.52</v>
      </c>
      <c r="L4291" s="1">
        <f t="shared" ref="L4291:L4354" si="1979">SUM(J4291:K4291)</f>
        <v>179278.16</v>
      </c>
      <c r="M4291" s="2">
        <f t="shared" ref="M4291:M4354" si="1980">SUM(J4291)/L4291</f>
        <v>1.7931018479886228E-2</v>
      </c>
      <c r="N4291" s="2">
        <f t="shared" ref="N4291:N4354" si="1981">SUM(K4291/L4291)</f>
        <v>0.98206898152011368</v>
      </c>
    </row>
    <row r="4292" spans="1:14" x14ac:dyDescent="0.35">
      <c r="A4292" t="s">
        <v>37</v>
      </c>
      <c r="B4292" t="s">
        <v>24</v>
      </c>
      <c r="C4292">
        <v>2007</v>
      </c>
      <c r="D4292" t="s">
        <v>31</v>
      </c>
      <c r="E4292" s="9">
        <v>69</v>
      </c>
      <c r="F4292" s="9">
        <v>159</v>
      </c>
      <c r="G4292" s="1">
        <f t="shared" si="1976"/>
        <v>228</v>
      </c>
      <c r="H4292" s="2">
        <f t="shared" si="1977"/>
        <v>0.30263157894736842</v>
      </c>
      <c r="I4292" s="2">
        <f t="shared" si="1978"/>
        <v>0.69736842105263153</v>
      </c>
      <c r="J4292" s="4">
        <f>3271.24+29.25</f>
        <v>3300.49</v>
      </c>
      <c r="K4292" s="4">
        <f>26967.52+170695.96</f>
        <v>197663.47999999998</v>
      </c>
      <c r="L4292" s="1">
        <f t="shared" si="1979"/>
        <v>200963.96999999997</v>
      </c>
      <c r="M4292" s="2">
        <f t="shared" si="1980"/>
        <v>1.6423292195113383E-2</v>
      </c>
      <c r="N4292" s="2">
        <f t="shared" si="1981"/>
        <v>0.98357670780488671</v>
      </c>
    </row>
    <row r="4293" spans="1:14" x14ac:dyDescent="0.35">
      <c r="A4293" t="s">
        <v>37</v>
      </c>
      <c r="B4293" t="s">
        <v>25</v>
      </c>
      <c r="C4293">
        <v>2007</v>
      </c>
      <c r="D4293" t="s">
        <v>31</v>
      </c>
      <c r="E4293" s="9">
        <v>66</v>
      </c>
      <c r="F4293" s="9">
        <v>162</v>
      </c>
      <c r="G4293" s="1">
        <f t="shared" si="1976"/>
        <v>228</v>
      </c>
      <c r="H4293" s="2">
        <f t="shared" si="1977"/>
        <v>0.28947368421052633</v>
      </c>
      <c r="I4293" s="2">
        <f t="shared" si="1978"/>
        <v>0.71052631578947367</v>
      </c>
      <c r="J4293" s="4">
        <f>3489.59+173.38</f>
        <v>3662.9700000000003</v>
      </c>
      <c r="K4293" s="4">
        <f>26333.78+142305.18</f>
        <v>168638.96</v>
      </c>
      <c r="L4293" s="1">
        <f t="shared" si="1979"/>
        <v>172301.93</v>
      </c>
      <c r="M4293" s="2">
        <f t="shared" si="1980"/>
        <v>2.1259018979067734E-2</v>
      </c>
      <c r="N4293" s="2">
        <f t="shared" si="1981"/>
        <v>0.97874098102093221</v>
      </c>
    </row>
    <row r="4294" spans="1:14" x14ac:dyDescent="0.35">
      <c r="A4294" t="s">
        <v>37</v>
      </c>
      <c r="B4294" t="s">
        <v>26</v>
      </c>
      <c r="C4294">
        <v>2007</v>
      </c>
      <c r="D4294" t="s">
        <v>31</v>
      </c>
      <c r="E4294" s="9">
        <v>66</v>
      </c>
      <c r="F4294" s="9">
        <v>163</v>
      </c>
      <c r="G4294" s="1">
        <f t="shared" si="1976"/>
        <v>229</v>
      </c>
      <c r="H4294" s="2">
        <f t="shared" si="1977"/>
        <v>0.28820960698689957</v>
      </c>
      <c r="I4294" s="2">
        <f t="shared" si="1978"/>
        <v>0.71179039301310043</v>
      </c>
      <c r="J4294" s="4">
        <f>3544.25+185.2</f>
        <v>3729.45</v>
      </c>
      <c r="K4294" s="4">
        <f>28829.89+163516.22</f>
        <v>192346.11</v>
      </c>
      <c r="L4294" s="1">
        <f t="shared" si="1979"/>
        <v>196075.56</v>
      </c>
      <c r="M4294" s="2">
        <f t="shared" si="1980"/>
        <v>1.9020473535814458E-2</v>
      </c>
      <c r="N4294" s="2">
        <f t="shared" si="1981"/>
        <v>0.98097952646418551</v>
      </c>
    </row>
    <row r="4295" spans="1:14" x14ac:dyDescent="0.35">
      <c r="A4295" t="s">
        <v>37</v>
      </c>
      <c r="B4295" t="s">
        <v>27</v>
      </c>
      <c r="C4295">
        <v>2007</v>
      </c>
      <c r="D4295" t="s">
        <v>31</v>
      </c>
      <c r="E4295" s="9">
        <f>66</f>
        <v>66</v>
      </c>
      <c r="F4295" s="9">
        <v>161</v>
      </c>
      <c r="G4295" s="1">
        <f t="shared" si="1976"/>
        <v>227</v>
      </c>
      <c r="H4295" s="2">
        <f t="shared" si="1977"/>
        <v>0.29074889867841408</v>
      </c>
      <c r="I4295" s="2">
        <f t="shared" si="1978"/>
        <v>0.70925110132158586</v>
      </c>
      <c r="J4295" s="4">
        <f>3099.76+700.73</f>
        <v>3800.4900000000002</v>
      </c>
      <c r="K4295" s="4">
        <f>26242.07+192458.54</f>
        <v>218700.61000000002</v>
      </c>
      <c r="L4295" s="1">
        <f t="shared" si="1979"/>
        <v>222501.1</v>
      </c>
      <c r="M4295" s="2">
        <f t="shared" si="1980"/>
        <v>1.7080769488330622E-2</v>
      </c>
      <c r="N4295" s="2">
        <f t="shared" si="1981"/>
        <v>0.98291923051166941</v>
      </c>
    </row>
    <row r="4296" spans="1:14" x14ac:dyDescent="0.35">
      <c r="A4296" t="s">
        <v>37</v>
      </c>
      <c r="B4296" t="s">
        <v>28</v>
      </c>
      <c r="C4296">
        <v>2007</v>
      </c>
      <c r="D4296" t="s">
        <v>31</v>
      </c>
      <c r="E4296" s="9">
        <v>66</v>
      </c>
      <c r="F4296" s="9">
        <v>163</v>
      </c>
      <c r="G4296" s="1">
        <f t="shared" si="1976"/>
        <v>229</v>
      </c>
      <c r="H4296" s="2">
        <f t="shared" si="1977"/>
        <v>0.28820960698689957</v>
      </c>
      <c r="I4296" s="2">
        <f t="shared" si="1978"/>
        <v>0.71179039301310043</v>
      </c>
      <c r="J4296" s="4">
        <f>2498.8+171.95</f>
        <v>2670.75</v>
      </c>
      <c r="K4296" s="4">
        <f>26559.32+151336.41</f>
        <v>177895.73</v>
      </c>
      <c r="L4296" s="1">
        <f t="shared" si="1979"/>
        <v>180566.48</v>
      </c>
      <c r="M4296" s="2">
        <f t="shared" si="1980"/>
        <v>1.4790951233030626E-2</v>
      </c>
      <c r="N4296" s="2">
        <f t="shared" si="1981"/>
        <v>0.98520904876696935</v>
      </c>
    </row>
    <row r="4297" spans="1:14" x14ac:dyDescent="0.35">
      <c r="A4297" t="s">
        <v>37</v>
      </c>
      <c r="B4297" t="s">
        <v>29</v>
      </c>
      <c r="C4297">
        <v>2007</v>
      </c>
      <c r="D4297" t="s">
        <v>31</v>
      </c>
      <c r="E4297" s="9">
        <v>66</v>
      </c>
      <c r="F4297" s="9">
        <v>164</v>
      </c>
      <c r="G4297" s="1">
        <f t="shared" si="1976"/>
        <v>230</v>
      </c>
      <c r="H4297" s="2">
        <f t="shared" si="1977"/>
        <v>0.28695652173913044</v>
      </c>
      <c r="I4297" s="2">
        <f t="shared" si="1978"/>
        <v>0.71304347826086956</v>
      </c>
      <c r="J4297" s="4">
        <f>2076.45+98.81</f>
        <v>2175.2599999999998</v>
      </c>
      <c r="K4297" s="4">
        <f>23047.75+153210</f>
        <v>176257.75</v>
      </c>
      <c r="L4297" s="1">
        <f t="shared" si="1979"/>
        <v>178433.01</v>
      </c>
      <c r="M4297" s="2">
        <f t="shared" si="1980"/>
        <v>1.2190905707413666E-2</v>
      </c>
      <c r="N4297" s="2">
        <f t="shared" si="1981"/>
        <v>0.98780909429258623</v>
      </c>
    </row>
    <row r="4298" spans="1:14" x14ac:dyDescent="0.35">
      <c r="A4298" t="s">
        <v>37</v>
      </c>
      <c r="B4298" t="s">
        <v>17</v>
      </c>
      <c r="C4298">
        <v>2008</v>
      </c>
      <c r="D4298" t="s">
        <v>31</v>
      </c>
      <c r="E4298" s="9">
        <v>67</v>
      </c>
      <c r="F4298" s="9">
        <v>162</v>
      </c>
      <c r="G4298" s="1">
        <f t="shared" si="1976"/>
        <v>229</v>
      </c>
      <c r="H4298" s="2">
        <f t="shared" si="1977"/>
        <v>0.29257641921397382</v>
      </c>
      <c r="I4298" s="2">
        <f t="shared" si="1978"/>
        <v>0.70742358078602618</v>
      </c>
      <c r="J4298" s="4">
        <f>2317.67+103.27</f>
        <v>2420.94</v>
      </c>
      <c r="K4298" s="4">
        <f>143787.48+23342.05</f>
        <v>167129.53</v>
      </c>
      <c r="L4298" s="1">
        <f t="shared" si="1979"/>
        <v>169550.47</v>
      </c>
      <c r="M4298" s="2">
        <f t="shared" si="1980"/>
        <v>1.4278580295294965E-2</v>
      </c>
      <c r="N4298" s="2">
        <f t="shared" si="1981"/>
        <v>0.98572141970470506</v>
      </c>
    </row>
    <row r="4299" spans="1:14" x14ac:dyDescent="0.35">
      <c r="A4299" t="s">
        <v>37</v>
      </c>
      <c r="B4299" t="s">
        <v>19</v>
      </c>
      <c r="C4299">
        <v>2008</v>
      </c>
      <c r="D4299" t="s">
        <v>31</v>
      </c>
      <c r="E4299" s="9">
        <v>65</v>
      </c>
      <c r="F4299" s="9">
        <v>165</v>
      </c>
      <c r="G4299" s="1">
        <f t="shared" si="1976"/>
        <v>230</v>
      </c>
      <c r="H4299" s="2">
        <f t="shared" si="1977"/>
        <v>0.28260869565217389</v>
      </c>
      <c r="I4299" s="2">
        <f t="shared" si="1978"/>
        <v>0.71739130434782605</v>
      </c>
      <c r="J4299" s="4">
        <f>1614.37+74.63</f>
        <v>1689</v>
      </c>
      <c r="K4299" s="4">
        <f>25025.36+171585.5</f>
        <v>196610.86</v>
      </c>
      <c r="L4299" s="1">
        <f t="shared" si="1979"/>
        <v>198299.86</v>
      </c>
      <c r="M4299" s="2">
        <f t="shared" si="1980"/>
        <v>8.5174038952927147E-3</v>
      </c>
      <c r="N4299" s="2">
        <f t="shared" si="1981"/>
        <v>0.99148259610470724</v>
      </c>
    </row>
    <row r="4300" spans="1:14" x14ac:dyDescent="0.35">
      <c r="A4300" t="s">
        <v>37</v>
      </c>
      <c r="B4300" t="s">
        <v>20</v>
      </c>
      <c r="C4300">
        <v>2008</v>
      </c>
      <c r="D4300" t="s">
        <v>31</v>
      </c>
      <c r="E4300" s="9">
        <v>64</v>
      </c>
      <c r="F4300" s="9">
        <v>165</v>
      </c>
      <c r="G4300" s="1">
        <f t="shared" si="1976"/>
        <v>229</v>
      </c>
      <c r="H4300" s="2">
        <f t="shared" si="1977"/>
        <v>0.27947598253275108</v>
      </c>
      <c r="I4300" s="2">
        <f t="shared" si="1978"/>
        <v>0.72052401746724892</v>
      </c>
      <c r="J4300" s="4">
        <f>1526.23+40.03</f>
        <v>1566.26</v>
      </c>
      <c r="K4300" s="4">
        <f>23662.58+142261.1</f>
        <v>165923.68</v>
      </c>
      <c r="L4300" s="1">
        <f t="shared" si="1979"/>
        <v>167489.94</v>
      </c>
      <c r="M4300" s="2">
        <f t="shared" si="1980"/>
        <v>9.3513676104964878E-3</v>
      </c>
      <c r="N4300" s="2">
        <f t="shared" si="1981"/>
        <v>0.9906486323895034</v>
      </c>
    </row>
    <row r="4301" spans="1:14" x14ac:dyDescent="0.35">
      <c r="A4301" t="s">
        <v>37</v>
      </c>
      <c r="B4301" t="s">
        <v>21</v>
      </c>
      <c r="C4301">
        <v>2008</v>
      </c>
      <c r="D4301" t="s">
        <v>31</v>
      </c>
      <c r="E4301" s="9">
        <v>65</v>
      </c>
      <c r="F4301" s="9">
        <v>162</v>
      </c>
      <c r="G4301" s="1">
        <f t="shared" si="1976"/>
        <v>227</v>
      </c>
      <c r="H4301" s="2">
        <f t="shared" si="1977"/>
        <v>0.28634361233480177</v>
      </c>
      <c r="I4301" s="2">
        <f t="shared" si="1978"/>
        <v>0.71365638766519823</v>
      </c>
      <c r="J4301" s="4">
        <f>1630.08+21.03</f>
        <v>1651.11</v>
      </c>
      <c r="K4301" s="4">
        <f>25750.5+186323.03</f>
        <v>212073.53</v>
      </c>
      <c r="L4301" s="1">
        <f t="shared" si="1979"/>
        <v>213724.63999999998</v>
      </c>
      <c r="M4301" s="2">
        <f t="shared" si="1980"/>
        <v>7.7254077957506443E-3</v>
      </c>
      <c r="N4301" s="2">
        <f t="shared" si="1981"/>
        <v>0.99227459220424941</v>
      </c>
    </row>
    <row r="4302" spans="1:14" x14ac:dyDescent="0.35">
      <c r="A4302" t="s">
        <v>37</v>
      </c>
      <c r="B4302" t="s">
        <v>22</v>
      </c>
      <c r="C4302">
        <v>2008</v>
      </c>
      <c r="D4302" t="s">
        <v>31</v>
      </c>
      <c r="E4302" s="9">
        <v>65</v>
      </c>
      <c r="F4302" s="9">
        <v>162</v>
      </c>
      <c r="G4302" s="1">
        <f t="shared" si="1976"/>
        <v>227</v>
      </c>
      <c r="H4302" s="2">
        <f t="shared" si="1977"/>
        <v>0.28634361233480177</v>
      </c>
      <c r="I4302" s="2">
        <f t="shared" si="1978"/>
        <v>0.71365638766519823</v>
      </c>
      <c r="J4302" s="4">
        <f>2177.31+40.74</f>
        <v>2218.0499999999997</v>
      </c>
      <c r="K4302" s="4">
        <f>163958.74+22811.25</f>
        <v>186769.99</v>
      </c>
      <c r="L4302" s="1">
        <f t="shared" si="1979"/>
        <v>188988.03999999998</v>
      </c>
      <c r="M4302" s="2">
        <f t="shared" si="1980"/>
        <v>1.1736456973679393E-2</v>
      </c>
      <c r="N4302" s="2">
        <f t="shared" si="1981"/>
        <v>0.98826354302632069</v>
      </c>
    </row>
    <row r="4303" spans="1:14" x14ac:dyDescent="0.35">
      <c r="A4303" t="s">
        <v>37</v>
      </c>
      <c r="B4303" t="s">
        <v>23</v>
      </c>
      <c r="C4303">
        <v>2008</v>
      </c>
      <c r="D4303" t="s">
        <v>31</v>
      </c>
      <c r="E4303" s="9">
        <v>67</v>
      </c>
      <c r="F4303" s="9">
        <v>163</v>
      </c>
      <c r="G4303" s="1">
        <f t="shared" si="1976"/>
        <v>230</v>
      </c>
      <c r="H4303" s="2">
        <f t="shared" si="1977"/>
        <v>0.29130434782608694</v>
      </c>
      <c r="I4303" s="2">
        <f t="shared" si="1978"/>
        <v>0.70869565217391306</v>
      </c>
      <c r="J4303" s="4">
        <f>2375.65+49.57</f>
        <v>2425.2200000000003</v>
      </c>
      <c r="K4303" s="4">
        <f>22868.65+156143.81</f>
        <v>179012.46</v>
      </c>
      <c r="L4303" s="1">
        <f t="shared" si="1979"/>
        <v>181437.68</v>
      </c>
      <c r="M4303" s="2">
        <f t="shared" si="1980"/>
        <v>1.3366683260059324E-2</v>
      </c>
      <c r="N4303" s="2">
        <f t="shared" si="1981"/>
        <v>0.9866333167399407</v>
      </c>
    </row>
    <row r="4304" spans="1:14" x14ac:dyDescent="0.35">
      <c r="A4304" t="s">
        <v>37</v>
      </c>
      <c r="B4304" t="s">
        <v>24</v>
      </c>
      <c r="C4304">
        <v>2008</v>
      </c>
      <c r="D4304" t="s">
        <v>31</v>
      </c>
      <c r="E4304" s="9">
        <v>67</v>
      </c>
      <c r="F4304" s="9">
        <v>166</v>
      </c>
      <c r="G4304" s="1">
        <f t="shared" si="1976"/>
        <v>233</v>
      </c>
      <c r="H4304" s="2">
        <f t="shared" si="1977"/>
        <v>0.28755364806866951</v>
      </c>
      <c r="I4304" s="2">
        <f t="shared" si="1978"/>
        <v>0.71244635193133043</v>
      </c>
      <c r="J4304" s="4">
        <f>2652.12+43.52</f>
        <v>2695.64</v>
      </c>
      <c r="K4304" s="4">
        <f>34441.65+158808.86</f>
        <v>193250.50999999998</v>
      </c>
      <c r="L4304" s="1">
        <f t="shared" si="1979"/>
        <v>195946.15</v>
      </c>
      <c r="M4304" s="2">
        <f t="shared" si="1980"/>
        <v>1.375704498404281E-2</v>
      </c>
      <c r="N4304" s="2">
        <f t="shared" si="1981"/>
        <v>0.98624295501595716</v>
      </c>
    </row>
    <row r="4305" spans="1:14" x14ac:dyDescent="0.35">
      <c r="A4305" t="s">
        <v>37</v>
      </c>
      <c r="B4305" t="s">
        <v>25</v>
      </c>
      <c r="C4305">
        <v>2008</v>
      </c>
      <c r="D4305" t="s">
        <v>31</v>
      </c>
      <c r="E4305" s="9">
        <v>64</v>
      </c>
      <c r="F4305" s="9">
        <v>168</v>
      </c>
      <c r="G4305" s="1">
        <f t="shared" si="1976"/>
        <v>232</v>
      </c>
      <c r="H4305" s="2">
        <f t="shared" si="1977"/>
        <v>0.27586206896551724</v>
      </c>
      <c r="I4305" s="2">
        <f t="shared" si="1978"/>
        <v>0.72413793103448276</v>
      </c>
      <c r="J4305" s="4">
        <f>2530.19+41.48</f>
        <v>2571.67</v>
      </c>
      <c r="K4305" s="4">
        <f>29818.24+160647.89</f>
        <v>190466.13</v>
      </c>
      <c r="L4305" s="1">
        <f t="shared" si="1979"/>
        <v>193037.80000000002</v>
      </c>
      <c r="M4305" s="2">
        <f t="shared" si="1980"/>
        <v>1.33221058259056E-2</v>
      </c>
      <c r="N4305" s="2">
        <f t="shared" si="1981"/>
        <v>0.98667789417409435</v>
      </c>
    </row>
    <row r="4306" spans="1:14" x14ac:dyDescent="0.35">
      <c r="A4306" t="s">
        <v>37</v>
      </c>
      <c r="B4306" t="s">
        <v>26</v>
      </c>
      <c r="C4306">
        <v>2008</v>
      </c>
      <c r="D4306" t="s">
        <v>31</v>
      </c>
      <c r="E4306" s="9">
        <v>64</v>
      </c>
      <c r="F4306" s="9">
        <v>168</v>
      </c>
      <c r="G4306" s="1">
        <f t="shared" si="1976"/>
        <v>232</v>
      </c>
      <c r="H4306" s="2">
        <f t="shared" si="1977"/>
        <v>0.27586206896551724</v>
      </c>
      <c r="I4306" s="2">
        <f t="shared" si="1978"/>
        <v>0.72413793103448276</v>
      </c>
      <c r="J4306" s="4">
        <f>2058.18+49.59</f>
        <v>2107.77</v>
      </c>
      <c r="K4306" s="4">
        <f>28409.98+154534.59</f>
        <v>182944.57</v>
      </c>
      <c r="L4306" s="1">
        <f t="shared" si="1979"/>
        <v>185052.34</v>
      </c>
      <c r="M4306" s="2">
        <f t="shared" si="1980"/>
        <v>1.1390128868405555E-2</v>
      </c>
      <c r="N4306" s="2">
        <f t="shared" si="1981"/>
        <v>0.98860987113159449</v>
      </c>
    </row>
    <row r="4307" spans="1:14" x14ac:dyDescent="0.35">
      <c r="A4307" t="s">
        <v>37</v>
      </c>
      <c r="B4307" t="s">
        <v>27</v>
      </c>
      <c r="C4307">
        <v>2008</v>
      </c>
      <c r="D4307" t="s">
        <v>31</v>
      </c>
      <c r="E4307" s="9">
        <v>63</v>
      </c>
      <c r="F4307" s="9">
        <v>168</v>
      </c>
      <c r="G4307" s="1">
        <f t="shared" si="1976"/>
        <v>231</v>
      </c>
      <c r="H4307" s="2">
        <f t="shared" si="1977"/>
        <v>0.27272727272727271</v>
      </c>
      <c r="I4307" s="2">
        <f t="shared" si="1978"/>
        <v>0.72727272727272729</v>
      </c>
      <c r="J4307" s="4">
        <f>1986.66+20.76</f>
        <v>2007.42</v>
      </c>
      <c r="K4307" s="4">
        <f>28176.82+132271.81</f>
        <v>160448.63</v>
      </c>
      <c r="L4307" s="1">
        <f t="shared" si="1979"/>
        <v>162456.05000000002</v>
      </c>
      <c r="M4307" s="2">
        <f t="shared" si="1980"/>
        <v>1.2356695857125665E-2</v>
      </c>
      <c r="N4307" s="2">
        <f t="shared" si="1981"/>
        <v>0.98764330414287427</v>
      </c>
    </row>
    <row r="4308" spans="1:14" x14ac:dyDescent="0.35">
      <c r="A4308" t="s">
        <v>37</v>
      </c>
      <c r="B4308" t="s">
        <v>28</v>
      </c>
      <c r="C4308">
        <v>2008</v>
      </c>
      <c r="D4308" t="s">
        <v>31</v>
      </c>
      <c r="E4308" s="9">
        <v>63</v>
      </c>
      <c r="F4308" s="9">
        <v>171</v>
      </c>
      <c r="G4308" s="1">
        <f t="shared" si="1976"/>
        <v>234</v>
      </c>
      <c r="H4308" s="2">
        <f t="shared" si="1977"/>
        <v>0.26923076923076922</v>
      </c>
      <c r="I4308" s="2">
        <f t="shared" si="1978"/>
        <v>0.73076923076923073</v>
      </c>
      <c r="J4308" s="4">
        <f>1537.88+16.07</f>
        <v>1553.95</v>
      </c>
      <c r="K4308" s="4">
        <f>24120.42+142542.27</f>
        <v>166662.69</v>
      </c>
      <c r="L4308" s="1">
        <f t="shared" si="1979"/>
        <v>168216.64</v>
      </c>
      <c r="M4308" s="2">
        <f t="shared" si="1980"/>
        <v>9.2377900307603327E-3</v>
      </c>
      <c r="N4308" s="2">
        <f t="shared" si="1981"/>
        <v>0.99076220996923958</v>
      </c>
    </row>
    <row r="4309" spans="1:14" x14ac:dyDescent="0.35">
      <c r="A4309" t="s">
        <v>37</v>
      </c>
      <c r="B4309" t="s">
        <v>29</v>
      </c>
      <c r="C4309">
        <v>2008</v>
      </c>
      <c r="D4309" t="s">
        <v>31</v>
      </c>
      <c r="E4309" s="3">
        <v>62</v>
      </c>
      <c r="F4309" s="3">
        <v>174</v>
      </c>
      <c r="G4309" s="1">
        <f t="shared" si="1976"/>
        <v>236</v>
      </c>
      <c r="H4309" s="2">
        <f t="shared" si="1977"/>
        <v>0.26271186440677968</v>
      </c>
      <c r="I4309" s="2">
        <f t="shared" si="1978"/>
        <v>0.73728813559322037</v>
      </c>
      <c r="J4309" s="4">
        <f>1391.26+20.1</f>
        <v>1411.36</v>
      </c>
      <c r="K4309" s="4">
        <f>26265.61+212615.69</f>
        <v>238881.3</v>
      </c>
      <c r="L4309" s="1">
        <f t="shared" si="1979"/>
        <v>240292.65999999997</v>
      </c>
      <c r="M4309" s="2">
        <f t="shared" si="1980"/>
        <v>5.8735044174882418E-3</v>
      </c>
      <c r="N4309" s="2">
        <f t="shared" si="1981"/>
        <v>0.99412649558251187</v>
      </c>
    </row>
    <row r="4310" spans="1:14" x14ac:dyDescent="0.35">
      <c r="A4310" t="s">
        <v>37</v>
      </c>
      <c r="B4310" t="s">
        <v>17</v>
      </c>
      <c r="C4310">
        <v>2009</v>
      </c>
      <c r="D4310" t="s">
        <v>31</v>
      </c>
      <c r="E4310" s="3">
        <v>62</v>
      </c>
      <c r="F4310" s="3">
        <v>169</v>
      </c>
      <c r="G4310" s="1">
        <f t="shared" si="1976"/>
        <v>231</v>
      </c>
      <c r="H4310" s="2">
        <f t="shared" si="1977"/>
        <v>0.26839826839826841</v>
      </c>
      <c r="I4310" s="2">
        <f t="shared" si="1978"/>
        <v>0.73160173160173159</v>
      </c>
      <c r="J4310" s="4">
        <f>65.38+1430.53</f>
        <v>1495.9099999999999</v>
      </c>
      <c r="K4310" s="4">
        <f>24887.52+170139.55</f>
        <v>195027.06999999998</v>
      </c>
      <c r="L4310" s="1">
        <f t="shared" si="1979"/>
        <v>196522.97999999998</v>
      </c>
      <c r="M4310" s="2">
        <f t="shared" si="1980"/>
        <v>7.6118833532851987E-3</v>
      </c>
      <c r="N4310" s="2">
        <f t="shared" si="1981"/>
        <v>0.99238811664671478</v>
      </c>
    </row>
    <row r="4311" spans="1:14" x14ac:dyDescent="0.35">
      <c r="A4311" t="s">
        <v>37</v>
      </c>
      <c r="B4311" t="s">
        <v>19</v>
      </c>
      <c r="C4311">
        <v>2009</v>
      </c>
      <c r="D4311" t="s">
        <v>31</v>
      </c>
      <c r="E4311" s="3">
        <v>62</v>
      </c>
      <c r="F4311" s="3">
        <v>171</v>
      </c>
      <c r="G4311" s="1">
        <f t="shared" si="1976"/>
        <v>233</v>
      </c>
      <c r="H4311" s="2">
        <f t="shared" si="1977"/>
        <v>0.26609442060085836</v>
      </c>
      <c r="I4311" s="2">
        <f t="shared" si="1978"/>
        <v>0.73390557939914158</v>
      </c>
      <c r="J4311" s="4">
        <f>1431+78.52</f>
        <v>1509.52</v>
      </c>
      <c r="K4311" s="4">
        <f>25461.61+123435.03</f>
        <v>148896.64000000001</v>
      </c>
      <c r="L4311" s="1">
        <f t="shared" si="1979"/>
        <v>150406.16</v>
      </c>
      <c r="M4311" s="2">
        <f t="shared" si="1980"/>
        <v>1.0036291066802051E-2</v>
      </c>
      <c r="N4311" s="2">
        <f t="shared" si="1981"/>
        <v>0.98996370893319807</v>
      </c>
    </row>
    <row r="4312" spans="1:14" x14ac:dyDescent="0.35">
      <c r="A4312" t="s">
        <v>37</v>
      </c>
      <c r="B4312" t="s">
        <v>20</v>
      </c>
      <c r="C4312">
        <v>2009</v>
      </c>
      <c r="D4312" t="s">
        <v>31</v>
      </c>
      <c r="E4312" s="3">
        <v>65</v>
      </c>
      <c r="F4312" s="3">
        <v>172</v>
      </c>
      <c r="G4312" s="1">
        <f t="shared" si="1976"/>
        <v>237</v>
      </c>
      <c r="H4312" s="2">
        <f t="shared" si="1977"/>
        <v>0.27426160337552741</v>
      </c>
      <c r="I4312" s="2">
        <f t="shared" si="1978"/>
        <v>0.72573839662447259</v>
      </c>
      <c r="J4312" s="4">
        <f>1510.81+39.91</f>
        <v>1550.72</v>
      </c>
      <c r="K4312" s="4">
        <f>26097.47+83623.33</f>
        <v>109720.8</v>
      </c>
      <c r="L4312" s="1">
        <f t="shared" si="1979"/>
        <v>111271.52</v>
      </c>
      <c r="M4312" s="2">
        <f t="shared" si="1980"/>
        <v>1.3936360355282286E-2</v>
      </c>
      <c r="N4312" s="2">
        <f t="shared" si="1981"/>
        <v>0.98606363964471766</v>
      </c>
    </row>
    <row r="4313" spans="1:14" x14ac:dyDescent="0.35">
      <c r="A4313" t="s">
        <v>37</v>
      </c>
      <c r="B4313" t="s">
        <v>21</v>
      </c>
      <c r="C4313">
        <v>2009</v>
      </c>
      <c r="D4313" t="s">
        <v>31</v>
      </c>
      <c r="E4313" s="3">
        <v>63</v>
      </c>
      <c r="F4313" s="3">
        <f>157+19</f>
        <v>176</v>
      </c>
      <c r="G4313" s="1">
        <f t="shared" si="1976"/>
        <v>239</v>
      </c>
      <c r="H4313" s="2">
        <f t="shared" si="1977"/>
        <v>0.26359832635983266</v>
      </c>
      <c r="I4313" s="2">
        <f t="shared" si="1978"/>
        <v>0.7364016736401674</v>
      </c>
      <c r="J4313" s="4">
        <f>1521.47+42.84</f>
        <v>1564.31</v>
      </c>
      <c r="K4313" s="4">
        <f>25114.09+146275.37</f>
        <v>171389.46</v>
      </c>
      <c r="L4313" s="1">
        <f t="shared" si="1979"/>
        <v>172953.77</v>
      </c>
      <c r="M4313" s="2">
        <f t="shared" si="1980"/>
        <v>9.0446713014697509E-3</v>
      </c>
      <c r="N4313" s="2">
        <f t="shared" si="1981"/>
        <v>0.99095532869853031</v>
      </c>
    </row>
    <row r="4314" spans="1:14" x14ac:dyDescent="0.35">
      <c r="A4314" t="s">
        <v>37</v>
      </c>
      <c r="B4314" t="s">
        <v>22</v>
      </c>
      <c r="C4314">
        <v>2009</v>
      </c>
      <c r="D4314" t="s">
        <v>31</v>
      </c>
      <c r="E4314" s="3">
        <v>62</v>
      </c>
      <c r="F4314" s="3">
        <v>177</v>
      </c>
      <c r="G4314" s="1">
        <f t="shared" si="1976"/>
        <v>239</v>
      </c>
      <c r="H4314" s="2">
        <f t="shared" si="1977"/>
        <v>0.2594142259414226</v>
      </c>
      <c r="I4314" s="2">
        <f t="shared" si="1978"/>
        <v>0.7405857740585774</v>
      </c>
      <c r="J4314" s="4">
        <f>28.81+1826.88</f>
        <v>1855.69</v>
      </c>
      <c r="K4314" s="4">
        <f>26088.15+171306.26</f>
        <v>197394.41</v>
      </c>
      <c r="L4314" s="1">
        <f t="shared" si="1979"/>
        <v>199250.1</v>
      </c>
      <c r="M4314" s="2">
        <f t="shared" si="1980"/>
        <v>9.3133704826246014E-3</v>
      </c>
      <c r="N4314" s="2">
        <f t="shared" si="1981"/>
        <v>0.99068662951737541</v>
      </c>
    </row>
    <row r="4315" spans="1:14" x14ac:dyDescent="0.35">
      <c r="A4315" t="s">
        <v>37</v>
      </c>
      <c r="B4315" t="s">
        <v>23</v>
      </c>
      <c r="C4315">
        <v>2009</v>
      </c>
      <c r="D4315" t="s">
        <v>31</v>
      </c>
      <c r="E4315" s="3">
        <v>62</v>
      </c>
      <c r="F4315" s="3">
        <v>180</v>
      </c>
      <c r="G4315" s="1">
        <f t="shared" si="1976"/>
        <v>242</v>
      </c>
      <c r="H4315" s="2">
        <f t="shared" si="1977"/>
        <v>0.256198347107438</v>
      </c>
      <c r="I4315" s="2">
        <f t="shared" si="1978"/>
        <v>0.74380165289256195</v>
      </c>
      <c r="J4315" s="4">
        <f>1548.15+84.59</f>
        <v>1632.74</v>
      </c>
      <c r="K4315" s="4">
        <f>32114.08+190616.34</f>
        <v>222730.41999999998</v>
      </c>
      <c r="L4315" s="1">
        <f t="shared" si="1979"/>
        <v>224363.15999999997</v>
      </c>
      <c r="M4315" s="2">
        <f t="shared" si="1980"/>
        <v>7.2772196647613637E-3</v>
      </c>
      <c r="N4315" s="2">
        <f t="shared" si="1981"/>
        <v>0.99272278033523864</v>
      </c>
    </row>
    <row r="4316" spans="1:14" x14ac:dyDescent="0.35">
      <c r="A4316" t="s">
        <v>37</v>
      </c>
      <c r="B4316" t="s">
        <v>24</v>
      </c>
      <c r="C4316">
        <v>2009</v>
      </c>
      <c r="D4316" t="s">
        <v>31</v>
      </c>
      <c r="E4316" s="3">
        <v>61</v>
      </c>
      <c r="F4316" s="3">
        <v>189</v>
      </c>
      <c r="G4316" s="1">
        <f t="shared" si="1976"/>
        <v>250</v>
      </c>
      <c r="H4316" s="2">
        <f t="shared" si="1977"/>
        <v>0.24399999999999999</v>
      </c>
      <c r="I4316" s="2">
        <f t="shared" si="1978"/>
        <v>0.75600000000000001</v>
      </c>
      <c r="J4316" s="4">
        <f>1925.8+62.34</f>
        <v>1988.1399999999999</v>
      </c>
      <c r="K4316" s="4">
        <f>31171.31+154105.81</f>
        <v>185277.12</v>
      </c>
      <c r="L4316" s="1">
        <f t="shared" si="1979"/>
        <v>187265.26</v>
      </c>
      <c r="M4316" s="2">
        <f t="shared" si="1980"/>
        <v>1.0616704881620861E-2</v>
      </c>
      <c r="N4316" s="2">
        <f t="shared" si="1981"/>
        <v>0.98938329511837908</v>
      </c>
    </row>
    <row r="4317" spans="1:14" x14ac:dyDescent="0.35">
      <c r="A4317" t="s">
        <v>37</v>
      </c>
      <c r="B4317" t="s">
        <v>25</v>
      </c>
      <c r="C4317">
        <v>2009</v>
      </c>
      <c r="D4317" t="s">
        <v>31</v>
      </c>
      <c r="E4317" s="3">
        <v>61</v>
      </c>
      <c r="F4317" s="3">
        <v>189</v>
      </c>
      <c r="G4317" s="1">
        <f t="shared" si="1976"/>
        <v>250</v>
      </c>
      <c r="H4317" s="2">
        <f t="shared" si="1977"/>
        <v>0.24399999999999999</v>
      </c>
      <c r="I4317" s="2">
        <f t="shared" si="1978"/>
        <v>0.75600000000000001</v>
      </c>
      <c r="J4317" s="4">
        <f>1787.03+28.48</f>
        <v>1815.51</v>
      </c>
      <c r="K4317" s="4">
        <f>33314.57+152655.91</f>
        <v>185970.48</v>
      </c>
      <c r="L4317" s="1">
        <f t="shared" si="1979"/>
        <v>187785.99000000002</v>
      </c>
      <c r="M4317" s="2">
        <f t="shared" si="1980"/>
        <v>9.6679736331767869E-3</v>
      </c>
      <c r="N4317" s="2">
        <f t="shared" si="1981"/>
        <v>0.99033202636682316</v>
      </c>
    </row>
    <row r="4318" spans="1:14" x14ac:dyDescent="0.35">
      <c r="A4318" t="s">
        <v>37</v>
      </c>
      <c r="B4318" t="s">
        <v>26</v>
      </c>
      <c r="C4318">
        <v>2009</v>
      </c>
      <c r="D4318" t="s">
        <v>31</v>
      </c>
      <c r="E4318" s="3">
        <v>58</v>
      </c>
      <c r="F4318" s="3">
        <v>191</v>
      </c>
      <c r="G4318" s="1">
        <f t="shared" si="1976"/>
        <v>249</v>
      </c>
      <c r="H4318" s="2">
        <f t="shared" si="1977"/>
        <v>0.23293172690763053</v>
      </c>
      <c r="I4318" s="2">
        <f t="shared" si="1978"/>
        <v>0.76706827309236947</v>
      </c>
      <c r="J4318" s="4">
        <f>1614.03+56.44</f>
        <v>1670.47</v>
      </c>
      <c r="K4318" s="4">
        <f>32477.25+168903.35</f>
        <v>201380.6</v>
      </c>
      <c r="L4318" s="1">
        <f t="shared" si="1979"/>
        <v>203051.07</v>
      </c>
      <c r="M4318" s="2">
        <f t="shared" si="1980"/>
        <v>8.2268465760855138E-3</v>
      </c>
      <c r="N4318" s="2">
        <f t="shared" si="1981"/>
        <v>0.99177315342391448</v>
      </c>
    </row>
    <row r="4319" spans="1:14" x14ac:dyDescent="0.35">
      <c r="A4319" t="s">
        <v>37</v>
      </c>
      <c r="B4319" t="s">
        <v>27</v>
      </c>
      <c r="C4319">
        <v>2009</v>
      </c>
      <c r="D4319" t="s">
        <v>31</v>
      </c>
      <c r="E4319" s="3">
        <v>57</v>
      </c>
      <c r="F4319" s="3">
        <v>186</v>
      </c>
      <c r="G4319" s="1">
        <f t="shared" si="1976"/>
        <v>243</v>
      </c>
      <c r="H4319" s="2">
        <f t="shared" si="1977"/>
        <v>0.23456790123456789</v>
      </c>
      <c r="I4319" s="2">
        <f t="shared" si="1978"/>
        <v>0.76543209876543206</v>
      </c>
      <c r="J4319" s="4">
        <f>1709.93+33.12</f>
        <v>1743.05</v>
      </c>
      <c r="K4319" s="4">
        <f>29082.07+147848.6</f>
        <v>176930.67</v>
      </c>
      <c r="L4319" s="1">
        <f t="shared" si="1979"/>
        <v>178673.72</v>
      </c>
      <c r="M4319" s="2">
        <f t="shared" si="1980"/>
        <v>9.7554917421543586E-3</v>
      </c>
      <c r="N4319" s="2">
        <f t="shared" si="1981"/>
        <v>0.99024450825784571</v>
      </c>
    </row>
    <row r="4320" spans="1:14" x14ac:dyDescent="0.35">
      <c r="A4320" t="s">
        <v>37</v>
      </c>
      <c r="B4320" t="s">
        <v>28</v>
      </c>
      <c r="C4320">
        <v>2009</v>
      </c>
      <c r="D4320" t="s">
        <v>31</v>
      </c>
      <c r="E4320" s="3">
        <v>55</v>
      </c>
      <c r="F4320" s="3">
        <v>188</v>
      </c>
      <c r="G4320" s="1">
        <f t="shared" si="1976"/>
        <v>243</v>
      </c>
      <c r="H4320" s="2">
        <f t="shared" si="1977"/>
        <v>0.22633744855967078</v>
      </c>
      <c r="I4320" s="2">
        <f t="shared" si="1978"/>
        <v>0.77366255144032925</v>
      </c>
      <c r="J4320" s="4">
        <f>1214.56+6.53</f>
        <v>1221.0899999999999</v>
      </c>
      <c r="K4320" s="4">
        <f>27410.7+134530.35</f>
        <v>161941.05000000002</v>
      </c>
      <c r="L4320" s="1">
        <f t="shared" si="1979"/>
        <v>163162.14000000001</v>
      </c>
      <c r="M4320" s="2">
        <f t="shared" si="1980"/>
        <v>7.4839052736131052E-3</v>
      </c>
      <c r="N4320" s="2">
        <f t="shared" si="1981"/>
        <v>0.99251609472638691</v>
      </c>
    </row>
    <row r="4321" spans="1:14" x14ac:dyDescent="0.35">
      <c r="A4321" t="s">
        <v>37</v>
      </c>
      <c r="B4321" t="s">
        <v>29</v>
      </c>
      <c r="C4321">
        <v>2009</v>
      </c>
      <c r="D4321" t="s">
        <v>31</v>
      </c>
      <c r="E4321" s="3">
        <v>55</v>
      </c>
      <c r="F4321" s="3">
        <v>188</v>
      </c>
      <c r="G4321" s="1">
        <f t="shared" si="1976"/>
        <v>243</v>
      </c>
      <c r="H4321" s="2">
        <f t="shared" si="1977"/>
        <v>0.22633744855967078</v>
      </c>
      <c r="I4321" s="2">
        <f t="shared" si="1978"/>
        <v>0.77366255144032925</v>
      </c>
      <c r="J4321" s="4">
        <f>1083.64+76.18</f>
        <v>1159.8200000000002</v>
      </c>
      <c r="K4321" s="4">
        <f>30052.6+177790.94</f>
        <v>207843.54</v>
      </c>
      <c r="L4321" s="1">
        <f t="shared" si="1979"/>
        <v>209003.36000000002</v>
      </c>
      <c r="M4321" s="2">
        <f t="shared" si="1980"/>
        <v>5.5492887769842559E-3</v>
      </c>
      <c r="N4321" s="2">
        <f t="shared" si="1981"/>
        <v>0.99445071122301576</v>
      </c>
    </row>
    <row r="4322" spans="1:14" x14ac:dyDescent="0.35">
      <c r="A4322" t="s">
        <v>37</v>
      </c>
      <c r="B4322" t="s">
        <v>17</v>
      </c>
      <c r="C4322">
        <v>2010</v>
      </c>
      <c r="D4322" t="s">
        <v>31</v>
      </c>
      <c r="E4322" s="3">
        <v>56</v>
      </c>
      <c r="F4322" s="3">
        <v>186</v>
      </c>
      <c r="G4322" s="1">
        <f t="shared" si="1976"/>
        <v>242</v>
      </c>
      <c r="H4322" s="2">
        <f t="shared" si="1977"/>
        <v>0.23140495867768596</v>
      </c>
      <c r="I4322" s="2">
        <f t="shared" si="1978"/>
        <v>0.76859504132231404</v>
      </c>
      <c r="J4322" s="21">
        <f>1179.57+44.69</f>
        <v>1224.26</v>
      </c>
      <c r="K4322" s="4">
        <f>29157.59+153851.84</f>
        <v>183009.43</v>
      </c>
      <c r="L4322" s="1">
        <f t="shared" si="1979"/>
        <v>184233.69</v>
      </c>
      <c r="M4322" s="2">
        <f t="shared" si="1980"/>
        <v>6.6451472583543211E-3</v>
      </c>
      <c r="N4322" s="2">
        <f t="shared" si="1981"/>
        <v>0.99335485274164559</v>
      </c>
    </row>
    <row r="4323" spans="1:14" x14ac:dyDescent="0.35">
      <c r="A4323" t="s">
        <v>37</v>
      </c>
      <c r="B4323" t="s">
        <v>19</v>
      </c>
      <c r="C4323">
        <v>2010</v>
      </c>
      <c r="D4323" t="s">
        <v>31</v>
      </c>
      <c r="E4323" s="3">
        <v>54</v>
      </c>
      <c r="F4323" s="3">
        <v>188</v>
      </c>
      <c r="G4323" s="1">
        <f t="shared" si="1976"/>
        <v>242</v>
      </c>
      <c r="H4323" s="2">
        <f t="shared" si="1977"/>
        <v>0.2231404958677686</v>
      </c>
      <c r="I4323" s="2">
        <f t="shared" si="1978"/>
        <v>0.77685950413223137</v>
      </c>
      <c r="J4323" s="21">
        <f>1024.11+2.76</f>
        <v>1026.8699999999999</v>
      </c>
      <c r="K4323" s="4">
        <f>28368.46+137125.01</f>
        <v>165493.47</v>
      </c>
      <c r="L4323" s="1">
        <f t="shared" si="1979"/>
        <v>166520.34</v>
      </c>
      <c r="M4323" s="2">
        <f t="shared" si="1980"/>
        <v>6.1666340580375945E-3</v>
      </c>
      <c r="N4323" s="2">
        <f t="shared" si="1981"/>
        <v>0.99383336594196248</v>
      </c>
    </row>
    <row r="4324" spans="1:14" x14ac:dyDescent="0.35">
      <c r="A4324" t="s">
        <v>37</v>
      </c>
      <c r="B4324" t="s">
        <v>20</v>
      </c>
      <c r="C4324">
        <v>2010</v>
      </c>
      <c r="D4324" t="s">
        <v>31</v>
      </c>
      <c r="E4324" s="3">
        <v>53</v>
      </c>
      <c r="F4324" s="3">
        <v>189</v>
      </c>
      <c r="G4324" s="1">
        <f t="shared" si="1976"/>
        <v>242</v>
      </c>
      <c r="H4324" s="2">
        <f t="shared" si="1977"/>
        <v>0.21900826446280991</v>
      </c>
      <c r="I4324" s="2">
        <f t="shared" si="1978"/>
        <v>0.78099173553719003</v>
      </c>
      <c r="J4324" s="21">
        <f>1105.67+44.16</f>
        <v>1149.8300000000002</v>
      </c>
      <c r="K4324" s="4">
        <f>29701.05+180453.12</f>
        <v>210154.16999999998</v>
      </c>
      <c r="L4324" s="1">
        <f t="shared" si="1979"/>
        <v>211303.99999999997</v>
      </c>
      <c r="M4324" s="2">
        <f t="shared" si="1980"/>
        <v>5.441591261878622E-3</v>
      </c>
      <c r="N4324" s="2">
        <f t="shared" si="1981"/>
        <v>0.9945584087381214</v>
      </c>
    </row>
    <row r="4325" spans="1:14" x14ac:dyDescent="0.35">
      <c r="A4325" t="s">
        <v>37</v>
      </c>
      <c r="B4325" t="s">
        <v>21</v>
      </c>
      <c r="C4325">
        <v>2010</v>
      </c>
      <c r="D4325" t="s">
        <v>31</v>
      </c>
      <c r="E4325" s="3">
        <v>53</v>
      </c>
      <c r="F4325" s="9">
        <v>189</v>
      </c>
      <c r="G4325" s="1">
        <f t="shared" si="1976"/>
        <v>242</v>
      </c>
      <c r="H4325" s="2">
        <f t="shared" si="1977"/>
        <v>0.21900826446280991</v>
      </c>
      <c r="I4325" s="2">
        <f t="shared" si="1978"/>
        <v>0.78099173553719003</v>
      </c>
      <c r="J4325" s="21">
        <f>1186+17.08</f>
        <v>1203.08</v>
      </c>
      <c r="K4325" s="4">
        <f>27977.29+177761.83</f>
        <v>205739.12</v>
      </c>
      <c r="L4325" s="1">
        <f t="shared" si="1979"/>
        <v>206942.19999999998</v>
      </c>
      <c r="M4325" s="2">
        <f t="shared" si="1980"/>
        <v>5.8136039918392675E-3</v>
      </c>
      <c r="N4325" s="2">
        <f t="shared" si="1981"/>
        <v>0.99418639600816083</v>
      </c>
    </row>
    <row r="4326" spans="1:14" x14ac:dyDescent="0.35">
      <c r="A4326" t="s">
        <v>37</v>
      </c>
      <c r="B4326" t="s">
        <v>22</v>
      </c>
      <c r="C4326">
        <v>2010</v>
      </c>
      <c r="D4326" t="s">
        <v>31</v>
      </c>
      <c r="E4326" s="3">
        <v>53</v>
      </c>
      <c r="F4326" s="9">
        <v>188</v>
      </c>
      <c r="G4326" s="1">
        <f t="shared" si="1976"/>
        <v>241</v>
      </c>
      <c r="H4326" s="2">
        <f t="shared" si="1977"/>
        <v>0.21991701244813278</v>
      </c>
      <c r="I4326" s="2">
        <f t="shared" si="1978"/>
        <v>0.78008298755186722</v>
      </c>
      <c r="J4326" s="21">
        <f>1365.51+0.84</f>
        <v>1366.35</v>
      </c>
      <c r="K4326" s="4">
        <f>28434.74+140934.14</f>
        <v>169368.88</v>
      </c>
      <c r="L4326" s="1">
        <f t="shared" si="1979"/>
        <v>170735.23</v>
      </c>
      <c r="M4326" s="2">
        <f t="shared" si="1980"/>
        <v>8.0027420234242211E-3</v>
      </c>
      <c r="N4326" s="2">
        <f t="shared" si="1981"/>
        <v>0.99199725797657579</v>
      </c>
    </row>
    <row r="4327" spans="1:14" x14ac:dyDescent="0.35">
      <c r="A4327" t="s">
        <v>37</v>
      </c>
      <c r="B4327" t="s">
        <v>23</v>
      </c>
      <c r="C4327">
        <v>2010</v>
      </c>
      <c r="D4327" t="s">
        <v>31</v>
      </c>
      <c r="E4327" s="3">
        <v>53</v>
      </c>
      <c r="F4327" s="9">
        <v>190</v>
      </c>
      <c r="G4327" s="1">
        <f t="shared" si="1976"/>
        <v>243</v>
      </c>
      <c r="H4327" s="2">
        <f t="shared" si="1977"/>
        <v>0.21810699588477367</v>
      </c>
      <c r="I4327" s="2">
        <f t="shared" si="1978"/>
        <v>0.78189300411522633</v>
      </c>
      <c r="J4327" s="21">
        <f>1517.7+24.43</f>
        <v>1542.13</v>
      </c>
      <c r="K4327" s="4">
        <f>33908.17+211014.73</f>
        <v>244922.90000000002</v>
      </c>
      <c r="L4327" s="1">
        <f t="shared" si="1979"/>
        <v>246465.03000000003</v>
      </c>
      <c r="M4327" s="2">
        <f t="shared" si="1980"/>
        <v>6.2569931320479825E-3</v>
      </c>
      <c r="N4327" s="2">
        <f t="shared" si="1981"/>
        <v>0.99374300686795203</v>
      </c>
    </row>
    <row r="4328" spans="1:14" x14ac:dyDescent="0.35">
      <c r="A4328" t="s">
        <v>37</v>
      </c>
      <c r="B4328" t="s">
        <v>24</v>
      </c>
      <c r="C4328">
        <v>2010</v>
      </c>
      <c r="D4328" t="s">
        <v>31</v>
      </c>
      <c r="E4328" s="3">
        <v>53</v>
      </c>
      <c r="F4328" s="9">
        <v>189</v>
      </c>
      <c r="G4328" s="1">
        <f t="shared" si="1976"/>
        <v>242</v>
      </c>
      <c r="H4328" s="2">
        <f t="shared" si="1977"/>
        <v>0.21900826446280991</v>
      </c>
      <c r="I4328" s="2">
        <f t="shared" si="1978"/>
        <v>0.78099173553719003</v>
      </c>
      <c r="J4328" s="21">
        <f>1523.4+0.11</f>
        <v>1523.51</v>
      </c>
      <c r="K4328" s="4">
        <f>31641.68+146772.63</f>
        <v>178414.31</v>
      </c>
      <c r="L4328" s="1">
        <f t="shared" si="1979"/>
        <v>179937.82</v>
      </c>
      <c r="M4328" s="2">
        <f t="shared" si="1980"/>
        <v>8.4668692773981584E-3</v>
      </c>
      <c r="N4328" s="2">
        <f t="shared" si="1981"/>
        <v>0.99153313072260174</v>
      </c>
    </row>
    <row r="4329" spans="1:14" x14ac:dyDescent="0.35">
      <c r="A4329" t="s">
        <v>37</v>
      </c>
      <c r="B4329" t="s">
        <v>25</v>
      </c>
      <c r="C4329">
        <v>2010</v>
      </c>
      <c r="D4329" t="s">
        <v>31</v>
      </c>
      <c r="E4329" s="3">
        <v>51</v>
      </c>
      <c r="F4329" s="9">
        <v>191</v>
      </c>
      <c r="G4329" s="1">
        <f t="shared" si="1976"/>
        <v>242</v>
      </c>
      <c r="H4329" s="2">
        <f t="shared" si="1977"/>
        <v>0.21074380165289255</v>
      </c>
      <c r="I4329" s="2">
        <f t="shared" si="1978"/>
        <v>0.78925619834710747</v>
      </c>
      <c r="J4329" s="21">
        <f>1546.9+28.06</f>
        <v>1574.96</v>
      </c>
      <c r="K4329" s="4">
        <f>37145.04+225857.19</f>
        <v>263002.23</v>
      </c>
      <c r="L4329" s="1">
        <f t="shared" si="1979"/>
        <v>264577.19</v>
      </c>
      <c r="M4329" s="2">
        <f t="shared" si="1980"/>
        <v>5.9527429405384497E-3</v>
      </c>
      <c r="N4329" s="2">
        <f t="shared" si="1981"/>
        <v>0.99404725705946151</v>
      </c>
    </row>
    <row r="4330" spans="1:14" x14ac:dyDescent="0.35">
      <c r="A4330" t="s">
        <v>37</v>
      </c>
      <c r="B4330" t="s">
        <v>26</v>
      </c>
      <c r="C4330">
        <v>2010</v>
      </c>
      <c r="D4330" t="s">
        <v>31</v>
      </c>
      <c r="E4330" s="3">
        <v>49</v>
      </c>
      <c r="F4330" s="9">
        <v>192</v>
      </c>
      <c r="G4330" s="1">
        <f t="shared" si="1976"/>
        <v>241</v>
      </c>
      <c r="H4330" s="2">
        <f t="shared" si="1977"/>
        <v>0.2033195020746888</v>
      </c>
      <c r="I4330" s="2">
        <f t="shared" si="1978"/>
        <v>0.79668049792531115</v>
      </c>
      <c r="J4330" s="21">
        <f>1394.75+31.27</f>
        <v>1426.02</v>
      </c>
      <c r="K4330" s="4">
        <f>35880.58+184555.35</f>
        <v>220435.93</v>
      </c>
      <c r="L4330" s="1">
        <f t="shared" si="1979"/>
        <v>221861.94999999998</v>
      </c>
      <c r="M4330" s="2">
        <f t="shared" si="1980"/>
        <v>6.4275104406140851E-3</v>
      </c>
      <c r="N4330" s="2">
        <f t="shared" si="1981"/>
        <v>0.99357248955938593</v>
      </c>
    </row>
    <row r="4331" spans="1:14" x14ac:dyDescent="0.35">
      <c r="A4331" t="s">
        <v>37</v>
      </c>
      <c r="B4331" t="s">
        <v>27</v>
      </c>
      <c r="C4331">
        <v>2010</v>
      </c>
      <c r="D4331" t="s">
        <v>31</v>
      </c>
      <c r="E4331" s="3">
        <v>47</v>
      </c>
      <c r="F4331" s="9">
        <v>194</v>
      </c>
      <c r="G4331" s="1">
        <f t="shared" si="1976"/>
        <v>241</v>
      </c>
      <c r="H4331" s="2">
        <f t="shared" si="1977"/>
        <v>0.19502074688796681</v>
      </c>
      <c r="I4331" s="2">
        <f t="shared" si="1978"/>
        <v>0.80497925311203322</v>
      </c>
      <c r="J4331" s="21">
        <f>1331.9+0.02</f>
        <v>1331.92</v>
      </c>
      <c r="K4331" s="4">
        <f>30757.12+131832.67</f>
        <v>162589.79</v>
      </c>
      <c r="L4331" s="1">
        <f t="shared" si="1979"/>
        <v>163921.71000000002</v>
      </c>
      <c r="M4331" s="2">
        <f t="shared" si="1980"/>
        <v>8.1253422746749033E-3</v>
      </c>
      <c r="N4331" s="2">
        <f t="shared" si="1981"/>
        <v>0.99187465772532502</v>
      </c>
    </row>
    <row r="4332" spans="1:14" x14ac:dyDescent="0.35">
      <c r="A4332" t="s">
        <v>37</v>
      </c>
      <c r="B4332" t="s">
        <v>28</v>
      </c>
      <c r="C4332">
        <v>2010</v>
      </c>
      <c r="D4332" t="s">
        <v>31</v>
      </c>
      <c r="E4332" s="3">
        <v>47</v>
      </c>
      <c r="F4332" s="9">
        <v>194</v>
      </c>
      <c r="G4332" s="1">
        <f t="shared" si="1976"/>
        <v>241</v>
      </c>
      <c r="H4332" s="2">
        <f t="shared" si="1977"/>
        <v>0.19502074688796681</v>
      </c>
      <c r="I4332" s="2">
        <f t="shared" si="1978"/>
        <v>0.80497925311203322</v>
      </c>
      <c r="J4332" s="21">
        <f>1134.19+30.63</f>
        <v>1164.8200000000002</v>
      </c>
      <c r="K4332" s="4">
        <f>31097.03+169621.82</f>
        <v>200718.85</v>
      </c>
      <c r="L4332" s="1">
        <f t="shared" si="1979"/>
        <v>201883.67</v>
      </c>
      <c r="M4332" s="2">
        <f t="shared" si="1980"/>
        <v>5.7697583960109305E-3</v>
      </c>
      <c r="N4332" s="2">
        <f t="shared" si="1981"/>
        <v>0.99423024160398898</v>
      </c>
    </row>
    <row r="4333" spans="1:14" x14ac:dyDescent="0.35">
      <c r="A4333" t="s">
        <v>37</v>
      </c>
      <c r="B4333" t="s">
        <v>29</v>
      </c>
      <c r="C4333">
        <v>2010</v>
      </c>
      <c r="D4333" t="s">
        <v>31</v>
      </c>
      <c r="E4333" s="9">
        <v>47</v>
      </c>
      <c r="F4333" s="9">
        <v>194</v>
      </c>
      <c r="G4333" s="1">
        <f t="shared" si="1976"/>
        <v>241</v>
      </c>
      <c r="H4333" s="2">
        <f t="shared" si="1977"/>
        <v>0.19502074688796681</v>
      </c>
      <c r="I4333" s="2">
        <f t="shared" si="1978"/>
        <v>0.80497925311203322</v>
      </c>
      <c r="J4333" s="21">
        <f>1015.06+125.97</f>
        <v>1141.03</v>
      </c>
      <c r="K4333" s="4">
        <f>31366.73+208889.1</f>
        <v>240255.83000000002</v>
      </c>
      <c r="L4333" s="1">
        <f t="shared" si="1979"/>
        <v>241396.86000000002</v>
      </c>
      <c r="M4333" s="2">
        <f t="shared" si="1980"/>
        <v>4.7267806217529086E-3</v>
      </c>
      <c r="N4333" s="2">
        <f t="shared" si="1981"/>
        <v>0.99527321937824709</v>
      </c>
    </row>
    <row r="4334" spans="1:14" x14ac:dyDescent="0.35">
      <c r="A4334" t="s">
        <v>37</v>
      </c>
      <c r="B4334" t="s">
        <v>17</v>
      </c>
      <c r="C4334">
        <v>2011</v>
      </c>
      <c r="D4334" t="s">
        <v>31</v>
      </c>
      <c r="E4334" s="3">
        <v>46</v>
      </c>
      <c r="F4334" s="9">
        <v>193</v>
      </c>
      <c r="G4334" s="1">
        <f t="shared" si="1976"/>
        <v>239</v>
      </c>
      <c r="H4334" s="2">
        <f t="shared" si="1977"/>
        <v>0.19246861924686193</v>
      </c>
      <c r="I4334" s="2">
        <f t="shared" si="1978"/>
        <v>0.80753138075313813</v>
      </c>
      <c r="J4334" s="21">
        <f>980.1+67.64</f>
        <v>1047.74</v>
      </c>
      <c r="K4334" s="4">
        <f>31994.28+175278.8</f>
        <v>207273.08</v>
      </c>
      <c r="L4334" s="1">
        <f t="shared" si="1979"/>
        <v>208320.81999999998</v>
      </c>
      <c r="M4334" s="2">
        <f t="shared" si="1980"/>
        <v>5.0294540891304097E-3</v>
      </c>
      <c r="N4334" s="2">
        <f t="shared" si="1981"/>
        <v>0.99497054591086964</v>
      </c>
    </row>
    <row r="4335" spans="1:14" x14ac:dyDescent="0.35">
      <c r="A4335" t="s">
        <v>37</v>
      </c>
      <c r="B4335" t="s">
        <v>19</v>
      </c>
      <c r="C4335">
        <v>2011</v>
      </c>
      <c r="D4335" t="s">
        <v>31</v>
      </c>
      <c r="E4335" s="3">
        <v>45</v>
      </c>
      <c r="F4335" s="9">
        <v>194</v>
      </c>
      <c r="G4335" s="1">
        <f t="shared" si="1976"/>
        <v>239</v>
      </c>
      <c r="H4335" s="2">
        <f t="shared" si="1977"/>
        <v>0.18828451882845187</v>
      </c>
      <c r="I4335" s="2">
        <f t="shared" si="1978"/>
        <v>0.81171548117154813</v>
      </c>
      <c r="J4335" s="21">
        <f>987.02+62.75</f>
        <v>1049.77</v>
      </c>
      <c r="K4335" s="4">
        <f>28526.49+162784.87</f>
        <v>191311.35999999999</v>
      </c>
      <c r="L4335" s="1">
        <f t="shared" si="1979"/>
        <v>192361.12999999998</v>
      </c>
      <c r="M4335" s="2">
        <f t="shared" si="1980"/>
        <v>5.4572875507645441E-3</v>
      </c>
      <c r="N4335" s="2">
        <f t="shared" si="1981"/>
        <v>0.99454271244923553</v>
      </c>
    </row>
    <row r="4336" spans="1:14" x14ac:dyDescent="0.35">
      <c r="A4336" t="s">
        <v>37</v>
      </c>
      <c r="B4336" t="s">
        <v>20</v>
      </c>
      <c r="C4336">
        <v>2011</v>
      </c>
      <c r="D4336" t="s">
        <v>31</v>
      </c>
      <c r="E4336" s="3">
        <v>46</v>
      </c>
      <c r="F4336" s="9">
        <v>191</v>
      </c>
      <c r="G4336" s="1">
        <f t="shared" si="1976"/>
        <v>237</v>
      </c>
      <c r="H4336" s="2">
        <f t="shared" si="1977"/>
        <v>0.1940928270042194</v>
      </c>
      <c r="I4336" s="2">
        <f t="shared" si="1978"/>
        <v>0.80590717299578063</v>
      </c>
      <c r="J4336" s="21">
        <f>998.46+40.79</f>
        <v>1039.25</v>
      </c>
      <c r="K4336" s="4">
        <f>31524.13+209684.22</f>
        <v>241208.35</v>
      </c>
      <c r="L4336" s="1">
        <f t="shared" si="1979"/>
        <v>242247.6</v>
      </c>
      <c r="M4336" s="2">
        <f t="shared" si="1980"/>
        <v>4.2900321819493775E-3</v>
      </c>
      <c r="N4336" s="2">
        <f t="shared" si="1981"/>
        <v>0.99570996781805066</v>
      </c>
    </row>
    <row r="4337" spans="1:14" x14ac:dyDescent="0.35">
      <c r="A4337" t="s">
        <v>37</v>
      </c>
      <c r="B4337" t="s">
        <v>21</v>
      </c>
      <c r="C4337">
        <v>2011</v>
      </c>
      <c r="D4337" t="s">
        <v>31</v>
      </c>
      <c r="E4337" s="3">
        <v>48</v>
      </c>
      <c r="F4337" s="3">
        <f>169+22</f>
        <v>191</v>
      </c>
      <c r="G4337" s="1">
        <f t="shared" si="1976"/>
        <v>239</v>
      </c>
      <c r="H4337" s="2">
        <f t="shared" si="1977"/>
        <v>0.20083682008368201</v>
      </c>
      <c r="I4337" s="2">
        <f t="shared" si="1978"/>
        <v>0.79916317991631802</v>
      </c>
      <c r="J4337" s="21">
        <f>1220.41+571.91</f>
        <v>1792.3200000000002</v>
      </c>
      <c r="K4337" s="4">
        <f>29083.61+166471.05</f>
        <v>195554.65999999997</v>
      </c>
      <c r="L4337" s="1">
        <f t="shared" si="1979"/>
        <v>197346.97999999998</v>
      </c>
      <c r="M4337" s="2">
        <f t="shared" si="1980"/>
        <v>9.0820746281498731E-3</v>
      </c>
      <c r="N4337" s="2">
        <f t="shared" si="1981"/>
        <v>0.99091792537185008</v>
      </c>
    </row>
    <row r="4338" spans="1:14" x14ac:dyDescent="0.35">
      <c r="A4338" t="s">
        <v>37</v>
      </c>
      <c r="B4338" t="s">
        <v>22</v>
      </c>
      <c r="C4338">
        <v>2011</v>
      </c>
      <c r="D4338" t="s">
        <v>31</v>
      </c>
      <c r="E4338" s="3">
        <v>48</v>
      </c>
      <c r="F4338" s="3">
        <f>169+22</f>
        <v>191</v>
      </c>
      <c r="G4338" s="1">
        <f t="shared" si="1976"/>
        <v>239</v>
      </c>
      <c r="H4338" s="2">
        <f t="shared" si="1977"/>
        <v>0.20083682008368201</v>
      </c>
      <c r="I4338" s="2">
        <f t="shared" si="1978"/>
        <v>0.79916317991631802</v>
      </c>
      <c r="J4338" s="21">
        <f>1366.39+498.63</f>
        <v>1865.02</v>
      </c>
      <c r="K4338" s="4">
        <f>31564.95+188775.59</f>
        <v>220340.54</v>
      </c>
      <c r="L4338" s="1">
        <f t="shared" si="1979"/>
        <v>222205.56</v>
      </c>
      <c r="M4338" s="2">
        <f t="shared" si="1980"/>
        <v>8.3932193235848832E-3</v>
      </c>
      <c r="N4338" s="2">
        <f t="shared" si="1981"/>
        <v>0.99160678067641517</v>
      </c>
    </row>
    <row r="4339" spans="1:14" x14ac:dyDescent="0.35">
      <c r="A4339" t="s">
        <v>37</v>
      </c>
      <c r="B4339" t="s">
        <v>23</v>
      </c>
      <c r="C4339">
        <v>2011</v>
      </c>
      <c r="D4339" t="s">
        <v>31</v>
      </c>
      <c r="E4339" s="3">
        <v>48</v>
      </c>
      <c r="F4339" s="3">
        <f>169+22</f>
        <v>191</v>
      </c>
      <c r="G4339" s="1">
        <f t="shared" si="1976"/>
        <v>239</v>
      </c>
      <c r="H4339" s="2">
        <f t="shared" si="1977"/>
        <v>0.20083682008368201</v>
      </c>
      <c r="I4339" s="2">
        <f t="shared" si="1978"/>
        <v>0.79916317991631802</v>
      </c>
      <c r="J4339" s="21">
        <f>1600.18+468.94</f>
        <v>2069.12</v>
      </c>
      <c r="K4339" s="4">
        <f>34174.77+204213.52</f>
        <v>238388.28999999998</v>
      </c>
      <c r="L4339" s="1">
        <f t="shared" si="1979"/>
        <v>240457.40999999997</v>
      </c>
      <c r="M4339" s="2">
        <f t="shared" si="1980"/>
        <v>8.6049334058784059E-3</v>
      </c>
      <c r="N4339" s="2">
        <f t="shared" si="1981"/>
        <v>0.99139506659412158</v>
      </c>
    </row>
    <row r="4340" spans="1:14" x14ac:dyDescent="0.35">
      <c r="A4340" t="s">
        <v>37</v>
      </c>
      <c r="B4340" t="s">
        <v>24</v>
      </c>
      <c r="C4340">
        <v>2011</v>
      </c>
      <c r="D4340" t="s">
        <v>31</v>
      </c>
      <c r="E4340" s="3">
        <v>47</v>
      </c>
      <c r="F4340" s="3">
        <f>171+23</f>
        <v>194</v>
      </c>
      <c r="G4340" s="1">
        <f t="shared" si="1976"/>
        <v>241</v>
      </c>
      <c r="H4340" s="2">
        <f t="shared" si="1977"/>
        <v>0.19502074688796681</v>
      </c>
      <c r="I4340" s="2">
        <f t="shared" si="1978"/>
        <v>0.80497925311203322</v>
      </c>
      <c r="J4340" s="21">
        <f>1799.03+564.1</f>
        <v>2363.13</v>
      </c>
      <c r="K4340" s="4">
        <f>34640.86+206767.75</f>
        <v>241408.61</v>
      </c>
      <c r="L4340" s="1">
        <f t="shared" si="1979"/>
        <v>243771.74</v>
      </c>
      <c r="M4340" s="2">
        <f t="shared" si="1980"/>
        <v>9.6940276998474066E-3</v>
      </c>
      <c r="N4340" s="2">
        <f t="shared" si="1981"/>
        <v>0.9903059723001526</v>
      </c>
    </row>
    <row r="4341" spans="1:14" x14ac:dyDescent="0.35">
      <c r="A4341" t="s">
        <v>37</v>
      </c>
      <c r="B4341" t="s">
        <v>25</v>
      </c>
      <c r="C4341">
        <v>2011</v>
      </c>
      <c r="D4341" t="s">
        <v>31</v>
      </c>
      <c r="E4341" s="18">
        <v>47</v>
      </c>
      <c r="F4341" s="3">
        <f>169+23</f>
        <v>192</v>
      </c>
      <c r="G4341" s="1">
        <f t="shared" si="1976"/>
        <v>239</v>
      </c>
      <c r="H4341" s="2">
        <f t="shared" si="1977"/>
        <v>0.19665271966527198</v>
      </c>
      <c r="I4341" s="2">
        <f t="shared" si="1978"/>
        <v>0.80334728033472802</v>
      </c>
      <c r="J4341" s="21">
        <f>1646.16+610.99</f>
        <v>2257.15</v>
      </c>
      <c r="K4341" s="4">
        <f>36921.46+243189.9</f>
        <v>280111.35999999999</v>
      </c>
      <c r="L4341" s="1">
        <f t="shared" si="1979"/>
        <v>282368.51</v>
      </c>
      <c r="M4341" s="2">
        <f t="shared" si="1980"/>
        <v>7.9936321511205333E-3</v>
      </c>
      <c r="N4341" s="2">
        <f t="shared" si="1981"/>
        <v>0.99200636784887941</v>
      </c>
    </row>
    <row r="4342" spans="1:14" x14ac:dyDescent="0.35">
      <c r="A4342" t="s">
        <v>37</v>
      </c>
      <c r="B4342" t="s">
        <v>26</v>
      </c>
      <c r="C4342">
        <v>2011</v>
      </c>
      <c r="D4342" t="s">
        <v>31</v>
      </c>
      <c r="E4342" s="18">
        <v>47</v>
      </c>
      <c r="F4342" s="3">
        <f>170+23</f>
        <v>193</v>
      </c>
      <c r="G4342" s="1">
        <f t="shared" si="1976"/>
        <v>240</v>
      </c>
      <c r="H4342" s="2">
        <f t="shared" si="1977"/>
        <v>0.19583333333333333</v>
      </c>
      <c r="I4342" s="2">
        <f t="shared" si="1978"/>
        <v>0.8041666666666667</v>
      </c>
      <c r="J4342" s="21">
        <f>1939.77+502.54</f>
        <v>2442.31</v>
      </c>
      <c r="K4342" s="4">
        <f>36517.96+213153.03</f>
        <v>249670.99</v>
      </c>
      <c r="L4342" s="1">
        <f t="shared" si="1979"/>
        <v>252113.3</v>
      </c>
      <c r="M4342" s="2">
        <f t="shared" si="1980"/>
        <v>9.6873508854947357E-3</v>
      </c>
      <c r="N4342" s="2">
        <f t="shared" si="1981"/>
        <v>0.99031264911450523</v>
      </c>
    </row>
    <row r="4343" spans="1:14" x14ac:dyDescent="0.35">
      <c r="A4343" t="s">
        <v>37</v>
      </c>
      <c r="B4343" t="s">
        <v>27</v>
      </c>
      <c r="C4343">
        <v>2011</v>
      </c>
      <c r="D4343" t="s">
        <v>31</v>
      </c>
      <c r="E4343" s="3">
        <v>53</v>
      </c>
      <c r="F4343" s="3">
        <v>230</v>
      </c>
      <c r="G4343" s="1">
        <f t="shared" ref="G4343:G4406" si="1982">SUM(E4343:F4343)</f>
        <v>283</v>
      </c>
      <c r="H4343" s="2">
        <f t="shared" ref="H4343:H4406" si="1983">SUM(E4343)/G4343</f>
        <v>0.1872791519434629</v>
      </c>
      <c r="I4343" s="2">
        <f t="shared" ref="I4343:I4406" si="1984">SUM(F4343/G4343)</f>
        <v>0.8127208480565371</v>
      </c>
      <c r="J4343" s="21">
        <f>1444.35+368.23</f>
        <v>1812.58</v>
      </c>
      <c r="K4343" s="4">
        <f>32711.72+170386.56</f>
        <v>203098.28</v>
      </c>
      <c r="L4343" s="1">
        <f t="shared" si="1979"/>
        <v>204910.86</v>
      </c>
      <c r="M4343" s="2">
        <f t="shared" si="1980"/>
        <v>8.8457000278072129E-3</v>
      </c>
      <c r="N4343" s="2">
        <f t="shared" si="1981"/>
        <v>0.99115429997219284</v>
      </c>
    </row>
    <row r="4344" spans="1:14" x14ac:dyDescent="0.35">
      <c r="A4344" t="s">
        <v>37</v>
      </c>
      <c r="B4344" t="s">
        <v>28</v>
      </c>
      <c r="C4344">
        <v>2011</v>
      </c>
      <c r="D4344" t="s">
        <v>31</v>
      </c>
      <c r="E4344" s="3">
        <v>52</v>
      </c>
      <c r="F4344" s="9">
        <v>233</v>
      </c>
      <c r="G4344" s="1">
        <f t="shared" si="1982"/>
        <v>285</v>
      </c>
      <c r="H4344" s="2">
        <f t="shared" si="1983"/>
        <v>0.18245614035087721</v>
      </c>
      <c r="I4344" s="2">
        <f t="shared" si="1984"/>
        <v>0.81754385964912279</v>
      </c>
      <c r="J4344" s="21">
        <f>1439.18+475.36</f>
        <v>1914.54</v>
      </c>
      <c r="K4344" s="4">
        <v>232449.88</v>
      </c>
      <c r="L4344" s="1">
        <f t="shared" si="1979"/>
        <v>234364.42</v>
      </c>
      <c r="M4344" s="2">
        <f t="shared" si="1980"/>
        <v>8.169072762836611E-3</v>
      </c>
      <c r="N4344" s="2">
        <f t="shared" si="1981"/>
        <v>0.99183092723716337</v>
      </c>
    </row>
    <row r="4345" spans="1:14" x14ac:dyDescent="0.35">
      <c r="A4345" t="s">
        <v>37</v>
      </c>
      <c r="B4345" t="s">
        <v>29</v>
      </c>
      <c r="C4345">
        <v>2011</v>
      </c>
      <c r="D4345" t="s">
        <v>31</v>
      </c>
      <c r="E4345" s="3">
        <v>53</v>
      </c>
      <c r="F4345" s="9">
        <v>230</v>
      </c>
      <c r="G4345" s="1">
        <f t="shared" si="1982"/>
        <v>283</v>
      </c>
      <c r="H4345" s="2">
        <f t="shared" si="1983"/>
        <v>0.1872791519434629</v>
      </c>
      <c r="I4345" s="2">
        <f t="shared" si="1984"/>
        <v>0.8127208480565371</v>
      </c>
      <c r="J4345" s="21">
        <f>1252.16+340.95</f>
        <v>1593.1100000000001</v>
      </c>
      <c r="K4345" s="4">
        <v>261253.21</v>
      </c>
      <c r="L4345" s="1">
        <f t="shared" si="1979"/>
        <v>262846.32</v>
      </c>
      <c r="M4345" s="2">
        <f t="shared" si="1980"/>
        <v>6.0609941200622484E-3</v>
      </c>
      <c r="N4345" s="2">
        <f t="shared" si="1981"/>
        <v>0.99393900587993766</v>
      </c>
    </row>
    <row r="4346" spans="1:14" x14ac:dyDescent="0.35">
      <c r="A4346" t="s">
        <v>37</v>
      </c>
      <c r="B4346" t="s">
        <v>17</v>
      </c>
      <c r="C4346">
        <v>2012</v>
      </c>
      <c r="D4346" t="s">
        <v>31</v>
      </c>
      <c r="E4346" s="9">
        <v>55</v>
      </c>
      <c r="F4346" s="9">
        <v>228</v>
      </c>
      <c r="G4346" s="1">
        <f t="shared" si="1982"/>
        <v>283</v>
      </c>
      <c r="H4346" s="2">
        <f t="shared" si="1983"/>
        <v>0.19434628975265017</v>
      </c>
      <c r="I4346" s="2">
        <f t="shared" si="1984"/>
        <v>0.80565371024734977</v>
      </c>
      <c r="J4346" s="21">
        <f>1216.39+348.73</f>
        <v>1565.1200000000001</v>
      </c>
      <c r="K4346" s="4">
        <v>203760.28</v>
      </c>
      <c r="L4346" s="1">
        <f t="shared" si="1979"/>
        <v>205325.4</v>
      </c>
      <c r="M4346" s="2">
        <f t="shared" si="1980"/>
        <v>7.6226321731261704E-3</v>
      </c>
      <c r="N4346" s="2">
        <f t="shared" si="1981"/>
        <v>0.9923773678268738</v>
      </c>
    </row>
    <row r="4347" spans="1:14" x14ac:dyDescent="0.35">
      <c r="A4347" t="s">
        <v>37</v>
      </c>
      <c r="B4347" t="s">
        <v>19</v>
      </c>
      <c r="C4347">
        <v>2012</v>
      </c>
      <c r="D4347" t="s">
        <v>31</v>
      </c>
      <c r="E4347" s="3">
        <v>56</v>
      </c>
      <c r="F4347" s="9">
        <v>228</v>
      </c>
      <c r="G4347" s="1">
        <f t="shared" si="1982"/>
        <v>284</v>
      </c>
      <c r="H4347" s="2">
        <f t="shared" si="1983"/>
        <v>0.19718309859154928</v>
      </c>
      <c r="I4347" s="2">
        <f t="shared" si="1984"/>
        <v>0.80281690140845074</v>
      </c>
      <c r="J4347" s="21">
        <f>1248.47+605.76</f>
        <v>1854.23</v>
      </c>
      <c r="K4347" s="4">
        <v>235242.17</v>
      </c>
      <c r="L4347" s="1">
        <f t="shared" si="1979"/>
        <v>237096.40000000002</v>
      </c>
      <c r="M4347" s="2">
        <f t="shared" si="1980"/>
        <v>7.8205742474369063E-3</v>
      </c>
      <c r="N4347" s="2">
        <f t="shared" si="1981"/>
        <v>0.99217942575256302</v>
      </c>
    </row>
    <row r="4348" spans="1:14" x14ac:dyDescent="0.35">
      <c r="A4348" t="s">
        <v>37</v>
      </c>
      <c r="B4348" t="s">
        <v>20</v>
      </c>
      <c r="C4348">
        <v>2012</v>
      </c>
      <c r="D4348" t="s">
        <v>31</v>
      </c>
      <c r="E4348" s="3">
        <v>52</v>
      </c>
      <c r="F4348" s="9">
        <v>232</v>
      </c>
      <c r="G4348" s="1">
        <f t="shared" si="1982"/>
        <v>284</v>
      </c>
      <c r="H4348" s="2">
        <f t="shared" si="1983"/>
        <v>0.18309859154929578</v>
      </c>
      <c r="I4348" s="2">
        <f t="shared" si="1984"/>
        <v>0.81690140845070425</v>
      </c>
      <c r="J4348" s="21">
        <f>1172.14+1196.69</f>
        <v>2368.83</v>
      </c>
      <c r="K4348" s="4">
        <v>211447.37</v>
      </c>
      <c r="L4348" s="1">
        <f t="shared" si="1979"/>
        <v>213816.19999999998</v>
      </c>
      <c r="M4348" s="2">
        <f t="shared" si="1980"/>
        <v>1.1078814420984004E-2</v>
      </c>
      <c r="N4348" s="2">
        <f t="shared" si="1981"/>
        <v>0.98892118557901609</v>
      </c>
    </row>
    <row r="4349" spans="1:14" x14ac:dyDescent="0.35">
      <c r="A4349" t="s">
        <v>37</v>
      </c>
      <c r="B4349" t="s">
        <v>21</v>
      </c>
      <c r="C4349">
        <v>2012</v>
      </c>
      <c r="D4349" t="s">
        <v>31</v>
      </c>
      <c r="E4349" s="3">
        <v>52</v>
      </c>
      <c r="F4349" s="9">
        <v>233</v>
      </c>
      <c r="G4349" s="1">
        <f t="shared" si="1982"/>
        <v>285</v>
      </c>
      <c r="H4349" s="2">
        <f t="shared" si="1983"/>
        <v>0.18245614035087721</v>
      </c>
      <c r="I4349" s="2">
        <f t="shared" si="1984"/>
        <v>0.81754385964912279</v>
      </c>
      <c r="J4349" s="21">
        <f>1305.5+2180.46</f>
        <v>3485.96</v>
      </c>
      <c r="K4349" s="4">
        <v>205193.71</v>
      </c>
      <c r="L4349" s="1">
        <f t="shared" si="1979"/>
        <v>208679.66999999998</v>
      </c>
      <c r="M4349" s="2">
        <f t="shared" si="1980"/>
        <v>1.6704837610678609E-2</v>
      </c>
      <c r="N4349" s="2">
        <f t="shared" si="1981"/>
        <v>0.98329516238932146</v>
      </c>
    </row>
    <row r="4350" spans="1:14" x14ac:dyDescent="0.35">
      <c r="A4350" t="s">
        <v>37</v>
      </c>
      <c r="B4350" t="s">
        <v>22</v>
      </c>
      <c r="C4350">
        <v>2012</v>
      </c>
      <c r="D4350" t="s">
        <v>31</v>
      </c>
      <c r="E4350" s="3">
        <v>46</v>
      </c>
      <c r="F4350" s="9">
        <v>241</v>
      </c>
      <c r="G4350" s="1">
        <f t="shared" si="1982"/>
        <v>287</v>
      </c>
      <c r="H4350" s="2">
        <f t="shared" si="1983"/>
        <v>0.16027874564459929</v>
      </c>
      <c r="I4350" s="2">
        <f t="shared" si="1984"/>
        <v>0.83972125435540068</v>
      </c>
      <c r="J4350" s="21">
        <f>1337.54+2577.08</f>
        <v>3914.62</v>
      </c>
      <c r="K4350" s="4">
        <v>246341.14</v>
      </c>
      <c r="L4350" s="1">
        <f t="shared" si="1979"/>
        <v>250255.76</v>
      </c>
      <c r="M4350" s="2">
        <f t="shared" si="1980"/>
        <v>1.5642477120206943E-2</v>
      </c>
      <c r="N4350" s="2">
        <f t="shared" si="1981"/>
        <v>0.98435752287979306</v>
      </c>
    </row>
    <row r="4351" spans="1:14" x14ac:dyDescent="0.35">
      <c r="A4351" t="s">
        <v>37</v>
      </c>
      <c r="B4351" t="s">
        <v>23</v>
      </c>
      <c r="C4351">
        <v>2012</v>
      </c>
      <c r="D4351" t="s">
        <v>31</v>
      </c>
      <c r="E4351" s="3">
        <v>8</v>
      </c>
      <c r="F4351" s="9">
        <v>286</v>
      </c>
      <c r="G4351" s="1">
        <f t="shared" si="1982"/>
        <v>294</v>
      </c>
      <c r="H4351" s="2">
        <f t="shared" si="1983"/>
        <v>2.7210884353741496E-2</v>
      </c>
      <c r="I4351" s="2">
        <f t="shared" si="1984"/>
        <v>0.97278911564625847</v>
      </c>
      <c r="J4351" s="21">
        <f>109.3+20.87</f>
        <v>130.16999999999999</v>
      </c>
      <c r="K4351" s="4">
        <v>256852.34</v>
      </c>
      <c r="L4351" s="1">
        <f t="shared" si="1979"/>
        <v>256982.51</v>
      </c>
      <c r="M4351" s="2">
        <f t="shared" si="1980"/>
        <v>5.0653252627970663E-4</v>
      </c>
      <c r="N4351" s="2">
        <f t="shared" si="1981"/>
        <v>0.99949346747372025</v>
      </c>
    </row>
    <row r="4352" spans="1:14" x14ac:dyDescent="0.35">
      <c r="A4352" t="s">
        <v>37</v>
      </c>
      <c r="B4352" t="s">
        <v>24</v>
      </c>
      <c r="C4352">
        <v>2012</v>
      </c>
      <c r="D4352" t="s">
        <v>31</v>
      </c>
      <c r="E4352" s="3">
        <v>0</v>
      </c>
      <c r="F4352" s="9">
        <v>307</v>
      </c>
      <c r="G4352" s="1">
        <f t="shared" si="1982"/>
        <v>307</v>
      </c>
      <c r="H4352" s="2">
        <f t="shared" si="1983"/>
        <v>0</v>
      </c>
      <c r="I4352" s="2">
        <f t="shared" si="1984"/>
        <v>1</v>
      </c>
      <c r="J4352" s="21">
        <f>0+11.15</f>
        <v>11.15</v>
      </c>
      <c r="K4352" s="4">
        <v>245917.21</v>
      </c>
      <c r="L4352" s="1">
        <f t="shared" si="1979"/>
        <v>245928.36</v>
      </c>
      <c r="M4352" s="2">
        <f t="shared" si="1980"/>
        <v>4.5338406680709784E-5</v>
      </c>
      <c r="N4352" s="2">
        <f t="shared" si="1981"/>
        <v>0.99995466159331936</v>
      </c>
    </row>
    <row r="4353" spans="1:14" x14ac:dyDescent="0.35">
      <c r="A4353" t="s">
        <v>37</v>
      </c>
      <c r="B4353" t="s">
        <v>25</v>
      </c>
      <c r="C4353">
        <v>2012</v>
      </c>
      <c r="D4353" t="s">
        <v>31</v>
      </c>
      <c r="E4353" s="3">
        <v>0</v>
      </c>
      <c r="F4353" s="9">
        <v>309</v>
      </c>
      <c r="G4353" s="1">
        <f t="shared" si="1982"/>
        <v>309</v>
      </c>
      <c r="H4353" s="2">
        <f t="shared" si="1983"/>
        <v>0</v>
      </c>
      <c r="I4353" s="2">
        <f t="shared" si="1984"/>
        <v>1</v>
      </c>
      <c r="J4353" s="21">
        <f>1337.54+2577.08</f>
        <v>3914.62</v>
      </c>
      <c r="K4353" s="4">
        <v>319578.17</v>
      </c>
      <c r="L4353" s="1">
        <f t="shared" si="1979"/>
        <v>323492.78999999998</v>
      </c>
      <c r="M4353" s="2">
        <f t="shared" si="1980"/>
        <v>1.210110432445805E-2</v>
      </c>
      <c r="N4353" s="2">
        <f t="shared" si="1981"/>
        <v>0.98789889567554201</v>
      </c>
    </row>
    <row r="4354" spans="1:14" x14ac:dyDescent="0.35">
      <c r="A4354" t="s">
        <v>37</v>
      </c>
      <c r="B4354" t="s">
        <v>26</v>
      </c>
      <c r="C4354">
        <v>2012</v>
      </c>
      <c r="D4354" t="s">
        <v>31</v>
      </c>
      <c r="E4354" s="3">
        <v>0</v>
      </c>
      <c r="F4354" s="9">
        <v>314</v>
      </c>
      <c r="G4354" s="1">
        <f t="shared" si="1982"/>
        <v>314</v>
      </c>
      <c r="H4354" s="2">
        <f t="shared" si="1983"/>
        <v>0</v>
      </c>
      <c r="I4354" s="2">
        <f t="shared" si="1984"/>
        <v>1</v>
      </c>
      <c r="J4354" s="21">
        <f t="shared" ref="J4354:J4385" si="1985">0+0</f>
        <v>0</v>
      </c>
      <c r="K4354" s="22">
        <v>245458.7</v>
      </c>
      <c r="L4354" s="1">
        <f t="shared" si="1979"/>
        <v>245458.7</v>
      </c>
      <c r="M4354" s="2">
        <f t="shared" si="1980"/>
        <v>0</v>
      </c>
      <c r="N4354" s="2">
        <f t="shared" si="1981"/>
        <v>1</v>
      </c>
    </row>
    <row r="4355" spans="1:14" x14ac:dyDescent="0.35">
      <c r="A4355" t="s">
        <v>37</v>
      </c>
      <c r="B4355" t="s">
        <v>27</v>
      </c>
      <c r="C4355">
        <v>2012</v>
      </c>
      <c r="D4355" t="s">
        <v>31</v>
      </c>
      <c r="E4355" s="3">
        <v>0</v>
      </c>
      <c r="F4355" s="9">
        <v>299</v>
      </c>
      <c r="G4355" s="1">
        <f t="shared" si="1982"/>
        <v>299</v>
      </c>
      <c r="H4355" s="2">
        <f t="shared" si="1983"/>
        <v>0</v>
      </c>
      <c r="I4355" s="2">
        <f t="shared" si="1984"/>
        <v>1</v>
      </c>
      <c r="J4355" s="21">
        <f t="shared" si="1985"/>
        <v>0</v>
      </c>
      <c r="K4355" s="4">
        <v>248613.1</v>
      </c>
      <c r="L4355" s="1">
        <f t="shared" ref="L4355:L4418" si="1986">SUM(J4355:K4355)</f>
        <v>248613.1</v>
      </c>
      <c r="M4355" s="2">
        <f t="shared" ref="M4355:M4418" si="1987">SUM(J4355)/L4355</f>
        <v>0</v>
      </c>
      <c r="N4355" s="2">
        <f t="shared" ref="N4355:N4418" si="1988">SUM(K4355/L4355)</f>
        <v>1</v>
      </c>
    </row>
    <row r="4356" spans="1:14" x14ac:dyDescent="0.35">
      <c r="A4356" t="s">
        <v>37</v>
      </c>
      <c r="B4356" t="s">
        <v>28</v>
      </c>
      <c r="C4356">
        <v>2012</v>
      </c>
      <c r="D4356" t="s">
        <v>31</v>
      </c>
      <c r="E4356" s="3">
        <v>0</v>
      </c>
      <c r="F4356" s="9">
        <v>303</v>
      </c>
      <c r="G4356" s="1">
        <f t="shared" si="1982"/>
        <v>303</v>
      </c>
      <c r="H4356" s="2">
        <f t="shared" si="1983"/>
        <v>0</v>
      </c>
      <c r="I4356" s="2">
        <f t="shared" si="1984"/>
        <v>1</v>
      </c>
      <c r="J4356" s="21">
        <f t="shared" si="1985"/>
        <v>0</v>
      </c>
      <c r="K4356" s="4">
        <v>266508.27</v>
      </c>
      <c r="L4356" s="1">
        <f t="shared" si="1986"/>
        <v>266508.27</v>
      </c>
      <c r="M4356" s="2">
        <f t="shared" si="1987"/>
        <v>0</v>
      </c>
      <c r="N4356" s="2">
        <f t="shared" si="1988"/>
        <v>1</v>
      </c>
    </row>
    <row r="4357" spans="1:14" x14ac:dyDescent="0.35">
      <c r="A4357" t="s">
        <v>37</v>
      </c>
      <c r="B4357" t="s">
        <v>29</v>
      </c>
      <c r="C4357">
        <v>2012</v>
      </c>
      <c r="D4357" t="s">
        <v>31</v>
      </c>
      <c r="E4357" s="3">
        <v>0</v>
      </c>
      <c r="F4357" s="9">
        <v>307</v>
      </c>
      <c r="G4357" s="1">
        <f t="shared" si="1982"/>
        <v>307</v>
      </c>
      <c r="H4357" s="2">
        <f t="shared" si="1983"/>
        <v>0</v>
      </c>
      <c r="I4357" s="2">
        <f t="shared" si="1984"/>
        <v>1</v>
      </c>
      <c r="J4357" s="16">
        <f t="shared" si="1985"/>
        <v>0</v>
      </c>
      <c r="K4357" s="6">
        <v>266916.74</v>
      </c>
      <c r="L4357" s="1">
        <f t="shared" si="1986"/>
        <v>266916.74</v>
      </c>
      <c r="M4357" s="2">
        <f t="shared" si="1987"/>
        <v>0</v>
      </c>
      <c r="N4357" s="2">
        <f t="shared" si="1988"/>
        <v>1</v>
      </c>
    </row>
    <row r="4358" spans="1:14" x14ac:dyDescent="0.35">
      <c r="A4358" t="s">
        <v>37</v>
      </c>
      <c r="B4358" t="s">
        <v>17</v>
      </c>
      <c r="C4358">
        <v>2013</v>
      </c>
      <c r="D4358" t="s">
        <v>31</v>
      </c>
      <c r="E4358" s="3">
        <v>0</v>
      </c>
      <c r="F4358" s="3">
        <f>294+29</f>
        <v>323</v>
      </c>
      <c r="G4358" s="1">
        <f t="shared" si="1982"/>
        <v>323</v>
      </c>
      <c r="H4358" s="2">
        <f t="shared" si="1983"/>
        <v>0</v>
      </c>
      <c r="I4358" s="2">
        <f t="shared" si="1984"/>
        <v>1</v>
      </c>
      <c r="J4358" s="16">
        <f t="shared" si="1985"/>
        <v>0</v>
      </c>
      <c r="K4358" s="6">
        <f>42695.83+183827.32</f>
        <v>226523.15000000002</v>
      </c>
      <c r="L4358" s="1">
        <f t="shared" si="1986"/>
        <v>226523.15000000002</v>
      </c>
      <c r="M4358" s="2">
        <f t="shared" si="1987"/>
        <v>0</v>
      </c>
      <c r="N4358" s="2">
        <f t="shared" si="1988"/>
        <v>1</v>
      </c>
    </row>
    <row r="4359" spans="1:14" x14ac:dyDescent="0.35">
      <c r="A4359" t="s">
        <v>37</v>
      </c>
      <c r="B4359" t="s">
        <v>19</v>
      </c>
      <c r="C4359">
        <v>2013</v>
      </c>
      <c r="D4359" t="s">
        <v>31</v>
      </c>
      <c r="E4359" s="3">
        <v>0</v>
      </c>
      <c r="F4359" s="3">
        <f>289+29</f>
        <v>318</v>
      </c>
      <c r="G4359" s="1">
        <f t="shared" si="1982"/>
        <v>318</v>
      </c>
      <c r="H4359" s="2">
        <f t="shared" si="1983"/>
        <v>0</v>
      </c>
      <c r="I4359" s="2">
        <f t="shared" si="1984"/>
        <v>1</v>
      </c>
      <c r="J4359" s="16">
        <f t="shared" si="1985"/>
        <v>0</v>
      </c>
      <c r="K4359" s="6">
        <f>39870.4+183263.14</f>
        <v>223133.54</v>
      </c>
      <c r="L4359" s="1">
        <f t="shared" si="1986"/>
        <v>223133.54</v>
      </c>
      <c r="M4359" s="2">
        <f t="shared" si="1987"/>
        <v>0</v>
      </c>
      <c r="N4359" s="2">
        <f t="shared" si="1988"/>
        <v>1</v>
      </c>
    </row>
    <row r="4360" spans="1:14" x14ac:dyDescent="0.35">
      <c r="A4360" t="s">
        <v>37</v>
      </c>
      <c r="B4360" t="s">
        <v>20</v>
      </c>
      <c r="C4360">
        <v>2013</v>
      </c>
      <c r="D4360" t="s">
        <v>31</v>
      </c>
      <c r="E4360" s="3">
        <v>0</v>
      </c>
      <c r="F4360" s="3">
        <f>274+28</f>
        <v>302</v>
      </c>
      <c r="G4360" s="1">
        <f t="shared" si="1982"/>
        <v>302</v>
      </c>
      <c r="H4360" s="2">
        <f t="shared" si="1983"/>
        <v>0</v>
      </c>
      <c r="I4360" s="2">
        <f t="shared" si="1984"/>
        <v>1</v>
      </c>
      <c r="J4360" s="16">
        <f t="shared" si="1985"/>
        <v>0</v>
      </c>
      <c r="K4360" s="6">
        <f>33879.18+147490.59</f>
        <v>181369.77</v>
      </c>
      <c r="L4360" s="1">
        <f t="shared" si="1986"/>
        <v>181369.77</v>
      </c>
      <c r="M4360" s="2">
        <f t="shared" si="1987"/>
        <v>0</v>
      </c>
      <c r="N4360" s="2">
        <f t="shared" si="1988"/>
        <v>1</v>
      </c>
    </row>
    <row r="4361" spans="1:14" x14ac:dyDescent="0.35">
      <c r="A4361" t="s">
        <v>37</v>
      </c>
      <c r="B4361" t="s">
        <v>21</v>
      </c>
      <c r="C4361">
        <v>2013</v>
      </c>
      <c r="D4361" t="s">
        <v>31</v>
      </c>
      <c r="E4361" s="3">
        <v>0</v>
      </c>
      <c r="F4361" s="9">
        <v>320</v>
      </c>
      <c r="G4361" s="1">
        <f t="shared" si="1982"/>
        <v>320</v>
      </c>
      <c r="H4361" s="2">
        <f t="shared" si="1983"/>
        <v>0</v>
      </c>
      <c r="I4361" s="2">
        <f t="shared" si="1984"/>
        <v>1</v>
      </c>
      <c r="J4361" s="16">
        <f t="shared" si="1985"/>
        <v>0</v>
      </c>
      <c r="K4361" s="6">
        <f>43095.42+211834.04</f>
        <v>254929.46000000002</v>
      </c>
      <c r="L4361" s="1">
        <f t="shared" si="1986"/>
        <v>254929.46000000002</v>
      </c>
      <c r="M4361" s="2">
        <f t="shared" si="1987"/>
        <v>0</v>
      </c>
      <c r="N4361" s="2">
        <f t="shared" si="1988"/>
        <v>1</v>
      </c>
    </row>
    <row r="4362" spans="1:14" x14ac:dyDescent="0.35">
      <c r="A4362" t="s">
        <v>37</v>
      </c>
      <c r="B4362" t="s">
        <v>22</v>
      </c>
      <c r="C4362">
        <v>2013</v>
      </c>
      <c r="D4362" t="s">
        <v>31</v>
      </c>
      <c r="E4362" s="3">
        <v>0</v>
      </c>
      <c r="F4362" s="9">
        <v>329</v>
      </c>
      <c r="G4362" s="1">
        <f t="shared" si="1982"/>
        <v>329</v>
      </c>
      <c r="H4362" s="2">
        <f t="shared" si="1983"/>
        <v>0</v>
      </c>
      <c r="I4362" s="2">
        <f t="shared" si="1984"/>
        <v>1</v>
      </c>
      <c r="J4362" s="16">
        <f t="shared" si="1985"/>
        <v>0</v>
      </c>
      <c r="K4362" s="6">
        <f>42603.39+244229.28</f>
        <v>286832.67</v>
      </c>
      <c r="L4362" s="1">
        <f t="shared" si="1986"/>
        <v>286832.67</v>
      </c>
      <c r="M4362" s="2">
        <f t="shared" si="1987"/>
        <v>0</v>
      </c>
      <c r="N4362" s="2">
        <f t="shared" si="1988"/>
        <v>1</v>
      </c>
    </row>
    <row r="4363" spans="1:14" x14ac:dyDescent="0.35">
      <c r="A4363" t="s">
        <v>37</v>
      </c>
      <c r="B4363" t="s">
        <v>23</v>
      </c>
      <c r="C4363">
        <v>2013</v>
      </c>
      <c r="D4363" t="s">
        <v>31</v>
      </c>
      <c r="E4363" s="3">
        <v>0</v>
      </c>
      <c r="F4363" s="9">
        <v>331</v>
      </c>
      <c r="G4363" s="1">
        <f t="shared" si="1982"/>
        <v>331</v>
      </c>
      <c r="H4363" s="2">
        <f t="shared" si="1983"/>
        <v>0</v>
      </c>
      <c r="I4363" s="2">
        <f t="shared" si="1984"/>
        <v>1</v>
      </c>
      <c r="J4363" s="16">
        <f t="shared" si="1985"/>
        <v>0</v>
      </c>
      <c r="K4363" s="6">
        <f>38828.82+227715.15</f>
        <v>266543.96999999997</v>
      </c>
      <c r="L4363" s="1">
        <f t="shared" si="1986"/>
        <v>266543.96999999997</v>
      </c>
      <c r="M4363" s="2">
        <f t="shared" si="1987"/>
        <v>0</v>
      </c>
      <c r="N4363" s="2">
        <f t="shared" si="1988"/>
        <v>1</v>
      </c>
    </row>
    <row r="4364" spans="1:14" x14ac:dyDescent="0.35">
      <c r="A4364" t="s">
        <v>37</v>
      </c>
      <c r="B4364" t="s">
        <v>24</v>
      </c>
      <c r="C4364">
        <v>2013</v>
      </c>
      <c r="D4364" t="s">
        <v>31</v>
      </c>
      <c r="E4364" s="3">
        <v>0</v>
      </c>
      <c r="F4364" s="9">
        <v>333</v>
      </c>
      <c r="G4364" s="1">
        <f t="shared" si="1982"/>
        <v>333</v>
      </c>
      <c r="H4364" s="2">
        <f t="shared" si="1983"/>
        <v>0</v>
      </c>
      <c r="I4364" s="2">
        <f t="shared" si="1984"/>
        <v>1</v>
      </c>
      <c r="J4364" s="16">
        <f t="shared" si="1985"/>
        <v>0</v>
      </c>
      <c r="K4364" s="6">
        <f>41404.87+225355.95</f>
        <v>266760.82</v>
      </c>
      <c r="L4364" s="1">
        <f t="shared" si="1986"/>
        <v>266760.82</v>
      </c>
      <c r="M4364" s="2">
        <f t="shared" si="1987"/>
        <v>0</v>
      </c>
      <c r="N4364" s="2">
        <f t="shared" si="1988"/>
        <v>1</v>
      </c>
    </row>
    <row r="4365" spans="1:14" x14ac:dyDescent="0.35">
      <c r="A4365" t="s">
        <v>37</v>
      </c>
      <c r="B4365" t="s">
        <v>25</v>
      </c>
      <c r="C4365">
        <v>2013</v>
      </c>
      <c r="D4365" t="s">
        <v>31</v>
      </c>
      <c r="E4365" s="3">
        <v>0</v>
      </c>
      <c r="F4365" s="9">
        <v>342</v>
      </c>
      <c r="G4365" s="1">
        <f t="shared" si="1982"/>
        <v>342</v>
      </c>
      <c r="H4365" s="2">
        <f t="shared" si="1983"/>
        <v>0</v>
      </c>
      <c r="I4365" s="2">
        <f t="shared" si="1984"/>
        <v>1</v>
      </c>
      <c r="J4365" s="16">
        <f t="shared" si="1985"/>
        <v>0</v>
      </c>
      <c r="K4365" s="6">
        <f>28861.92+231621.97</f>
        <v>260483.89</v>
      </c>
      <c r="L4365" s="1">
        <f t="shared" si="1986"/>
        <v>260483.89</v>
      </c>
      <c r="M4365" s="2">
        <f t="shared" si="1987"/>
        <v>0</v>
      </c>
      <c r="N4365" s="2">
        <f t="shared" si="1988"/>
        <v>1</v>
      </c>
    </row>
    <row r="4366" spans="1:14" x14ac:dyDescent="0.35">
      <c r="A4366" t="s">
        <v>37</v>
      </c>
      <c r="B4366" t="s">
        <v>26</v>
      </c>
      <c r="C4366">
        <v>2013</v>
      </c>
      <c r="D4366" t="s">
        <v>31</v>
      </c>
      <c r="E4366" s="3">
        <v>0</v>
      </c>
      <c r="F4366" s="9">
        <v>340</v>
      </c>
      <c r="G4366" s="1">
        <f t="shared" si="1982"/>
        <v>340</v>
      </c>
      <c r="H4366" s="2">
        <f t="shared" si="1983"/>
        <v>0</v>
      </c>
      <c r="I4366" s="2">
        <f t="shared" si="1984"/>
        <v>1</v>
      </c>
      <c r="J4366" s="16">
        <f t="shared" si="1985"/>
        <v>0</v>
      </c>
      <c r="K4366" s="6">
        <f>59740.92+185126.28</f>
        <v>244867.20000000001</v>
      </c>
      <c r="L4366" s="1">
        <f t="shared" si="1986"/>
        <v>244867.20000000001</v>
      </c>
      <c r="M4366" s="2">
        <f t="shared" si="1987"/>
        <v>0</v>
      </c>
      <c r="N4366" s="2">
        <f t="shared" si="1988"/>
        <v>1</v>
      </c>
    </row>
    <row r="4367" spans="1:14" x14ac:dyDescent="0.35">
      <c r="A4367" t="s">
        <v>37</v>
      </c>
      <c r="B4367" t="s">
        <v>27</v>
      </c>
      <c r="C4367">
        <v>2013</v>
      </c>
      <c r="D4367" t="s">
        <v>31</v>
      </c>
      <c r="E4367" s="3">
        <v>0</v>
      </c>
      <c r="F4367" s="9">
        <v>345</v>
      </c>
      <c r="G4367" s="1">
        <f t="shared" si="1982"/>
        <v>345</v>
      </c>
      <c r="H4367" s="2">
        <f t="shared" si="1983"/>
        <v>0</v>
      </c>
      <c r="I4367" s="2">
        <f t="shared" si="1984"/>
        <v>1</v>
      </c>
      <c r="J4367" s="16">
        <f t="shared" si="1985"/>
        <v>0</v>
      </c>
      <c r="K4367" s="6">
        <f>47636.13+242510.98</f>
        <v>290147.11</v>
      </c>
      <c r="L4367" s="1">
        <f t="shared" si="1986"/>
        <v>290147.11</v>
      </c>
      <c r="M4367" s="2">
        <f t="shared" si="1987"/>
        <v>0</v>
      </c>
      <c r="N4367" s="2">
        <f t="shared" si="1988"/>
        <v>1</v>
      </c>
    </row>
    <row r="4368" spans="1:14" x14ac:dyDescent="0.35">
      <c r="A4368" t="s">
        <v>37</v>
      </c>
      <c r="B4368" t="s">
        <v>28</v>
      </c>
      <c r="C4368">
        <v>2013</v>
      </c>
      <c r="D4368" t="s">
        <v>31</v>
      </c>
      <c r="E4368" s="3">
        <v>0</v>
      </c>
      <c r="F4368" s="9">
        <v>345</v>
      </c>
      <c r="G4368" s="1">
        <f t="shared" si="1982"/>
        <v>345</v>
      </c>
      <c r="H4368" s="2">
        <f t="shared" si="1983"/>
        <v>0</v>
      </c>
      <c r="I4368" s="2">
        <f t="shared" si="1984"/>
        <v>1</v>
      </c>
      <c r="J4368" s="16">
        <f t="shared" si="1985"/>
        <v>0</v>
      </c>
      <c r="K4368" s="6">
        <f>39550.65+207146.46</f>
        <v>246697.11</v>
      </c>
      <c r="L4368" s="1">
        <f t="shared" si="1986"/>
        <v>246697.11</v>
      </c>
      <c r="M4368" s="2">
        <f t="shared" si="1987"/>
        <v>0</v>
      </c>
      <c r="N4368" s="2">
        <f t="shared" si="1988"/>
        <v>1</v>
      </c>
    </row>
    <row r="4369" spans="1:14" x14ac:dyDescent="0.35">
      <c r="A4369" t="s">
        <v>37</v>
      </c>
      <c r="B4369" t="s">
        <v>29</v>
      </c>
      <c r="C4369">
        <v>2013</v>
      </c>
      <c r="D4369" t="s">
        <v>31</v>
      </c>
      <c r="E4369" s="3">
        <v>0</v>
      </c>
      <c r="F4369" s="9">
        <v>349</v>
      </c>
      <c r="G4369" s="1">
        <f t="shared" si="1982"/>
        <v>349</v>
      </c>
      <c r="H4369" s="2">
        <f t="shared" si="1983"/>
        <v>0</v>
      </c>
      <c r="I4369" s="2">
        <f t="shared" si="1984"/>
        <v>1</v>
      </c>
      <c r="J4369" s="16">
        <f t="shared" si="1985"/>
        <v>0</v>
      </c>
      <c r="K4369" s="6">
        <f>45541.59+246746.29</f>
        <v>292287.88</v>
      </c>
      <c r="L4369" s="1">
        <f t="shared" si="1986"/>
        <v>292287.88</v>
      </c>
      <c r="M4369" s="2">
        <f t="shared" si="1987"/>
        <v>0</v>
      </c>
      <c r="N4369" s="2">
        <f t="shared" si="1988"/>
        <v>1</v>
      </c>
    </row>
    <row r="4370" spans="1:14" x14ac:dyDescent="0.35">
      <c r="A4370" t="s">
        <v>37</v>
      </c>
      <c r="B4370" t="s">
        <v>17</v>
      </c>
      <c r="C4370">
        <v>2014</v>
      </c>
      <c r="D4370" t="s">
        <v>31</v>
      </c>
      <c r="E4370" s="3">
        <v>0</v>
      </c>
      <c r="F4370" s="9">
        <v>355</v>
      </c>
      <c r="G4370" s="1">
        <f t="shared" si="1982"/>
        <v>355</v>
      </c>
      <c r="H4370" s="2">
        <f t="shared" si="1983"/>
        <v>0</v>
      </c>
      <c r="I4370" s="2">
        <f t="shared" si="1984"/>
        <v>1</v>
      </c>
      <c r="J4370" s="16">
        <f t="shared" si="1985"/>
        <v>0</v>
      </c>
      <c r="K4370" s="6">
        <f>42783.06+222389.31</f>
        <v>265172.37</v>
      </c>
      <c r="L4370" s="1">
        <f t="shared" si="1986"/>
        <v>265172.37</v>
      </c>
      <c r="M4370" s="2">
        <f t="shared" si="1987"/>
        <v>0</v>
      </c>
      <c r="N4370" s="2">
        <f t="shared" si="1988"/>
        <v>1</v>
      </c>
    </row>
    <row r="4371" spans="1:14" x14ac:dyDescent="0.35">
      <c r="A4371" t="s">
        <v>37</v>
      </c>
      <c r="B4371" t="s">
        <v>19</v>
      </c>
      <c r="C4371">
        <v>2014</v>
      </c>
      <c r="D4371" t="s">
        <v>31</v>
      </c>
      <c r="E4371" s="3">
        <v>0</v>
      </c>
      <c r="F4371" s="9">
        <v>358</v>
      </c>
      <c r="G4371" s="1">
        <f t="shared" si="1982"/>
        <v>358</v>
      </c>
      <c r="H4371" s="2">
        <f t="shared" si="1983"/>
        <v>0</v>
      </c>
      <c r="I4371" s="2">
        <f t="shared" si="1984"/>
        <v>1</v>
      </c>
      <c r="J4371" s="16">
        <f t="shared" si="1985"/>
        <v>0</v>
      </c>
      <c r="K4371" s="6">
        <f>41898.84+201661.86</f>
        <v>243560.69999999998</v>
      </c>
      <c r="L4371" s="1">
        <f t="shared" si="1986"/>
        <v>243560.69999999998</v>
      </c>
      <c r="M4371" s="2">
        <f t="shared" si="1987"/>
        <v>0</v>
      </c>
      <c r="N4371" s="2">
        <f t="shared" si="1988"/>
        <v>1</v>
      </c>
    </row>
    <row r="4372" spans="1:14" x14ac:dyDescent="0.35">
      <c r="A4372" t="s">
        <v>37</v>
      </c>
      <c r="B4372" t="s">
        <v>20</v>
      </c>
      <c r="C4372">
        <v>2014</v>
      </c>
      <c r="D4372" t="s">
        <v>31</v>
      </c>
      <c r="E4372" s="3">
        <v>0</v>
      </c>
      <c r="F4372" s="9">
        <v>361</v>
      </c>
      <c r="G4372" s="1">
        <f t="shared" si="1982"/>
        <v>361</v>
      </c>
      <c r="H4372" s="2">
        <f t="shared" si="1983"/>
        <v>0</v>
      </c>
      <c r="I4372" s="2">
        <f t="shared" si="1984"/>
        <v>1</v>
      </c>
      <c r="J4372" s="16">
        <f t="shared" si="1985"/>
        <v>0</v>
      </c>
      <c r="K4372" s="6">
        <f>37442.97+194166.26</f>
        <v>231609.23</v>
      </c>
      <c r="L4372" s="1">
        <f t="shared" si="1986"/>
        <v>231609.23</v>
      </c>
      <c r="M4372" s="2">
        <f t="shared" si="1987"/>
        <v>0</v>
      </c>
      <c r="N4372" s="2">
        <f t="shared" si="1988"/>
        <v>1</v>
      </c>
    </row>
    <row r="4373" spans="1:14" x14ac:dyDescent="0.35">
      <c r="A4373" t="s">
        <v>37</v>
      </c>
      <c r="B4373" t="s">
        <v>21</v>
      </c>
      <c r="C4373">
        <v>2014</v>
      </c>
      <c r="D4373" t="s">
        <v>31</v>
      </c>
      <c r="E4373" s="3">
        <v>0</v>
      </c>
      <c r="F4373" s="9">
        <v>362</v>
      </c>
      <c r="G4373" s="1">
        <f t="shared" si="1982"/>
        <v>362</v>
      </c>
      <c r="H4373" s="2">
        <f t="shared" si="1983"/>
        <v>0</v>
      </c>
      <c r="I4373" s="2">
        <f t="shared" si="1984"/>
        <v>1</v>
      </c>
      <c r="J4373" s="16">
        <f t="shared" si="1985"/>
        <v>0</v>
      </c>
      <c r="K4373" s="6">
        <f>39888.17+224027.14</f>
        <v>263915.31</v>
      </c>
      <c r="L4373" s="1">
        <f t="shared" si="1986"/>
        <v>263915.31</v>
      </c>
      <c r="M4373" s="2">
        <f t="shared" si="1987"/>
        <v>0</v>
      </c>
      <c r="N4373" s="2">
        <f t="shared" si="1988"/>
        <v>1</v>
      </c>
    </row>
    <row r="4374" spans="1:14" x14ac:dyDescent="0.35">
      <c r="A4374" t="s">
        <v>37</v>
      </c>
      <c r="B4374" t="s">
        <v>22</v>
      </c>
      <c r="C4374">
        <v>2014</v>
      </c>
      <c r="D4374" t="s">
        <v>31</v>
      </c>
      <c r="E4374" s="3">
        <v>0</v>
      </c>
      <c r="F4374" s="9">
        <v>373</v>
      </c>
      <c r="G4374" s="1">
        <f t="shared" si="1982"/>
        <v>373</v>
      </c>
      <c r="H4374" s="2">
        <f t="shared" si="1983"/>
        <v>0</v>
      </c>
      <c r="I4374" s="2">
        <f t="shared" si="1984"/>
        <v>1</v>
      </c>
      <c r="J4374" s="16">
        <f t="shared" si="1985"/>
        <v>0</v>
      </c>
      <c r="K4374" s="6">
        <f>36748.01+152065.07</f>
        <v>188813.08000000002</v>
      </c>
      <c r="L4374" s="1">
        <f t="shared" si="1986"/>
        <v>188813.08000000002</v>
      </c>
      <c r="M4374" s="2">
        <f t="shared" si="1987"/>
        <v>0</v>
      </c>
      <c r="N4374" s="2">
        <f t="shared" si="1988"/>
        <v>1</v>
      </c>
    </row>
    <row r="4375" spans="1:14" x14ac:dyDescent="0.35">
      <c r="A4375" t="s">
        <v>37</v>
      </c>
      <c r="B4375" t="s">
        <v>23</v>
      </c>
      <c r="C4375">
        <v>2014</v>
      </c>
      <c r="D4375" t="s">
        <v>31</v>
      </c>
      <c r="E4375" s="3">
        <v>0</v>
      </c>
      <c r="F4375" s="9">
        <v>373</v>
      </c>
      <c r="G4375" s="1">
        <f t="shared" si="1982"/>
        <v>373</v>
      </c>
      <c r="H4375" s="2">
        <f t="shared" si="1983"/>
        <v>0</v>
      </c>
      <c r="I4375" s="2">
        <f t="shared" si="1984"/>
        <v>1</v>
      </c>
      <c r="J4375" s="16">
        <f t="shared" si="1985"/>
        <v>0</v>
      </c>
      <c r="K4375" s="6">
        <f>48961+217115.34</f>
        <v>266076.33999999997</v>
      </c>
      <c r="L4375" s="1">
        <f t="shared" si="1986"/>
        <v>266076.33999999997</v>
      </c>
      <c r="M4375" s="2">
        <f t="shared" si="1987"/>
        <v>0</v>
      </c>
      <c r="N4375" s="2">
        <f t="shared" si="1988"/>
        <v>1</v>
      </c>
    </row>
    <row r="4376" spans="1:14" x14ac:dyDescent="0.35">
      <c r="A4376" t="s">
        <v>37</v>
      </c>
      <c r="B4376" t="s">
        <v>24</v>
      </c>
      <c r="C4376">
        <v>2014</v>
      </c>
      <c r="D4376" t="s">
        <v>31</v>
      </c>
      <c r="E4376" s="3">
        <v>0</v>
      </c>
      <c r="F4376" s="9">
        <v>378</v>
      </c>
      <c r="G4376" s="1">
        <f t="shared" si="1982"/>
        <v>378</v>
      </c>
      <c r="H4376" s="2">
        <f t="shared" si="1983"/>
        <v>0</v>
      </c>
      <c r="I4376" s="2">
        <f t="shared" si="1984"/>
        <v>1</v>
      </c>
      <c r="J4376" s="16">
        <f t="shared" si="1985"/>
        <v>0</v>
      </c>
      <c r="K4376" s="6">
        <f>50075.29+230085.02</f>
        <v>280160.31</v>
      </c>
      <c r="L4376" s="1">
        <f t="shared" si="1986"/>
        <v>280160.31</v>
      </c>
      <c r="M4376" s="2">
        <f t="shared" si="1987"/>
        <v>0</v>
      </c>
      <c r="N4376" s="2">
        <f t="shared" si="1988"/>
        <v>1</v>
      </c>
    </row>
    <row r="4377" spans="1:14" x14ac:dyDescent="0.35">
      <c r="A4377" t="s">
        <v>37</v>
      </c>
      <c r="B4377" t="s">
        <v>25</v>
      </c>
      <c r="C4377">
        <v>2014</v>
      </c>
      <c r="D4377" t="s">
        <v>31</v>
      </c>
      <c r="E4377" s="3">
        <v>0</v>
      </c>
      <c r="F4377" s="9">
        <v>379</v>
      </c>
      <c r="G4377" s="1">
        <f t="shared" si="1982"/>
        <v>379</v>
      </c>
      <c r="H4377" s="2">
        <f t="shared" si="1983"/>
        <v>0</v>
      </c>
      <c r="I4377" s="2">
        <f t="shared" si="1984"/>
        <v>1</v>
      </c>
      <c r="J4377" s="16">
        <f t="shared" si="1985"/>
        <v>0</v>
      </c>
      <c r="K4377" s="6">
        <f>45749.79+236545.17</f>
        <v>282294.96000000002</v>
      </c>
      <c r="L4377" s="1">
        <f t="shared" si="1986"/>
        <v>282294.96000000002</v>
      </c>
      <c r="M4377" s="2">
        <f t="shared" si="1987"/>
        <v>0</v>
      </c>
      <c r="N4377" s="2">
        <f t="shared" si="1988"/>
        <v>1</v>
      </c>
    </row>
    <row r="4378" spans="1:14" x14ac:dyDescent="0.35">
      <c r="A4378" t="s">
        <v>37</v>
      </c>
      <c r="B4378" t="s">
        <v>26</v>
      </c>
      <c r="C4378">
        <v>2014</v>
      </c>
      <c r="D4378" t="s">
        <v>31</v>
      </c>
      <c r="E4378" s="3">
        <v>0</v>
      </c>
      <c r="F4378" s="9">
        <v>381</v>
      </c>
      <c r="G4378" s="1">
        <f t="shared" si="1982"/>
        <v>381</v>
      </c>
      <c r="H4378" s="2">
        <f t="shared" si="1983"/>
        <v>0</v>
      </c>
      <c r="I4378" s="2">
        <f t="shared" si="1984"/>
        <v>1</v>
      </c>
      <c r="J4378" s="16">
        <f t="shared" si="1985"/>
        <v>0</v>
      </c>
      <c r="K4378" s="6">
        <f>49442.02+231324.64</f>
        <v>280766.66000000003</v>
      </c>
      <c r="L4378" s="1">
        <f t="shared" si="1986"/>
        <v>280766.66000000003</v>
      </c>
      <c r="M4378" s="2">
        <f t="shared" si="1987"/>
        <v>0</v>
      </c>
      <c r="N4378" s="2">
        <f t="shared" si="1988"/>
        <v>1</v>
      </c>
    </row>
    <row r="4379" spans="1:14" x14ac:dyDescent="0.35">
      <c r="A4379" t="s">
        <v>37</v>
      </c>
      <c r="B4379" t="s">
        <v>27</v>
      </c>
      <c r="C4379">
        <v>2014</v>
      </c>
      <c r="D4379" t="s">
        <v>31</v>
      </c>
      <c r="E4379" s="3">
        <v>0</v>
      </c>
      <c r="F4379" s="9">
        <v>384</v>
      </c>
      <c r="G4379" s="1">
        <f t="shared" si="1982"/>
        <v>384</v>
      </c>
      <c r="H4379" s="2">
        <f t="shared" si="1983"/>
        <v>0</v>
      </c>
      <c r="I4379" s="2">
        <f t="shared" si="1984"/>
        <v>1</v>
      </c>
      <c r="J4379" s="16">
        <f t="shared" si="1985"/>
        <v>0</v>
      </c>
      <c r="K4379" s="4">
        <v>320516.53000000003</v>
      </c>
      <c r="L4379" s="1">
        <f t="shared" si="1986"/>
        <v>320516.53000000003</v>
      </c>
      <c r="M4379" s="2">
        <f t="shared" si="1987"/>
        <v>0</v>
      </c>
      <c r="N4379" s="2">
        <f t="shared" si="1988"/>
        <v>1</v>
      </c>
    </row>
    <row r="4380" spans="1:14" x14ac:dyDescent="0.35">
      <c r="A4380" t="s">
        <v>37</v>
      </c>
      <c r="B4380" t="s">
        <v>28</v>
      </c>
      <c r="C4380">
        <v>2014</v>
      </c>
      <c r="D4380" t="s">
        <v>31</v>
      </c>
      <c r="E4380" s="3">
        <v>0</v>
      </c>
      <c r="F4380" s="9">
        <v>389</v>
      </c>
      <c r="G4380" s="1">
        <f t="shared" si="1982"/>
        <v>389</v>
      </c>
      <c r="H4380" s="2">
        <f t="shared" si="1983"/>
        <v>0</v>
      </c>
      <c r="I4380" s="2">
        <f t="shared" si="1984"/>
        <v>1</v>
      </c>
      <c r="J4380" s="16">
        <f t="shared" si="1985"/>
        <v>0</v>
      </c>
      <c r="K4380" s="4">
        <v>227060.4</v>
      </c>
      <c r="L4380" s="1">
        <f t="shared" si="1986"/>
        <v>227060.4</v>
      </c>
      <c r="M4380" s="2">
        <f t="shared" si="1987"/>
        <v>0</v>
      </c>
      <c r="N4380" s="2">
        <f t="shared" si="1988"/>
        <v>1</v>
      </c>
    </row>
    <row r="4381" spans="1:14" x14ac:dyDescent="0.35">
      <c r="A4381" t="s">
        <v>37</v>
      </c>
      <c r="B4381" t="s">
        <v>29</v>
      </c>
      <c r="C4381">
        <v>2014</v>
      </c>
      <c r="D4381" t="s">
        <v>31</v>
      </c>
      <c r="E4381" s="3">
        <v>0</v>
      </c>
      <c r="F4381" s="9">
        <v>393</v>
      </c>
      <c r="G4381" s="1">
        <f t="shared" si="1982"/>
        <v>393</v>
      </c>
      <c r="H4381" s="2">
        <f t="shared" si="1983"/>
        <v>0</v>
      </c>
      <c r="I4381" s="2">
        <f t="shared" si="1984"/>
        <v>1</v>
      </c>
      <c r="J4381" s="16">
        <f t="shared" si="1985"/>
        <v>0</v>
      </c>
      <c r="K4381" s="4">
        <v>314617.8</v>
      </c>
      <c r="L4381" s="1">
        <f t="shared" si="1986"/>
        <v>314617.8</v>
      </c>
      <c r="M4381" s="2">
        <f t="shared" si="1987"/>
        <v>0</v>
      </c>
      <c r="N4381" s="2">
        <f t="shared" si="1988"/>
        <v>1</v>
      </c>
    </row>
    <row r="4382" spans="1:14" x14ac:dyDescent="0.35">
      <c r="A4382" t="s">
        <v>37</v>
      </c>
      <c r="B4382" t="s">
        <v>17</v>
      </c>
      <c r="C4382">
        <v>2015</v>
      </c>
      <c r="D4382" t="s">
        <v>31</v>
      </c>
      <c r="E4382" s="3">
        <v>0</v>
      </c>
      <c r="F4382" s="9">
        <v>394</v>
      </c>
      <c r="G4382" s="1">
        <f t="shared" si="1982"/>
        <v>394</v>
      </c>
      <c r="H4382" s="2">
        <f t="shared" si="1983"/>
        <v>0</v>
      </c>
      <c r="I4382" s="2">
        <f t="shared" si="1984"/>
        <v>1</v>
      </c>
      <c r="J4382" s="16">
        <f t="shared" si="1985"/>
        <v>0</v>
      </c>
      <c r="K4382" s="6">
        <f>38350.81+222106.03</f>
        <v>260456.84</v>
      </c>
      <c r="L4382" s="1">
        <f t="shared" si="1986"/>
        <v>260456.84</v>
      </c>
      <c r="M4382" s="2">
        <f t="shared" si="1987"/>
        <v>0</v>
      </c>
      <c r="N4382" s="2">
        <f t="shared" si="1988"/>
        <v>1</v>
      </c>
    </row>
    <row r="4383" spans="1:14" x14ac:dyDescent="0.35">
      <c r="A4383" t="s">
        <v>37</v>
      </c>
      <c r="B4383" t="s">
        <v>19</v>
      </c>
      <c r="C4383">
        <v>2015</v>
      </c>
      <c r="D4383" t="s">
        <v>31</v>
      </c>
      <c r="E4383" s="3">
        <v>0</v>
      </c>
      <c r="F4383" s="9">
        <v>394</v>
      </c>
      <c r="G4383" s="1">
        <f t="shared" si="1982"/>
        <v>394</v>
      </c>
      <c r="H4383" s="2">
        <f t="shared" si="1983"/>
        <v>0</v>
      </c>
      <c r="I4383" s="2">
        <f t="shared" si="1984"/>
        <v>1</v>
      </c>
      <c r="J4383" s="16">
        <f t="shared" si="1985"/>
        <v>0</v>
      </c>
      <c r="K4383" s="6">
        <f>53043.32+201044.4</f>
        <v>254087.72</v>
      </c>
      <c r="L4383" s="1">
        <f t="shared" si="1986"/>
        <v>254087.72</v>
      </c>
      <c r="M4383" s="2">
        <f t="shared" si="1987"/>
        <v>0</v>
      </c>
      <c r="N4383" s="2">
        <f t="shared" si="1988"/>
        <v>1</v>
      </c>
    </row>
    <row r="4384" spans="1:14" x14ac:dyDescent="0.35">
      <c r="A4384" t="s">
        <v>37</v>
      </c>
      <c r="B4384" t="s">
        <v>20</v>
      </c>
      <c r="C4384">
        <v>2015</v>
      </c>
      <c r="D4384" t="s">
        <v>31</v>
      </c>
      <c r="E4384" s="3">
        <v>0</v>
      </c>
      <c r="F4384" s="9">
        <v>395</v>
      </c>
      <c r="G4384" s="1">
        <f t="shared" si="1982"/>
        <v>395</v>
      </c>
      <c r="H4384" s="2">
        <f t="shared" si="1983"/>
        <v>0</v>
      </c>
      <c r="I4384" s="2">
        <f t="shared" si="1984"/>
        <v>1</v>
      </c>
      <c r="J4384" s="16">
        <f t="shared" si="1985"/>
        <v>0</v>
      </c>
      <c r="K4384" s="6">
        <f>42248.71+179677.87</f>
        <v>221926.58</v>
      </c>
      <c r="L4384" s="1">
        <f t="shared" si="1986"/>
        <v>221926.58</v>
      </c>
      <c r="M4384" s="2">
        <f t="shared" si="1987"/>
        <v>0</v>
      </c>
      <c r="N4384" s="2">
        <f t="shared" si="1988"/>
        <v>1</v>
      </c>
    </row>
    <row r="4385" spans="1:14" x14ac:dyDescent="0.35">
      <c r="A4385" t="s">
        <v>37</v>
      </c>
      <c r="B4385" t="s">
        <v>21</v>
      </c>
      <c r="C4385">
        <v>2015</v>
      </c>
      <c r="D4385" t="s">
        <v>31</v>
      </c>
      <c r="E4385" s="3">
        <v>0</v>
      </c>
      <c r="F4385" s="9">
        <v>400</v>
      </c>
      <c r="G4385" s="1">
        <f t="shared" si="1982"/>
        <v>400</v>
      </c>
      <c r="H4385" s="2">
        <f t="shared" si="1983"/>
        <v>0</v>
      </c>
      <c r="I4385" s="2">
        <f t="shared" si="1984"/>
        <v>1</v>
      </c>
      <c r="J4385" s="16">
        <f t="shared" si="1985"/>
        <v>0</v>
      </c>
      <c r="K4385" s="6">
        <f>23525.15+212010.92</f>
        <v>235536.07</v>
      </c>
      <c r="L4385" s="1">
        <f t="shared" si="1986"/>
        <v>235536.07</v>
      </c>
      <c r="M4385" s="2">
        <f t="shared" si="1987"/>
        <v>0</v>
      </c>
      <c r="N4385" s="2">
        <f t="shared" si="1988"/>
        <v>1</v>
      </c>
    </row>
    <row r="4386" spans="1:14" x14ac:dyDescent="0.35">
      <c r="A4386" t="s">
        <v>37</v>
      </c>
      <c r="B4386" t="s">
        <v>22</v>
      </c>
      <c r="C4386">
        <v>2015</v>
      </c>
      <c r="D4386" t="s">
        <v>31</v>
      </c>
      <c r="E4386" s="3">
        <v>0</v>
      </c>
      <c r="F4386" s="9">
        <v>401</v>
      </c>
      <c r="G4386" s="1">
        <f t="shared" si="1982"/>
        <v>401</v>
      </c>
      <c r="H4386" s="2">
        <f t="shared" si="1983"/>
        <v>0</v>
      </c>
      <c r="I4386" s="2">
        <f t="shared" si="1984"/>
        <v>1</v>
      </c>
      <c r="J4386" s="16">
        <f t="shared" ref="J4386:J4417" si="1989">0+0</f>
        <v>0</v>
      </c>
      <c r="K4386" s="6">
        <f>47370.3+235530.2</f>
        <v>282900.5</v>
      </c>
      <c r="L4386" s="1">
        <f t="shared" si="1986"/>
        <v>282900.5</v>
      </c>
      <c r="M4386" s="2">
        <f t="shared" si="1987"/>
        <v>0</v>
      </c>
      <c r="N4386" s="2">
        <f t="shared" si="1988"/>
        <v>1</v>
      </c>
    </row>
    <row r="4387" spans="1:14" x14ac:dyDescent="0.35">
      <c r="A4387" t="s">
        <v>37</v>
      </c>
      <c r="B4387" t="s">
        <v>23</v>
      </c>
      <c r="C4387">
        <v>2015</v>
      </c>
      <c r="D4387" t="s">
        <v>31</v>
      </c>
      <c r="E4387" s="3">
        <v>0</v>
      </c>
      <c r="F4387" s="9">
        <v>405</v>
      </c>
      <c r="G4387" s="1">
        <f t="shared" si="1982"/>
        <v>405</v>
      </c>
      <c r="H4387" s="2">
        <f t="shared" si="1983"/>
        <v>0</v>
      </c>
      <c r="I4387" s="2">
        <f t="shared" si="1984"/>
        <v>1</v>
      </c>
      <c r="J4387" s="16">
        <f t="shared" si="1989"/>
        <v>0</v>
      </c>
      <c r="K4387" s="6">
        <f>41063.2+235515.37</f>
        <v>276578.57</v>
      </c>
      <c r="L4387" s="1">
        <f t="shared" si="1986"/>
        <v>276578.57</v>
      </c>
      <c r="M4387" s="2">
        <f t="shared" si="1987"/>
        <v>0</v>
      </c>
      <c r="N4387" s="2">
        <f t="shared" si="1988"/>
        <v>1</v>
      </c>
    </row>
    <row r="4388" spans="1:14" x14ac:dyDescent="0.35">
      <c r="A4388" t="s">
        <v>37</v>
      </c>
      <c r="B4388" t="s">
        <v>24</v>
      </c>
      <c r="C4388">
        <v>2015</v>
      </c>
      <c r="D4388" t="s">
        <v>31</v>
      </c>
      <c r="E4388" s="3">
        <v>0</v>
      </c>
      <c r="F4388" s="9">
        <f>377+33</f>
        <v>410</v>
      </c>
      <c r="G4388" s="1">
        <f t="shared" si="1982"/>
        <v>410</v>
      </c>
      <c r="H4388" s="2">
        <f t="shared" si="1983"/>
        <v>0</v>
      </c>
      <c r="I4388" s="2">
        <f t="shared" si="1984"/>
        <v>1</v>
      </c>
      <c r="J4388" s="16">
        <f t="shared" si="1989"/>
        <v>0</v>
      </c>
      <c r="K4388" s="6">
        <f>35878.17+238215.32</f>
        <v>274093.49</v>
      </c>
      <c r="L4388" s="1">
        <f t="shared" si="1986"/>
        <v>274093.49</v>
      </c>
      <c r="M4388" s="2">
        <f t="shared" si="1987"/>
        <v>0</v>
      </c>
      <c r="N4388" s="2">
        <f t="shared" si="1988"/>
        <v>1</v>
      </c>
    </row>
    <row r="4389" spans="1:14" x14ac:dyDescent="0.35">
      <c r="A4389" t="s">
        <v>37</v>
      </c>
      <c r="B4389" t="s">
        <v>25</v>
      </c>
      <c r="C4389">
        <v>2015</v>
      </c>
      <c r="D4389" t="s">
        <v>31</v>
      </c>
      <c r="E4389" s="3">
        <v>0</v>
      </c>
      <c r="F4389" s="9">
        <f>381+33</f>
        <v>414</v>
      </c>
      <c r="G4389" s="1">
        <f t="shared" si="1982"/>
        <v>414</v>
      </c>
      <c r="H4389" s="2">
        <f t="shared" si="1983"/>
        <v>0</v>
      </c>
      <c r="I4389" s="2">
        <f t="shared" si="1984"/>
        <v>1</v>
      </c>
      <c r="J4389" s="16">
        <f t="shared" si="1989"/>
        <v>0</v>
      </c>
      <c r="K4389" s="6">
        <f>57178.71+212549.99</f>
        <v>269728.7</v>
      </c>
      <c r="L4389" s="1">
        <f t="shared" si="1986"/>
        <v>269728.7</v>
      </c>
      <c r="M4389" s="2">
        <f t="shared" si="1987"/>
        <v>0</v>
      </c>
      <c r="N4389" s="2">
        <f t="shared" si="1988"/>
        <v>1</v>
      </c>
    </row>
    <row r="4390" spans="1:14" x14ac:dyDescent="0.35">
      <c r="A4390" t="s">
        <v>37</v>
      </c>
      <c r="B4390" t="s">
        <v>26</v>
      </c>
      <c r="C4390">
        <v>2015</v>
      </c>
      <c r="D4390" t="s">
        <v>31</v>
      </c>
      <c r="E4390" s="3">
        <v>0</v>
      </c>
      <c r="F4390" s="9">
        <f>383+33</f>
        <v>416</v>
      </c>
      <c r="G4390" s="1">
        <f t="shared" si="1982"/>
        <v>416</v>
      </c>
      <c r="H4390" s="2">
        <f t="shared" si="1983"/>
        <v>0</v>
      </c>
      <c r="I4390" s="2">
        <f t="shared" si="1984"/>
        <v>1</v>
      </c>
      <c r="J4390" s="16">
        <f t="shared" si="1989"/>
        <v>0</v>
      </c>
      <c r="K4390" s="6">
        <f>45564.26+222456.75</f>
        <v>268021.01</v>
      </c>
      <c r="L4390" s="1">
        <f t="shared" si="1986"/>
        <v>268021.01</v>
      </c>
      <c r="M4390" s="2">
        <f t="shared" si="1987"/>
        <v>0</v>
      </c>
      <c r="N4390" s="2">
        <f t="shared" si="1988"/>
        <v>1</v>
      </c>
    </row>
    <row r="4391" spans="1:14" x14ac:dyDescent="0.35">
      <c r="A4391" t="s">
        <v>37</v>
      </c>
      <c r="B4391" t="s">
        <v>27</v>
      </c>
      <c r="C4391">
        <v>2015</v>
      </c>
      <c r="D4391" t="s">
        <v>31</v>
      </c>
      <c r="E4391" s="3">
        <v>0</v>
      </c>
      <c r="F4391" s="9">
        <f>390+33</f>
        <v>423</v>
      </c>
      <c r="G4391" s="1">
        <f t="shared" si="1982"/>
        <v>423</v>
      </c>
      <c r="H4391" s="2">
        <f t="shared" si="1983"/>
        <v>0</v>
      </c>
      <c r="I4391" s="2">
        <f t="shared" si="1984"/>
        <v>1</v>
      </c>
      <c r="J4391" s="16">
        <f t="shared" si="1989"/>
        <v>0</v>
      </c>
      <c r="K4391" s="6">
        <f>51525.59+216944.42</f>
        <v>268470.01</v>
      </c>
      <c r="L4391" s="1">
        <f t="shared" si="1986"/>
        <v>268470.01</v>
      </c>
      <c r="M4391" s="2">
        <f t="shared" si="1987"/>
        <v>0</v>
      </c>
      <c r="N4391" s="2">
        <f t="shared" si="1988"/>
        <v>1</v>
      </c>
    </row>
    <row r="4392" spans="1:14" x14ac:dyDescent="0.35">
      <c r="A4392" t="s">
        <v>37</v>
      </c>
      <c r="B4392" t="s">
        <v>28</v>
      </c>
      <c r="C4392">
        <v>2015</v>
      </c>
      <c r="D4392" t="s">
        <v>31</v>
      </c>
      <c r="E4392" s="3">
        <v>0</v>
      </c>
      <c r="F4392" s="9">
        <f>392+33</f>
        <v>425</v>
      </c>
      <c r="G4392" s="1">
        <f t="shared" si="1982"/>
        <v>425</v>
      </c>
      <c r="H4392" s="2">
        <f t="shared" si="1983"/>
        <v>0</v>
      </c>
      <c r="I4392" s="2">
        <f t="shared" si="1984"/>
        <v>1</v>
      </c>
      <c r="J4392" s="16">
        <f t="shared" si="1989"/>
        <v>0</v>
      </c>
      <c r="K4392" s="6">
        <f>51395.16+262356.59</f>
        <v>313751.75</v>
      </c>
      <c r="L4392" s="1">
        <f t="shared" si="1986"/>
        <v>313751.75</v>
      </c>
      <c r="M4392" s="2">
        <f t="shared" si="1987"/>
        <v>0</v>
      </c>
      <c r="N4392" s="2">
        <f t="shared" si="1988"/>
        <v>1</v>
      </c>
    </row>
    <row r="4393" spans="1:14" x14ac:dyDescent="0.35">
      <c r="A4393" t="s">
        <v>37</v>
      </c>
      <c r="B4393" t="s">
        <v>29</v>
      </c>
      <c r="C4393">
        <v>2015</v>
      </c>
      <c r="D4393" t="s">
        <v>31</v>
      </c>
      <c r="E4393" s="3">
        <v>0</v>
      </c>
      <c r="F4393" s="9">
        <f>394+33</f>
        <v>427</v>
      </c>
      <c r="G4393" s="1">
        <f t="shared" si="1982"/>
        <v>427</v>
      </c>
      <c r="H4393" s="2">
        <f t="shared" si="1983"/>
        <v>0</v>
      </c>
      <c r="I4393" s="2">
        <f t="shared" si="1984"/>
        <v>1</v>
      </c>
      <c r="J4393" s="16">
        <f t="shared" si="1989"/>
        <v>0</v>
      </c>
      <c r="K4393" s="6">
        <f>52010.41+253512.76</f>
        <v>305523.17000000004</v>
      </c>
      <c r="L4393" s="1">
        <f t="shared" si="1986"/>
        <v>305523.17000000004</v>
      </c>
      <c r="M4393" s="2">
        <f t="shared" si="1987"/>
        <v>0</v>
      </c>
      <c r="N4393" s="2">
        <f t="shared" si="1988"/>
        <v>1</v>
      </c>
    </row>
    <row r="4394" spans="1:14" x14ac:dyDescent="0.35">
      <c r="A4394" t="s">
        <v>37</v>
      </c>
      <c r="B4394" t="s">
        <v>17</v>
      </c>
      <c r="C4394">
        <v>2016</v>
      </c>
      <c r="D4394" t="s">
        <v>31</v>
      </c>
      <c r="E4394" s="3">
        <v>0</v>
      </c>
      <c r="F4394" s="9">
        <f>396+35</f>
        <v>431</v>
      </c>
      <c r="G4394" s="1">
        <f t="shared" si="1982"/>
        <v>431</v>
      </c>
      <c r="H4394" s="2">
        <f t="shared" si="1983"/>
        <v>0</v>
      </c>
      <c r="I4394" s="2">
        <f t="shared" si="1984"/>
        <v>1</v>
      </c>
      <c r="J4394" s="16">
        <f t="shared" si="1989"/>
        <v>0</v>
      </c>
      <c r="K4394" s="6">
        <f>46415.84+237080.46</f>
        <v>283496.3</v>
      </c>
      <c r="L4394" s="1">
        <f t="shared" si="1986"/>
        <v>283496.3</v>
      </c>
      <c r="M4394" s="2">
        <f t="shared" si="1987"/>
        <v>0</v>
      </c>
      <c r="N4394" s="2">
        <f t="shared" si="1988"/>
        <v>1</v>
      </c>
    </row>
    <row r="4395" spans="1:14" x14ac:dyDescent="0.35">
      <c r="A4395" t="s">
        <v>37</v>
      </c>
      <c r="B4395" t="s">
        <v>19</v>
      </c>
      <c r="C4395">
        <v>2016</v>
      </c>
      <c r="D4395" t="s">
        <v>31</v>
      </c>
      <c r="E4395" s="3">
        <v>0</v>
      </c>
      <c r="F4395" s="9">
        <f>396+36</f>
        <v>432</v>
      </c>
      <c r="G4395" s="1">
        <f t="shared" si="1982"/>
        <v>432</v>
      </c>
      <c r="H4395" s="2">
        <f t="shared" si="1983"/>
        <v>0</v>
      </c>
      <c r="I4395" s="2">
        <f t="shared" si="1984"/>
        <v>1</v>
      </c>
      <c r="J4395" s="16">
        <f t="shared" si="1989"/>
        <v>0</v>
      </c>
      <c r="K4395" s="6">
        <f>46108.52+193566.92</f>
        <v>239675.44</v>
      </c>
      <c r="L4395" s="1">
        <f t="shared" si="1986"/>
        <v>239675.44</v>
      </c>
      <c r="M4395" s="2">
        <f t="shared" si="1987"/>
        <v>0</v>
      </c>
      <c r="N4395" s="2">
        <f t="shared" si="1988"/>
        <v>1</v>
      </c>
    </row>
    <row r="4396" spans="1:14" x14ac:dyDescent="0.35">
      <c r="A4396" t="s">
        <v>37</v>
      </c>
      <c r="B4396" t="s">
        <v>20</v>
      </c>
      <c r="C4396">
        <v>2016</v>
      </c>
      <c r="D4396" t="s">
        <v>31</v>
      </c>
      <c r="E4396" s="3">
        <v>0</v>
      </c>
      <c r="F4396" s="9">
        <f>402+36</f>
        <v>438</v>
      </c>
      <c r="G4396" s="1">
        <f t="shared" si="1982"/>
        <v>438</v>
      </c>
      <c r="H4396" s="2">
        <f t="shared" si="1983"/>
        <v>0</v>
      </c>
      <c r="I4396" s="2">
        <f t="shared" si="1984"/>
        <v>1</v>
      </c>
      <c r="J4396" s="16">
        <f t="shared" si="1989"/>
        <v>0</v>
      </c>
      <c r="K4396" s="6">
        <f>47799.34+238213.47</f>
        <v>286012.81</v>
      </c>
      <c r="L4396" s="1">
        <f t="shared" si="1986"/>
        <v>286012.81</v>
      </c>
      <c r="M4396" s="2">
        <f t="shared" si="1987"/>
        <v>0</v>
      </c>
      <c r="N4396" s="2">
        <f t="shared" si="1988"/>
        <v>1</v>
      </c>
    </row>
    <row r="4397" spans="1:14" x14ac:dyDescent="0.35">
      <c r="A4397" t="s">
        <v>37</v>
      </c>
      <c r="B4397" t="s">
        <v>21</v>
      </c>
      <c r="C4397">
        <v>2016</v>
      </c>
      <c r="D4397" t="s">
        <v>31</v>
      </c>
      <c r="E4397" s="3">
        <v>0</v>
      </c>
      <c r="F4397" s="9">
        <f>405+36</f>
        <v>441</v>
      </c>
      <c r="G4397" s="1">
        <f t="shared" si="1982"/>
        <v>441</v>
      </c>
      <c r="H4397" s="2">
        <f t="shared" si="1983"/>
        <v>0</v>
      </c>
      <c r="I4397" s="2">
        <f t="shared" si="1984"/>
        <v>1</v>
      </c>
      <c r="J4397" s="16">
        <f t="shared" si="1989"/>
        <v>0</v>
      </c>
      <c r="K4397" s="6">
        <f>49485.43+240460.39</f>
        <v>289945.82</v>
      </c>
      <c r="L4397" s="1">
        <f t="shared" si="1986"/>
        <v>289945.82</v>
      </c>
      <c r="M4397" s="2">
        <f t="shared" si="1987"/>
        <v>0</v>
      </c>
      <c r="N4397" s="2">
        <f t="shared" si="1988"/>
        <v>1</v>
      </c>
    </row>
    <row r="4398" spans="1:14" x14ac:dyDescent="0.35">
      <c r="A4398" t="s">
        <v>37</v>
      </c>
      <c r="B4398" t="s">
        <v>22</v>
      </c>
      <c r="C4398">
        <v>2016</v>
      </c>
      <c r="D4398" t="s">
        <v>31</v>
      </c>
      <c r="E4398" s="3">
        <v>0</v>
      </c>
      <c r="F4398" s="9">
        <f>403+38</f>
        <v>441</v>
      </c>
      <c r="G4398" s="1">
        <f t="shared" si="1982"/>
        <v>441</v>
      </c>
      <c r="H4398" s="2">
        <f t="shared" si="1983"/>
        <v>0</v>
      </c>
      <c r="I4398" s="2">
        <f t="shared" si="1984"/>
        <v>1</v>
      </c>
      <c r="J4398" s="16">
        <f t="shared" si="1989"/>
        <v>0</v>
      </c>
      <c r="K4398" s="6">
        <f>49281.9+206181.53</f>
        <v>255463.43</v>
      </c>
      <c r="L4398" s="1">
        <f t="shared" si="1986"/>
        <v>255463.43</v>
      </c>
      <c r="M4398" s="2">
        <f t="shared" si="1987"/>
        <v>0</v>
      </c>
      <c r="N4398" s="2">
        <f t="shared" si="1988"/>
        <v>1</v>
      </c>
    </row>
    <row r="4399" spans="1:14" x14ac:dyDescent="0.35">
      <c r="A4399" t="s">
        <v>37</v>
      </c>
      <c r="B4399" t="s">
        <v>23</v>
      </c>
      <c r="C4399">
        <v>2016</v>
      </c>
      <c r="D4399" t="s">
        <v>31</v>
      </c>
      <c r="E4399" s="3">
        <v>0</v>
      </c>
      <c r="F4399" s="9">
        <f>402+40</f>
        <v>442</v>
      </c>
      <c r="G4399" s="1">
        <f t="shared" si="1982"/>
        <v>442</v>
      </c>
      <c r="H4399" s="2">
        <f t="shared" si="1983"/>
        <v>0</v>
      </c>
      <c r="I4399" s="2">
        <f t="shared" si="1984"/>
        <v>1</v>
      </c>
      <c r="J4399" s="16">
        <f t="shared" si="1989"/>
        <v>0</v>
      </c>
      <c r="K4399" s="6">
        <f>54727.33+241945.45</f>
        <v>296672.78000000003</v>
      </c>
      <c r="L4399" s="1">
        <f t="shared" si="1986"/>
        <v>296672.78000000003</v>
      </c>
      <c r="M4399" s="2">
        <f t="shared" si="1987"/>
        <v>0</v>
      </c>
      <c r="N4399" s="2">
        <f t="shared" si="1988"/>
        <v>1</v>
      </c>
    </row>
    <row r="4400" spans="1:14" x14ac:dyDescent="0.35">
      <c r="A4400" t="s">
        <v>37</v>
      </c>
      <c r="B4400" t="s">
        <v>24</v>
      </c>
      <c r="C4400">
        <v>2016</v>
      </c>
      <c r="D4400" t="s">
        <v>31</v>
      </c>
      <c r="E4400" s="3">
        <v>0</v>
      </c>
      <c r="F4400" s="9">
        <f>406+40</f>
        <v>446</v>
      </c>
      <c r="G4400" s="1">
        <f t="shared" si="1982"/>
        <v>446</v>
      </c>
      <c r="H4400" s="2">
        <f t="shared" si="1983"/>
        <v>0</v>
      </c>
      <c r="I4400" s="2">
        <f t="shared" si="1984"/>
        <v>1</v>
      </c>
      <c r="J4400" s="16">
        <f t="shared" si="1989"/>
        <v>0</v>
      </c>
      <c r="K4400" s="6">
        <f>57133.41+210479.72</f>
        <v>267613.13</v>
      </c>
      <c r="L4400" s="1">
        <f t="shared" si="1986"/>
        <v>267613.13</v>
      </c>
      <c r="M4400" s="2">
        <f t="shared" si="1987"/>
        <v>0</v>
      </c>
      <c r="N4400" s="2">
        <f t="shared" si="1988"/>
        <v>1</v>
      </c>
    </row>
    <row r="4401" spans="1:14" x14ac:dyDescent="0.35">
      <c r="A4401" t="s">
        <v>37</v>
      </c>
      <c r="B4401" t="s">
        <v>25</v>
      </c>
      <c r="C4401">
        <v>2016</v>
      </c>
      <c r="D4401" t="s">
        <v>31</v>
      </c>
      <c r="E4401" s="3">
        <v>0</v>
      </c>
      <c r="F4401" s="9">
        <f>409+42</f>
        <v>451</v>
      </c>
      <c r="G4401" s="1">
        <f t="shared" si="1982"/>
        <v>451</v>
      </c>
      <c r="H4401" s="2">
        <f t="shared" si="1983"/>
        <v>0</v>
      </c>
      <c r="I4401" s="2">
        <f t="shared" si="1984"/>
        <v>1</v>
      </c>
      <c r="J4401" s="16">
        <f t="shared" si="1989"/>
        <v>0</v>
      </c>
      <c r="K4401" s="6">
        <f>58424.38+260671.39</f>
        <v>319095.77</v>
      </c>
      <c r="L4401" s="1">
        <f t="shared" si="1986"/>
        <v>319095.77</v>
      </c>
      <c r="M4401" s="2">
        <f t="shared" si="1987"/>
        <v>0</v>
      </c>
      <c r="N4401" s="2">
        <f t="shared" si="1988"/>
        <v>1</v>
      </c>
    </row>
    <row r="4402" spans="1:14" x14ac:dyDescent="0.35">
      <c r="A4402" t="s">
        <v>37</v>
      </c>
      <c r="B4402" t="s">
        <v>26</v>
      </c>
      <c r="C4402">
        <v>2016</v>
      </c>
      <c r="D4402" t="s">
        <v>31</v>
      </c>
      <c r="E4402" s="3">
        <v>0</v>
      </c>
      <c r="F4402" s="9">
        <f>408+42</f>
        <v>450</v>
      </c>
      <c r="G4402" s="1">
        <f t="shared" si="1982"/>
        <v>450</v>
      </c>
      <c r="H4402" s="2">
        <f t="shared" si="1983"/>
        <v>0</v>
      </c>
      <c r="I4402" s="2">
        <f t="shared" si="1984"/>
        <v>1</v>
      </c>
      <c r="J4402" s="16">
        <f t="shared" si="1989"/>
        <v>0</v>
      </c>
      <c r="K4402" s="6">
        <f>51319.59+222133.12</f>
        <v>273452.70999999996</v>
      </c>
      <c r="L4402" s="1">
        <f t="shared" si="1986"/>
        <v>273452.70999999996</v>
      </c>
      <c r="M4402" s="2">
        <f t="shared" si="1987"/>
        <v>0</v>
      </c>
      <c r="N4402" s="2">
        <f t="shared" si="1988"/>
        <v>1</v>
      </c>
    </row>
    <row r="4403" spans="1:14" x14ac:dyDescent="0.35">
      <c r="A4403" t="s">
        <v>37</v>
      </c>
      <c r="B4403" t="s">
        <v>27</v>
      </c>
      <c r="C4403">
        <v>2016</v>
      </c>
      <c r="D4403" t="s">
        <v>31</v>
      </c>
      <c r="E4403" s="3">
        <v>0</v>
      </c>
      <c r="F4403" s="9">
        <f>407+42</f>
        <v>449</v>
      </c>
      <c r="G4403" s="1">
        <f t="shared" si="1982"/>
        <v>449</v>
      </c>
      <c r="H4403" s="2">
        <f t="shared" si="1983"/>
        <v>0</v>
      </c>
      <c r="I4403" s="2">
        <f t="shared" si="1984"/>
        <v>1</v>
      </c>
      <c r="J4403" s="16">
        <f t="shared" si="1989"/>
        <v>0</v>
      </c>
      <c r="K4403" s="6">
        <f>56191.88+249431.68</f>
        <v>305623.56</v>
      </c>
      <c r="L4403" s="1">
        <f t="shared" si="1986"/>
        <v>305623.56</v>
      </c>
      <c r="M4403" s="2">
        <f t="shared" si="1987"/>
        <v>0</v>
      </c>
      <c r="N4403" s="2">
        <f t="shared" si="1988"/>
        <v>1</v>
      </c>
    </row>
    <row r="4404" spans="1:14" x14ac:dyDescent="0.35">
      <c r="A4404" t="s">
        <v>37</v>
      </c>
      <c r="B4404" t="s">
        <v>28</v>
      </c>
      <c r="C4404">
        <v>2016</v>
      </c>
      <c r="D4404" t="s">
        <v>31</v>
      </c>
      <c r="E4404" s="3">
        <v>0</v>
      </c>
      <c r="F4404" s="9">
        <f>413+42</f>
        <v>455</v>
      </c>
      <c r="G4404" s="1">
        <f t="shared" si="1982"/>
        <v>455</v>
      </c>
      <c r="H4404" s="2">
        <f t="shared" si="1983"/>
        <v>0</v>
      </c>
      <c r="I4404" s="2">
        <f t="shared" si="1984"/>
        <v>1</v>
      </c>
      <c r="J4404" s="16">
        <f t="shared" si="1989"/>
        <v>0</v>
      </c>
      <c r="K4404" s="6">
        <f>57425.94+296193.06</f>
        <v>353619</v>
      </c>
      <c r="L4404" s="1">
        <f t="shared" si="1986"/>
        <v>353619</v>
      </c>
      <c r="M4404" s="2">
        <f t="shared" si="1987"/>
        <v>0</v>
      </c>
      <c r="N4404" s="2">
        <f t="shared" si="1988"/>
        <v>1</v>
      </c>
    </row>
    <row r="4405" spans="1:14" x14ac:dyDescent="0.35">
      <c r="A4405" t="s">
        <v>37</v>
      </c>
      <c r="B4405" t="s">
        <v>29</v>
      </c>
      <c r="C4405">
        <v>2016</v>
      </c>
      <c r="D4405" t="s">
        <v>31</v>
      </c>
      <c r="E4405" s="3">
        <v>0</v>
      </c>
      <c r="F4405" s="9">
        <f>415+43</f>
        <v>458</v>
      </c>
      <c r="G4405" s="1">
        <f t="shared" si="1982"/>
        <v>458</v>
      </c>
      <c r="H4405" s="2">
        <f t="shared" si="1983"/>
        <v>0</v>
      </c>
      <c r="I4405" s="2">
        <f t="shared" si="1984"/>
        <v>1</v>
      </c>
      <c r="J4405" s="16">
        <f t="shared" si="1989"/>
        <v>0</v>
      </c>
      <c r="K4405" s="6">
        <f>55165.96+226976.37</f>
        <v>282142.33</v>
      </c>
      <c r="L4405" s="1">
        <f t="shared" si="1986"/>
        <v>282142.33</v>
      </c>
      <c r="M4405" s="2">
        <f t="shared" si="1987"/>
        <v>0</v>
      </c>
      <c r="N4405" s="2">
        <f t="shared" si="1988"/>
        <v>1</v>
      </c>
    </row>
    <row r="4406" spans="1:14" x14ac:dyDescent="0.35">
      <c r="A4406" t="s">
        <v>37</v>
      </c>
      <c r="B4406" t="s">
        <v>17</v>
      </c>
      <c r="C4406">
        <v>2017</v>
      </c>
      <c r="D4406" t="s">
        <v>31</v>
      </c>
      <c r="E4406" s="3">
        <v>0</v>
      </c>
      <c r="F4406" s="9">
        <f>419+43</f>
        <v>462</v>
      </c>
      <c r="G4406" s="1">
        <f t="shared" si="1982"/>
        <v>462</v>
      </c>
      <c r="H4406" s="2">
        <f t="shared" si="1983"/>
        <v>0</v>
      </c>
      <c r="I4406" s="2">
        <f t="shared" si="1984"/>
        <v>1</v>
      </c>
      <c r="J4406" s="16">
        <f t="shared" si="1989"/>
        <v>0</v>
      </c>
      <c r="K4406" s="6">
        <f>57277+232600.91</f>
        <v>289877.91000000003</v>
      </c>
      <c r="L4406" s="1">
        <f t="shared" si="1986"/>
        <v>289877.91000000003</v>
      </c>
      <c r="M4406" s="2">
        <f t="shared" si="1987"/>
        <v>0</v>
      </c>
      <c r="N4406" s="2">
        <f t="shared" si="1988"/>
        <v>1</v>
      </c>
    </row>
    <row r="4407" spans="1:14" x14ac:dyDescent="0.35">
      <c r="A4407" t="s">
        <v>37</v>
      </c>
      <c r="B4407" t="s">
        <v>19</v>
      </c>
      <c r="C4407">
        <v>2017</v>
      </c>
      <c r="D4407" t="s">
        <v>31</v>
      </c>
      <c r="E4407" s="3">
        <v>0</v>
      </c>
      <c r="F4407" s="9">
        <f>420+43</f>
        <v>463</v>
      </c>
      <c r="G4407" s="1">
        <f t="shared" ref="G4407:G4470" si="1990">SUM(E4407:F4407)</f>
        <v>463</v>
      </c>
      <c r="H4407" s="2">
        <f t="shared" ref="H4407:H4470" si="1991">SUM(E4407)/G4407</f>
        <v>0</v>
      </c>
      <c r="I4407" s="2">
        <f t="shared" ref="I4407:I4470" si="1992">SUM(F4407/G4407)</f>
        <v>1</v>
      </c>
      <c r="J4407" s="16">
        <f t="shared" si="1989"/>
        <v>0</v>
      </c>
      <c r="K4407" s="6">
        <f>58413+223462.58</f>
        <v>281875.57999999996</v>
      </c>
      <c r="L4407" s="1">
        <f t="shared" si="1986"/>
        <v>281875.57999999996</v>
      </c>
      <c r="M4407" s="2">
        <f t="shared" si="1987"/>
        <v>0</v>
      </c>
      <c r="N4407" s="2">
        <f t="shared" si="1988"/>
        <v>1</v>
      </c>
    </row>
    <row r="4408" spans="1:14" x14ac:dyDescent="0.35">
      <c r="A4408" t="s">
        <v>37</v>
      </c>
      <c r="B4408" t="s">
        <v>20</v>
      </c>
      <c r="C4408">
        <v>2017</v>
      </c>
      <c r="D4408" t="s">
        <v>31</v>
      </c>
      <c r="E4408" s="3">
        <v>0</v>
      </c>
      <c r="F4408" s="9">
        <f>424+43</f>
        <v>467</v>
      </c>
      <c r="G4408" s="1">
        <f t="shared" si="1990"/>
        <v>467</v>
      </c>
      <c r="H4408" s="2">
        <f t="shared" si="1991"/>
        <v>0</v>
      </c>
      <c r="I4408" s="2">
        <f t="shared" si="1992"/>
        <v>1</v>
      </c>
      <c r="J4408" s="16">
        <f t="shared" si="1989"/>
        <v>0</v>
      </c>
      <c r="K4408" s="6">
        <f>57545.2+219929.26</f>
        <v>277474.46000000002</v>
      </c>
      <c r="L4408" s="1">
        <f t="shared" si="1986"/>
        <v>277474.46000000002</v>
      </c>
      <c r="M4408" s="2">
        <f t="shared" si="1987"/>
        <v>0</v>
      </c>
      <c r="N4408" s="2">
        <f t="shared" si="1988"/>
        <v>1</v>
      </c>
    </row>
    <row r="4409" spans="1:14" x14ac:dyDescent="0.35">
      <c r="A4409" t="s">
        <v>37</v>
      </c>
      <c r="B4409" t="s">
        <v>21</v>
      </c>
      <c r="C4409">
        <v>2017</v>
      </c>
      <c r="D4409" t="s">
        <v>31</v>
      </c>
      <c r="E4409" s="3">
        <v>0</v>
      </c>
      <c r="F4409" s="9">
        <f>425+44</f>
        <v>469</v>
      </c>
      <c r="G4409" s="1">
        <f t="shared" si="1990"/>
        <v>469</v>
      </c>
      <c r="H4409" s="2">
        <f t="shared" si="1991"/>
        <v>0</v>
      </c>
      <c r="I4409" s="2">
        <f t="shared" si="1992"/>
        <v>1</v>
      </c>
      <c r="J4409" s="16">
        <f t="shared" si="1989"/>
        <v>0</v>
      </c>
      <c r="K4409" s="4">
        <f>59673.52+237378.79</f>
        <v>297052.31</v>
      </c>
      <c r="L4409" s="1">
        <f t="shared" si="1986"/>
        <v>297052.31</v>
      </c>
      <c r="M4409" s="2">
        <f t="shared" si="1987"/>
        <v>0</v>
      </c>
      <c r="N4409" s="2">
        <f t="shared" si="1988"/>
        <v>1</v>
      </c>
    </row>
    <row r="4410" spans="1:14" x14ac:dyDescent="0.35">
      <c r="A4410" t="s">
        <v>37</v>
      </c>
      <c r="B4410" t="s">
        <v>22</v>
      </c>
      <c r="C4410">
        <v>2017</v>
      </c>
      <c r="D4410" t="s">
        <v>31</v>
      </c>
      <c r="E4410" s="3">
        <v>0</v>
      </c>
      <c r="F4410" s="9">
        <f>429+46</f>
        <v>475</v>
      </c>
      <c r="G4410" s="1">
        <f t="shared" si="1990"/>
        <v>475</v>
      </c>
      <c r="H4410" s="2">
        <f t="shared" si="1991"/>
        <v>0</v>
      </c>
      <c r="I4410" s="2">
        <f t="shared" si="1992"/>
        <v>1</v>
      </c>
      <c r="J4410" s="16">
        <f t="shared" si="1989"/>
        <v>0</v>
      </c>
      <c r="K4410" s="4">
        <f>61109.52+268411.83</f>
        <v>329521.35000000003</v>
      </c>
      <c r="L4410" s="1">
        <f t="shared" si="1986"/>
        <v>329521.35000000003</v>
      </c>
      <c r="M4410" s="2">
        <f t="shared" si="1987"/>
        <v>0</v>
      </c>
      <c r="N4410" s="2">
        <f t="shared" si="1988"/>
        <v>1</v>
      </c>
    </row>
    <row r="4411" spans="1:14" x14ac:dyDescent="0.35">
      <c r="A4411" t="s">
        <v>37</v>
      </c>
      <c r="B4411" t="s">
        <v>23</v>
      </c>
      <c r="C4411">
        <v>2017</v>
      </c>
      <c r="D4411" t="s">
        <v>31</v>
      </c>
      <c r="E4411" s="3">
        <v>0</v>
      </c>
      <c r="F4411" s="9">
        <f>432+46</f>
        <v>478</v>
      </c>
      <c r="G4411" s="1">
        <f t="shared" si="1990"/>
        <v>478</v>
      </c>
      <c r="H4411" s="2">
        <f t="shared" si="1991"/>
        <v>0</v>
      </c>
      <c r="I4411" s="2">
        <f t="shared" si="1992"/>
        <v>1</v>
      </c>
      <c r="J4411" s="16">
        <f t="shared" si="1989"/>
        <v>0</v>
      </c>
      <c r="K4411" s="4">
        <f>64696.08+268826.89</f>
        <v>333522.97000000003</v>
      </c>
      <c r="L4411" s="1">
        <f t="shared" si="1986"/>
        <v>333522.97000000003</v>
      </c>
      <c r="M4411" s="2">
        <f t="shared" si="1987"/>
        <v>0</v>
      </c>
      <c r="N4411" s="2">
        <f t="shared" si="1988"/>
        <v>1</v>
      </c>
    </row>
    <row r="4412" spans="1:14" x14ac:dyDescent="0.35">
      <c r="A4412" t="s">
        <v>37</v>
      </c>
      <c r="B4412" t="s">
        <v>24</v>
      </c>
      <c r="C4412">
        <v>2017</v>
      </c>
      <c r="D4412" t="s">
        <v>31</v>
      </c>
      <c r="E4412" s="3">
        <v>0</v>
      </c>
      <c r="F4412" s="9">
        <f>435+46</f>
        <v>481</v>
      </c>
      <c r="G4412" s="1">
        <f t="shared" si="1990"/>
        <v>481</v>
      </c>
      <c r="H4412" s="2">
        <f t="shared" si="1991"/>
        <v>0</v>
      </c>
      <c r="I4412" s="2">
        <f t="shared" si="1992"/>
        <v>1</v>
      </c>
      <c r="J4412" s="16">
        <f t="shared" si="1989"/>
        <v>0</v>
      </c>
      <c r="K4412" s="4">
        <f>66529.47+277683.81</f>
        <v>344213.28</v>
      </c>
      <c r="L4412" s="1">
        <f t="shared" si="1986"/>
        <v>344213.28</v>
      </c>
      <c r="M4412" s="2">
        <f t="shared" si="1987"/>
        <v>0</v>
      </c>
      <c r="N4412" s="2">
        <f t="shared" si="1988"/>
        <v>1</v>
      </c>
    </row>
    <row r="4413" spans="1:14" x14ac:dyDescent="0.35">
      <c r="A4413" t="s">
        <v>37</v>
      </c>
      <c r="B4413" t="s">
        <v>25</v>
      </c>
      <c r="C4413">
        <v>2017</v>
      </c>
      <c r="D4413" t="s">
        <v>31</v>
      </c>
      <c r="E4413" s="3">
        <v>0</v>
      </c>
      <c r="F4413" s="9">
        <f>438+46</f>
        <v>484</v>
      </c>
      <c r="G4413" s="1">
        <f t="shared" si="1990"/>
        <v>484</v>
      </c>
      <c r="H4413" s="2">
        <f t="shared" si="1991"/>
        <v>0</v>
      </c>
      <c r="I4413" s="2">
        <f t="shared" si="1992"/>
        <v>1</v>
      </c>
      <c r="J4413" s="16">
        <f t="shared" si="1989"/>
        <v>0</v>
      </c>
      <c r="K4413" s="4">
        <f>68605.38+270136.62</f>
        <v>338742</v>
      </c>
      <c r="L4413" s="1">
        <f t="shared" si="1986"/>
        <v>338742</v>
      </c>
      <c r="M4413" s="2">
        <f t="shared" si="1987"/>
        <v>0</v>
      </c>
      <c r="N4413" s="2">
        <f t="shared" si="1988"/>
        <v>1</v>
      </c>
    </row>
    <row r="4414" spans="1:14" x14ac:dyDescent="0.35">
      <c r="A4414" t="s">
        <v>37</v>
      </c>
      <c r="B4414" t="s">
        <v>26</v>
      </c>
      <c r="C4414">
        <v>2017</v>
      </c>
      <c r="D4414" t="s">
        <v>31</v>
      </c>
      <c r="E4414" s="3">
        <v>0</v>
      </c>
      <c r="F4414" s="9">
        <f>435+46</f>
        <v>481</v>
      </c>
      <c r="G4414" s="1">
        <f t="shared" si="1990"/>
        <v>481</v>
      </c>
      <c r="H4414" s="2">
        <f t="shared" si="1991"/>
        <v>0</v>
      </c>
      <c r="I4414" s="2">
        <f t="shared" si="1992"/>
        <v>1</v>
      </c>
      <c r="J4414" s="16">
        <f t="shared" si="1989"/>
        <v>0</v>
      </c>
      <c r="K4414" s="4">
        <f>68645.92+268864</f>
        <v>337509.92</v>
      </c>
      <c r="L4414" s="1">
        <f t="shared" si="1986"/>
        <v>337509.92</v>
      </c>
      <c r="M4414" s="2">
        <f t="shared" si="1987"/>
        <v>0</v>
      </c>
      <c r="N4414" s="2">
        <f t="shared" si="1988"/>
        <v>1</v>
      </c>
    </row>
    <row r="4415" spans="1:14" x14ac:dyDescent="0.35">
      <c r="A4415" t="s">
        <v>37</v>
      </c>
      <c r="B4415" t="s">
        <v>27</v>
      </c>
      <c r="C4415">
        <v>2017</v>
      </c>
      <c r="D4415" t="s">
        <v>31</v>
      </c>
      <c r="E4415" s="3">
        <v>0</v>
      </c>
      <c r="F4415" s="9">
        <f>451+47</f>
        <v>498</v>
      </c>
      <c r="G4415" s="1">
        <f t="shared" si="1990"/>
        <v>498</v>
      </c>
      <c r="H4415" s="2">
        <f t="shared" si="1991"/>
        <v>0</v>
      </c>
      <c r="I4415" s="2">
        <f t="shared" si="1992"/>
        <v>1</v>
      </c>
      <c r="J4415" s="16">
        <f t="shared" si="1989"/>
        <v>0</v>
      </c>
      <c r="K4415" s="4">
        <f>69423.54+285122.88</f>
        <v>354546.42</v>
      </c>
      <c r="L4415" s="1">
        <f t="shared" si="1986"/>
        <v>354546.42</v>
      </c>
      <c r="M4415" s="2">
        <f t="shared" si="1987"/>
        <v>0</v>
      </c>
      <c r="N4415" s="2">
        <f t="shared" si="1988"/>
        <v>1</v>
      </c>
    </row>
    <row r="4416" spans="1:14" x14ac:dyDescent="0.35">
      <c r="A4416" t="s">
        <v>37</v>
      </c>
      <c r="B4416" t="s">
        <v>28</v>
      </c>
      <c r="C4416">
        <v>2017</v>
      </c>
      <c r="D4416" t="s">
        <v>31</v>
      </c>
      <c r="E4416" s="3">
        <v>0</v>
      </c>
      <c r="F4416" s="9">
        <f>457+47</f>
        <v>504</v>
      </c>
      <c r="G4416" s="1">
        <f t="shared" si="1990"/>
        <v>504</v>
      </c>
      <c r="H4416" s="2">
        <f t="shared" si="1991"/>
        <v>0</v>
      </c>
      <c r="I4416" s="2">
        <f t="shared" si="1992"/>
        <v>1</v>
      </c>
      <c r="J4416" s="16">
        <f t="shared" si="1989"/>
        <v>0</v>
      </c>
      <c r="K4416" s="4">
        <f>71523.55+293550.09</f>
        <v>365073.64</v>
      </c>
      <c r="L4416" s="1">
        <f t="shared" si="1986"/>
        <v>365073.64</v>
      </c>
      <c r="M4416" s="2">
        <f t="shared" si="1987"/>
        <v>0</v>
      </c>
      <c r="N4416" s="2">
        <f t="shared" si="1988"/>
        <v>1</v>
      </c>
    </row>
    <row r="4417" spans="1:14" x14ac:dyDescent="0.35">
      <c r="A4417" t="s">
        <v>37</v>
      </c>
      <c r="B4417" t="s">
        <v>29</v>
      </c>
      <c r="C4417">
        <v>2017</v>
      </c>
      <c r="D4417" t="s">
        <v>31</v>
      </c>
      <c r="E4417" s="3">
        <v>0</v>
      </c>
      <c r="F4417" s="9">
        <f>456+47</f>
        <v>503</v>
      </c>
      <c r="G4417" s="1">
        <f t="shared" si="1990"/>
        <v>503</v>
      </c>
      <c r="H4417" s="2">
        <f t="shared" si="1991"/>
        <v>0</v>
      </c>
      <c r="I4417" s="2">
        <f t="shared" si="1992"/>
        <v>1</v>
      </c>
      <c r="J4417" s="16">
        <f t="shared" si="1989"/>
        <v>0</v>
      </c>
      <c r="K4417" s="4">
        <f>73111.22+290922.33</f>
        <v>364033.55000000005</v>
      </c>
      <c r="L4417" s="1">
        <f t="shared" si="1986"/>
        <v>364033.55000000005</v>
      </c>
      <c r="M4417" s="2">
        <f t="shared" si="1987"/>
        <v>0</v>
      </c>
      <c r="N4417" s="2">
        <f t="shared" si="1988"/>
        <v>1</v>
      </c>
    </row>
    <row r="4418" spans="1:14" x14ac:dyDescent="0.35">
      <c r="A4418" t="s">
        <v>37</v>
      </c>
      <c r="B4418" t="s">
        <v>17</v>
      </c>
      <c r="C4418">
        <v>2002</v>
      </c>
      <c r="D4418" t="s">
        <v>32</v>
      </c>
      <c r="E4418" s="8">
        <v>14790</v>
      </c>
      <c r="F4418" s="8">
        <v>246</v>
      </c>
      <c r="G4418" s="1">
        <f t="shared" si="1990"/>
        <v>15036</v>
      </c>
      <c r="H4418" s="2">
        <f t="shared" si="1991"/>
        <v>0.98363926576217076</v>
      </c>
      <c r="I4418" s="2">
        <f t="shared" si="1992"/>
        <v>1.6360734237829209E-2</v>
      </c>
      <c r="J4418" s="4">
        <v>4253.9080000000004</v>
      </c>
      <c r="K4418" s="4">
        <v>772.79</v>
      </c>
      <c r="L4418" s="1">
        <f t="shared" si="1986"/>
        <v>5026.6980000000003</v>
      </c>
      <c r="M4418" s="2">
        <f t="shared" si="1987"/>
        <v>0.84626289464773896</v>
      </c>
      <c r="N4418" s="2">
        <f t="shared" si="1988"/>
        <v>0.15373710535226104</v>
      </c>
    </row>
    <row r="4419" spans="1:14" x14ac:dyDescent="0.35">
      <c r="A4419" t="s">
        <v>37</v>
      </c>
      <c r="B4419" t="s">
        <v>19</v>
      </c>
      <c r="C4419">
        <v>2002</v>
      </c>
      <c r="D4419" t="s">
        <v>32</v>
      </c>
      <c r="E4419" s="3">
        <v>14326</v>
      </c>
      <c r="F4419" s="8">
        <v>244</v>
      </c>
      <c r="G4419" s="1">
        <f t="shared" si="1990"/>
        <v>14570</v>
      </c>
      <c r="H4419" s="2">
        <f t="shared" si="1991"/>
        <v>0.98325326012354153</v>
      </c>
      <c r="I4419" s="2">
        <f t="shared" si="1992"/>
        <v>1.6746739876458475E-2</v>
      </c>
      <c r="J4419" s="4">
        <v>3808.663</v>
      </c>
      <c r="K4419" s="4">
        <v>726.51200000000006</v>
      </c>
      <c r="L4419" s="1">
        <f t="shared" ref="L4419:L4482" si="1993">SUM(J4419:K4419)</f>
        <v>4535.1750000000002</v>
      </c>
      <c r="M4419" s="2">
        <f t="shared" ref="M4419:M4482" si="1994">SUM(J4419)/L4419</f>
        <v>0.83980507918658043</v>
      </c>
      <c r="N4419" s="2">
        <f t="shared" ref="N4419:N4482" si="1995">SUM(K4419/L4419)</f>
        <v>0.16019492081341954</v>
      </c>
    </row>
    <row r="4420" spans="1:14" x14ac:dyDescent="0.35">
      <c r="A4420" t="s">
        <v>37</v>
      </c>
      <c r="B4420" t="s">
        <v>20</v>
      </c>
      <c r="C4420">
        <v>2002</v>
      </c>
      <c r="D4420" t="s">
        <v>32</v>
      </c>
      <c r="E4420" s="3">
        <v>13974</v>
      </c>
      <c r="F4420" s="8">
        <v>366</v>
      </c>
      <c r="G4420" s="1">
        <f t="shared" si="1990"/>
        <v>14340</v>
      </c>
      <c r="H4420" s="2">
        <f t="shared" si="1991"/>
        <v>0.97447698744769873</v>
      </c>
      <c r="I4420" s="2">
        <f t="shared" si="1992"/>
        <v>2.5523012552301255E-2</v>
      </c>
      <c r="J4420" s="4">
        <v>3585.2649999999999</v>
      </c>
      <c r="K4420" s="4">
        <v>898.99799999999993</v>
      </c>
      <c r="L4420" s="1">
        <f t="shared" si="1993"/>
        <v>4484.2629999999999</v>
      </c>
      <c r="M4420" s="2">
        <f t="shared" si="1994"/>
        <v>0.79952157132621349</v>
      </c>
      <c r="N4420" s="2">
        <f t="shared" si="1995"/>
        <v>0.20047842867378651</v>
      </c>
    </row>
    <row r="4421" spans="1:14" x14ac:dyDescent="0.35">
      <c r="A4421" t="s">
        <v>37</v>
      </c>
      <c r="B4421" t="s">
        <v>21</v>
      </c>
      <c r="C4421">
        <v>2002</v>
      </c>
      <c r="D4421" t="s">
        <v>32</v>
      </c>
      <c r="E4421" s="3">
        <v>14104</v>
      </c>
      <c r="F4421" s="8">
        <v>407</v>
      </c>
      <c r="G4421" s="1">
        <f t="shared" si="1990"/>
        <v>14511</v>
      </c>
      <c r="H4421" s="2">
        <f t="shared" si="1991"/>
        <v>0.97195231203914267</v>
      </c>
      <c r="I4421" s="2">
        <f t="shared" si="1992"/>
        <v>2.8047687960857281E-2</v>
      </c>
      <c r="J4421" s="4">
        <v>3726.6979999999999</v>
      </c>
      <c r="K4421" s="4">
        <v>945.2109999999999</v>
      </c>
      <c r="L4421" s="1">
        <f t="shared" si="1993"/>
        <v>4671.9089999999997</v>
      </c>
      <c r="M4421" s="2">
        <f t="shared" si="1994"/>
        <v>0.79768206101617134</v>
      </c>
      <c r="N4421" s="2">
        <f t="shared" si="1995"/>
        <v>0.20231793898382866</v>
      </c>
    </row>
    <row r="4422" spans="1:14" x14ac:dyDescent="0.35">
      <c r="A4422" t="s">
        <v>37</v>
      </c>
      <c r="B4422" t="s">
        <v>22</v>
      </c>
      <c r="C4422">
        <v>2002</v>
      </c>
      <c r="D4422" t="s">
        <v>32</v>
      </c>
      <c r="E4422" s="3">
        <v>14017</v>
      </c>
      <c r="F4422" s="8">
        <v>410</v>
      </c>
      <c r="G4422" s="1">
        <f t="shared" si="1990"/>
        <v>14427</v>
      </c>
      <c r="H4422" s="2">
        <f t="shared" si="1991"/>
        <v>0.97158106328412008</v>
      </c>
      <c r="I4422" s="2">
        <f t="shared" si="1992"/>
        <v>2.8418936715879948E-2</v>
      </c>
      <c r="J4422" s="4">
        <v>3651.87</v>
      </c>
      <c r="K4422" s="4">
        <v>954.59399999999994</v>
      </c>
      <c r="L4422" s="1">
        <f t="shared" si="1993"/>
        <v>4606.4639999999999</v>
      </c>
      <c r="M4422" s="2">
        <f t="shared" si="1994"/>
        <v>0.792770767339113</v>
      </c>
      <c r="N4422" s="2">
        <f t="shared" si="1995"/>
        <v>0.20722923266088694</v>
      </c>
    </row>
    <row r="4423" spans="1:14" x14ac:dyDescent="0.35">
      <c r="A4423" t="s">
        <v>37</v>
      </c>
      <c r="B4423" t="s">
        <v>23</v>
      </c>
      <c r="C4423">
        <v>2002</v>
      </c>
      <c r="D4423" t="s">
        <v>32</v>
      </c>
      <c r="E4423" s="3">
        <v>13057</v>
      </c>
      <c r="F4423" s="8">
        <v>419</v>
      </c>
      <c r="G4423" s="1">
        <f t="shared" si="1990"/>
        <v>13476</v>
      </c>
      <c r="H4423" s="2">
        <f t="shared" si="1991"/>
        <v>0.96890768774116953</v>
      </c>
      <c r="I4423" s="2">
        <f t="shared" si="1992"/>
        <v>3.1092312258830513E-2</v>
      </c>
      <c r="J4423" s="4">
        <v>3796.335</v>
      </c>
      <c r="K4423" s="4">
        <v>978.47399999999993</v>
      </c>
      <c r="L4423" s="1">
        <f t="shared" si="1993"/>
        <v>4774.8090000000002</v>
      </c>
      <c r="M4423" s="2">
        <f t="shared" si="1994"/>
        <v>0.79507578208887519</v>
      </c>
      <c r="N4423" s="2">
        <f t="shared" si="1995"/>
        <v>0.20492421791112481</v>
      </c>
    </row>
    <row r="4424" spans="1:14" x14ac:dyDescent="0.35">
      <c r="A4424" t="s">
        <v>37</v>
      </c>
      <c r="B4424" t="s">
        <v>24</v>
      </c>
      <c r="C4424">
        <v>2002</v>
      </c>
      <c r="D4424" t="s">
        <v>32</v>
      </c>
      <c r="E4424" s="3">
        <v>13679</v>
      </c>
      <c r="F4424" s="8">
        <v>472</v>
      </c>
      <c r="G4424" s="1">
        <f t="shared" si="1990"/>
        <v>14151</v>
      </c>
      <c r="H4424" s="2">
        <f t="shared" si="1991"/>
        <v>0.96664546675146634</v>
      </c>
      <c r="I4424" s="2">
        <f t="shared" si="1992"/>
        <v>3.3354533248533672E-2</v>
      </c>
      <c r="J4424" s="4">
        <v>3684.741</v>
      </c>
      <c r="K4424" s="4">
        <v>971.36899999999991</v>
      </c>
      <c r="L4424" s="1">
        <f t="shared" si="1993"/>
        <v>4656.1099999999997</v>
      </c>
      <c r="M4424" s="2">
        <f t="shared" si="1994"/>
        <v>0.79137756625165645</v>
      </c>
      <c r="N4424" s="2">
        <f t="shared" si="1995"/>
        <v>0.20862243374834358</v>
      </c>
    </row>
    <row r="4425" spans="1:14" x14ac:dyDescent="0.35">
      <c r="A4425" t="s">
        <v>37</v>
      </c>
      <c r="B4425" t="s">
        <v>25</v>
      </c>
      <c r="C4425">
        <v>2002</v>
      </c>
      <c r="D4425" t="s">
        <v>32</v>
      </c>
      <c r="E4425" s="3">
        <v>13847</v>
      </c>
      <c r="F4425" s="8">
        <v>510</v>
      </c>
      <c r="G4425" s="1">
        <f t="shared" si="1990"/>
        <v>14357</v>
      </c>
      <c r="H4425" s="2">
        <f t="shared" si="1991"/>
        <v>0.96447725848018384</v>
      </c>
      <c r="I4425" s="2">
        <f t="shared" si="1992"/>
        <v>3.5522741519816117E-2</v>
      </c>
      <c r="J4425" s="4">
        <v>3697.88</v>
      </c>
      <c r="K4425" s="4">
        <v>965.92</v>
      </c>
      <c r="L4425" s="1">
        <f t="shared" si="1993"/>
        <v>4663.8</v>
      </c>
      <c r="M4425" s="2">
        <f t="shared" si="1994"/>
        <v>0.7928899180925425</v>
      </c>
      <c r="N4425" s="2">
        <f t="shared" si="1995"/>
        <v>0.20711008190745742</v>
      </c>
    </row>
    <row r="4426" spans="1:14" x14ac:dyDescent="0.35">
      <c r="A4426" t="s">
        <v>37</v>
      </c>
      <c r="B4426" t="s">
        <v>26</v>
      </c>
      <c r="C4426">
        <v>2002</v>
      </c>
      <c r="D4426" t="s">
        <v>32</v>
      </c>
      <c r="E4426" s="3">
        <v>13768</v>
      </c>
      <c r="F4426" s="8">
        <v>527</v>
      </c>
      <c r="G4426" s="1">
        <f t="shared" si="1990"/>
        <v>14295</v>
      </c>
      <c r="H4426" s="2">
        <f t="shared" si="1991"/>
        <v>0.96313396292409936</v>
      </c>
      <c r="I4426" s="2">
        <f t="shared" si="1992"/>
        <v>3.6866037075900665E-2</v>
      </c>
      <c r="J4426" s="4">
        <v>3676.71</v>
      </c>
      <c r="K4426" s="4">
        <v>973.41</v>
      </c>
      <c r="L4426" s="1">
        <f t="shared" si="1993"/>
        <v>4650.12</v>
      </c>
      <c r="M4426" s="2">
        <f t="shared" si="1994"/>
        <v>0.79066991819565946</v>
      </c>
      <c r="N4426" s="2">
        <f t="shared" si="1995"/>
        <v>0.20933008180434054</v>
      </c>
    </row>
    <row r="4427" spans="1:14" x14ac:dyDescent="0.35">
      <c r="A4427" t="s">
        <v>37</v>
      </c>
      <c r="B4427" t="s">
        <v>27</v>
      </c>
      <c r="C4427">
        <v>2002</v>
      </c>
      <c r="D4427" t="s">
        <v>32</v>
      </c>
      <c r="E4427" s="3">
        <v>13734</v>
      </c>
      <c r="F4427" s="8">
        <v>527</v>
      </c>
      <c r="G4427" s="1">
        <f t="shared" si="1990"/>
        <v>14261</v>
      </c>
      <c r="H4427" s="2">
        <f t="shared" si="1991"/>
        <v>0.96304606970058204</v>
      </c>
      <c r="I4427" s="2">
        <f t="shared" si="1992"/>
        <v>3.6953930299417993E-2</v>
      </c>
      <c r="J4427" s="4">
        <v>3685.68</v>
      </c>
      <c r="K4427" s="4">
        <v>985.33</v>
      </c>
      <c r="L4427" s="1">
        <f t="shared" si="1993"/>
        <v>4671.01</v>
      </c>
      <c r="M4427" s="2">
        <f t="shared" si="1994"/>
        <v>0.78905418742413302</v>
      </c>
      <c r="N4427" s="2">
        <f t="shared" si="1995"/>
        <v>0.21094581257586689</v>
      </c>
    </row>
    <row r="4428" spans="1:14" x14ac:dyDescent="0.35">
      <c r="A4428" t="s">
        <v>37</v>
      </c>
      <c r="B4428" t="s">
        <v>28</v>
      </c>
      <c r="C4428">
        <v>2002</v>
      </c>
      <c r="D4428" t="s">
        <v>32</v>
      </c>
      <c r="E4428" s="3">
        <v>13675</v>
      </c>
      <c r="F4428" s="8">
        <v>528</v>
      </c>
      <c r="G4428" s="1">
        <f t="shared" si="1990"/>
        <v>14203</v>
      </c>
      <c r="H4428" s="2">
        <f t="shared" si="1991"/>
        <v>0.9628247553333803</v>
      </c>
      <c r="I4428" s="2">
        <f t="shared" si="1992"/>
        <v>3.7175244666619728E-2</v>
      </c>
      <c r="J4428" s="4">
        <v>3698.11</v>
      </c>
      <c r="K4428" s="4">
        <v>987.91</v>
      </c>
      <c r="L4428" s="1">
        <f t="shared" si="1993"/>
        <v>4686.0200000000004</v>
      </c>
      <c r="M4428" s="2">
        <f t="shared" si="1994"/>
        <v>0.78917930354543941</v>
      </c>
      <c r="N4428" s="2">
        <f t="shared" si="1995"/>
        <v>0.21082069645456056</v>
      </c>
    </row>
    <row r="4429" spans="1:14" x14ac:dyDescent="0.35">
      <c r="A4429" t="s">
        <v>37</v>
      </c>
      <c r="B4429" t="s">
        <v>29</v>
      </c>
      <c r="C4429">
        <v>2002</v>
      </c>
      <c r="D4429" t="s">
        <v>32</v>
      </c>
      <c r="E4429" s="8">
        <v>13625</v>
      </c>
      <c r="F4429" s="8">
        <v>540</v>
      </c>
      <c r="G4429" s="1">
        <f t="shared" si="1990"/>
        <v>14165</v>
      </c>
      <c r="H4429" s="2">
        <f t="shared" si="1991"/>
        <v>0.96187786798446873</v>
      </c>
      <c r="I4429" s="2">
        <f t="shared" si="1992"/>
        <v>3.8122132015531239E-2</v>
      </c>
      <c r="J4429" s="4">
        <v>3635.5</v>
      </c>
      <c r="K4429" s="4">
        <v>1047.05</v>
      </c>
      <c r="L4429" s="1">
        <f t="shared" si="1993"/>
        <v>4682.55</v>
      </c>
      <c r="M4429" s="2">
        <f t="shared" si="1994"/>
        <v>0.77639320455734584</v>
      </c>
      <c r="N4429" s="2">
        <f t="shared" si="1995"/>
        <v>0.22360679544265408</v>
      </c>
    </row>
    <row r="4430" spans="1:14" x14ac:dyDescent="0.35">
      <c r="A4430" t="s">
        <v>37</v>
      </c>
      <c r="B4430" t="s">
        <v>17</v>
      </c>
      <c r="C4430">
        <v>2003</v>
      </c>
      <c r="D4430" t="s">
        <v>32</v>
      </c>
      <c r="E4430" s="8">
        <f>13438</f>
        <v>13438</v>
      </c>
      <c r="F4430" s="8">
        <v>549</v>
      </c>
      <c r="G4430" s="1">
        <f t="shared" si="1990"/>
        <v>13987</v>
      </c>
      <c r="H4430" s="2">
        <f t="shared" si="1991"/>
        <v>0.96074926717666409</v>
      </c>
      <c r="I4430" s="2">
        <f t="shared" si="1992"/>
        <v>3.9250732823335951E-2</v>
      </c>
      <c r="J4430" s="4">
        <f>3685</f>
        <v>3685</v>
      </c>
      <c r="K4430" s="4">
        <v>1050</v>
      </c>
      <c r="L4430" s="1">
        <f t="shared" si="1993"/>
        <v>4735</v>
      </c>
      <c r="M4430" s="2">
        <f t="shared" si="1994"/>
        <v>0.77824709609292497</v>
      </c>
      <c r="N4430" s="2">
        <f t="shared" si="1995"/>
        <v>0.22175290390707497</v>
      </c>
    </row>
    <row r="4431" spans="1:14" x14ac:dyDescent="0.35">
      <c r="A4431" t="s">
        <v>37</v>
      </c>
      <c r="B4431" t="s">
        <v>19</v>
      </c>
      <c r="C4431">
        <v>2003</v>
      </c>
      <c r="D4431" t="s">
        <v>32</v>
      </c>
      <c r="E4431" s="3">
        <v>13356</v>
      </c>
      <c r="F4431" s="8">
        <v>543</v>
      </c>
      <c r="G4431" s="1">
        <f t="shared" si="1990"/>
        <v>13899</v>
      </c>
      <c r="H4431" s="2">
        <f t="shared" si="1991"/>
        <v>0.96093244118281895</v>
      </c>
      <c r="I4431" s="2">
        <f t="shared" si="1992"/>
        <v>3.9067558817181089E-2</v>
      </c>
      <c r="J4431" s="4">
        <f>3655</f>
        <v>3655</v>
      </c>
      <c r="K4431" s="4">
        <v>1038</v>
      </c>
      <c r="L4431" s="1">
        <f t="shared" si="1993"/>
        <v>4693</v>
      </c>
      <c r="M4431" s="2">
        <f t="shared" si="1994"/>
        <v>0.77881951843170683</v>
      </c>
      <c r="N4431" s="2">
        <f t="shared" si="1995"/>
        <v>0.2211804815682932</v>
      </c>
    </row>
    <row r="4432" spans="1:14" x14ac:dyDescent="0.35">
      <c r="A4432" t="s">
        <v>37</v>
      </c>
      <c r="B4432" t="s">
        <v>20</v>
      </c>
      <c r="C4432">
        <v>2003</v>
      </c>
      <c r="D4432" t="s">
        <v>32</v>
      </c>
      <c r="E4432" s="3">
        <v>13476</v>
      </c>
      <c r="F4432" s="8">
        <v>541</v>
      </c>
      <c r="G4432" s="1">
        <f t="shared" si="1990"/>
        <v>14017</v>
      </c>
      <c r="H4432" s="2">
        <f t="shared" si="1991"/>
        <v>0.96140400941713633</v>
      </c>
      <c r="I4432" s="2">
        <f t="shared" si="1992"/>
        <v>3.8595990582863664E-2</v>
      </c>
      <c r="J4432" s="4">
        <v>3781</v>
      </c>
      <c r="K4432" s="4">
        <v>1024</v>
      </c>
      <c r="L4432" s="1">
        <f t="shared" si="1993"/>
        <v>4805</v>
      </c>
      <c r="M4432" s="2">
        <f t="shared" si="1994"/>
        <v>0.78688865764828309</v>
      </c>
      <c r="N4432" s="2">
        <f t="shared" si="1995"/>
        <v>0.21311134235171697</v>
      </c>
    </row>
    <row r="4433" spans="1:14" x14ac:dyDescent="0.35">
      <c r="A4433" t="s">
        <v>37</v>
      </c>
      <c r="B4433" t="s">
        <v>21</v>
      </c>
      <c r="C4433">
        <v>2003</v>
      </c>
      <c r="D4433" t="s">
        <v>32</v>
      </c>
      <c r="E4433" s="3">
        <v>13471</v>
      </c>
      <c r="F4433" s="8">
        <v>515</v>
      </c>
      <c r="G4433" s="1">
        <f t="shared" si="1990"/>
        <v>13986</v>
      </c>
      <c r="H4433" s="2">
        <f t="shared" si="1991"/>
        <v>0.96317746317746322</v>
      </c>
      <c r="I4433" s="2">
        <f t="shared" si="1992"/>
        <v>3.6822536822536819E-2</v>
      </c>
      <c r="J4433" s="4">
        <v>3781</v>
      </c>
      <c r="K4433" s="4">
        <v>1024</v>
      </c>
      <c r="L4433" s="1">
        <f t="shared" si="1993"/>
        <v>4805</v>
      </c>
      <c r="M4433" s="2">
        <f t="shared" si="1994"/>
        <v>0.78688865764828309</v>
      </c>
      <c r="N4433" s="2">
        <f t="shared" si="1995"/>
        <v>0.21311134235171697</v>
      </c>
    </row>
    <row r="4434" spans="1:14" x14ac:dyDescent="0.35">
      <c r="A4434" t="s">
        <v>37</v>
      </c>
      <c r="B4434" t="s">
        <v>22</v>
      </c>
      <c r="C4434">
        <v>2003</v>
      </c>
      <c r="D4434" t="s">
        <v>32</v>
      </c>
      <c r="E4434" s="3">
        <v>13380</v>
      </c>
      <c r="F4434" s="8">
        <v>519</v>
      </c>
      <c r="G4434" s="1">
        <f t="shared" si="1990"/>
        <v>13899</v>
      </c>
      <c r="H4434" s="2">
        <f t="shared" si="1991"/>
        <v>0.96265918411396501</v>
      </c>
      <c r="I4434" s="2">
        <f t="shared" si="1992"/>
        <v>3.7340815886034967E-2</v>
      </c>
      <c r="J4434" s="4">
        <v>3781</v>
      </c>
      <c r="K4434" s="4">
        <v>1024</v>
      </c>
      <c r="L4434" s="1">
        <f t="shared" si="1993"/>
        <v>4805</v>
      </c>
      <c r="M4434" s="2">
        <f t="shared" si="1994"/>
        <v>0.78688865764828309</v>
      </c>
      <c r="N4434" s="2">
        <f t="shared" si="1995"/>
        <v>0.21311134235171697</v>
      </c>
    </row>
    <row r="4435" spans="1:14" x14ac:dyDescent="0.35">
      <c r="A4435" t="s">
        <v>37</v>
      </c>
      <c r="B4435" t="s">
        <v>23</v>
      </c>
      <c r="C4435">
        <v>2003</v>
      </c>
      <c r="D4435" t="s">
        <v>32</v>
      </c>
      <c r="E4435" s="3">
        <v>13250</v>
      </c>
      <c r="F4435" s="8">
        <v>537</v>
      </c>
      <c r="G4435" s="1">
        <f t="shared" si="1990"/>
        <v>13787</v>
      </c>
      <c r="H4435" s="2">
        <f t="shared" si="1991"/>
        <v>0.96105026474214839</v>
      </c>
      <c r="I4435" s="2">
        <f t="shared" si="1992"/>
        <v>3.89497352578516E-2</v>
      </c>
      <c r="J4435" s="4">
        <v>3781</v>
      </c>
      <c r="K4435" s="4">
        <v>1024</v>
      </c>
      <c r="L4435" s="1">
        <f t="shared" si="1993"/>
        <v>4805</v>
      </c>
      <c r="M4435" s="2">
        <f t="shared" si="1994"/>
        <v>0.78688865764828309</v>
      </c>
      <c r="N4435" s="2">
        <f t="shared" si="1995"/>
        <v>0.21311134235171697</v>
      </c>
    </row>
    <row r="4436" spans="1:14" x14ac:dyDescent="0.35">
      <c r="A4436" t="s">
        <v>37</v>
      </c>
      <c r="B4436" t="s">
        <v>24</v>
      </c>
      <c r="C4436">
        <v>2003</v>
      </c>
      <c r="D4436" t="s">
        <v>32</v>
      </c>
      <c r="E4436" s="3">
        <v>13145</v>
      </c>
      <c r="F4436" s="8">
        <v>544</v>
      </c>
      <c r="G4436" s="1">
        <f t="shared" si="1990"/>
        <v>13689</v>
      </c>
      <c r="H4436" s="2">
        <f t="shared" si="1991"/>
        <v>0.96026006282416543</v>
      </c>
      <c r="I4436" s="2">
        <f t="shared" si="1992"/>
        <v>3.9739937175834614E-2</v>
      </c>
      <c r="J4436" s="4">
        <f>3667.27</f>
        <v>3667.27</v>
      </c>
      <c r="K4436" s="4">
        <v>1028.3699999999999</v>
      </c>
      <c r="L4436" s="1">
        <f t="shared" si="1993"/>
        <v>4695.6399999999994</v>
      </c>
      <c r="M4436" s="2">
        <f t="shared" si="1994"/>
        <v>0.78099470998628528</v>
      </c>
      <c r="N4436" s="2">
        <f t="shared" si="1995"/>
        <v>0.21900529001371485</v>
      </c>
    </row>
    <row r="4437" spans="1:14" x14ac:dyDescent="0.35">
      <c r="A4437" t="s">
        <v>37</v>
      </c>
      <c r="B4437" t="s">
        <v>25</v>
      </c>
      <c r="C4437">
        <v>2003</v>
      </c>
      <c r="D4437" t="s">
        <v>32</v>
      </c>
      <c r="E4437" s="3">
        <v>12915</v>
      </c>
      <c r="F4437" s="8">
        <v>540</v>
      </c>
      <c r="G4437" s="1">
        <f t="shared" si="1990"/>
        <v>13455</v>
      </c>
      <c r="H4437" s="2">
        <f t="shared" si="1991"/>
        <v>0.95986622073578598</v>
      </c>
      <c r="I4437" s="2">
        <f t="shared" si="1992"/>
        <v>4.0133779264214048E-2</v>
      </c>
      <c r="J4437" s="4">
        <v>3432.32</v>
      </c>
      <c r="K4437" s="4">
        <v>1018.8</v>
      </c>
      <c r="L4437" s="1">
        <f t="shared" si="1993"/>
        <v>4451.12</v>
      </c>
      <c r="M4437" s="2">
        <f t="shared" si="1994"/>
        <v>0.77111378709178824</v>
      </c>
      <c r="N4437" s="2">
        <f t="shared" si="1995"/>
        <v>0.22888621290821187</v>
      </c>
    </row>
    <row r="4438" spans="1:14" x14ac:dyDescent="0.35">
      <c r="A4438" t="s">
        <v>37</v>
      </c>
      <c r="B4438" t="s">
        <v>26</v>
      </c>
      <c r="C4438">
        <v>2003</v>
      </c>
      <c r="D4438" t="s">
        <v>32</v>
      </c>
      <c r="E4438" s="3">
        <v>12762</v>
      </c>
      <c r="F4438" s="8">
        <v>541</v>
      </c>
      <c r="G4438" s="1">
        <f t="shared" si="1990"/>
        <v>13303</v>
      </c>
      <c r="H4438" s="2">
        <f t="shared" si="1991"/>
        <v>0.95933248139517402</v>
      </c>
      <c r="I4438" s="2">
        <f t="shared" si="1992"/>
        <v>4.0667518604825981E-2</v>
      </c>
      <c r="J4438" s="4">
        <v>3420.45</v>
      </c>
      <c r="K4438" s="4">
        <v>982.33</v>
      </c>
      <c r="L4438" s="1">
        <f t="shared" si="1993"/>
        <v>4402.78</v>
      </c>
      <c r="M4438" s="2">
        <f t="shared" si="1994"/>
        <v>0.77688415046856762</v>
      </c>
      <c r="N4438" s="2">
        <f t="shared" si="1995"/>
        <v>0.22311584953143243</v>
      </c>
    </row>
    <row r="4439" spans="1:14" x14ac:dyDescent="0.35">
      <c r="A4439" t="s">
        <v>37</v>
      </c>
      <c r="B4439" t="s">
        <v>27</v>
      </c>
      <c r="C4439">
        <v>2003</v>
      </c>
      <c r="D4439" t="s">
        <v>32</v>
      </c>
      <c r="E4439" s="3">
        <v>12705</v>
      </c>
      <c r="F4439" s="8">
        <v>531</v>
      </c>
      <c r="G4439" s="1">
        <f t="shared" si="1990"/>
        <v>13236</v>
      </c>
      <c r="H4439" s="2">
        <f t="shared" si="1991"/>
        <v>0.95988213961922031</v>
      </c>
      <c r="I4439" s="2">
        <f t="shared" si="1992"/>
        <v>4.0117860380779691E-2</v>
      </c>
      <c r="J4439" s="4">
        <f>3543.83</f>
        <v>3543.83</v>
      </c>
      <c r="K4439" s="4">
        <v>867</v>
      </c>
      <c r="L4439" s="1">
        <f t="shared" si="1993"/>
        <v>4410.83</v>
      </c>
      <c r="M4439" s="2">
        <f t="shared" si="1994"/>
        <v>0.8034383551395089</v>
      </c>
      <c r="N4439" s="2">
        <f t="shared" si="1995"/>
        <v>0.1965616448604911</v>
      </c>
    </row>
    <row r="4440" spans="1:14" x14ac:dyDescent="0.35">
      <c r="A4440" t="s">
        <v>37</v>
      </c>
      <c r="B4440" t="s">
        <v>28</v>
      </c>
      <c r="C4440">
        <v>2003</v>
      </c>
      <c r="D4440" t="s">
        <v>32</v>
      </c>
      <c r="E4440" s="3">
        <v>12609</v>
      </c>
      <c r="F4440" s="8">
        <v>548</v>
      </c>
      <c r="G4440" s="1">
        <f t="shared" si="1990"/>
        <v>13157</v>
      </c>
      <c r="H4440" s="2">
        <f t="shared" si="1991"/>
        <v>0.9583491677434065</v>
      </c>
      <c r="I4440" s="2">
        <f t="shared" si="1992"/>
        <v>4.1650832256593447E-2</v>
      </c>
      <c r="J4440" s="4">
        <v>3592.74</v>
      </c>
      <c r="K4440" s="4">
        <v>866.86</v>
      </c>
      <c r="L4440" s="1">
        <f t="shared" si="1993"/>
        <v>4459.5999999999995</v>
      </c>
      <c r="M4440" s="2">
        <f t="shared" si="1994"/>
        <v>0.80561933805722497</v>
      </c>
      <c r="N4440" s="2">
        <f t="shared" si="1995"/>
        <v>0.19438066194277517</v>
      </c>
    </row>
    <row r="4441" spans="1:14" x14ac:dyDescent="0.35">
      <c r="A4441" t="s">
        <v>37</v>
      </c>
      <c r="B4441" t="s">
        <v>29</v>
      </c>
      <c r="C4441">
        <v>2003</v>
      </c>
      <c r="D4441" t="s">
        <v>32</v>
      </c>
      <c r="E4441" s="3">
        <v>12571</v>
      </c>
      <c r="F4441" s="8">
        <v>571</v>
      </c>
      <c r="G4441" s="1">
        <f t="shared" si="1990"/>
        <v>13142</v>
      </c>
      <c r="H4441" s="2">
        <f t="shared" si="1991"/>
        <v>0.95655151422918883</v>
      </c>
      <c r="I4441" s="2">
        <f t="shared" si="1992"/>
        <v>4.3448485770811139E-2</v>
      </c>
      <c r="J4441" s="4">
        <v>3635.35</v>
      </c>
      <c r="K4441" s="4">
        <v>869.22</v>
      </c>
      <c r="L4441" s="1">
        <f t="shared" si="1993"/>
        <v>4504.57</v>
      </c>
      <c r="M4441" s="2">
        <f t="shared" si="1994"/>
        <v>0.80703596569705882</v>
      </c>
      <c r="N4441" s="2">
        <f t="shared" si="1995"/>
        <v>0.19296403430294126</v>
      </c>
    </row>
    <row r="4442" spans="1:14" x14ac:dyDescent="0.35">
      <c r="A4442" t="s">
        <v>37</v>
      </c>
      <c r="B4442" t="s">
        <v>17</v>
      </c>
      <c r="C4442">
        <v>2004</v>
      </c>
      <c r="D4442" t="s">
        <v>32</v>
      </c>
      <c r="E4442" s="3">
        <v>12386</v>
      </c>
      <c r="F4442" s="8">
        <v>580</v>
      </c>
      <c r="G4442" s="1">
        <f t="shared" si="1990"/>
        <v>12966</v>
      </c>
      <c r="H4442" s="2">
        <f t="shared" si="1991"/>
        <v>0.95526762301403667</v>
      </c>
      <c r="I4442" s="2">
        <f t="shared" si="1992"/>
        <v>4.4732376985963287E-2</v>
      </c>
      <c r="J4442" s="4">
        <v>3553.71</v>
      </c>
      <c r="K4442" s="4">
        <v>872.3</v>
      </c>
      <c r="L4442" s="1">
        <f t="shared" si="1993"/>
        <v>4426.01</v>
      </c>
      <c r="M4442" s="2">
        <f t="shared" si="1994"/>
        <v>0.80291504086073007</v>
      </c>
      <c r="N4442" s="2">
        <f t="shared" si="1995"/>
        <v>0.19708495913926988</v>
      </c>
    </row>
    <row r="4443" spans="1:14" x14ac:dyDescent="0.35">
      <c r="A4443" t="s">
        <v>37</v>
      </c>
      <c r="B4443" t="s">
        <v>19</v>
      </c>
      <c r="C4443">
        <v>2004</v>
      </c>
      <c r="D4443" t="s">
        <v>32</v>
      </c>
      <c r="E4443" s="3">
        <v>12171</v>
      </c>
      <c r="F4443" s="8">
        <v>813</v>
      </c>
      <c r="G4443" s="1">
        <f t="shared" si="1990"/>
        <v>12984</v>
      </c>
      <c r="H4443" s="2">
        <f t="shared" si="1991"/>
        <v>0.93738447319778184</v>
      </c>
      <c r="I4443" s="2">
        <f t="shared" si="1992"/>
        <v>6.2615526802218116E-2</v>
      </c>
      <c r="J4443" s="4">
        <v>3212.46</v>
      </c>
      <c r="K4443" s="4">
        <v>1249.71</v>
      </c>
      <c r="L4443" s="1">
        <f t="shared" si="1993"/>
        <v>4462.17</v>
      </c>
      <c r="M4443" s="2">
        <f t="shared" si="1994"/>
        <v>0.71993223028257547</v>
      </c>
      <c r="N4443" s="2">
        <f t="shared" si="1995"/>
        <v>0.28006776971742448</v>
      </c>
    </row>
    <row r="4444" spans="1:14" x14ac:dyDescent="0.35">
      <c r="A4444" t="s">
        <v>37</v>
      </c>
      <c r="B4444" t="s">
        <v>20</v>
      </c>
      <c r="C4444">
        <v>2004</v>
      </c>
      <c r="D4444" t="s">
        <v>32</v>
      </c>
      <c r="E4444" s="3">
        <v>12047</v>
      </c>
      <c r="F4444" s="8">
        <v>853</v>
      </c>
      <c r="G4444" s="1">
        <f t="shared" si="1990"/>
        <v>12900</v>
      </c>
      <c r="H4444" s="2">
        <f t="shared" si="1991"/>
        <v>0.93387596899224801</v>
      </c>
      <c r="I4444" s="2">
        <f t="shared" si="1992"/>
        <v>6.6124031007751938E-2</v>
      </c>
      <c r="J4444" s="4">
        <v>3373.96</v>
      </c>
      <c r="K4444" s="4">
        <v>1067.31</v>
      </c>
      <c r="L4444" s="1">
        <f t="shared" si="1993"/>
        <v>4441.2700000000004</v>
      </c>
      <c r="M4444" s="2">
        <f t="shared" si="1994"/>
        <v>0.75968360401416701</v>
      </c>
      <c r="N4444" s="2">
        <f t="shared" si="1995"/>
        <v>0.24031639598583285</v>
      </c>
    </row>
    <row r="4445" spans="1:14" x14ac:dyDescent="0.35">
      <c r="A4445" t="s">
        <v>37</v>
      </c>
      <c r="B4445" t="s">
        <v>21</v>
      </c>
      <c r="C4445">
        <v>2004</v>
      </c>
      <c r="D4445" t="s">
        <v>32</v>
      </c>
      <c r="E4445" s="3">
        <v>11947</v>
      </c>
      <c r="F4445" s="8">
        <v>841</v>
      </c>
      <c r="G4445" s="1">
        <f t="shared" si="1990"/>
        <v>12788</v>
      </c>
      <c r="H4445" s="2">
        <f t="shared" si="1991"/>
        <v>0.9342352205192368</v>
      </c>
      <c r="I4445" s="2">
        <f t="shared" si="1992"/>
        <v>6.5764779480763216E-2</v>
      </c>
      <c r="J4445" s="4">
        <v>3406.05</v>
      </c>
      <c r="K4445" s="4">
        <v>1009.11</v>
      </c>
      <c r="L4445" s="1">
        <f t="shared" si="1993"/>
        <v>4415.16</v>
      </c>
      <c r="M4445" s="2">
        <f t="shared" si="1994"/>
        <v>0.77144429646943724</v>
      </c>
      <c r="N4445" s="2">
        <f t="shared" si="1995"/>
        <v>0.2285557035305629</v>
      </c>
    </row>
    <row r="4446" spans="1:14" x14ac:dyDescent="0.35">
      <c r="A4446" t="s">
        <v>37</v>
      </c>
      <c r="B4446" t="s">
        <v>22</v>
      </c>
      <c r="C4446">
        <v>2004</v>
      </c>
      <c r="D4446" t="s">
        <v>32</v>
      </c>
      <c r="E4446" s="3">
        <v>11797</v>
      </c>
      <c r="F4446" s="8">
        <v>851</v>
      </c>
      <c r="G4446" s="1">
        <f t="shared" si="1990"/>
        <v>12648</v>
      </c>
      <c r="H4446" s="2">
        <f t="shared" si="1991"/>
        <v>0.93271663504111324</v>
      </c>
      <c r="I4446" s="2">
        <f t="shared" si="1992"/>
        <v>6.7283364958886774E-2</v>
      </c>
      <c r="J4446" s="4">
        <v>3396.46</v>
      </c>
      <c r="K4446" s="4">
        <v>1016.37</v>
      </c>
      <c r="L4446" s="1">
        <f t="shared" si="1993"/>
        <v>4412.83</v>
      </c>
      <c r="M4446" s="2">
        <f t="shared" si="1994"/>
        <v>0.76967841498539491</v>
      </c>
      <c r="N4446" s="2">
        <f t="shared" si="1995"/>
        <v>0.23032158501460515</v>
      </c>
    </row>
    <row r="4447" spans="1:14" x14ac:dyDescent="0.35">
      <c r="A4447" t="s">
        <v>37</v>
      </c>
      <c r="B4447" t="s">
        <v>23</v>
      </c>
      <c r="C4447">
        <v>2004</v>
      </c>
      <c r="D4447" t="s">
        <v>32</v>
      </c>
      <c r="E4447" s="3">
        <v>11662</v>
      </c>
      <c r="F4447" s="8">
        <v>847</v>
      </c>
      <c r="G4447" s="1">
        <f t="shared" si="1990"/>
        <v>12509</v>
      </c>
      <c r="H4447" s="2">
        <f t="shared" si="1991"/>
        <v>0.93228875209848905</v>
      </c>
      <c r="I4447" s="2">
        <f t="shared" si="1992"/>
        <v>6.771124790151091E-2</v>
      </c>
      <c r="J4447" s="4">
        <v>3321.92</v>
      </c>
      <c r="K4447" s="4">
        <v>1014.11</v>
      </c>
      <c r="L4447" s="1">
        <f t="shared" si="1993"/>
        <v>4336.03</v>
      </c>
      <c r="M4447" s="2">
        <f t="shared" si="1994"/>
        <v>0.7661201606077449</v>
      </c>
      <c r="N4447" s="2">
        <f t="shared" si="1995"/>
        <v>0.23387983939225515</v>
      </c>
    </row>
    <row r="4448" spans="1:14" x14ac:dyDescent="0.35">
      <c r="A4448" t="s">
        <v>37</v>
      </c>
      <c r="B4448" t="s">
        <v>24</v>
      </c>
      <c r="C4448">
        <v>2004</v>
      </c>
      <c r="D4448" t="s">
        <v>32</v>
      </c>
      <c r="E4448" s="3">
        <v>11880</v>
      </c>
      <c r="F4448" s="8">
        <v>890</v>
      </c>
      <c r="G4448" s="1">
        <f t="shared" si="1990"/>
        <v>12770</v>
      </c>
      <c r="H4448" s="2">
        <f t="shared" si="1991"/>
        <v>0.9303054032889585</v>
      </c>
      <c r="I4448" s="2">
        <f t="shared" si="1992"/>
        <v>6.9694596711041501E-2</v>
      </c>
      <c r="J4448" s="4">
        <v>3280.79</v>
      </c>
      <c r="K4448" s="4">
        <v>1011.48</v>
      </c>
      <c r="L4448" s="1">
        <f t="shared" si="1993"/>
        <v>4292.2700000000004</v>
      </c>
      <c r="M4448" s="2">
        <f t="shared" si="1994"/>
        <v>0.76434846829300107</v>
      </c>
      <c r="N4448" s="2">
        <f t="shared" si="1995"/>
        <v>0.23565153170699885</v>
      </c>
    </row>
    <row r="4449" spans="1:14" x14ac:dyDescent="0.35">
      <c r="A4449" t="s">
        <v>37</v>
      </c>
      <c r="B4449" t="s">
        <v>25</v>
      </c>
      <c r="C4449">
        <v>2004</v>
      </c>
      <c r="D4449" t="s">
        <v>32</v>
      </c>
      <c r="E4449" s="3">
        <v>11682</v>
      </c>
      <c r="F4449" s="8">
        <v>892</v>
      </c>
      <c r="G4449" s="1">
        <f t="shared" si="1990"/>
        <v>12574</v>
      </c>
      <c r="H4449" s="2">
        <f t="shared" si="1991"/>
        <v>0.9290599650071576</v>
      </c>
      <c r="I4449" s="2">
        <f t="shared" si="1992"/>
        <v>7.0940034992842377E-2</v>
      </c>
      <c r="J4449" s="4">
        <v>3239.72</v>
      </c>
      <c r="K4449" s="4">
        <v>1004.24</v>
      </c>
      <c r="L4449" s="1">
        <f t="shared" si="1993"/>
        <v>4243.96</v>
      </c>
      <c r="M4449" s="2">
        <f t="shared" si="1994"/>
        <v>0.76337194507017025</v>
      </c>
      <c r="N4449" s="2">
        <f t="shared" si="1995"/>
        <v>0.23662805492982969</v>
      </c>
    </row>
    <row r="4450" spans="1:14" x14ac:dyDescent="0.35">
      <c r="A4450" t="s">
        <v>37</v>
      </c>
      <c r="B4450" t="s">
        <v>26</v>
      </c>
      <c r="C4450">
        <v>2004</v>
      </c>
      <c r="D4450" t="s">
        <v>32</v>
      </c>
      <c r="E4450" s="3">
        <v>11593</v>
      </c>
      <c r="F4450" s="8">
        <v>895</v>
      </c>
      <c r="G4450" s="1">
        <f t="shared" si="1990"/>
        <v>12488</v>
      </c>
      <c r="H4450" s="2">
        <f t="shared" si="1991"/>
        <v>0.92833119795003205</v>
      </c>
      <c r="I4450" s="2">
        <f t="shared" si="1992"/>
        <v>7.1668802049967964E-2</v>
      </c>
      <c r="J4450" s="4">
        <v>3224.16</v>
      </c>
      <c r="K4450" s="4">
        <v>993.52</v>
      </c>
      <c r="L4450" s="1">
        <f t="shared" si="1993"/>
        <v>4217.68</v>
      </c>
      <c r="M4450" s="2">
        <f t="shared" si="1994"/>
        <v>0.76443921776901036</v>
      </c>
      <c r="N4450" s="2">
        <f t="shared" si="1995"/>
        <v>0.23556078223098953</v>
      </c>
    </row>
    <row r="4451" spans="1:14" x14ac:dyDescent="0.35">
      <c r="A4451" t="s">
        <v>37</v>
      </c>
      <c r="B4451" t="s">
        <v>27</v>
      </c>
      <c r="C4451">
        <v>2004</v>
      </c>
      <c r="D4451" t="s">
        <v>32</v>
      </c>
      <c r="E4451" s="3">
        <v>11275</v>
      </c>
      <c r="F4451" s="8">
        <v>905</v>
      </c>
      <c r="G4451" s="1">
        <f t="shared" si="1990"/>
        <v>12180</v>
      </c>
      <c r="H4451" s="2">
        <f t="shared" si="1991"/>
        <v>0.92569786535303777</v>
      </c>
      <c r="I4451" s="2">
        <f t="shared" si="1992"/>
        <v>7.430213464696224E-2</v>
      </c>
      <c r="J4451" s="4">
        <v>3311.64</v>
      </c>
      <c r="K4451" s="4">
        <v>948.5</v>
      </c>
      <c r="L4451" s="1">
        <f t="shared" si="1993"/>
        <v>4260.1399999999994</v>
      </c>
      <c r="M4451" s="2">
        <f t="shared" si="1994"/>
        <v>0.77735473482092143</v>
      </c>
      <c r="N4451" s="2">
        <f t="shared" si="1995"/>
        <v>0.22264526517907865</v>
      </c>
    </row>
    <row r="4452" spans="1:14" x14ac:dyDescent="0.35">
      <c r="A4452" t="s">
        <v>37</v>
      </c>
      <c r="B4452" t="s">
        <v>28</v>
      </c>
      <c r="C4452">
        <v>2004</v>
      </c>
      <c r="D4452" t="s">
        <v>32</v>
      </c>
      <c r="E4452" s="3">
        <v>11166</v>
      </c>
      <c r="F4452" s="8">
        <v>916</v>
      </c>
      <c r="G4452" s="1">
        <f t="shared" si="1990"/>
        <v>12082</v>
      </c>
      <c r="H4452" s="2">
        <f t="shared" si="1991"/>
        <v>0.92418473762622078</v>
      </c>
      <c r="I4452" s="2">
        <f t="shared" si="1992"/>
        <v>7.5815262373779183E-2</v>
      </c>
      <c r="J4452" s="4">
        <v>3247.19</v>
      </c>
      <c r="K4452" s="4">
        <v>983.72</v>
      </c>
      <c r="L4452" s="1">
        <f t="shared" si="1993"/>
        <v>4230.91</v>
      </c>
      <c r="M4452" s="2">
        <f t="shared" si="1994"/>
        <v>0.76749209980831545</v>
      </c>
      <c r="N4452" s="2">
        <f t="shared" si="1995"/>
        <v>0.23250790019168455</v>
      </c>
    </row>
    <row r="4453" spans="1:14" x14ac:dyDescent="0.35">
      <c r="A4453" t="s">
        <v>37</v>
      </c>
      <c r="B4453" t="s">
        <v>29</v>
      </c>
      <c r="C4453">
        <v>2004</v>
      </c>
      <c r="D4453" t="s">
        <v>32</v>
      </c>
      <c r="E4453" s="3">
        <v>11087</v>
      </c>
      <c r="F4453" s="8">
        <v>920</v>
      </c>
      <c r="G4453" s="1">
        <f t="shared" si="1990"/>
        <v>12007</v>
      </c>
      <c r="H4453" s="2">
        <f t="shared" si="1991"/>
        <v>0.92337802948280168</v>
      </c>
      <c r="I4453" s="2">
        <f t="shared" si="1992"/>
        <v>7.6621970517198296E-2</v>
      </c>
      <c r="J4453" s="4">
        <v>3293.36</v>
      </c>
      <c r="K4453" s="4">
        <v>999.46</v>
      </c>
      <c r="L4453" s="1">
        <f t="shared" si="1993"/>
        <v>4292.82</v>
      </c>
      <c r="M4453" s="2">
        <f t="shared" si="1994"/>
        <v>0.76717868440791837</v>
      </c>
      <c r="N4453" s="2">
        <f t="shared" si="1995"/>
        <v>0.23282131559208169</v>
      </c>
    </row>
    <row r="4454" spans="1:14" x14ac:dyDescent="0.35">
      <c r="A4454" t="s">
        <v>37</v>
      </c>
      <c r="B4454" t="s">
        <v>17</v>
      </c>
      <c r="C4454">
        <v>2005</v>
      </c>
      <c r="D4454" t="s">
        <v>32</v>
      </c>
      <c r="E4454" s="3">
        <v>10918</v>
      </c>
      <c r="F4454" s="8">
        <v>924</v>
      </c>
      <c r="G4454" s="1">
        <f t="shared" si="1990"/>
        <v>11842</v>
      </c>
      <c r="H4454" s="2">
        <f t="shared" si="1991"/>
        <v>0.92197263975679788</v>
      </c>
      <c r="I4454" s="2">
        <f t="shared" si="1992"/>
        <v>7.8027360243202157E-2</v>
      </c>
      <c r="J4454" s="4">
        <v>3237.23</v>
      </c>
      <c r="K4454" s="4">
        <v>902.5</v>
      </c>
      <c r="L4454" s="1">
        <f t="shared" si="1993"/>
        <v>4139.7299999999996</v>
      </c>
      <c r="M4454" s="2">
        <f t="shared" si="1994"/>
        <v>0.78199061291436889</v>
      </c>
      <c r="N4454" s="2">
        <f t="shared" si="1995"/>
        <v>0.21800938708563122</v>
      </c>
    </row>
    <row r="4455" spans="1:14" x14ac:dyDescent="0.35">
      <c r="A4455" t="s">
        <v>37</v>
      </c>
      <c r="B4455" t="s">
        <v>19</v>
      </c>
      <c r="C4455">
        <v>2005</v>
      </c>
      <c r="D4455" t="s">
        <v>32</v>
      </c>
      <c r="E4455" s="3">
        <v>10814</v>
      </c>
      <c r="F4455" s="8">
        <v>994</v>
      </c>
      <c r="G4455" s="1">
        <f t="shared" si="1990"/>
        <v>11808</v>
      </c>
      <c r="H4455" s="2">
        <f t="shared" si="1991"/>
        <v>0.91581978319783197</v>
      </c>
      <c r="I4455" s="2">
        <f t="shared" si="1992"/>
        <v>8.4180216802168029E-2</v>
      </c>
      <c r="J4455" s="4">
        <v>3126.41</v>
      </c>
      <c r="K4455" s="4">
        <v>1150.71</v>
      </c>
      <c r="L4455" s="1">
        <f t="shared" si="1993"/>
        <v>4277.12</v>
      </c>
      <c r="M4455" s="2">
        <f t="shared" si="1994"/>
        <v>0.73096148810414485</v>
      </c>
      <c r="N4455" s="2">
        <f t="shared" si="1995"/>
        <v>0.26903851189585515</v>
      </c>
    </row>
    <row r="4456" spans="1:14" x14ac:dyDescent="0.35">
      <c r="A4456" t="s">
        <v>37</v>
      </c>
      <c r="B4456" t="s">
        <v>20</v>
      </c>
      <c r="C4456">
        <v>2005</v>
      </c>
      <c r="D4456" t="s">
        <v>32</v>
      </c>
      <c r="E4456" s="3">
        <v>10719</v>
      </c>
      <c r="F4456" s="8">
        <v>954</v>
      </c>
      <c r="G4456" s="1">
        <f t="shared" si="1990"/>
        <v>11673</v>
      </c>
      <c r="H4456" s="2">
        <f t="shared" si="1991"/>
        <v>0.91827293754818817</v>
      </c>
      <c r="I4456" s="2">
        <f t="shared" si="1992"/>
        <v>8.1727062451811869E-2</v>
      </c>
      <c r="J4456" s="4">
        <v>3130.85</v>
      </c>
      <c r="K4456" s="4">
        <v>1059.47</v>
      </c>
      <c r="L4456" s="1">
        <f t="shared" si="1993"/>
        <v>4190.32</v>
      </c>
      <c r="M4456" s="2">
        <f t="shared" si="1994"/>
        <v>0.74716250787529359</v>
      </c>
      <c r="N4456" s="2">
        <f t="shared" si="1995"/>
        <v>0.25283749212470646</v>
      </c>
    </row>
    <row r="4457" spans="1:14" x14ac:dyDescent="0.35">
      <c r="A4457" t="s">
        <v>37</v>
      </c>
      <c r="B4457" t="s">
        <v>21</v>
      </c>
      <c r="C4457">
        <v>2005</v>
      </c>
      <c r="D4457" t="s">
        <v>32</v>
      </c>
      <c r="E4457" s="3">
        <v>10598</v>
      </c>
      <c r="F4457" s="8">
        <v>955</v>
      </c>
      <c r="G4457" s="1">
        <f t="shared" si="1990"/>
        <v>11553</v>
      </c>
      <c r="H4457" s="2">
        <f t="shared" si="1991"/>
        <v>0.91733748809832949</v>
      </c>
      <c r="I4457" s="2">
        <f t="shared" si="1992"/>
        <v>8.2662511901670566E-2</v>
      </c>
      <c r="J4457" s="4">
        <v>3076.77</v>
      </c>
      <c r="K4457" s="4">
        <v>1084.29</v>
      </c>
      <c r="L4457" s="1">
        <f t="shared" si="1993"/>
        <v>4161.0599999999995</v>
      </c>
      <c r="M4457" s="2">
        <f t="shared" si="1994"/>
        <v>0.73941976323340697</v>
      </c>
      <c r="N4457" s="2">
        <f t="shared" si="1995"/>
        <v>0.26058023676659314</v>
      </c>
    </row>
    <row r="4458" spans="1:14" x14ac:dyDescent="0.35">
      <c r="A4458" t="s">
        <v>37</v>
      </c>
      <c r="B4458" t="s">
        <v>22</v>
      </c>
      <c r="C4458">
        <v>2005</v>
      </c>
      <c r="D4458" t="s">
        <v>32</v>
      </c>
      <c r="E4458" s="3">
        <v>10515</v>
      </c>
      <c r="F4458" s="8">
        <v>964</v>
      </c>
      <c r="G4458" s="1">
        <f t="shared" si="1990"/>
        <v>11479</v>
      </c>
      <c r="H4458" s="2">
        <f t="shared" si="1991"/>
        <v>0.91602055928216741</v>
      </c>
      <c r="I4458" s="2">
        <f t="shared" si="1992"/>
        <v>8.397944071783256E-2</v>
      </c>
      <c r="J4458" s="4">
        <v>3015.2</v>
      </c>
      <c r="K4458" s="4">
        <v>1171.93</v>
      </c>
      <c r="L4458" s="1">
        <f t="shared" si="1993"/>
        <v>4187.13</v>
      </c>
      <c r="M4458" s="2">
        <f t="shared" si="1994"/>
        <v>0.72011138894660542</v>
      </c>
      <c r="N4458" s="2">
        <f t="shared" si="1995"/>
        <v>0.27988861105339458</v>
      </c>
    </row>
    <row r="4459" spans="1:14" x14ac:dyDescent="0.35">
      <c r="A4459" t="s">
        <v>37</v>
      </c>
      <c r="B4459" t="s">
        <v>23</v>
      </c>
      <c r="C4459">
        <v>2005</v>
      </c>
      <c r="D4459" t="s">
        <v>32</v>
      </c>
      <c r="E4459" s="3">
        <v>10426</v>
      </c>
      <c r="F4459" s="8">
        <v>980</v>
      </c>
      <c r="G4459" s="1">
        <f t="shared" si="1990"/>
        <v>11406</v>
      </c>
      <c r="H4459" s="2">
        <f t="shared" si="1991"/>
        <v>0.91408030860950373</v>
      </c>
      <c r="I4459" s="2">
        <f t="shared" si="1992"/>
        <v>8.5919691390496225E-2</v>
      </c>
      <c r="J4459" s="4">
        <v>2992.27</v>
      </c>
      <c r="K4459" s="4">
        <v>1072.19</v>
      </c>
      <c r="L4459" s="1">
        <f t="shared" si="1993"/>
        <v>4064.46</v>
      </c>
      <c r="M4459" s="2">
        <f t="shared" si="1994"/>
        <v>0.73620357931926994</v>
      </c>
      <c r="N4459" s="2">
        <f t="shared" si="1995"/>
        <v>0.26379642068073006</v>
      </c>
    </row>
    <row r="4460" spans="1:14" x14ac:dyDescent="0.35">
      <c r="A4460" t="s">
        <v>37</v>
      </c>
      <c r="B4460" t="s">
        <v>24</v>
      </c>
      <c r="C4460">
        <v>2005</v>
      </c>
      <c r="D4460" t="s">
        <v>32</v>
      </c>
      <c r="E4460" s="3">
        <v>10334</v>
      </c>
      <c r="F4460" s="8">
        <v>968</v>
      </c>
      <c r="G4460" s="1">
        <f t="shared" si="1990"/>
        <v>11302</v>
      </c>
      <c r="H4460" s="2">
        <f t="shared" si="1991"/>
        <v>0.91435144222261544</v>
      </c>
      <c r="I4460" s="2">
        <f t="shared" si="1992"/>
        <v>8.5648557777384532E-2</v>
      </c>
      <c r="J4460" s="4">
        <v>2958.12</v>
      </c>
      <c r="K4460" s="4">
        <v>1083.5899999999999</v>
      </c>
      <c r="L4460" s="1">
        <f t="shared" si="1993"/>
        <v>4041.71</v>
      </c>
      <c r="M4460" s="2">
        <f t="shared" si="1994"/>
        <v>0.73189813222621114</v>
      </c>
      <c r="N4460" s="2">
        <f t="shared" si="1995"/>
        <v>0.2681018677737888</v>
      </c>
    </row>
    <row r="4461" spans="1:14" x14ac:dyDescent="0.35">
      <c r="A4461" t="s">
        <v>37</v>
      </c>
      <c r="B4461" t="s">
        <v>25</v>
      </c>
      <c r="C4461">
        <v>2005</v>
      </c>
      <c r="D4461" t="s">
        <v>32</v>
      </c>
      <c r="E4461" s="3">
        <v>10229</v>
      </c>
      <c r="F4461" s="8">
        <v>1006</v>
      </c>
      <c r="G4461" s="1">
        <f t="shared" si="1990"/>
        <v>11235</v>
      </c>
      <c r="H4461" s="2">
        <f t="shared" si="1991"/>
        <v>0.91045838896306186</v>
      </c>
      <c r="I4461" s="2">
        <f t="shared" si="1992"/>
        <v>8.954161103693814E-2</v>
      </c>
      <c r="J4461" s="4">
        <v>2869.08</v>
      </c>
      <c r="K4461" s="4">
        <v>1249.8499999999999</v>
      </c>
      <c r="L4461" s="1">
        <f t="shared" si="1993"/>
        <v>4118.93</v>
      </c>
      <c r="M4461" s="2">
        <f t="shared" si="1994"/>
        <v>0.69655954337655646</v>
      </c>
      <c r="N4461" s="2">
        <f t="shared" si="1995"/>
        <v>0.30344045662344343</v>
      </c>
    </row>
    <row r="4462" spans="1:14" x14ac:dyDescent="0.35">
      <c r="A4462" t="s">
        <v>37</v>
      </c>
      <c r="B4462" t="s">
        <v>26</v>
      </c>
      <c r="C4462">
        <v>2005</v>
      </c>
      <c r="D4462" t="s">
        <v>32</v>
      </c>
      <c r="E4462" s="3">
        <v>10134</v>
      </c>
      <c r="F4462" s="8">
        <v>1013</v>
      </c>
      <c r="G4462" s="1">
        <f t="shared" si="1990"/>
        <v>11147</v>
      </c>
      <c r="H4462" s="2">
        <f t="shared" si="1991"/>
        <v>0.90912353099488652</v>
      </c>
      <c r="I4462" s="2">
        <f t="shared" si="1992"/>
        <v>9.087646900511348E-2</v>
      </c>
      <c r="J4462" s="4">
        <v>2805.92</v>
      </c>
      <c r="K4462" s="4">
        <v>1256.6400000000001</v>
      </c>
      <c r="L4462" s="1">
        <f t="shared" si="1993"/>
        <v>4062.5600000000004</v>
      </c>
      <c r="M4462" s="2">
        <f t="shared" si="1994"/>
        <v>0.69067779922019612</v>
      </c>
      <c r="N4462" s="2">
        <f t="shared" si="1995"/>
        <v>0.30932220077980388</v>
      </c>
    </row>
    <row r="4463" spans="1:14" x14ac:dyDescent="0.35">
      <c r="A4463" t="s">
        <v>37</v>
      </c>
      <c r="B4463" t="s">
        <v>27</v>
      </c>
      <c r="C4463">
        <v>2005</v>
      </c>
      <c r="D4463" t="s">
        <v>32</v>
      </c>
      <c r="E4463" s="3">
        <v>10034</v>
      </c>
      <c r="F4463" s="8">
        <v>1032</v>
      </c>
      <c r="G4463" s="1">
        <f t="shared" si="1990"/>
        <v>11066</v>
      </c>
      <c r="H4463" s="2">
        <f t="shared" si="1991"/>
        <v>0.90674136996204591</v>
      </c>
      <c r="I4463" s="2">
        <f t="shared" si="1992"/>
        <v>9.3258630037954093E-2</v>
      </c>
      <c r="J4463" s="4">
        <v>2758.42</v>
      </c>
      <c r="K4463" s="4">
        <v>1287.8</v>
      </c>
      <c r="L4463" s="1">
        <f t="shared" si="1993"/>
        <v>4046.2200000000003</v>
      </c>
      <c r="M4463" s="2">
        <f t="shared" si="1994"/>
        <v>0.68172763715270057</v>
      </c>
      <c r="N4463" s="2">
        <f t="shared" si="1995"/>
        <v>0.31827236284729943</v>
      </c>
    </row>
    <row r="4464" spans="1:14" x14ac:dyDescent="0.35">
      <c r="A4464" t="s">
        <v>37</v>
      </c>
      <c r="B4464" t="s">
        <v>28</v>
      </c>
      <c r="C4464">
        <v>2005</v>
      </c>
      <c r="D4464" t="s">
        <v>32</v>
      </c>
      <c r="E4464" s="3">
        <v>9947</v>
      </c>
      <c r="F4464" s="8">
        <v>1034</v>
      </c>
      <c r="G4464" s="1">
        <f t="shared" si="1990"/>
        <v>10981</v>
      </c>
      <c r="H4464" s="2">
        <f t="shared" si="1991"/>
        <v>0.90583735543210997</v>
      </c>
      <c r="I4464" s="2">
        <f t="shared" si="1992"/>
        <v>9.4162644567889989E-2</v>
      </c>
      <c r="J4464" s="4">
        <v>2402.0300000000002</v>
      </c>
      <c r="K4464" s="4">
        <v>1261.56</v>
      </c>
      <c r="L4464" s="1">
        <f t="shared" si="1993"/>
        <v>3663.59</v>
      </c>
      <c r="M4464" s="2">
        <f t="shared" si="1994"/>
        <v>0.65564924022611704</v>
      </c>
      <c r="N4464" s="2">
        <f t="shared" si="1995"/>
        <v>0.34435075977388296</v>
      </c>
    </row>
    <row r="4465" spans="1:14" x14ac:dyDescent="0.35">
      <c r="A4465" t="s">
        <v>37</v>
      </c>
      <c r="B4465" t="s">
        <v>29</v>
      </c>
      <c r="C4465">
        <v>2005</v>
      </c>
      <c r="D4465" t="s">
        <v>32</v>
      </c>
      <c r="E4465" s="3">
        <v>9906</v>
      </c>
      <c r="F4465" s="8">
        <v>1041</v>
      </c>
      <c r="G4465" s="1">
        <f t="shared" si="1990"/>
        <v>10947</v>
      </c>
      <c r="H4465" s="2">
        <f t="shared" si="1991"/>
        <v>0.90490545354891749</v>
      </c>
      <c r="I4465" s="2">
        <f t="shared" si="1992"/>
        <v>9.5094546451082493E-2</v>
      </c>
      <c r="J4465" s="4">
        <v>2643.96</v>
      </c>
      <c r="K4465" s="4">
        <v>1277.5999999999999</v>
      </c>
      <c r="L4465" s="1">
        <f t="shared" si="1993"/>
        <v>3921.56</v>
      </c>
      <c r="M4465" s="2">
        <f t="shared" si="1994"/>
        <v>0.67421128326482316</v>
      </c>
      <c r="N4465" s="2">
        <f t="shared" si="1995"/>
        <v>0.32578871673517679</v>
      </c>
    </row>
    <row r="4466" spans="1:14" x14ac:dyDescent="0.35">
      <c r="A4466" t="s">
        <v>37</v>
      </c>
      <c r="B4466" t="s">
        <v>17</v>
      </c>
      <c r="C4466">
        <v>2006</v>
      </c>
      <c r="D4466" t="s">
        <v>32</v>
      </c>
      <c r="E4466" s="3">
        <v>9851</v>
      </c>
      <c r="F4466" s="8">
        <v>1031</v>
      </c>
      <c r="G4466" s="1">
        <f t="shared" si="1990"/>
        <v>10882</v>
      </c>
      <c r="H4466" s="2">
        <f t="shared" si="1991"/>
        <v>0.90525638669362252</v>
      </c>
      <c r="I4466" s="2">
        <f t="shared" si="1992"/>
        <v>9.4743613306377511E-2</v>
      </c>
      <c r="J4466" s="4">
        <v>2975.94</v>
      </c>
      <c r="K4466" s="4">
        <v>1287.99</v>
      </c>
      <c r="L4466" s="1">
        <f t="shared" si="1993"/>
        <v>4263.93</v>
      </c>
      <c r="M4466" s="2">
        <f t="shared" si="1994"/>
        <v>0.69793359647086139</v>
      </c>
      <c r="N4466" s="2">
        <f t="shared" si="1995"/>
        <v>0.30206640352913861</v>
      </c>
    </row>
    <row r="4467" spans="1:14" x14ac:dyDescent="0.35">
      <c r="A4467" t="s">
        <v>37</v>
      </c>
      <c r="B4467" t="s">
        <v>19</v>
      </c>
      <c r="C4467">
        <v>2006</v>
      </c>
      <c r="D4467" t="s">
        <v>32</v>
      </c>
      <c r="E4467" s="3">
        <v>9817</v>
      </c>
      <c r="F4467" s="8">
        <v>1004</v>
      </c>
      <c r="G4467" s="1">
        <f t="shared" si="1990"/>
        <v>10821</v>
      </c>
      <c r="H4467" s="2">
        <f t="shared" si="1991"/>
        <v>0.90721744755567879</v>
      </c>
      <c r="I4467" s="2">
        <f t="shared" si="1992"/>
        <v>9.2782552444321223E-2</v>
      </c>
      <c r="J4467" s="4">
        <v>2964.27</v>
      </c>
      <c r="K4467" s="4">
        <v>1122.5</v>
      </c>
      <c r="L4467" s="1">
        <f t="shared" si="1993"/>
        <v>4086.77</v>
      </c>
      <c r="M4467" s="2">
        <f t="shared" si="1994"/>
        <v>0.72533320935604406</v>
      </c>
      <c r="N4467" s="2">
        <f t="shared" si="1995"/>
        <v>0.27466679064395599</v>
      </c>
    </row>
    <row r="4468" spans="1:14" x14ac:dyDescent="0.35">
      <c r="A4468" t="s">
        <v>37</v>
      </c>
      <c r="B4468" t="s">
        <v>20</v>
      </c>
      <c r="C4468">
        <v>2006</v>
      </c>
      <c r="D4468" t="s">
        <v>32</v>
      </c>
      <c r="E4468" s="3">
        <v>9791</v>
      </c>
      <c r="F4468" s="8">
        <v>984</v>
      </c>
      <c r="G4468" s="1">
        <f t="shared" si="1990"/>
        <v>10775</v>
      </c>
      <c r="H4468" s="2">
        <f t="shared" si="1991"/>
        <v>0.90867749419953592</v>
      </c>
      <c r="I4468" s="2">
        <f t="shared" si="1992"/>
        <v>9.1322505800464041E-2</v>
      </c>
      <c r="J4468" s="4">
        <v>3068.3</v>
      </c>
      <c r="K4468" s="4">
        <v>1036.3900000000001</v>
      </c>
      <c r="L4468" s="1">
        <f t="shared" si="1993"/>
        <v>4104.6900000000005</v>
      </c>
      <c r="M4468" s="2">
        <f t="shared" si="1994"/>
        <v>0.7475107742606627</v>
      </c>
      <c r="N4468" s="2">
        <f t="shared" si="1995"/>
        <v>0.25248922573933719</v>
      </c>
    </row>
    <row r="4469" spans="1:14" x14ac:dyDescent="0.35">
      <c r="A4469" t="s">
        <v>37</v>
      </c>
      <c r="B4469" t="s">
        <v>21</v>
      </c>
      <c r="C4469">
        <v>2006</v>
      </c>
      <c r="D4469" t="s">
        <v>32</v>
      </c>
      <c r="E4469" s="3">
        <v>9741</v>
      </c>
      <c r="F4469" s="8">
        <v>994</v>
      </c>
      <c r="G4469" s="1">
        <f t="shared" si="1990"/>
        <v>10735</v>
      </c>
      <c r="H4469" s="2">
        <f t="shared" si="1991"/>
        <v>0.90740568234746155</v>
      </c>
      <c r="I4469" s="2">
        <f t="shared" si="1992"/>
        <v>9.2594317652538422E-2</v>
      </c>
      <c r="J4469" s="4">
        <v>2848.42</v>
      </c>
      <c r="K4469" s="4">
        <v>1075.72</v>
      </c>
      <c r="L4469" s="1">
        <f t="shared" si="1993"/>
        <v>3924.1400000000003</v>
      </c>
      <c r="M4469" s="2">
        <f t="shared" si="1994"/>
        <v>0.72587114628937799</v>
      </c>
      <c r="N4469" s="2">
        <f t="shared" si="1995"/>
        <v>0.27412885371062196</v>
      </c>
    </row>
    <row r="4470" spans="1:14" x14ac:dyDescent="0.35">
      <c r="A4470" t="s">
        <v>37</v>
      </c>
      <c r="B4470" t="s">
        <v>22</v>
      </c>
      <c r="C4470">
        <v>2006</v>
      </c>
      <c r="D4470" t="s">
        <v>32</v>
      </c>
      <c r="E4470" s="3">
        <v>9663</v>
      </c>
      <c r="F4470" s="8">
        <v>1001</v>
      </c>
      <c r="G4470" s="1">
        <f t="shared" si="1990"/>
        <v>10664</v>
      </c>
      <c r="H4470" s="2">
        <f t="shared" si="1991"/>
        <v>0.90613278319579893</v>
      </c>
      <c r="I4470" s="2">
        <f t="shared" si="1992"/>
        <v>9.3867216804201056E-2</v>
      </c>
      <c r="J4470" s="4">
        <v>2915.04</v>
      </c>
      <c r="K4470" s="4">
        <v>1063.21</v>
      </c>
      <c r="L4470" s="1">
        <f t="shared" si="1993"/>
        <v>3978.25</v>
      </c>
      <c r="M4470" s="2">
        <f t="shared" si="1994"/>
        <v>0.73274429711556588</v>
      </c>
      <c r="N4470" s="2">
        <f t="shared" si="1995"/>
        <v>0.26725570288443412</v>
      </c>
    </row>
    <row r="4471" spans="1:14" x14ac:dyDescent="0.35">
      <c r="A4471" t="s">
        <v>37</v>
      </c>
      <c r="B4471" t="s">
        <v>23</v>
      </c>
      <c r="C4471">
        <v>2006</v>
      </c>
      <c r="D4471" t="s">
        <v>32</v>
      </c>
      <c r="E4471" s="3">
        <v>9624</v>
      </c>
      <c r="F4471" s="8">
        <v>1013</v>
      </c>
      <c r="G4471" s="1">
        <f t="shared" ref="G4471:G4534" si="1996">SUM(E4471:F4471)</f>
        <v>10637</v>
      </c>
      <c r="H4471" s="2">
        <f t="shared" ref="H4471:H4534" si="1997">SUM(E4471)/G4471</f>
        <v>0.90476638149854283</v>
      </c>
      <c r="I4471" s="2">
        <f t="shared" ref="I4471:I4534" si="1998">SUM(F4471/G4471)</f>
        <v>9.5233618501457173E-2</v>
      </c>
      <c r="J4471" s="4">
        <v>2901.85</v>
      </c>
      <c r="K4471" s="4">
        <v>1072.1099999999999</v>
      </c>
      <c r="L4471" s="1">
        <f t="shared" si="1993"/>
        <v>3973.96</v>
      </c>
      <c r="M4471" s="2">
        <f t="shared" si="1994"/>
        <v>0.73021620751089589</v>
      </c>
      <c r="N4471" s="2">
        <f t="shared" si="1995"/>
        <v>0.26978379248910406</v>
      </c>
    </row>
    <row r="4472" spans="1:14" x14ac:dyDescent="0.35">
      <c r="A4472" t="s">
        <v>37</v>
      </c>
      <c r="B4472" t="s">
        <v>24</v>
      </c>
      <c r="C4472">
        <v>2006</v>
      </c>
      <c r="D4472" t="s">
        <v>32</v>
      </c>
      <c r="E4472" s="3">
        <v>9531</v>
      </c>
      <c r="F4472" s="8">
        <v>875</v>
      </c>
      <c r="G4472" s="1">
        <f t="shared" si="1996"/>
        <v>10406</v>
      </c>
      <c r="H4472" s="2">
        <f t="shared" si="1997"/>
        <v>0.91591389582932925</v>
      </c>
      <c r="I4472" s="2">
        <f t="shared" si="1998"/>
        <v>8.4086104170670764E-2</v>
      </c>
      <c r="J4472" s="4">
        <f>2873.72</f>
        <v>2873.72</v>
      </c>
      <c r="K4472" s="4">
        <v>1058.01</v>
      </c>
      <c r="L4472" s="1">
        <f t="shared" si="1993"/>
        <v>3931.7299999999996</v>
      </c>
      <c r="M4472" s="2">
        <f t="shared" si="1994"/>
        <v>0.73090471624450304</v>
      </c>
      <c r="N4472" s="2">
        <f t="shared" si="1995"/>
        <v>0.26909528375549696</v>
      </c>
    </row>
    <row r="4473" spans="1:14" x14ac:dyDescent="0.35">
      <c r="A4473" t="s">
        <v>37</v>
      </c>
      <c r="B4473" t="s">
        <v>25</v>
      </c>
      <c r="C4473">
        <v>2006</v>
      </c>
      <c r="D4473" t="s">
        <v>32</v>
      </c>
      <c r="E4473" s="3">
        <v>9425</v>
      </c>
      <c r="F4473" s="8">
        <v>894</v>
      </c>
      <c r="G4473" s="1">
        <f t="shared" si="1996"/>
        <v>10319</v>
      </c>
      <c r="H4473" s="2">
        <f t="shared" si="1997"/>
        <v>0.91336369803275508</v>
      </c>
      <c r="I4473" s="2">
        <f t="shared" si="1998"/>
        <v>8.6636301967244894E-2</v>
      </c>
      <c r="J4473" s="4">
        <v>2820.38</v>
      </c>
      <c r="K4473" s="4">
        <v>1111.6600000000001</v>
      </c>
      <c r="L4473" s="1">
        <f t="shared" si="1993"/>
        <v>3932.04</v>
      </c>
      <c r="M4473" s="2">
        <f t="shared" si="1994"/>
        <v>0.71728161463260809</v>
      </c>
      <c r="N4473" s="2">
        <f t="shared" si="1995"/>
        <v>0.28271838536739202</v>
      </c>
    </row>
    <row r="4474" spans="1:14" x14ac:dyDescent="0.35">
      <c r="A4474" t="s">
        <v>37</v>
      </c>
      <c r="B4474" t="s">
        <v>26</v>
      </c>
      <c r="C4474">
        <v>2006</v>
      </c>
      <c r="D4474" t="s">
        <v>32</v>
      </c>
      <c r="E4474" s="3">
        <v>9344</v>
      </c>
      <c r="F4474" s="8">
        <v>905</v>
      </c>
      <c r="G4474" s="1">
        <f t="shared" si="1996"/>
        <v>10249</v>
      </c>
      <c r="H4474" s="2">
        <f t="shared" si="1997"/>
        <v>0.91169870231242067</v>
      </c>
      <c r="I4474" s="2">
        <f t="shared" si="1998"/>
        <v>8.8301297687579272E-2</v>
      </c>
      <c r="J4474" s="4">
        <v>2796.31</v>
      </c>
      <c r="K4474" s="4">
        <v>1131.69</v>
      </c>
      <c r="L4474" s="1">
        <f t="shared" si="1993"/>
        <v>3928</v>
      </c>
      <c r="M4474" s="2">
        <f t="shared" si="1994"/>
        <v>0.7118915478615071</v>
      </c>
      <c r="N4474" s="2">
        <f t="shared" si="1995"/>
        <v>0.2881084521384929</v>
      </c>
    </row>
    <row r="4475" spans="1:14" x14ac:dyDescent="0.35">
      <c r="A4475" t="s">
        <v>37</v>
      </c>
      <c r="B4475" t="s">
        <v>27</v>
      </c>
      <c r="C4475">
        <v>2006</v>
      </c>
      <c r="D4475" t="s">
        <v>32</v>
      </c>
      <c r="E4475" s="3">
        <v>9301</v>
      </c>
      <c r="F4475" s="8">
        <v>1057</v>
      </c>
      <c r="G4475" s="1">
        <f t="shared" si="1996"/>
        <v>10358</v>
      </c>
      <c r="H4475" s="2">
        <f t="shared" si="1997"/>
        <v>0.89795327283259319</v>
      </c>
      <c r="I4475" s="2">
        <f t="shared" si="1998"/>
        <v>0.10204672716740684</v>
      </c>
      <c r="J4475" s="4">
        <v>2822.58</v>
      </c>
      <c r="K4475" s="4">
        <v>1147.25</v>
      </c>
      <c r="L4475" s="1">
        <f t="shared" si="1993"/>
        <v>3969.83</v>
      </c>
      <c r="M4475" s="2">
        <f t="shared" si="1994"/>
        <v>0.71100777615162358</v>
      </c>
      <c r="N4475" s="2">
        <f t="shared" si="1995"/>
        <v>0.28899222384837636</v>
      </c>
    </row>
    <row r="4476" spans="1:14" x14ac:dyDescent="0.35">
      <c r="A4476" t="s">
        <v>37</v>
      </c>
      <c r="B4476" t="s">
        <v>28</v>
      </c>
      <c r="C4476">
        <v>2006</v>
      </c>
      <c r="D4476" t="s">
        <v>32</v>
      </c>
      <c r="E4476" s="3">
        <v>9255</v>
      </c>
      <c r="F4476" s="8">
        <v>1059</v>
      </c>
      <c r="G4476" s="1">
        <f t="shared" si="1996"/>
        <v>10314</v>
      </c>
      <c r="H4476" s="2">
        <f t="shared" si="1997"/>
        <v>0.89732402559627689</v>
      </c>
      <c r="I4476" s="2">
        <f t="shared" si="1998"/>
        <v>0.1026759744037231</v>
      </c>
      <c r="J4476" s="4">
        <v>2841.91</v>
      </c>
      <c r="K4476" s="4">
        <v>1140.77</v>
      </c>
      <c r="L4476" s="1">
        <f t="shared" si="1993"/>
        <v>3982.68</v>
      </c>
      <c r="M4476" s="2">
        <f t="shared" si="1994"/>
        <v>0.71356724617594181</v>
      </c>
      <c r="N4476" s="2">
        <f t="shared" si="1995"/>
        <v>0.28643275382405819</v>
      </c>
    </row>
    <row r="4477" spans="1:14" x14ac:dyDescent="0.35">
      <c r="A4477" t="s">
        <v>37</v>
      </c>
      <c r="B4477" t="s">
        <v>29</v>
      </c>
      <c r="C4477">
        <v>2006</v>
      </c>
      <c r="D4477" t="s">
        <v>32</v>
      </c>
      <c r="E4477" s="3">
        <v>9253</v>
      </c>
      <c r="F4477" s="8">
        <v>1088</v>
      </c>
      <c r="G4477" s="1">
        <f t="shared" si="1996"/>
        <v>10341</v>
      </c>
      <c r="H4477" s="2">
        <f t="shared" si="1997"/>
        <v>0.89478773812977463</v>
      </c>
      <c r="I4477" s="2">
        <f t="shared" si="1998"/>
        <v>0.10521226187022531</v>
      </c>
      <c r="J4477" s="4">
        <v>2883.63</v>
      </c>
      <c r="K4477" s="4">
        <v>1144.19</v>
      </c>
      <c r="L4477" s="1">
        <f t="shared" si="1993"/>
        <v>4027.82</v>
      </c>
      <c r="M4477" s="2">
        <f t="shared" si="1994"/>
        <v>0.7159282192352191</v>
      </c>
      <c r="N4477" s="2">
        <f t="shared" si="1995"/>
        <v>0.28407178076478096</v>
      </c>
    </row>
    <row r="4478" spans="1:14" x14ac:dyDescent="0.35">
      <c r="A4478" t="s">
        <v>37</v>
      </c>
      <c r="B4478" t="s">
        <v>17</v>
      </c>
      <c r="C4478">
        <v>2007</v>
      </c>
      <c r="D4478" t="s">
        <v>32</v>
      </c>
      <c r="E4478" s="3">
        <v>9125</v>
      </c>
      <c r="F4478" s="8">
        <v>1139</v>
      </c>
      <c r="G4478" s="1">
        <f t="shared" si="1996"/>
        <v>10264</v>
      </c>
      <c r="H4478" s="2">
        <f t="shared" si="1997"/>
        <v>0.88902961808261882</v>
      </c>
      <c r="I4478" s="2">
        <f t="shared" si="1998"/>
        <v>0.11097038191738114</v>
      </c>
      <c r="J4478" s="4">
        <v>2664.03</v>
      </c>
      <c r="K4478" s="4">
        <v>1371.69</v>
      </c>
      <c r="L4478" s="1">
        <f t="shared" si="1993"/>
        <v>4035.7200000000003</v>
      </c>
      <c r="M4478" s="2">
        <f t="shared" si="1994"/>
        <v>0.66011269364574354</v>
      </c>
      <c r="N4478" s="2">
        <f t="shared" si="1995"/>
        <v>0.33988730635425646</v>
      </c>
    </row>
    <row r="4479" spans="1:14" x14ac:dyDescent="0.35">
      <c r="A4479" t="s">
        <v>37</v>
      </c>
      <c r="B4479" t="s">
        <v>19</v>
      </c>
      <c r="C4479">
        <v>2007</v>
      </c>
      <c r="D4479" t="s">
        <v>32</v>
      </c>
      <c r="E4479" s="3">
        <v>8641</v>
      </c>
      <c r="F4479" s="8">
        <v>1505</v>
      </c>
      <c r="G4479" s="1">
        <f t="shared" si="1996"/>
        <v>10146</v>
      </c>
      <c r="H4479" s="2">
        <f t="shared" si="1997"/>
        <v>0.85166568105657403</v>
      </c>
      <c r="I4479" s="2">
        <f t="shared" si="1998"/>
        <v>0.14833431894342597</v>
      </c>
      <c r="J4479" s="4">
        <v>2459.65</v>
      </c>
      <c r="K4479" s="4">
        <v>1504.21</v>
      </c>
      <c r="L4479" s="1">
        <f t="shared" si="1993"/>
        <v>3963.86</v>
      </c>
      <c r="M4479" s="2">
        <f t="shared" si="1994"/>
        <v>0.62051888815447565</v>
      </c>
      <c r="N4479" s="2">
        <f t="shared" si="1995"/>
        <v>0.3794811118455243</v>
      </c>
    </row>
    <row r="4480" spans="1:14" x14ac:dyDescent="0.35">
      <c r="A4480" t="s">
        <v>37</v>
      </c>
      <c r="B4480" t="s">
        <v>20</v>
      </c>
      <c r="C4480">
        <v>2007</v>
      </c>
      <c r="D4480" t="s">
        <v>32</v>
      </c>
      <c r="E4480" s="3">
        <v>8603</v>
      </c>
      <c r="F4480" s="8">
        <v>1501</v>
      </c>
      <c r="G4480" s="1">
        <f t="shared" si="1996"/>
        <v>10104</v>
      </c>
      <c r="H4480" s="2">
        <f t="shared" si="1997"/>
        <v>0.85144497228820271</v>
      </c>
      <c r="I4480" s="2">
        <f t="shared" si="1998"/>
        <v>0.14855502771179732</v>
      </c>
      <c r="J4480" s="4">
        <v>2452.38</v>
      </c>
      <c r="K4480" s="4">
        <v>1508.89</v>
      </c>
      <c r="L4480" s="1">
        <f t="shared" si="1993"/>
        <v>3961.2700000000004</v>
      </c>
      <c r="M4480" s="2">
        <f t="shared" si="1994"/>
        <v>0.61908933246155895</v>
      </c>
      <c r="N4480" s="2">
        <f t="shared" si="1995"/>
        <v>0.38091066753844094</v>
      </c>
    </row>
    <row r="4481" spans="1:14" x14ac:dyDescent="0.35">
      <c r="A4481" t="s">
        <v>37</v>
      </c>
      <c r="B4481" t="s">
        <v>21</v>
      </c>
      <c r="C4481">
        <v>2007</v>
      </c>
      <c r="D4481" t="s">
        <v>32</v>
      </c>
      <c r="E4481" s="3">
        <v>8570</v>
      </c>
      <c r="F4481" s="8">
        <v>1509</v>
      </c>
      <c r="G4481" s="1">
        <f t="shared" si="1996"/>
        <v>10079</v>
      </c>
      <c r="H4481" s="2">
        <f t="shared" si="1997"/>
        <v>0.85028276614743525</v>
      </c>
      <c r="I4481" s="2">
        <f t="shared" si="1998"/>
        <v>0.14971723385256475</v>
      </c>
      <c r="J4481" s="4">
        <v>2411.75</v>
      </c>
      <c r="K4481" s="4">
        <v>1487.36</v>
      </c>
      <c r="L4481" s="1">
        <f t="shared" si="1993"/>
        <v>3899.1099999999997</v>
      </c>
      <c r="M4481" s="2">
        <f t="shared" si="1994"/>
        <v>0.61853858957556984</v>
      </c>
      <c r="N4481" s="2">
        <f t="shared" si="1995"/>
        <v>0.38146141042443021</v>
      </c>
    </row>
    <row r="4482" spans="1:14" x14ac:dyDescent="0.35">
      <c r="A4482" t="s">
        <v>37</v>
      </c>
      <c r="B4482" t="s">
        <v>22</v>
      </c>
      <c r="C4482">
        <v>2007</v>
      </c>
      <c r="D4482" t="s">
        <v>32</v>
      </c>
      <c r="E4482" s="3">
        <v>8542</v>
      </c>
      <c r="F4482" s="8">
        <v>1511</v>
      </c>
      <c r="G4482" s="1">
        <f t="shared" si="1996"/>
        <v>10053</v>
      </c>
      <c r="H4482" s="2">
        <f t="shared" si="1997"/>
        <v>0.84969660797771807</v>
      </c>
      <c r="I4482" s="2">
        <f t="shared" si="1998"/>
        <v>0.15030339202228191</v>
      </c>
      <c r="J4482" s="4">
        <v>2501.84</v>
      </c>
      <c r="K4482" s="4">
        <v>1460.44</v>
      </c>
      <c r="L4482" s="1">
        <f t="shared" si="1993"/>
        <v>3962.28</v>
      </c>
      <c r="M4482" s="2">
        <f t="shared" si="1994"/>
        <v>0.6314142362478169</v>
      </c>
      <c r="N4482" s="2">
        <f t="shared" si="1995"/>
        <v>0.3685857637521831</v>
      </c>
    </row>
    <row r="4483" spans="1:14" x14ac:dyDescent="0.35">
      <c r="A4483" t="s">
        <v>37</v>
      </c>
      <c r="B4483" t="s">
        <v>23</v>
      </c>
      <c r="C4483">
        <v>2007</v>
      </c>
      <c r="D4483" t="s">
        <v>32</v>
      </c>
      <c r="E4483" s="3">
        <v>8938</v>
      </c>
      <c r="F4483" s="8">
        <v>1647</v>
      </c>
      <c r="G4483" s="1">
        <f t="shared" si="1996"/>
        <v>10585</v>
      </c>
      <c r="H4483" s="2">
        <f t="shared" si="1997"/>
        <v>0.84440245630609356</v>
      </c>
      <c r="I4483" s="2">
        <f t="shared" si="1998"/>
        <v>0.15559754369390646</v>
      </c>
      <c r="J4483" s="4">
        <v>2446.63</v>
      </c>
      <c r="K4483" s="4">
        <v>1434.91</v>
      </c>
      <c r="L4483" s="1">
        <f t="shared" ref="L4483:L4546" si="1999">SUM(J4483:K4483)</f>
        <v>3881.54</v>
      </c>
      <c r="M4483" s="2">
        <f t="shared" ref="M4483:M4546" si="2000">SUM(J4483)/L4483</f>
        <v>0.63032456190068897</v>
      </c>
      <c r="N4483" s="2">
        <f t="shared" ref="N4483:N4546" si="2001">SUM(K4483/L4483)</f>
        <v>0.36967543809931114</v>
      </c>
    </row>
    <row r="4484" spans="1:14" x14ac:dyDescent="0.35">
      <c r="A4484" t="s">
        <v>37</v>
      </c>
      <c r="B4484" t="s">
        <v>24</v>
      </c>
      <c r="C4484">
        <v>2007</v>
      </c>
      <c r="D4484" t="s">
        <v>32</v>
      </c>
      <c r="E4484" s="3">
        <v>8283</v>
      </c>
      <c r="F4484" s="8">
        <v>1562</v>
      </c>
      <c r="G4484" s="1">
        <f t="shared" si="1996"/>
        <v>9845</v>
      </c>
      <c r="H4484" s="2">
        <f t="shared" si="1997"/>
        <v>0.84134078212290497</v>
      </c>
      <c r="I4484" s="2">
        <f t="shared" si="1998"/>
        <v>0.15865921787709497</v>
      </c>
      <c r="J4484" s="4">
        <v>2413.69</v>
      </c>
      <c r="K4484" s="4">
        <v>1441.29</v>
      </c>
      <c r="L4484" s="1">
        <f t="shared" si="1999"/>
        <v>3854.98</v>
      </c>
      <c r="M4484" s="2">
        <f t="shared" si="2000"/>
        <v>0.62612257391737447</v>
      </c>
      <c r="N4484" s="2">
        <f t="shared" si="2001"/>
        <v>0.37387742608262559</v>
      </c>
    </row>
    <row r="4485" spans="1:14" x14ac:dyDescent="0.35">
      <c r="A4485" t="s">
        <v>37</v>
      </c>
      <c r="B4485" t="s">
        <v>25</v>
      </c>
      <c r="C4485">
        <v>2007</v>
      </c>
      <c r="D4485" t="s">
        <v>32</v>
      </c>
      <c r="E4485" s="3">
        <v>8127</v>
      </c>
      <c r="F4485" s="8">
        <v>1628</v>
      </c>
      <c r="G4485" s="1">
        <f t="shared" si="1996"/>
        <v>9755</v>
      </c>
      <c r="H4485" s="2">
        <f t="shared" si="1997"/>
        <v>0.83311122501281398</v>
      </c>
      <c r="I4485" s="2">
        <f t="shared" si="1998"/>
        <v>0.16688877498718604</v>
      </c>
      <c r="J4485" s="4">
        <v>2376.4</v>
      </c>
      <c r="K4485" s="4">
        <v>1480.61</v>
      </c>
      <c r="L4485" s="1">
        <f t="shared" si="1999"/>
        <v>3857.01</v>
      </c>
      <c r="M4485" s="2">
        <f t="shared" si="2000"/>
        <v>0.61612492578448075</v>
      </c>
      <c r="N4485" s="2">
        <f t="shared" si="2001"/>
        <v>0.38387507421551925</v>
      </c>
    </row>
    <row r="4486" spans="1:14" x14ac:dyDescent="0.35">
      <c r="A4486" t="s">
        <v>37</v>
      </c>
      <c r="B4486" t="s">
        <v>26</v>
      </c>
      <c r="C4486">
        <v>2007</v>
      </c>
      <c r="D4486" t="s">
        <v>32</v>
      </c>
      <c r="E4486" s="3">
        <v>7935</v>
      </c>
      <c r="F4486" s="8">
        <v>1717</v>
      </c>
      <c r="G4486" s="1">
        <f t="shared" si="1996"/>
        <v>9652</v>
      </c>
      <c r="H4486" s="2">
        <f t="shared" si="1997"/>
        <v>0.82210940737670946</v>
      </c>
      <c r="I4486" s="2">
        <f t="shared" si="1998"/>
        <v>0.17789059262329052</v>
      </c>
      <c r="J4486" s="4">
        <v>2404.54</v>
      </c>
      <c r="K4486" s="4">
        <v>1521.52</v>
      </c>
      <c r="L4486" s="1">
        <f t="shared" si="1999"/>
        <v>3926.06</v>
      </c>
      <c r="M4486" s="2">
        <f t="shared" si="2000"/>
        <v>0.61245625385246283</v>
      </c>
      <c r="N4486" s="2">
        <f t="shared" si="2001"/>
        <v>0.38754374614753723</v>
      </c>
    </row>
    <row r="4487" spans="1:14" x14ac:dyDescent="0.35">
      <c r="A4487" t="s">
        <v>37</v>
      </c>
      <c r="B4487" t="s">
        <v>27</v>
      </c>
      <c r="C4487">
        <v>2007</v>
      </c>
      <c r="D4487" t="s">
        <v>32</v>
      </c>
      <c r="E4487" s="3">
        <v>7833</v>
      </c>
      <c r="F4487" s="8">
        <v>1729</v>
      </c>
      <c r="G4487" s="1">
        <f t="shared" si="1996"/>
        <v>9562</v>
      </c>
      <c r="H4487" s="2">
        <f t="shared" si="1997"/>
        <v>0.81918008784773055</v>
      </c>
      <c r="I4487" s="2">
        <f t="shared" si="1998"/>
        <v>0.18081991215226939</v>
      </c>
      <c r="J4487" s="4">
        <v>2349.7600000000002</v>
      </c>
      <c r="K4487" s="4">
        <v>1522.28</v>
      </c>
      <c r="L4487" s="1">
        <f t="shared" si="1999"/>
        <v>3872.04</v>
      </c>
      <c r="M4487" s="2">
        <f t="shared" si="2000"/>
        <v>0.60685323498724197</v>
      </c>
      <c r="N4487" s="2">
        <f t="shared" si="2001"/>
        <v>0.39314676501275814</v>
      </c>
    </row>
    <row r="4488" spans="1:14" x14ac:dyDescent="0.35">
      <c r="A4488" t="s">
        <v>37</v>
      </c>
      <c r="B4488" t="s">
        <v>28</v>
      </c>
      <c r="C4488">
        <v>2007</v>
      </c>
      <c r="D4488" t="s">
        <v>32</v>
      </c>
      <c r="E4488" s="3">
        <v>7730</v>
      </c>
      <c r="F4488" s="8">
        <v>1750</v>
      </c>
      <c r="G4488" s="1">
        <f t="shared" si="1996"/>
        <v>9480</v>
      </c>
      <c r="H4488" s="2">
        <f t="shared" si="1997"/>
        <v>0.81540084388185652</v>
      </c>
      <c r="I4488" s="2">
        <f t="shared" si="1998"/>
        <v>0.18459915611814345</v>
      </c>
      <c r="J4488" s="4">
        <v>2301.8000000000002</v>
      </c>
      <c r="K4488" s="4">
        <v>1542.6</v>
      </c>
      <c r="L4488" s="1">
        <f t="shared" si="1999"/>
        <v>3844.4</v>
      </c>
      <c r="M4488" s="2">
        <f t="shared" si="2000"/>
        <v>0.59874102590781397</v>
      </c>
      <c r="N4488" s="2">
        <f t="shared" si="2001"/>
        <v>0.40125897409218603</v>
      </c>
    </row>
    <row r="4489" spans="1:14" x14ac:dyDescent="0.35">
      <c r="A4489" t="s">
        <v>37</v>
      </c>
      <c r="B4489" t="s">
        <v>29</v>
      </c>
      <c r="C4489">
        <v>2007</v>
      </c>
      <c r="D4489" t="s">
        <v>32</v>
      </c>
      <c r="E4489" s="3">
        <v>7657</v>
      </c>
      <c r="F4489" s="8">
        <v>1764</v>
      </c>
      <c r="G4489" s="1">
        <f t="shared" si="1996"/>
        <v>9421</v>
      </c>
      <c r="H4489" s="2">
        <f t="shared" si="1997"/>
        <v>0.81275873049570113</v>
      </c>
      <c r="I4489" s="2">
        <f t="shared" si="1998"/>
        <v>0.1872412695042989</v>
      </c>
      <c r="J4489" s="4">
        <v>2352.11</v>
      </c>
      <c r="K4489" s="4">
        <v>1558.43</v>
      </c>
      <c r="L4489" s="1">
        <f t="shared" si="1999"/>
        <v>3910.54</v>
      </c>
      <c r="M4489" s="2">
        <f t="shared" si="2000"/>
        <v>0.60147959105392101</v>
      </c>
      <c r="N4489" s="2">
        <f t="shared" si="2001"/>
        <v>0.3985204089460791</v>
      </c>
    </row>
    <row r="4490" spans="1:14" x14ac:dyDescent="0.35">
      <c r="A4490" t="s">
        <v>37</v>
      </c>
      <c r="B4490" t="s">
        <v>17</v>
      </c>
      <c r="C4490">
        <v>2008</v>
      </c>
      <c r="D4490" t="s">
        <v>32</v>
      </c>
      <c r="E4490" s="9">
        <v>7540</v>
      </c>
      <c r="F4490" s="9">
        <v>1776</v>
      </c>
      <c r="G4490" s="1">
        <f t="shared" si="1996"/>
        <v>9316</v>
      </c>
      <c r="H4490" s="2">
        <f t="shared" si="1997"/>
        <v>0.80936024044654353</v>
      </c>
      <c r="I4490" s="2">
        <f t="shared" si="1998"/>
        <v>0.19063975955345641</v>
      </c>
      <c r="J4490" s="4">
        <v>2291.62</v>
      </c>
      <c r="K4490" s="4">
        <v>1622.53</v>
      </c>
      <c r="L4490" s="1">
        <f t="shared" si="1999"/>
        <v>3914.1499999999996</v>
      </c>
      <c r="M4490" s="2">
        <f t="shared" si="2000"/>
        <v>0.58547066412886584</v>
      </c>
      <c r="N4490" s="2">
        <f t="shared" si="2001"/>
        <v>0.41452933587113427</v>
      </c>
    </row>
    <row r="4491" spans="1:14" x14ac:dyDescent="0.35">
      <c r="A4491" t="s">
        <v>37</v>
      </c>
      <c r="B4491" t="s">
        <v>19</v>
      </c>
      <c r="C4491">
        <v>2008</v>
      </c>
      <c r="D4491" t="s">
        <v>32</v>
      </c>
      <c r="E4491" s="3">
        <v>7465</v>
      </c>
      <c r="F4491" s="8">
        <v>1803</v>
      </c>
      <c r="G4491" s="1">
        <f t="shared" si="1996"/>
        <v>9268</v>
      </c>
      <c r="H4491" s="2">
        <f t="shared" si="1997"/>
        <v>0.80545964609408716</v>
      </c>
      <c r="I4491" s="2">
        <f t="shared" si="1998"/>
        <v>0.19454035390591282</v>
      </c>
      <c r="J4491" s="4">
        <v>2252.12</v>
      </c>
      <c r="K4491" s="4">
        <v>1616.54</v>
      </c>
      <c r="L4491" s="1">
        <f t="shared" si="1999"/>
        <v>3868.66</v>
      </c>
      <c r="M4491" s="2">
        <f t="shared" si="2000"/>
        <v>0.58214472194506628</v>
      </c>
      <c r="N4491" s="2">
        <f t="shared" si="2001"/>
        <v>0.41785527805493378</v>
      </c>
    </row>
    <row r="4492" spans="1:14" x14ac:dyDescent="0.35">
      <c r="A4492" t="s">
        <v>37</v>
      </c>
      <c r="B4492" t="s">
        <v>20</v>
      </c>
      <c r="C4492">
        <v>2008</v>
      </c>
      <c r="D4492" t="s">
        <v>32</v>
      </c>
      <c r="E4492" s="9">
        <v>7381</v>
      </c>
      <c r="F4492" s="9">
        <v>1839</v>
      </c>
      <c r="G4492" s="1">
        <f t="shared" si="1996"/>
        <v>9220</v>
      </c>
      <c r="H4492" s="2">
        <f t="shared" si="1997"/>
        <v>0.80054229934924082</v>
      </c>
      <c r="I4492" s="2">
        <f t="shared" si="1998"/>
        <v>0.19945770065075921</v>
      </c>
      <c r="J4492" s="4">
        <v>2221.86</v>
      </c>
      <c r="K4492" s="4">
        <v>1557.87</v>
      </c>
      <c r="L4492" s="1">
        <f t="shared" si="1999"/>
        <v>3779.73</v>
      </c>
      <c r="M4492" s="2">
        <f t="shared" si="2000"/>
        <v>0.58783563905358327</v>
      </c>
      <c r="N4492" s="2">
        <f t="shared" si="2001"/>
        <v>0.41216436094641679</v>
      </c>
    </row>
    <row r="4493" spans="1:14" x14ac:dyDescent="0.35">
      <c r="A4493" t="s">
        <v>37</v>
      </c>
      <c r="B4493" t="s">
        <v>21</v>
      </c>
      <c r="C4493">
        <v>2008</v>
      </c>
      <c r="D4493" t="s">
        <v>32</v>
      </c>
      <c r="E4493" s="3">
        <v>7289</v>
      </c>
      <c r="F4493" s="8">
        <v>1867</v>
      </c>
      <c r="G4493" s="1">
        <f t="shared" si="1996"/>
        <v>9156</v>
      </c>
      <c r="H4493" s="2">
        <f t="shared" si="1997"/>
        <v>0.79608999563128002</v>
      </c>
      <c r="I4493" s="2">
        <f t="shared" si="1998"/>
        <v>0.20391000436871998</v>
      </c>
      <c r="J4493" s="4">
        <v>2243.4699999999998</v>
      </c>
      <c r="K4493" s="4">
        <v>1598.17</v>
      </c>
      <c r="L4493" s="1">
        <f t="shared" si="1999"/>
        <v>3841.64</v>
      </c>
      <c r="M4493" s="2">
        <f t="shared" si="2000"/>
        <v>0.58398756780958128</v>
      </c>
      <c r="N4493" s="2">
        <f t="shared" si="2001"/>
        <v>0.41601243219041872</v>
      </c>
    </row>
    <row r="4494" spans="1:14" x14ac:dyDescent="0.35">
      <c r="A4494" t="s">
        <v>37</v>
      </c>
      <c r="B4494" t="s">
        <v>22</v>
      </c>
      <c r="C4494">
        <v>2008</v>
      </c>
      <c r="D4494" t="s">
        <v>32</v>
      </c>
      <c r="E4494" s="9">
        <v>7222</v>
      </c>
      <c r="F4494" s="9">
        <v>1887</v>
      </c>
      <c r="G4494" s="1">
        <f t="shared" si="1996"/>
        <v>9109</v>
      </c>
      <c r="H4494" s="2">
        <f t="shared" si="1997"/>
        <v>0.79284224393457026</v>
      </c>
      <c r="I4494" s="2">
        <f t="shared" si="1998"/>
        <v>0.2071577560654298</v>
      </c>
      <c r="J4494" s="4">
        <v>2259.62</v>
      </c>
      <c r="K4494" s="4">
        <v>1595.2</v>
      </c>
      <c r="L4494" s="1">
        <f t="shared" si="1999"/>
        <v>3854.8199999999997</v>
      </c>
      <c r="M4494" s="2">
        <f t="shared" si="2000"/>
        <v>0.58618041828152812</v>
      </c>
      <c r="N4494" s="2">
        <f t="shared" si="2001"/>
        <v>0.413819581718472</v>
      </c>
    </row>
    <row r="4495" spans="1:14" x14ac:dyDescent="0.35">
      <c r="A4495" t="s">
        <v>37</v>
      </c>
      <c r="B4495" t="s">
        <v>23</v>
      </c>
      <c r="C4495">
        <v>2008</v>
      </c>
      <c r="D4495" t="s">
        <v>32</v>
      </c>
      <c r="E4495" s="9">
        <v>7128</v>
      </c>
      <c r="F4495" s="9">
        <v>1901</v>
      </c>
      <c r="G4495" s="1">
        <f t="shared" si="1996"/>
        <v>9029</v>
      </c>
      <c r="H4495" s="2">
        <f t="shared" si="1997"/>
        <v>0.78945619669952372</v>
      </c>
      <c r="I4495" s="2">
        <f t="shared" si="1998"/>
        <v>0.21054380330047626</v>
      </c>
      <c r="J4495" s="4">
        <v>2182.16</v>
      </c>
      <c r="K4495" s="4">
        <v>1566.39</v>
      </c>
      <c r="L4495" s="1">
        <f t="shared" si="1999"/>
        <v>3748.55</v>
      </c>
      <c r="M4495" s="2">
        <f t="shared" si="2000"/>
        <v>0.58213442531112025</v>
      </c>
      <c r="N4495" s="2">
        <f t="shared" si="2001"/>
        <v>0.41786557468887969</v>
      </c>
    </row>
    <row r="4496" spans="1:14" x14ac:dyDescent="0.35">
      <c r="A4496" t="s">
        <v>37</v>
      </c>
      <c r="B4496" t="s">
        <v>24</v>
      </c>
      <c r="C4496">
        <v>2008</v>
      </c>
      <c r="D4496" t="s">
        <v>32</v>
      </c>
      <c r="E4496" s="9">
        <v>7036</v>
      </c>
      <c r="F4496" s="9">
        <v>1924</v>
      </c>
      <c r="G4496" s="1">
        <f t="shared" si="1996"/>
        <v>8960</v>
      </c>
      <c r="H4496" s="2">
        <f t="shared" si="1997"/>
        <v>0.78526785714285718</v>
      </c>
      <c r="I4496" s="2">
        <f t="shared" si="1998"/>
        <v>0.21473214285714284</v>
      </c>
      <c r="J4496" s="4">
        <v>2191.3000000000002</v>
      </c>
      <c r="K4496" s="4">
        <v>1549.2</v>
      </c>
      <c r="L4496" s="1">
        <f t="shared" si="1999"/>
        <v>3740.5</v>
      </c>
      <c r="M4496" s="2">
        <f t="shared" si="2000"/>
        <v>0.58583077128726113</v>
      </c>
      <c r="N4496" s="2">
        <f t="shared" si="2001"/>
        <v>0.41416922871273892</v>
      </c>
    </row>
    <row r="4497" spans="1:14" x14ac:dyDescent="0.35">
      <c r="A4497" t="s">
        <v>37</v>
      </c>
      <c r="B4497" t="s">
        <v>25</v>
      </c>
      <c r="C4497">
        <v>2008</v>
      </c>
      <c r="D4497" t="s">
        <v>32</v>
      </c>
      <c r="E4497" s="9">
        <v>6895</v>
      </c>
      <c r="F4497" s="9">
        <v>1979</v>
      </c>
      <c r="G4497" s="1">
        <f t="shared" si="1996"/>
        <v>8874</v>
      </c>
      <c r="H4497" s="2">
        <f t="shared" si="1997"/>
        <v>0.77698895650214106</v>
      </c>
      <c r="I4497" s="2">
        <f t="shared" si="1998"/>
        <v>0.22301104349785891</v>
      </c>
      <c r="J4497" s="4">
        <v>2153.41</v>
      </c>
      <c r="K4497" s="4">
        <v>1584.77</v>
      </c>
      <c r="L4497" s="1">
        <f t="shared" si="1999"/>
        <v>3738.18</v>
      </c>
      <c r="M4497" s="2">
        <f t="shared" si="2000"/>
        <v>0.57605840275214137</v>
      </c>
      <c r="N4497" s="2">
        <f t="shared" si="2001"/>
        <v>0.42394159724785857</v>
      </c>
    </row>
    <row r="4498" spans="1:14" x14ac:dyDescent="0.35">
      <c r="A4498" t="s">
        <v>37</v>
      </c>
      <c r="B4498" t="s">
        <v>26</v>
      </c>
      <c r="C4498">
        <v>2008</v>
      </c>
      <c r="D4498" t="s">
        <v>32</v>
      </c>
      <c r="E4498" s="9">
        <v>6723</v>
      </c>
      <c r="F4498" s="9">
        <v>2023</v>
      </c>
      <c r="G4498" s="1">
        <f t="shared" si="1996"/>
        <v>8746</v>
      </c>
      <c r="H4498" s="2">
        <f t="shared" si="1997"/>
        <v>0.76869426023324949</v>
      </c>
      <c r="I4498" s="2">
        <f t="shared" si="1998"/>
        <v>0.23130573976675051</v>
      </c>
      <c r="J4498" s="4">
        <v>2134.5</v>
      </c>
      <c r="K4498" s="4">
        <v>1607.09</v>
      </c>
      <c r="L4498" s="1">
        <f t="shared" si="1999"/>
        <v>3741.59</v>
      </c>
      <c r="M4498" s="2">
        <f t="shared" si="2000"/>
        <v>0.57047939512346357</v>
      </c>
      <c r="N4498" s="2">
        <f t="shared" si="2001"/>
        <v>0.42952060487653643</v>
      </c>
    </row>
    <row r="4499" spans="1:14" x14ac:dyDescent="0.35">
      <c r="A4499" t="s">
        <v>37</v>
      </c>
      <c r="B4499" t="s">
        <v>27</v>
      </c>
      <c r="C4499">
        <v>2008</v>
      </c>
      <c r="D4499" t="s">
        <v>32</v>
      </c>
      <c r="E4499" s="9">
        <v>6520</v>
      </c>
      <c r="F4499" s="9">
        <v>2154</v>
      </c>
      <c r="G4499" s="1">
        <f t="shared" si="1996"/>
        <v>8674</v>
      </c>
      <c r="H4499" s="2">
        <f t="shared" si="1997"/>
        <v>0.75167166243947425</v>
      </c>
      <c r="I4499" s="2">
        <f t="shared" si="1998"/>
        <v>0.24832833756052572</v>
      </c>
      <c r="J4499" s="4">
        <v>1885.06</v>
      </c>
      <c r="K4499" s="4">
        <v>2066.85</v>
      </c>
      <c r="L4499" s="1">
        <f t="shared" si="1999"/>
        <v>3951.91</v>
      </c>
      <c r="M4499" s="2">
        <f t="shared" si="2000"/>
        <v>0.47699972924484618</v>
      </c>
      <c r="N4499" s="2">
        <f t="shared" si="2001"/>
        <v>0.52300027075515387</v>
      </c>
    </row>
    <row r="4500" spans="1:14" x14ac:dyDescent="0.35">
      <c r="A4500" t="s">
        <v>37</v>
      </c>
      <c r="B4500" t="s">
        <v>28</v>
      </c>
      <c r="C4500">
        <v>2008</v>
      </c>
      <c r="D4500" t="s">
        <v>32</v>
      </c>
      <c r="E4500" s="9">
        <v>6337</v>
      </c>
      <c r="F4500" s="9">
        <v>2233</v>
      </c>
      <c r="G4500" s="1">
        <f t="shared" si="1996"/>
        <v>8570</v>
      </c>
      <c r="H4500" s="2">
        <f t="shared" si="1997"/>
        <v>0.73943990665110848</v>
      </c>
      <c r="I4500" s="2">
        <f t="shared" si="1998"/>
        <v>0.26056009334889146</v>
      </c>
      <c r="J4500" s="4">
        <v>1755.57</v>
      </c>
      <c r="K4500" s="4">
        <v>2101.7600000000002</v>
      </c>
      <c r="L4500" s="1">
        <f t="shared" si="1999"/>
        <v>3857.33</v>
      </c>
      <c r="M4500" s="2">
        <f t="shared" si="2000"/>
        <v>0.4551256957532801</v>
      </c>
      <c r="N4500" s="2">
        <f t="shared" si="2001"/>
        <v>0.5448743042467199</v>
      </c>
    </row>
    <row r="4501" spans="1:14" x14ac:dyDescent="0.35">
      <c r="A4501" t="s">
        <v>37</v>
      </c>
      <c r="B4501" t="s">
        <v>29</v>
      </c>
      <c r="C4501">
        <v>2008</v>
      </c>
      <c r="D4501" t="s">
        <v>32</v>
      </c>
      <c r="E4501" s="3">
        <v>6246</v>
      </c>
      <c r="F4501" s="3">
        <v>2267</v>
      </c>
      <c r="G4501" s="1">
        <f t="shared" si="1996"/>
        <v>8513</v>
      </c>
      <c r="H4501" s="2">
        <f t="shared" si="1997"/>
        <v>0.73370139786209332</v>
      </c>
      <c r="I4501" s="2">
        <f t="shared" si="1998"/>
        <v>0.26629860213790674</v>
      </c>
      <c r="J4501" s="4">
        <v>1815.55</v>
      </c>
      <c r="K4501" s="4">
        <v>2124.7800000000002</v>
      </c>
      <c r="L4501" s="1">
        <f t="shared" si="1999"/>
        <v>3940.33</v>
      </c>
      <c r="M4501" s="2">
        <f t="shared" si="2000"/>
        <v>0.46076090073674031</v>
      </c>
      <c r="N4501" s="2">
        <f t="shared" si="2001"/>
        <v>0.53923909926325975</v>
      </c>
    </row>
    <row r="4502" spans="1:14" x14ac:dyDescent="0.35">
      <c r="A4502" t="s">
        <v>37</v>
      </c>
      <c r="B4502" t="s">
        <v>17</v>
      </c>
      <c r="C4502">
        <v>2009</v>
      </c>
      <c r="D4502" t="s">
        <v>32</v>
      </c>
      <c r="E4502" s="3">
        <v>6118</v>
      </c>
      <c r="F4502" s="3">
        <v>2268</v>
      </c>
      <c r="G4502" s="1">
        <f t="shared" si="1996"/>
        <v>8386</v>
      </c>
      <c r="H4502" s="2">
        <f t="shared" si="1997"/>
        <v>0.72954924874791316</v>
      </c>
      <c r="I4502" s="2">
        <f t="shared" si="1998"/>
        <v>0.27045075125208679</v>
      </c>
      <c r="J4502" s="4">
        <v>1701</v>
      </c>
      <c r="K4502" s="4">
        <v>2015.43</v>
      </c>
      <c r="L4502" s="1">
        <f t="shared" si="1999"/>
        <v>3716.4300000000003</v>
      </c>
      <c r="M4502" s="2">
        <f t="shared" si="2000"/>
        <v>0.45769730628587108</v>
      </c>
      <c r="N4502" s="2">
        <f t="shared" si="2001"/>
        <v>0.54230269371412887</v>
      </c>
    </row>
    <row r="4503" spans="1:14" x14ac:dyDescent="0.35">
      <c r="A4503" t="s">
        <v>37</v>
      </c>
      <c r="B4503" t="s">
        <v>19</v>
      </c>
      <c r="C4503">
        <v>2009</v>
      </c>
      <c r="D4503" t="s">
        <v>32</v>
      </c>
      <c r="E4503" s="3">
        <v>6045</v>
      </c>
      <c r="F4503" s="3">
        <v>2320</v>
      </c>
      <c r="G4503" s="1">
        <f t="shared" si="1996"/>
        <v>8365</v>
      </c>
      <c r="H4503" s="2">
        <f t="shared" si="1997"/>
        <v>0.72265391512253441</v>
      </c>
      <c r="I4503" s="2">
        <f t="shared" si="1998"/>
        <v>0.27734608487746565</v>
      </c>
      <c r="J4503" s="4">
        <v>1682.18</v>
      </c>
      <c r="K4503" s="4">
        <v>2069.2800000000002</v>
      </c>
      <c r="L4503" s="1">
        <f t="shared" si="1999"/>
        <v>3751.46</v>
      </c>
      <c r="M4503" s="2">
        <f t="shared" si="2000"/>
        <v>0.44840675363725058</v>
      </c>
      <c r="N4503" s="2">
        <f t="shared" si="2001"/>
        <v>0.55159324636274953</v>
      </c>
    </row>
    <row r="4504" spans="1:14" x14ac:dyDescent="0.35">
      <c r="A4504" t="s">
        <v>37</v>
      </c>
      <c r="B4504" t="s">
        <v>20</v>
      </c>
      <c r="C4504">
        <v>2009</v>
      </c>
      <c r="D4504" t="s">
        <v>32</v>
      </c>
      <c r="E4504" s="3">
        <v>5901</v>
      </c>
      <c r="F4504" s="3">
        <v>2320</v>
      </c>
      <c r="G4504" s="1">
        <f t="shared" si="1996"/>
        <v>8221</v>
      </c>
      <c r="H4504" s="2">
        <f t="shared" si="1997"/>
        <v>0.71779588857803189</v>
      </c>
      <c r="I4504" s="2">
        <f t="shared" si="1998"/>
        <v>0.28220411142196811</v>
      </c>
      <c r="J4504" s="4">
        <v>1696.91</v>
      </c>
      <c r="K4504" s="4">
        <v>1927.87</v>
      </c>
      <c r="L4504" s="1">
        <f t="shared" si="1999"/>
        <v>3624.7799999999997</v>
      </c>
      <c r="M4504" s="2">
        <f t="shared" si="2000"/>
        <v>0.46814151479538074</v>
      </c>
      <c r="N4504" s="2">
        <f t="shared" si="2001"/>
        <v>0.53185848520461931</v>
      </c>
    </row>
    <row r="4505" spans="1:14" x14ac:dyDescent="0.35">
      <c r="A4505" t="s">
        <v>37</v>
      </c>
      <c r="B4505" t="s">
        <v>21</v>
      </c>
      <c r="C4505">
        <v>2009</v>
      </c>
      <c r="D4505" t="s">
        <v>32</v>
      </c>
      <c r="E4505" s="3">
        <v>5785</v>
      </c>
      <c r="F4505" s="3">
        <v>2355</v>
      </c>
      <c r="G4505" s="1">
        <f t="shared" si="1996"/>
        <v>8140</v>
      </c>
      <c r="H4505" s="2">
        <f t="shared" si="1997"/>
        <v>0.7106879606879607</v>
      </c>
      <c r="I4505" s="2">
        <f t="shared" si="1998"/>
        <v>0.2893120393120393</v>
      </c>
      <c r="J4505" s="4">
        <v>1705.05</v>
      </c>
      <c r="K4505" s="4">
        <v>1973.4</v>
      </c>
      <c r="L4505" s="1">
        <f t="shared" si="1999"/>
        <v>3678.45</v>
      </c>
      <c r="M4505" s="2">
        <f t="shared" si="2000"/>
        <v>0.46352403865758679</v>
      </c>
      <c r="N4505" s="2">
        <f t="shared" si="2001"/>
        <v>0.53647596134241327</v>
      </c>
    </row>
    <row r="4506" spans="1:14" x14ac:dyDescent="0.35">
      <c r="A4506" t="s">
        <v>37</v>
      </c>
      <c r="B4506" t="s">
        <v>22</v>
      </c>
      <c r="C4506">
        <v>2009</v>
      </c>
      <c r="D4506" t="s">
        <v>32</v>
      </c>
      <c r="E4506" s="3">
        <v>5721</v>
      </c>
      <c r="F4506" s="3">
        <v>2367</v>
      </c>
      <c r="G4506" s="1">
        <f t="shared" si="1996"/>
        <v>8088</v>
      </c>
      <c r="H4506" s="2">
        <f t="shared" si="1997"/>
        <v>0.70734421364985167</v>
      </c>
      <c r="I4506" s="2">
        <f t="shared" si="1998"/>
        <v>0.29265578635014838</v>
      </c>
      <c r="J4506" s="4">
        <v>1694.88</v>
      </c>
      <c r="K4506" s="4">
        <v>1942.83</v>
      </c>
      <c r="L4506" s="1">
        <f t="shared" si="1999"/>
        <v>3637.71</v>
      </c>
      <c r="M4506" s="2">
        <f t="shared" si="2000"/>
        <v>0.46591949330760291</v>
      </c>
      <c r="N4506" s="2">
        <f t="shared" si="2001"/>
        <v>0.53408050669239715</v>
      </c>
    </row>
    <row r="4507" spans="1:14" x14ac:dyDescent="0.35">
      <c r="A4507" t="s">
        <v>37</v>
      </c>
      <c r="B4507" t="s">
        <v>23</v>
      </c>
      <c r="C4507">
        <v>2009</v>
      </c>
      <c r="D4507" t="s">
        <v>32</v>
      </c>
      <c r="E4507" s="3">
        <v>5646</v>
      </c>
      <c r="F4507" s="3">
        <v>2402</v>
      </c>
      <c r="G4507" s="1">
        <f t="shared" si="1996"/>
        <v>8048</v>
      </c>
      <c r="H4507" s="2">
        <f t="shared" si="1997"/>
        <v>0.70154075546719685</v>
      </c>
      <c r="I4507" s="2">
        <f t="shared" si="1998"/>
        <v>0.2984592445328032</v>
      </c>
      <c r="J4507" s="4">
        <v>1668.79</v>
      </c>
      <c r="K4507" s="4">
        <v>1919.79</v>
      </c>
      <c r="L4507" s="1">
        <f t="shared" si="1999"/>
        <v>3588.58</v>
      </c>
      <c r="M4507" s="2">
        <f t="shared" si="2000"/>
        <v>0.4650279497740053</v>
      </c>
      <c r="N4507" s="2">
        <f t="shared" si="2001"/>
        <v>0.5349720502259947</v>
      </c>
    </row>
    <row r="4508" spans="1:14" x14ac:dyDescent="0.35">
      <c r="A4508" t="s">
        <v>37</v>
      </c>
      <c r="B4508" t="s">
        <v>24</v>
      </c>
      <c r="C4508">
        <v>2009</v>
      </c>
      <c r="D4508" t="s">
        <v>32</v>
      </c>
      <c r="E4508" s="3">
        <v>5572</v>
      </c>
      <c r="F4508" s="3">
        <v>2433</v>
      </c>
      <c r="G4508" s="1">
        <f t="shared" si="1996"/>
        <v>8005</v>
      </c>
      <c r="H4508" s="2">
        <f t="shared" si="1997"/>
        <v>0.69606495940037472</v>
      </c>
      <c r="I4508" s="2">
        <f t="shared" si="1998"/>
        <v>0.30393504059962523</v>
      </c>
      <c r="J4508" s="4">
        <v>1623.65</v>
      </c>
      <c r="K4508" s="4">
        <v>1947.17</v>
      </c>
      <c r="L4508" s="1">
        <f t="shared" si="1999"/>
        <v>3570.82</v>
      </c>
      <c r="M4508" s="2">
        <f t="shared" si="2000"/>
        <v>0.45469948079152689</v>
      </c>
      <c r="N4508" s="2">
        <f t="shared" si="2001"/>
        <v>0.54530051920847311</v>
      </c>
    </row>
    <row r="4509" spans="1:14" x14ac:dyDescent="0.35">
      <c r="A4509" t="s">
        <v>37</v>
      </c>
      <c r="B4509" t="s">
        <v>25</v>
      </c>
      <c r="C4509">
        <v>2009</v>
      </c>
      <c r="D4509" t="s">
        <v>32</v>
      </c>
      <c r="E4509" s="3">
        <v>5511</v>
      </c>
      <c r="F4509" s="3">
        <v>2455</v>
      </c>
      <c r="G4509" s="1">
        <f t="shared" si="1996"/>
        <v>7966</v>
      </c>
      <c r="H4509" s="2">
        <f t="shared" si="1997"/>
        <v>0.69181521466231488</v>
      </c>
      <c r="I4509" s="2">
        <f t="shared" si="1998"/>
        <v>0.30818478533768517</v>
      </c>
      <c r="J4509" s="4">
        <v>1573.56</v>
      </c>
      <c r="K4509" s="4">
        <v>1976.91</v>
      </c>
      <c r="L4509" s="1">
        <f t="shared" si="1999"/>
        <v>3550.4700000000003</v>
      </c>
      <c r="M4509" s="2">
        <f t="shared" si="2000"/>
        <v>0.44319766115472031</v>
      </c>
      <c r="N4509" s="2">
        <f t="shared" si="2001"/>
        <v>0.55680233884527963</v>
      </c>
    </row>
    <row r="4510" spans="1:14" x14ac:dyDescent="0.35">
      <c r="A4510" t="s">
        <v>37</v>
      </c>
      <c r="B4510" t="s">
        <v>26</v>
      </c>
      <c r="C4510">
        <v>2009</v>
      </c>
      <c r="D4510" t="s">
        <v>32</v>
      </c>
      <c r="E4510" s="3">
        <v>5443</v>
      </c>
      <c r="F4510" s="3">
        <v>2483</v>
      </c>
      <c r="G4510" s="1">
        <f t="shared" si="1996"/>
        <v>7926</v>
      </c>
      <c r="H4510" s="2">
        <f t="shared" si="1997"/>
        <v>0.68672722684834719</v>
      </c>
      <c r="I4510" s="2">
        <f t="shared" si="1998"/>
        <v>0.31327277315165281</v>
      </c>
      <c r="J4510" s="4">
        <v>1556</v>
      </c>
      <c r="K4510" s="4">
        <v>2002.2</v>
      </c>
      <c r="L4510" s="1">
        <f t="shared" si="1999"/>
        <v>3558.2</v>
      </c>
      <c r="M4510" s="2">
        <f t="shared" si="2000"/>
        <v>0.43729975830476087</v>
      </c>
      <c r="N4510" s="2">
        <f t="shared" si="2001"/>
        <v>0.56270024169523924</v>
      </c>
    </row>
    <row r="4511" spans="1:14" x14ac:dyDescent="0.35">
      <c r="A4511" t="s">
        <v>37</v>
      </c>
      <c r="B4511" t="s">
        <v>27</v>
      </c>
      <c r="C4511">
        <v>2009</v>
      </c>
      <c r="D4511" t="s">
        <v>32</v>
      </c>
      <c r="E4511" s="3">
        <v>5380</v>
      </c>
      <c r="F4511" s="3">
        <v>2495</v>
      </c>
      <c r="G4511" s="1">
        <f t="shared" si="1996"/>
        <v>7875</v>
      </c>
      <c r="H4511" s="2">
        <f t="shared" si="1997"/>
        <v>0.68317460317460321</v>
      </c>
      <c r="I4511" s="2">
        <f t="shared" si="1998"/>
        <v>0.31682539682539684</v>
      </c>
      <c r="J4511" s="4">
        <v>1547.77</v>
      </c>
      <c r="K4511" s="4">
        <v>2031.92</v>
      </c>
      <c r="L4511" s="1">
        <f t="shared" si="1999"/>
        <v>3579.69</v>
      </c>
      <c r="M4511" s="2">
        <f t="shared" si="2000"/>
        <v>0.43237542915727339</v>
      </c>
      <c r="N4511" s="2">
        <f t="shared" si="2001"/>
        <v>0.56762457084272666</v>
      </c>
    </row>
    <row r="4512" spans="1:14" x14ac:dyDescent="0.35">
      <c r="A4512" t="s">
        <v>37</v>
      </c>
      <c r="B4512" t="s">
        <v>28</v>
      </c>
      <c r="C4512">
        <v>2009</v>
      </c>
      <c r="D4512" t="s">
        <v>32</v>
      </c>
      <c r="E4512" s="3">
        <v>5321</v>
      </c>
      <c r="F4512" s="3">
        <v>2504</v>
      </c>
      <c r="G4512" s="1">
        <f t="shared" si="1996"/>
        <v>7825</v>
      </c>
      <c r="H4512" s="2">
        <f t="shared" si="1997"/>
        <v>0.68</v>
      </c>
      <c r="I4512" s="2">
        <f t="shared" si="1998"/>
        <v>0.32</v>
      </c>
      <c r="J4512" s="4">
        <v>1536.53</v>
      </c>
      <c r="K4512" s="4">
        <v>2041.52</v>
      </c>
      <c r="L4512" s="1">
        <f t="shared" si="1999"/>
        <v>3578.05</v>
      </c>
      <c r="M4512" s="2">
        <f t="shared" si="2000"/>
        <v>0.42943223264068414</v>
      </c>
      <c r="N4512" s="2">
        <f t="shared" si="2001"/>
        <v>0.5705677673593158</v>
      </c>
    </row>
    <row r="4513" spans="1:14" x14ac:dyDescent="0.35">
      <c r="A4513" t="s">
        <v>37</v>
      </c>
      <c r="B4513" t="s">
        <v>29</v>
      </c>
      <c r="C4513">
        <v>2009</v>
      </c>
      <c r="D4513" t="s">
        <v>32</v>
      </c>
      <c r="E4513" s="3">
        <v>5274</v>
      </c>
      <c r="F4513" s="3">
        <v>2526</v>
      </c>
      <c r="G4513" s="1">
        <f t="shared" si="1996"/>
        <v>7800</v>
      </c>
      <c r="H4513" s="2">
        <f t="shared" si="1997"/>
        <v>0.67615384615384611</v>
      </c>
      <c r="I4513" s="2">
        <f t="shared" si="1998"/>
        <v>0.32384615384615384</v>
      </c>
      <c r="J4513" s="4">
        <v>1485.02</v>
      </c>
      <c r="K4513" s="4">
        <v>2067.9299999999998</v>
      </c>
      <c r="L4513" s="1">
        <f t="shared" si="1999"/>
        <v>3552.95</v>
      </c>
      <c r="M4513" s="2">
        <f t="shared" si="2000"/>
        <v>0.41796816729759778</v>
      </c>
      <c r="N4513" s="2">
        <f t="shared" si="2001"/>
        <v>0.58203183270240222</v>
      </c>
    </row>
    <row r="4514" spans="1:14" x14ac:dyDescent="0.35">
      <c r="A4514" t="s">
        <v>37</v>
      </c>
      <c r="B4514" t="s">
        <v>17</v>
      </c>
      <c r="C4514">
        <v>2010</v>
      </c>
      <c r="D4514" t="s">
        <v>32</v>
      </c>
      <c r="E4514" s="3">
        <v>5223</v>
      </c>
      <c r="F4514" s="3">
        <v>2545</v>
      </c>
      <c r="G4514" s="1">
        <f t="shared" si="1996"/>
        <v>7768</v>
      </c>
      <c r="H4514" s="2">
        <f t="shared" si="1997"/>
        <v>0.67237384140061796</v>
      </c>
      <c r="I4514" s="2">
        <f t="shared" si="1998"/>
        <v>0.3276261585993821</v>
      </c>
      <c r="J4514" s="21">
        <v>1471.2</v>
      </c>
      <c r="K4514" s="4">
        <v>2077.4299999999998</v>
      </c>
      <c r="L4514" s="1">
        <f t="shared" si="1999"/>
        <v>3548.63</v>
      </c>
      <c r="M4514" s="2">
        <f t="shared" si="2000"/>
        <v>0.41458252903233078</v>
      </c>
      <c r="N4514" s="2">
        <f t="shared" si="2001"/>
        <v>0.58541747096766916</v>
      </c>
    </row>
    <row r="4515" spans="1:14" x14ac:dyDescent="0.35">
      <c r="A4515" t="s">
        <v>37</v>
      </c>
      <c r="B4515" t="s">
        <v>19</v>
      </c>
      <c r="C4515">
        <v>2010</v>
      </c>
      <c r="D4515" t="s">
        <v>32</v>
      </c>
      <c r="E4515" s="3">
        <v>5192</v>
      </c>
      <c r="F4515" s="3">
        <v>2536</v>
      </c>
      <c r="G4515" s="1">
        <f t="shared" si="1996"/>
        <v>7728</v>
      </c>
      <c r="H4515" s="2">
        <f t="shared" si="1997"/>
        <v>0.67184265010351962</v>
      </c>
      <c r="I4515" s="2">
        <f t="shared" si="1998"/>
        <v>0.32815734989648032</v>
      </c>
      <c r="J4515" s="21">
        <v>1456.76</v>
      </c>
      <c r="K4515" s="4">
        <v>2073.98</v>
      </c>
      <c r="L4515" s="1">
        <f t="shared" si="1999"/>
        <v>3530.74</v>
      </c>
      <c r="M4515" s="2">
        <f t="shared" si="2000"/>
        <v>0.41259339401938405</v>
      </c>
      <c r="N4515" s="2">
        <f t="shared" si="2001"/>
        <v>0.587406605980616</v>
      </c>
    </row>
    <row r="4516" spans="1:14" x14ac:dyDescent="0.35">
      <c r="A4516" t="s">
        <v>37</v>
      </c>
      <c r="B4516" t="s">
        <v>20</v>
      </c>
      <c r="C4516">
        <v>2010</v>
      </c>
      <c r="D4516" t="s">
        <v>32</v>
      </c>
      <c r="E4516" s="3">
        <v>5146</v>
      </c>
      <c r="F4516" s="3">
        <v>2553</v>
      </c>
      <c r="G4516" s="1">
        <f t="shared" si="1996"/>
        <v>7699</v>
      </c>
      <c r="H4516" s="2">
        <f t="shared" si="1997"/>
        <v>0.66839849331081957</v>
      </c>
      <c r="I4516" s="2">
        <f t="shared" si="1998"/>
        <v>0.33160150668918043</v>
      </c>
      <c r="J4516" s="21">
        <v>1425.61</v>
      </c>
      <c r="K4516" s="4">
        <v>2057.9299999999998</v>
      </c>
      <c r="L4516" s="1">
        <f t="shared" si="1999"/>
        <v>3483.54</v>
      </c>
      <c r="M4516" s="2">
        <f t="shared" si="2000"/>
        <v>0.40924174833646232</v>
      </c>
      <c r="N4516" s="2">
        <f t="shared" si="2001"/>
        <v>0.59075825166353757</v>
      </c>
    </row>
    <row r="4517" spans="1:14" x14ac:dyDescent="0.35">
      <c r="A4517" t="s">
        <v>37</v>
      </c>
      <c r="B4517" t="s">
        <v>21</v>
      </c>
      <c r="C4517">
        <v>2010</v>
      </c>
      <c r="D4517" t="s">
        <v>32</v>
      </c>
      <c r="E4517" s="3">
        <v>5087</v>
      </c>
      <c r="F4517" s="3">
        <v>2564</v>
      </c>
      <c r="G4517" s="1">
        <f t="shared" si="1996"/>
        <v>7651</v>
      </c>
      <c r="H4517" s="2">
        <f t="shared" si="1997"/>
        <v>0.66488040778983137</v>
      </c>
      <c r="I4517" s="2">
        <f t="shared" si="1998"/>
        <v>0.33511959221016863</v>
      </c>
      <c r="J4517" s="21">
        <v>1454.5</v>
      </c>
      <c r="K4517" s="4">
        <v>2042.19</v>
      </c>
      <c r="L4517" s="1">
        <f t="shared" si="1999"/>
        <v>3496.69</v>
      </c>
      <c r="M4517" s="2">
        <f t="shared" si="2000"/>
        <v>0.41596481243690459</v>
      </c>
      <c r="N4517" s="2">
        <f t="shared" si="2001"/>
        <v>0.58403518756309536</v>
      </c>
    </row>
    <row r="4518" spans="1:14" x14ac:dyDescent="0.35">
      <c r="A4518" t="s">
        <v>37</v>
      </c>
      <c r="B4518" t="s">
        <v>22</v>
      </c>
      <c r="C4518">
        <v>2010</v>
      </c>
      <c r="D4518" t="s">
        <v>32</v>
      </c>
      <c r="E4518" s="3">
        <v>5050</v>
      </c>
      <c r="F4518" s="3">
        <v>2570</v>
      </c>
      <c r="G4518" s="1">
        <f t="shared" si="1996"/>
        <v>7620</v>
      </c>
      <c r="H4518" s="2">
        <f t="shared" si="1997"/>
        <v>0.66272965879265089</v>
      </c>
      <c r="I4518" s="2">
        <f t="shared" si="1998"/>
        <v>0.33727034120734906</v>
      </c>
      <c r="J4518" s="21">
        <v>1428.37</v>
      </c>
      <c r="K4518" s="4">
        <v>2043.77</v>
      </c>
      <c r="L4518" s="1">
        <f t="shared" si="1999"/>
        <v>3472.14</v>
      </c>
      <c r="M4518" s="2">
        <f t="shared" si="2000"/>
        <v>0.41138030148553917</v>
      </c>
      <c r="N4518" s="2">
        <f t="shared" si="2001"/>
        <v>0.58861969851446083</v>
      </c>
    </row>
    <row r="4519" spans="1:14" x14ac:dyDescent="0.35">
      <c r="A4519" t="s">
        <v>37</v>
      </c>
      <c r="B4519" t="s">
        <v>23</v>
      </c>
      <c r="C4519">
        <v>2010</v>
      </c>
      <c r="D4519" t="s">
        <v>32</v>
      </c>
      <c r="E4519" s="3">
        <v>5014</v>
      </c>
      <c r="F4519" s="3">
        <v>2574</v>
      </c>
      <c r="G4519" s="1">
        <f t="shared" si="1996"/>
        <v>7588</v>
      </c>
      <c r="H4519" s="2">
        <f t="shared" si="1997"/>
        <v>0.6607801792303637</v>
      </c>
      <c r="I4519" s="2">
        <f t="shared" si="1998"/>
        <v>0.33921982076963625</v>
      </c>
      <c r="J4519" s="21">
        <v>1393.56</v>
      </c>
      <c r="K4519" s="4">
        <v>2005.13</v>
      </c>
      <c r="L4519" s="1">
        <f t="shared" si="1999"/>
        <v>3398.69</v>
      </c>
      <c r="M4519" s="2">
        <f t="shared" si="2000"/>
        <v>0.41002856983131736</v>
      </c>
      <c r="N4519" s="2">
        <f t="shared" si="2001"/>
        <v>0.5899714301686827</v>
      </c>
    </row>
    <row r="4520" spans="1:14" x14ac:dyDescent="0.35">
      <c r="A4520" t="s">
        <v>37</v>
      </c>
      <c r="B4520" t="s">
        <v>24</v>
      </c>
      <c r="C4520">
        <v>2010</v>
      </c>
      <c r="D4520" t="s">
        <v>32</v>
      </c>
      <c r="E4520" s="3">
        <v>4977</v>
      </c>
      <c r="F4520" s="3">
        <v>2539</v>
      </c>
      <c r="G4520" s="1">
        <f t="shared" si="1996"/>
        <v>7516</v>
      </c>
      <c r="H4520" s="2">
        <f t="shared" si="1997"/>
        <v>0.66218733368813198</v>
      </c>
      <c r="I4520" s="2">
        <f t="shared" si="1998"/>
        <v>0.33781266631186802</v>
      </c>
      <c r="J4520" s="21">
        <v>1434.24</v>
      </c>
      <c r="K4520" s="4">
        <v>1982.41</v>
      </c>
      <c r="L4520" s="1">
        <f t="shared" si="1999"/>
        <v>3416.65</v>
      </c>
      <c r="M4520" s="2">
        <f t="shared" si="2000"/>
        <v>0.41977960868101794</v>
      </c>
      <c r="N4520" s="2">
        <f t="shared" si="2001"/>
        <v>0.58022039131898206</v>
      </c>
    </row>
    <row r="4521" spans="1:14" x14ac:dyDescent="0.35">
      <c r="A4521" t="s">
        <v>37</v>
      </c>
      <c r="B4521" t="s">
        <v>25</v>
      </c>
      <c r="C4521">
        <v>2010</v>
      </c>
      <c r="D4521" t="s">
        <v>32</v>
      </c>
      <c r="E4521" s="3">
        <v>4906</v>
      </c>
      <c r="F4521" s="3">
        <v>2639</v>
      </c>
      <c r="G4521" s="1">
        <f t="shared" si="1996"/>
        <v>7545</v>
      </c>
      <c r="H4521" s="2">
        <f t="shared" si="1997"/>
        <v>0.65023194168323395</v>
      </c>
      <c r="I4521" s="2">
        <f t="shared" si="1998"/>
        <v>0.34976805831676605</v>
      </c>
      <c r="J4521" s="21">
        <v>1313</v>
      </c>
      <c r="K4521" s="4">
        <v>2067.75</v>
      </c>
      <c r="L4521" s="1">
        <f t="shared" si="1999"/>
        <v>3380.75</v>
      </c>
      <c r="M4521" s="2">
        <f t="shared" si="2000"/>
        <v>0.38837536049693117</v>
      </c>
      <c r="N4521" s="2">
        <f t="shared" si="2001"/>
        <v>0.61162463950306889</v>
      </c>
    </row>
    <row r="4522" spans="1:14" x14ac:dyDescent="0.35">
      <c r="A4522" t="s">
        <v>37</v>
      </c>
      <c r="B4522" t="s">
        <v>26</v>
      </c>
      <c r="C4522">
        <v>2010</v>
      </c>
      <c r="D4522" t="s">
        <v>32</v>
      </c>
      <c r="E4522" s="3">
        <v>4871</v>
      </c>
      <c r="F4522" s="3">
        <v>2671</v>
      </c>
      <c r="G4522" s="1">
        <f t="shared" si="1996"/>
        <v>7542</v>
      </c>
      <c r="H4522" s="2">
        <f t="shared" si="1997"/>
        <v>0.64584990718642266</v>
      </c>
      <c r="I4522" s="2">
        <f t="shared" si="1998"/>
        <v>0.35415009281357729</v>
      </c>
      <c r="J4522" s="21">
        <v>1292.28</v>
      </c>
      <c r="K4522" s="4">
        <v>2108.34</v>
      </c>
      <c r="L4522" s="1">
        <f t="shared" si="1999"/>
        <v>3400.62</v>
      </c>
      <c r="M4522" s="2">
        <f t="shared" si="2000"/>
        <v>0.38001305644264871</v>
      </c>
      <c r="N4522" s="2">
        <f t="shared" si="2001"/>
        <v>0.6199869435573514</v>
      </c>
    </row>
    <row r="4523" spans="1:14" x14ac:dyDescent="0.35">
      <c r="A4523" t="s">
        <v>37</v>
      </c>
      <c r="B4523" t="s">
        <v>27</v>
      </c>
      <c r="C4523">
        <v>2010</v>
      </c>
      <c r="D4523" t="s">
        <v>32</v>
      </c>
      <c r="E4523" s="3">
        <v>4829</v>
      </c>
      <c r="F4523" s="3">
        <v>2702</v>
      </c>
      <c r="G4523" s="1">
        <f t="shared" si="1996"/>
        <v>7531</v>
      </c>
      <c r="H4523" s="2">
        <f t="shared" si="1997"/>
        <v>0.64121630593546675</v>
      </c>
      <c r="I4523" s="2">
        <f t="shared" si="1998"/>
        <v>0.35878369406453325</v>
      </c>
      <c r="J4523" s="21">
        <v>1272.93</v>
      </c>
      <c r="K4523" s="4">
        <v>2073.63</v>
      </c>
      <c r="L4523" s="1">
        <f t="shared" si="1999"/>
        <v>3346.5600000000004</v>
      </c>
      <c r="M4523" s="2">
        <f t="shared" si="2000"/>
        <v>0.38036969305794605</v>
      </c>
      <c r="N4523" s="2">
        <f t="shared" si="2001"/>
        <v>0.6196303069420539</v>
      </c>
    </row>
    <row r="4524" spans="1:14" x14ac:dyDescent="0.35">
      <c r="A4524" t="s">
        <v>37</v>
      </c>
      <c r="B4524" t="s">
        <v>28</v>
      </c>
      <c r="C4524">
        <v>2010</v>
      </c>
      <c r="D4524" t="s">
        <v>32</v>
      </c>
      <c r="E4524" s="3">
        <v>4785</v>
      </c>
      <c r="F4524" s="3">
        <v>2708</v>
      </c>
      <c r="G4524" s="1">
        <f t="shared" si="1996"/>
        <v>7493</v>
      </c>
      <c r="H4524" s="2">
        <f t="shared" si="1997"/>
        <v>0.63859602295475781</v>
      </c>
      <c r="I4524" s="2">
        <f t="shared" si="1998"/>
        <v>0.36140397704524224</v>
      </c>
      <c r="J4524" s="21">
        <v>1267.02</v>
      </c>
      <c r="K4524" s="4">
        <v>2094.52</v>
      </c>
      <c r="L4524" s="1">
        <f t="shared" si="1999"/>
        <v>3361.54</v>
      </c>
      <c r="M4524" s="2">
        <f t="shared" si="2000"/>
        <v>0.37691653230364652</v>
      </c>
      <c r="N4524" s="2">
        <f t="shared" si="2001"/>
        <v>0.62308346769635348</v>
      </c>
    </row>
    <row r="4525" spans="1:14" x14ac:dyDescent="0.35">
      <c r="A4525" t="s">
        <v>37</v>
      </c>
      <c r="B4525" t="s">
        <v>29</v>
      </c>
      <c r="C4525">
        <v>2010</v>
      </c>
      <c r="D4525" t="s">
        <v>32</v>
      </c>
      <c r="E4525">
        <v>4722</v>
      </c>
      <c r="F4525" s="3">
        <v>2750</v>
      </c>
      <c r="G4525" s="1">
        <f t="shared" si="1996"/>
        <v>7472</v>
      </c>
      <c r="H4525" s="2">
        <f t="shared" si="1997"/>
        <v>0.63195931477516065</v>
      </c>
      <c r="I4525" s="2">
        <f t="shared" si="1998"/>
        <v>0.3680406852248394</v>
      </c>
      <c r="J4525" s="21">
        <v>1251.6400000000001</v>
      </c>
      <c r="K4525" s="4">
        <v>2066.75</v>
      </c>
      <c r="L4525" s="1">
        <f t="shared" si="1999"/>
        <v>3318.3900000000003</v>
      </c>
      <c r="M4525" s="2">
        <f t="shared" si="2000"/>
        <v>0.37718291098996803</v>
      </c>
      <c r="N4525" s="2">
        <f t="shared" si="2001"/>
        <v>0.62281708901003197</v>
      </c>
    </row>
    <row r="4526" spans="1:14" x14ac:dyDescent="0.35">
      <c r="A4526" t="s">
        <v>37</v>
      </c>
      <c r="B4526" t="s">
        <v>17</v>
      </c>
      <c r="C4526">
        <v>2011</v>
      </c>
      <c r="D4526" t="s">
        <v>32</v>
      </c>
      <c r="E4526" s="3">
        <v>4665</v>
      </c>
      <c r="F4526" s="3">
        <v>2785</v>
      </c>
      <c r="G4526" s="1">
        <f t="shared" si="1996"/>
        <v>7450</v>
      </c>
      <c r="H4526" s="2">
        <f t="shared" si="1997"/>
        <v>0.62617449664429525</v>
      </c>
      <c r="I4526" s="2">
        <f t="shared" si="1998"/>
        <v>0.37382550335570469</v>
      </c>
      <c r="J4526" s="21">
        <v>1244.3900000000001</v>
      </c>
      <c r="K4526" s="4">
        <v>2096.65</v>
      </c>
      <c r="L4526" s="1">
        <f t="shared" si="1999"/>
        <v>3341.04</v>
      </c>
      <c r="M4526" s="2">
        <f t="shared" si="2000"/>
        <v>0.37245588200081414</v>
      </c>
      <c r="N4526" s="2">
        <f t="shared" si="2001"/>
        <v>0.62754411799918597</v>
      </c>
    </row>
    <row r="4527" spans="1:14" x14ac:dyDescent="0.35">
      <c r="A4527" t="s">
        <v>37</v>
      </c>
      <c r="B4527" t="s">
        <v>19</v>
      </c>
      <c r="C4527">
        <v>2011</v>
      </c>
      <c r="D4527" t="s">
        <v>32</v>
      </c>
      <c r="E4527" s="3">
        <v>4626</v>
      </c>
      <c r="F4527" s="3">
        <v>2790</v>
      </c>
      <c r="G4527" s="1">
        <f t="shared" si="1996"/>
        <v>7416</v>
      </c>
      <c r="H4527" s="2">
        <f t="shared" si="1997"/>
        <v>0.62378640776699024</v>
      </c>
      <c r="I4527" s="2">
        <f t="shared" si="1998"/>
        <v>0.37621359223300971</v>
      </c>
      <c r="J4527" s="21">
        <v>1238.68</v>
      </c>
      <c r="K4527" s="4">
        <v>2398.9499999999998</v>
      </c>
      <c r="L4527" s="1">
        <f t="shared" si="1999"/>
        <v>3637.63</v>
      </c>
      <c r="M4527" s="2">
        <f t="shared" si="2000"/>
        <v>0.34051841446216358</v>
      </c>
      <c r="N4527" s="2">
        <f t="shared" si="2001"/>
        <v>0.65948158553783642</v>
      </c>
    </row>
    <row r="4528" spans="1:14" x14ac:dyDescent="0.35">
      <c r="A4528" t="s">
        <v>37</v>
      </c>
      <c r="B4528" t="s">
        <v>20</v>
      </c>
      <c r="C4528">
        <v>2011</v>
      </c>
      <c r="D4528" t="s">
        <v>32</v>
      </c>
      <c r="E4528" s="3">
        <v>4596</v>
      </c>
      <c r="F4528" s="3">
        <v>2792</v>
      </c>
      <c r="G4528" s="1">
        <f t="shared" si="1996"/>
        <v>7388</v>
      </c>
      <c r="H4528" s="2">
        <f t="shared" si="1997"/>
        <v>0.62208987547374117</v>
      </c>
      <c r="I4528" s="2">
        <f t="shared" si="1998"/>
        <v>0.37791012452625877</v>
      </c>
      <c r="J4528" s="21">
        <v>1250.3900000000001</v>
      </c>
      <c r="K4528" s="4">
        <v>2117.87</v>
      </c>
      <c r="L4528" s="1">
        <f t="shared" si="1999"/>
        <v>3368.26</v>
      </c>
      <c r="M4528" s="2">
        <f t="shared" si="2000"/>
        <v>0.3712272805543515</v>
      </c>
      <c r="N4528" s="2">
        <f t="shared" si="2001"/>
        <v>0.62877271944564839</v>
      </c>
    </row>
    <row r="4529" spans="1:14" x14ac:dyDescent="0.35">
      <c r="A4529" t="s">
        <v>37</v>
      </c>
      <c r="B4529" t="s">
        <v>21</v>
      </c>
      <c r="C4529">
        <v>2011</v>
      </c>
      <c r="D4529" t="s">
        <v>32</v>
      </c>
      <c r="E4529" s="3">
        <v>4556</v>
      </c>
      <c r="F4529" s="3">
        <v>2816</v>
      </c>
      <c r="G4529" s="1">
        <f t="shared" si="1996"/>
        <v>7372</v>
      </c>
      <c r="H4529" s="2">
        <f t="shared" si="1997"/>
        <v>0.61801410743353224</v>
      </c>
      <c r="I4529" s="2">
        <f t="shared" si="1998"/>
        <v>0.3819858925664677</v>
      </c>
      <c r="J4529" s="21">
        <v>1237.3399999999999</v>
      </c>
      <c r="K4529" s="4">
        <v>2032.18</v>
      </c>
      <c r="L4529" s="1">
        <f t="shared" si="1999"/>
        <v>3269.52</v>
      </c>
      <c r="M4529" s="2">
        <f t="shared" si="2000"/>
        <v>0.37844698916048836</v>
      </c>
      <c r="N4529" s="2">
        <f t="shared" si="2001"/>
        <v>0.62155301083951164</v>
      </c>
    </row>
    <row r="4530" spans="1:14" x14ac:dyDescent="0.35">
      <c r="A4530" t="s">
        <v>37</v>
      </c>
      <c r="B4530" t="s">
        <v>22</v>
      </c>
      <c r="C4530">
        <v>2011</v>
      </c>
      <c r="D4530" t="s">
        <v>32</v>
      </c>
      <c r="E4530" s="3">
        <v>4521</v>
      </c>
      <c r="F4530" s="3">
        <v>2830</v>
      </c>
      <c r="G4530" s="1">
        <f t="shared" si="1996"/>
        <v>7351</v>
      </c>
      <c r="H4530" s="2">
        <f t="shared" si="1997"/>
        <v>0.61501836484831995</v>
      </c>
      <c r="I4530" s="2">
        <f t="shared" si="1998"/>
        <v>0.38498163515168005</v>
      </c>
      <c r="J4530" s="21">
        <v>1234.08</v>
      </c>
      <c r="K4530" s="4">
        <v>2025.37</v>
      </c>
      <c r="L4530" s="1">
        <f t="shared" si="1999"/>
        <v>3259.45</v>
      </c>
      <c r="M4530" s="2">
        <f t="shared" si="2000"/>
        <v>0.37861602417585788</v>
      </c>
      <c r="N4530" s="2">
        <f t="shared" si="2001"/>
        <v>0.62138397582414207</v>
      </c>
    </row>
    <row r="4531" spans="1:14" x14ac:dyDescent="0.35">
      <c r="A4531" t="s">
        <v>37</v>
      </c>
      <c r="B4531" t="s">
        <v>23</v>
      </c>
      <c r="C4531">
        <v>2011</v>
      </c>
      <c r="D4531" t="s">
        <v>32</v>
      </c>
      <c r="E4531" s="3">
        <v>4517</v>
      </c>
      <c r="F4531" s="3">
        <v>2806</v>
      </c>
      <c r="G4531" s="1">
        <f t="shared" si="1996"/>
        <v>7323</v>
      </c>
      <c r="H4531" s="2">
        <f t="shared" si="1997"/>
        <v>0.61682370613136694</v>
      </c>
      <c r="I4531" s="2">
        <f t="shared" si="1998"/>
        <v>0.38317629386863306</v>
      </c>
      <c r="J4531" s="21">
        <v>1231.57</v>
      </c>
      <c r="K4531" s="4">
        <v>2014.15</v>
      </c>
      <c r="L4531" s="1">
        <f t="shared" si="1999"/>
        <v>3245.7200000000003</v>
      </c>
      <c r="M4531" s="2">
        <f t="shared" si="2000"/>
        <v>0.37944431435860143</v>
      </c>
      <c r="N4531" s="2">
        <f t="shared" si="2001"/>
        <v>0.62055568564139851</v>
      </c>
    </row>
    <row r="4532" spans="1:14" x14ac:dyDescent="0.35">
      <c r="A4532" t="s">
        <v>37</v>
      </c>
      <c r="B4532" t="s">
        <v>24</v>
      </c>
      <c r="C4532">
        <v>2011</v>
      </c>
      <c r="D4532" t="s">
        <v>32</v>
      </c>
      <c r="E4532" s="3">
        <v>4530</v>
      </c>
      <c r="F4532" s="3">
        <v>2763</v>
      </c>
      <c r="G4532" s="1">
        <f t="shared" si="1996"/>
        <v>7293</v>
      </c>
      <c r="H4532" s="2">
        <f t="shared" si="1997"/>
        <v>0.62114356232003287</v>
      </c>
      <c r="I4532" s="2">
        <f t="shared" si="1998"/>
        <v>0.37885643767996707</v>
      </c>
      <c r="J4532" s="21">
        <v>1256.4000000000001</v>
      </c>
      <c r="K4532" s="4">
        <v>1969.06</v>
      </c>
      <c r="L4532" s="1">
        <f t="shared" si="1999"/>
        <v>3225.46</v>
      </c>
      <c r="M4532" s="2">
        <f t="shared" si="2000"/>
        <v>0.38952583507468702</v>
      </c>
      <c r="N4532" s="2">
        <f t="shared" si="2001"/>
        <v>0.61047416492531292</v>
      </c>
    </row>
    <row r="4533" spans="1:14" x14ac:dyDescent="0.35">
      <c r="A4533" t="s">
        <v>37</v>
      </c>
      <c r="B4533" t="s">
        <v>25</v>
      </c>
      <c r="C4533">
        <v>2011</v>
      </c>
      <c r="D4533" t="s">
        <v>32</v>
      </c>
      <c r="E4533" s="18">
        <v>4481</v>
      </c>
      <c r="F4533" s="18">
        <v>2771</v>
      </c>
      <c r="G4533" s="1">
        <f t="shared" si="1996"/>
        <v>7252</v>
      </c>
      <c r="H4533" s="2">
        <f t="shared" si="1997"/>
        <v>0.61789851075565361</v>
      </c>
      <c r="I4533" s="2">
        <f t="shared" si="1998"/>
        <v>0.38210148924434639</v>
      </c>
      <c r="J4533" s="21">
        <v>1245.1600000000001</v>
      </c>
      <c r="K4533" s="4">
        <v>2010.98</v>
      </c>
      <c r="L4533" s="1">
        <f t="shared" si="1999"/>
        <v>3256.1400000000003</v>
      </c>
      <c r="M4533" s="2">
        <f t="shared" si="2000"/>
        <v>0.38240370500039922</v>
      </c>
      <c r="N4533" s="2">
        <f t="shared" si="2001"/>
        <v>0.61759629499960067</v>
      </c>
    </row>
    <row r="4534" spans="1:14" x14ac:dyDescent="0.35">
      <c r="A4534" t="s">
        <v>37</v>
      </c>
      <c r="B4534" t="s">
        <v>26</v>
      </c>
      <c r="C4534">
        <v>2011</v>
      </c>
      <c r="D4534" t="s">
        <v>32</v>
      </c>
      <c r="E4534" s="3">
        <v>4480</v>
      </c>
      <c r="F4534" s="3">
        <v>2774</v>
      </c>
      <c r="G4534" s="1">
        <f t="shared" si="1996"/>
        <v>7254</v>
      </c>
      <c r="H4534" s="2">
        <f t="shared" si="1997"/>
        <v>0.6175902950096499</v>
      </c>
      <c r="I4534" s="2">
        <f t="shared" si="1998"/>
        <v>0.38240970499035015</v>
      </c>
      <c r="J4534" s="21">
        <v>1240.96</v>
      </c>
      <c r="K4534" s="4">
        <v>2013.09</v>
      </c>
      <c r="L4534" s="1">
        <f t="shared" si="1999"/>
        <v>3254.05</v>
      </c>
      <c r="M4534" s="2">
        <f t="shared" si="2000"/>
        <v>0.38135861464943682</v>
      </c>
      <c r="N4534" s="2">
        <f t="shared" si="2001"/>
        <v>0.61864138535056312</v>
      </c>
    </row>
    <row r="4535" spans="1:14" x14ac:dyDescent="0.35">
      <c r="A4535" t="s">
        <v>37</v>
      </c>
      <c r="B4535" t="s">
        <v>27</v>
      </c>
      <c r="C4535">
        <v>2011</v>
      </c>
      <c r="D4535" t="s">
        <v>32</v>
      </c>
      <c r="E4535" s="3">
        <v>4402</v>
      </c>
      <c r="F4535" s="3">
        <v>2794</v>
      </c>
      <c r="G4535" s="1">
        <f t="shared" ref="G4535:G4598" si="2002">SUM(E4535:F4535)</f>
        <v>7196</v>
      </c>
      <c r="H4535" s="2">
        <f t="shared" ref="H4535:H4598" si="2003">SUM(E4535)/G4535</f>
        <v>0.6117287381878822</v>
      </c>
      <c r="I4535" s="2">
        <f t="shared" ref="I4535:I4598" si="2004">SUM(F4535/G4535)</f>
        <v>0.38827126181211785</v>
      </c>
      <c r="J4535" s="21">
        <v>1232.78</v>
      </c>
      <c r="K4535" s="4">
        <v>2006.54</v>
      </c>
      <c r="L4535" s="1">
        <f t="shared" si="1999"/>
        <v>3239.3199999999997</v>
      </c>
      <c r="M4535" s="2">
        <f t="shared" si="2000"/>
        <v>0.3805675265179112</v>
      </c>
      <c r="N4535" s="2">
        <f t="shared" si="2001"/>
        <v>0.61943247348208885</v>
      </c>
    </row>
    <row r="4536" spans="1:14" x14ac:dyDescent="0.35">
      <c r="A4536" t="s">
        <v>37</v>
      </c>
      <c r="B4536" t="s">
        <v>28</v>
      </c>
      <c r="C4536">
        <v>2011</v>
      </c>
      <c r="D4536" t="s">
        <v>32</v>
      </c>
      <c r="E4536" s="3">
        <v>4330</v>
      </c>
      <c r="F4536" s="3">
        <v>2843</v>
      </c>
      <c r="G4536" s="1">
        <f t="shared" si="2002"/>
        <v>7173</v>
      </c>
      <c r="H4536" s="2">
        <f t="shared" si="2003"/>
        <v>0.60365258608671402</v>
      </c>
      <c r="I4536" s="2">
        <f t="shared" si="2004"/>
        <v>0.39634741391328593</v>
      </c>
      <c r="J4536" s="21">
        <v>1173.4000000000001</v>
      </c>
      <c r="K4536" s="4">
        <v>2099.35</v>
      </c>
      <c r="L4536" s="1">
        <f t="shared" si="1999"/>
        <v>3272.75</v>
      </c>
      <c r="M4536" s="2">
        <f t="shared" si="2000"/>
        <v>0.35853639905278439</v>
      </c>
      <c r="N4536" s="2">
        <f t="shared" si="2001"/>
        <v>0.64146360094721566</v>
      </c>
    </row>
    <row r="4537" spans="1:14" x14ac:dyDescent="0.35">
      <c r="A4537" t="s">
        <v>37</v>
      </c>
      <c r="B4537" t="s">
        <v>29</v>
      </c>
      <c r="C4537">
        <v>2011</v>
      </c>
      <c r="D4537" t="s">
        <v>32</v>
      </c>
      <c r="E4537" s="3">
        <v>4246</v>
      </c>
      <c r="F4537" s="3">
        <v>2904</v>
      </c>
      <c r="G4537" s="1">
        <f t="shared" si="2002"/>
        <v>7150</v>
      </c>
      <c r="H4537" s="2">
        <f t="shared" si="2003"/>
        <v>0.5938461538461538</v>
      </c>
      <c r="I4537" s="2">
        <f t="shared" si="2004"/>
        <v>0.40615384615384614</v>
      </c>
      <c r="J4537" s="21">
        <v>945.73</v>
      </c>
      <c r="K4537" s="4">
        <v>2761.44</v>
      </c>
      <c r="L4537" s="1">
        <f t="shared" si="1999"/>
        <v>3707.17</v>
      </c>
      <c r="M4537" s="2">
        <f t="shared" si="2000"/>
        <v>0.25510834410075611</v>
      </c>
      <c r="N4537" s="2">
        <f t="shared" si="2001"/>
        <v>0.74489165589924389</v>
      </c>
    </row>
    <row r="4538" spans="1:14" x14ac:dyDescent="0.35">
      <c r="A4538" t="s">
        <v>37</v>
      </c>
      <c r="B4538" t="s">
        <v>17</v>
      </c>
      <c r="C4538">
        <v>2012</v>
      </c>
      <c r="D4538" t="s">
        <v>32</v>
      </c>
      <c r="E4538" s="8">
        <v>4219</v>
      </c>
      <c r="F4538" s="8">
        <v>2860</v>
      </c>
      <c r="G4538" s="1">
        <f t="shared" si="2002"/>
        <v>7079</v>
      </c>
      <c r="H4538" s="2">
        <f t="shared" si="2003"/>
        <v>0.59598813391721994</v>
      </c>
      <c r="I4538" s="2">
        <f t="shared" si="2004"/>
        <v>0.40401186608278006</v>
      </c>
      <c r="J4538" s="21">
        <v>941.96</v>
      </c>
      <c r="K4538" s="4">
        <v>2363.4</v>
      </c>
      <c r="L4538" s="1">
        <f t="shared" si="1999"/>
        <v>3305.36</v>
      </c>
      <c r="M4538" s="2">
        <f t="shared" si="2000"/>
        <v>0.2849795483699204</v>
      </c>
      <c r="N4538" s="2">
        <f t="shared" si="2001"/>
        <v>0.71502045163007966</v>
      </c>
    </row>
    <row r="4539" spans="1:14" x14ac:dyDescent="0.35">
      <c r="A4539" t="s">
        <v>37</v>
      </c>
      <c r="B4539" t="s">
        <v>19</v>
      </c>
      <c r="C4539">
        <v>2012</v>
      </c>
      <c r="D4539" t="s">
        <v>32</v>
      </c>
      <c r="E4539" s="3">
        <v>4182</v>
      </c>
      <c r="F4539" s="3">
        <v>2913</v>
      </c>
      <c r="G4539" s="1">
        <f t="shared" si="2002"/>
        <v>7095</v>
      </c>
      <c r="H4539" s="2">
        <f t="shared" si="2003"/>
        <v>0.58942917547568707</v>
      </c>
      <c r="I4539" s="2">
        <f t="shared" si="2004"/>
        <v>0.41057082452431287</v>
      </c>
      <c r="J4539" s="21">
        <v>937.17</v>
      </c>
      <c r="K4539" s="4">
        <v>2372.66</v>
      </c>
      <c r="L4539" s="1">
        <f t="shared" si="1999"/>
        <v>3309.83</v>
      </c>
      <c r="M4539" s="2">
        <f t="shared" si="2000"/>
        <v>0.28314747283093089</v>
      </c>
      <c r="N4539" s="2">
        <f t="shared" si="2001"/>
        <v>0.71685252716906911</v>
      </c>
    </row>
    <row r="4540" spans="1:14" x14ac:dyDescent="0.35">
      <c r="A4540" t="s">
        <v>37</v>
      </c>
      <c r="B4540" t="s">
        <v>20</v>
      </c>
      <c r="C4540">
        <v>2012</v>
      </c>
      <c r="D4540" t="s">
        <v>32</v>
      </c>
      <c r="E4540" s="3">
        <v>4157</v>
      </c>
      <c r="F4540" s="3">
        <v>2914</v>
      </c>
      <c r="G4540" s="1">
        <f t="shared" si="2002"/>
        <v>7071</v>
      </c>
      <c r="H4540" s="2">
        <f t="shared" si="2003"/>
        <v>0.58789421581105927</v>
      </c>
      <c r="I4540" s="2">
        <f t="shared" si="2004"/>
        <v>0.41210578418894073</v>
      </c>
      <c r="J4540" s="21">
        <v>939.45</v>
      </c>
      <c r="K4540" s="4">
        <v>2305.5300000000002</v>
      </c>
      <c r="L4540" s="1">
        <f t="shared" si="1999"/>
        <v>3244.9800000000005</v>
      </c>
      <c r="M4540" s="2">
        <f t="shared" si="2000"/>
        <v>0.28950871808146733</v>
      </c>
      <c r="N4540" s="2">
        <f t="shared" si="2001"/>
        <v>0.71049128191853261</v>
      </c>
    </row>
    <row r="4541" spans="1:14" x14ac:dyDescent="0.35">
      <c r="A4541" t="s">
        <v>37</v>
      </c>
      <c r="B4541" t="s">
        <v>21</v>
      </c>
      <c r="C4541">
        <v>2012</v>
      </c>
      <c r="D4541" t="s">
        <v>32</v>
      </c>
      <c r="E4541" s="3">
        <v>4124</v>
      </c>
      <c r="F4541" s="3">
        <v>2920</v>
      </c>
      <c r="G4541" s="1">
        <f t="shared" si="2002"/>
        <v>7044</v>
      </c>
      <c r="H4541" s="2">
        <f t="shared" si="2003"/>
        <v>0.58546280522430438</v>
      </c>
      <c r="I4541" s="2">
        <f t="shared" si="2004"/>
        <v>0.41453719477569562</v>
      </c>
      <c r="J4541" s="21">
        <v>934.21</v>
      </c>
      <c r="K4541" s="4">
        <v>3330.11</v>
      </c>
      <c r="L4541" s="1">
        <f t="shared" si="1999"/>
        <v>4264.32</v>
      </c>
      <c r="M4541" s="2">
        <f t="shared" si="2000"/>
        <v>0.21907596052829059</v>
      </c>
      <c r="N4541" s="2">
        <f t="shared" si="2001"/>
        <v>0.78092403947170952</v>
      </c>
    </row>
    <row r="4542" spans="1:14" x14ac:dyDescent="0.35">
      <c r="A4542" t="s">
        <v>37</v>
      </c>
      <c r="B4542" t="s">
        <v>22</v>
      </c>
      <c r="C4542">
        <v>2012</v>
      </c>
      <c r="D4542" t="s">
        <v>32</v>
      </c>
      <c r="E4542" s="3">
        <v>3871</v>
      </c>
      <c r="F4542" s="3">
        <v>3121</v>
      </c>
      <c r="G4542" s="1">
        <f t="shared" si="2002"/>
        <v>6992</v>
      </c>
      <c r="H4542" s="2">
        <f t="shared" si="2003"/>
        <v>0.55363272311212819</v>
      </c>
      <c r="I4542" s="2">
        <f t="shared" si="2004"/>
        <v>0.44636727688787187</v>
      </c>
      <c r="J4542" s="21">
        <v>838.76</v>
      </c>
      <c r="K4542" s="4">
        <v>2410.5700000000002</v>
      </c>
      <c r="L4542" s="1">
        <f t="shared" si="1999"/>
        <v>3249.33</v>
      </c>
      <c r="M4542" s="2">
        <f t="shared" si="2000"/>
        <v>0.25813321515512427</v>
      </c>
      <c r="N4542" s="2">
        <f t="shared" si="2001"/>
        <v>0.74186678484487578</v>
      </c>
    </row>
    <row r="4543" spans="1:14" x14ac:dyDescent="0.35">
      <c r="A4543" t="s">
        <v>37</v>
      </c>
      <c r="B4543" t="s">
        <v>23</v>
      </c>
      <c r="C4543">
        <v>2012</v>
      </c>
      <c r="D4543" t="s">
        <v>32</v>
      </c>
      <c r="E4543" s="3">
        <v>2755</v>
      </c>
      <c r="F4543" s="3">
        <v>4244</v>
      </c>
      <c r="G4543" s="1">
        <f t="shared" si="2002"/>
        <v>6999</v>
      </c>
      <c r="H4543" s="2">
        <f t="shared" si="2003"/>
        <v>0.39362766109444208</v>
      </c>
      <c r="I4543" s="2">
        <f t="shared" si="2004"/>
        <v>0.60637233890555797</v>
      </c>
      <c r="J4543" s="21">
        <v>502.41</v>
      </c>
      <c r="K4543" s="4">
        <v>2667.73</v>
      </c>
      <c r="L4543" s="1">
        <f t="shared" si="1999"/>
        <v>3170.14</v>
      </c>
      <c r="M4543" s="2">
        <f t="shared" si="2000"/>
        <v>0.15848195978726493</v>
      </c>
      <c r="N4543" s="2">
        <f t="shared" si="2001"/>
        <v>0.84151804021273513</v>
      </c>
    </row>
    <row r="4544" spans="1:14" x14ac:dyDescent="0.35">
      <c r="A4544" t="s">
        <v>37</v>
      </c>
      <c r="B4544" t="s">
        <v>24</v>
      </c>
      <c r="C4544">
        <v>2012</v>
      </c>
      <c r="D4544" t="s">
        <v>32</v>
      </c>
      <c r="E4544" s="3">
        <v>1638</v>
      </c>
      <c r="F4544" s="8">
        <v>5327</v>
      </c>
      <c r="G4544" s="1">
        <f t="shared" si="2002"/>
        <v>6965</v>
      </c>
      <c r="H4544" s="2">
        <f t="shared" si="2003"/>
        <v>0.23517587939698492</v>
      </c>
      <c r="I4544" s="2">
        <f t="shared" si="2004"/>
        <v>0.76482412060301508</v>
      </c>
      <c r="J4544" s="21">
        <v>142.86000000000001</v>
      </c>
      <c r="K4544" s="4">
        <v>3081.38</v>
      </c>
      <c r="L4544" s="1">
        <f t="shared" si="1999"/>
        <v>3224.2400000000002</v>
      </c>
      <c r="M4544" s="2">
        <f t="shared" si="2000"/>
        <v>4.4308116021139869E-2</v>
      </c>
      <c r="N4544" s="2">
        <f t="shared" si="2001"/>
        <v>0.95569188397886007</v>
      </c>
    </row>
    <row r="4545" spans="1:14" x14ac:dyDescent="0.35">
      <c r="A4545" t="s">
        <v>37</v>
      </c>
      <c r="B4545" t="s">
        <v>25</v>
      </c>
      <c r="C4545">
        <v>2012</v>
      </c>
      <c r="D4545" t="s">
        <v>32</v>
      </c>
      <c r="E4545" s="3">
        <v>1624</v>
      </c>
      <c r="F4545" s="8">
        <v>5352</v>
      </c>
      <c r="G4545" s="1">
        <f t="shared" si="2002"/>
        <v>6976</v>
      </c>
      <c r="H4545" s="2">
        <f t="shared" si="2003"/>
        <v>0.23279816513761467</v>
      </c>
      <c r="I4545" s="2">
        <f t="shared" si="2004"/>
        <v>0.76720183486238536</v>
      </c>
      <c r="J4545" s="21">
        <v>126.59</v>
      </c>
      <c r="K4545" s="4">
        <v>3049.17</v>
      </c>
      <c r="L4545" s="1">
        <f t="shared" si="1999"/>
        <v>3175.76</v>
      </c>
      <c r="M4545" s="2">
        <f t="shared" si="2000"/>
        <v>3.9861324533340049E-2</v>
      </c>
      <c r="N4545" s="2">
        <f t="shared" si="2001"/>
        <v>0.96013867546665987</v>
      </c>
    </row>
    <row r="4546" spans="1:14" x14ac:dyDescent="0.35">
      <c r="A4546" t="s">
        <v>37</v>
      </c>
      <c r="B4546" t="s">
        <v>26</v>
      </c>
      <c r="C4546">
        <v>2012</v>
      </c>
      <c r="D4546" t="s">
        <v>32</v>
      </c>
      <c r="E4546" s="3">
        <v>1605</v>
      </c>
      <c r="F4546" s="8">
        <v>5348</v>
      </c>
      <c r="G4546" s="1">
        <f t="shared" si="2002"/>
        <v>6953</v>
      </c>
      <c r="H4546" s="2">
        <f t="shared" si="2003"/>
        <v>0.23083561052782972</v>
      </c>
      <c r="I4546" s="2">
        <f t="shared" si="2004"/>
        <v>0.76916438947217025</v>
      </c>
      <c r="J4546" s="21">
        <v>128.83000000000001</v>
      </c>
      <c r="K4546" s="4">
        <v>3108.02</v>
      </c>
      <c r="L4546" s="1">
        <f t="shared" si="1999"/>
        <v>3236.85</v>
      </c>
      <c r="M4546" s="2">
        <f t="shared" si="2000"/>
        <v>3.9801041135672031E-2</v>
      </c>
      <c r="N4546" s="2">
        <f t="shared" si="2001"/>
        <v>0.96019895886432804</v>
      </c>
    </row>
    <row r="4547" spans="1:14" x14ac:dyDescent="0.35">
      <c r="A4547" t="s">
        <v>37</v>
      </c>
      <c r="B4547" t="s">
        <v>27</v>
      </c>
      <c r="C4547">
        <v>2012</v>
      </c>
      <c r="D4547" t="s">
        <v>32</v>
      </c>
      <c r="E4547" s="3">
        <v>1596</v>
      </c>
      <c r="F4547" s="8">
        <v>5335</v>
      </c>
      <c r="G4547" s="1">
        <f t="shared" si="2002"/>
        <v>6931</v>
      </c>
      <c r="H4547" s="2">
        <f t="shared" si="2003"/>
        <v>0.23026980233732505</v>
      </c>
      <c r="I4547" s="2">
        <f t="shared" si="2004"/>
        <v>0.76973019766267492</v>
      </c>
      <c r="J4547" s="21">
        <v>127.89</v>
      </c>
      <c r="K4547" s="4">
        <v>3103.95</v>
      </c>
      <c r="L4547" s="1">
        <f t="shared" ref="L4547:L4610" si="2005">SUM(J4547:K4547)</f>
        <v>3231.8399999999997</v>
      </c>
      <c r="M4547" s="2">
        <f t="shared" ref="M4547:M4610" si="2006">SUM(J4547)/L4547</f>
        <v>3.9571884746769648E-2</v>
      </c>
      <c r="N4547" s="2">
        <f t="shared" ref="N4547:N4610" si="2007">SUM(K4547/L4547)</f>
        <v>0.96042811525323035</v>
      </c>
    </row>
    <row r="4548" spans="1:14" x14ac:dyDescent="0.35">
      <c r="A4548" t="s">
        <v>37</v>
      </c>
      <c r="B4548" t="s">
        <v>28</v>
      </c>
      <c r="C4548">
        <v>2012</v>
      </c>
      <c r="D4548" t="s">
        <v>32</v>
      </c>
      <c r="E4548" s="3">
        <v>1581</v>
      </c>
      <c r="F4548" s="8">
        <v>5330</v>
      </c>
      <c r="G4548" s="1">
        <f t="shared" si="2002"/>
        <v>6911</v>
      </c>
      <c r="H4548" s="2">
        <f t="shared" si="2003"/>
        <v>0.22876573578353349</v>
      </c>
      <c r="I4548" s="2">
        <f t="shared" si="2004"/>
        <v>0.77123426421646646</v>
      </c>
      <c r="J4548" s="21">
        <v>124.35</v>
      </c>
      <c r="K4548" s="4">
        <v>3119.66</v>
      </c>
      <c r="L4548" s="1">
        <f t="shared" si="2005"/>
        <v>3244.0099999999998</v>
      </c>
      <c r="M4548" s="2">
        <f t="shared" si="2006"/>
        <v>3.8332187631974012E-2</v>
      </c>
      <c r="N4548" s="2">
        <f t="shared" si="2007"/>
        <v>0.96166781236802601</v>
      </c>
    </row>
    <row r="4549" spans="1:14" x14ac:dyDescent="0.35">
      <c r="A4549" t="s">
        <v>37</v>
      </c>
      <c r="B4549" t="s">
        <v>29</v>
      </c>
      <c r="C4549">
        <v>2012</v>
      </c>
      <c r="D4549" t="s">
        <v>32</v>
      </c>
      <c r="E4549" s="3">
        <v>1565</v>
      </c>
      <c r="F4549" s="8">
        <v>5327</v>
      </c>
      <c r="G4549" s="1">
        <f t="shared" si="2002"/>
        <v>6892</v>
      </c>
      <c r="H4549" s="2">
        <f t="shared" si="2003"/>
        <v>0.22707486941381311</v>
      </c>
      <c r="I4549" s="2">
        <f t="shared" si="2004"/>
        <v>0.77292513058618684</v>
      </c>
      <c r="J4549" s="21">
        <v>123.26</v>
      </c>
      <c r="K4549" s="4">
        <v>3219.56</v>
      </c>
      <c r="L4549" s="1">
        <f t="shared" si="2005"/>
        <v>3342.82</v>
      </c>
      <c r="M4549" s="2">
        <f t="shared" si="2006"/>
        <v>3.6873059273308167E-2</v>
      </c>
      <c r="N4549" s="2">
        <f t="shared" si="2007"/>
        <v>0.9631269407266918</v>
      </c>
    </row>
    <row r="4550" spans="1:14" x14ac:dyDescent="0.35">
      <c r="A4550" t="s">
        <v>37</v>
      </c>
      <c r="B4550" t="s">
        <v>17</v>
      </c>
      <c r="C4550">
        <v>2013</v>
      </c>
      <c r="D4550" t="s">
        <v>32</v>
      </c>
      <c r="E4550" s="3">
        <v>1555</v>
      </c>
      <c r="F4550" s="8">
        <v>5325</v>
      </c>
      <c r="G4550" s="1">
        <f t="shared" si="2002"/>
        <v>6880</v>
      </c>
      <c r="H4550" s="2">
        <f t="shared" si="2003"/>
        <v>0.22601744186046513</v>
      </c>
      <c r="I4550" s="2">
        <f t="shared" si="2004"/>
        <v>0.77398255813953487</v>
      </c>
      <c r="J4550" s="21">
        <v>122.23</v>
      </c>
      <c r="K4550" s="4">
        <v>3022.22</v>
      </c>
      <c r="L4550" s="1">
        <f t="shared" si="2005"/>
        <v>3144.45</v>
      </c>
      <c r="M4550" s="2">
        <f t="shared" si="2006"/>
        <v>3.8871662770913834E-2</v>
      </c>
      <c r="N4550" s="2">
        <f t="shared" si="2007"/>
        <v>0.96112833722908619</v>
      </c>
    </row>
    <row r="4551" spans="1:14" x14ac:dyDescent="0.35">
      <c r="A4551" t="s">
        <v>37</v>
      </c>
      <c r="B4551" t="s">
        <v>19</v>
      </c>
      <c r="C4551">
        <v>2013</v>
      </c>
      <c r="D4551" t="s">
        <v>32</v>
      </c>
      <c r="E4551" s="3">
        <v>1536</v>
      </c>
      <c r="F4551" s="8">
        <v>5306</v>
      </c>
      <c r="G4551" s="1">
        <f t="shared" si="2002"/>
        <v>6842</v>
      </c>
      <c r="H4551" s="2">
        <f t="shared" si="2003"/>
        <v>0.22449576147325342</v>
      </c>
      <c r="I4551" s="2">
        <f t="shared" si="2004"/>
        <v>0.77550423852674655</v>
      </c>
      <c r="J4551" s="21">
        <v>121</v>
      </c>
      <c r="K4551" s="4">
        <v>2978.52</v>
      </c>
      <c r="L4551" s="1">
        <f t="shared" si="2005"/>
        <v>3099.52</v>
      </c>
      <c r="M4551" s="2">
        <f t="shared" si="2006"/>
        <v>3.9038302704934955E-2</v>
      </c>
      <c r="N4551" s="2">
        <f t="shared" si="2007"/>
        <v>0.96096169729506509</v>
      </c>
    </row>
    <row r="4552" spans="1:14" x14ac:dyDescent="0.35">
      <c r="A4552" t="s">
        <v>37</v>
      </c>
      <c r="B4552" t="s">
        <v>20</v>
      </c>
      <c r="C4552">
        <v>2013</v>
      </c>
      <c r="D4552" t="s">
        <v>32</v>
      </c>
      <c r="E4552" s="3">
        <v>1524</v>
      </c>
      <c r="F4552" s="8">
        <v>5297</v>
      </c>
      <c r="G4552" s="1">
        <f t="shared" si="2002"/>
        <v>6821</v>
      </c>
      <c r="H4552" s="2">
        <f t="shared" si="2003"/>
        <v>0.22342764990470607</v>
      </c>
      <c r="I4552" s="2">
        <f t="shared" si="2004"/>
        <v>0.77657235009529391</v>
      </c>
      <c r="J4552" s="21">
        <v>120.07</v>
      </c>
      <c r="K4552" s="4">
        <v>3143.98</v>
      </c>
      <c r="L4552" s="1">
        <f t="shared" si="2005"/>
        <v>3264.05</v>
      </c>
      <c r="M4552" s="2">
        <f t="shared" si="2006"/>
        <v>3.6785588456059184E-2</v>
      </c>
      <c r="N4552" s="2">
        <f t="shared" si="2007"/>
        <v>0.96321441154394072</v>
      </c>
    </row>
    <row r="4553" spans="1:14" x14ac:dyDescent="0.35">
      <c r="A4553" t="s">
        <v>37</v>
      </c>
      <c r="B4553" t="s">
        <v>21</v>
      </c>
      <c r="C4553">
        <v>2013</v>
      </c>
      <c r="D4553" t="s">
        <v>32</v>
      </c>
      <c r="E4553" s="3">
        <v>1508</v>
      </c>
      <c r="F4553" s="8">
        <v>5258</v>
      </c>
      <c r="G4553" s="1">
        <f t="shared" si="2002"/>
        <v>6766</v>
      </c>
      <c r="H4553" s="2">
        <f t="shared" si="2003"/>
        <v>0.22287910138929945</v>
      </c>
      <c r="I4553" s="2">
        <f t="shared" si="2004"/>
        <v>0.77712089861070055</v>
      </c>
      <c r="J4553" s="21">
        <v>115.74</v>
      </c>
      <c r="K4553" s="4">
        <v>3409.97</v>
      </c>
      <c r="L4553" s="1">
        <f t="shared" si="2005"/>
        <v>3525.7099999999996</v>
      </c>
      <c r="M4553" s="2">
        <f t="shared" si="2006"/>
        <v>3.2827430503359609E-2</v>
      </c>
      <c r="N4553" s="2">
        <f t="shared" si="2007"/>
        <v>0.96717256949664043</v>
      </c>
    </row>
    <row r="4554" spans="1:14" x14ac:dyDescent="0.35">
      <c r="A4554" t="s">
        <v>37</v>
      </c>
      <c r="B4554" t="s">
        <v>22</v>
      </c>
      <c r="C4554">
        <v>2013</v>
      </c>
      <c r="D4554" t="s">
        <v>32</v>
      </c>
      <c r="E4554" s="3">
        <v>1489</v>
      </c>
      <c r="F4554" s="8">
        <v>5224</v>
      </c>
      <c r="G4554" s="1">
        <f t="shared" si="2002"/>
        <v>6713</v>
      </c>
      <c r="H4554" s="2">
        <f t="shared" si="2003"/>
        <v>0.22180843140175779</v>
      </c>
      <c r="I4554" s="2">
        <f t="shared" si="2004"/>
        <v>0.77819156859824223</v>
      </c>
      <c r="J4554" s="21">
        <v>117.8</v>
      </c>
      <c r="K4554" s="4">
        <v>2856.64</v>
      </c>
      <c r="L4554" s="1">
        <f t="shared" si="2005"/>
        <v>2974.44</v>
      </c>
      <c r="M4554" s="2">
        <f t="shared" si="2006"/>
        <v>3.9604093543658639E-2</v>
      </c>
      <c r="N4554" s="2">
        <f t="shared" si="2007"/>
        <v>0.96039590645634132</v>
      </c>
    </row>
    <row r="4555" spans="1:14" x14ac:dyDescent="0.35">
      <c r="A4555" t="s">
        <v>37</v>
      </c>
      <c r="B4555" t="s">
        <v>23</v>
      </c>
      <c r="C4555">
        <v>2013</v>
      </c>
      <c r="D4555" t="s">
        <v>32</v>
      </c>
      <c r="E4555" s="3">
        <v>1455</v>
      </c>
      <c r="F4555" s="8">
        <v>5197</v>
      </c>
      <c r="G4555" s="1">
        <f t="shared" si="2002"/>
        <v>6652</v>
      </c>
      <c r="H4555" s="2">
        <f t="shared" si="2003"/>
        <v>0.21873120865904991</v>
      </c>
      <c r="I4555" s="2">
        <f t="shared" si="2004"/>
        <v>0.78126879134095006</v>
      </c>
      <c r="J4555" s="21">
        <v>114.35</v>
      </c>
      <c r="K4555" s="4">
        <v>3142.65</v>
      </c>
      <c r="L4555" s="1">
        <f t="shared" si="2005"/>
        <v>3257</v>
      </c>
      <c r="M4555" s="2">
        <f t="shared" si="2006"/>
        <v>3.510899600859687E-2</v>
      </c>
      <c r="N4555" s="2">
        <f t="shared" si="2007"/>
        <v>0.96489100399140315</v>
      </c>
    </row>
    <row r="4556" spans="1:14" x14ac:dyDescent="0.35">
      <c r="A4556" t="s">
        <v>37</v>
      </c>
      <c r="B4556" t="s">
        <v>24</v>
      </c>
      <c r="C4556">
        <v>2013</v>
      </c>
      <c r="D4556" t="s">
        <v>32</v>
      </c>
      <c r="E4556" s="3">
        <v>1440</v>
      </c>
      <c r="F4556" s="8">
        <v>5186</v>
      </c>
      <c r="G4556" s="1">
        <f t="shared" si="2002"/>
        <v>6626</v>
      </c>
      <c r="H4556" s="2">
        <f t="shared" si="2003"/>
        <v>0.2173256866888017</v>
      </c>
      <c r="I4556" s="2">
        <f t="shared" si="2004"/>
        <v>0.7826743133111983</v>
      </c>
      <c r="J4556" s="21">
        <v>113.37</v>
      </c>
      <c r="K4556" s="4">
        <v>3022.01</v>
      </c>
      <c r="L4556" s="1">
        <f t="shared" si="2005"/>
        <v>3135.38</v>
      </c>
      <c r="M4556" s="2">
        <f t="shared" si="2006"/>
        <v>3.6158296602006777E-2</v>
      </c>
      <c r="N4556" s="2">
        <f t="shared" si="2007"/>
        <v>0.96384170339799324</v>
      </c>
    </row>
    <row r="4557" spans="1:14" x14ac:dyDescent="0.35">
      <c r="A4557" t="s">
        <v>37</v>
      </c>
      <c r="B4557" t="s">
        <v>25</v>
      </c>
      <c r="C4557">
        <v>2013</v>
      </c>
      <c r="D4557" t="s">
        <v>32</v>
      </c>
      <c r="E4557" s="3">
        <v>1428</v>
      </c>
      <c r="F4557" s="8">
        <v>5170</v>
      </c>
      <c r="G4557" s="1">
        <f t="shared" si="2002"/>
        <v>6598</v>
      </c>
      <c r="H4557" s="2">
        <f t="shared" si="2003"/>
        <v>0.21642922097605335</v>
      </c>
      <c r="I4557" s="2">
        <f t="shared" si="2004"/>
        <v>0.78357077902394667</v>
      </c>
      <c r="J4557" s="21">
        <v>112.5</v>
      </c>
      <c r="K4557" s="4">
        <v>3026.37</v>
      </c>
      <c r="L4557" s="1">
        <f t="shared" si="2005"/>
        <v>3138.87</v>
      </c>
      <c r="M4557" s="2">
        <f t="shared" si="2006"/>
        <v>3.5840923644496266E-2</v>
      </c>
      <c r="N4557" s="2">
        <f t="shared" si="2007"/>
        <v>0.96415907635550369</v>
      </c>
    </row>
    <row r="4558" spans="1:14" x14ac:dyDescent="0.35">
      <c r="A4558" t="s">
        <v>37</v>
      </c>
      <c r="B4558" t="s">
        <v>26</v>
      </c>
      <c r="C4558">
        <v>2013</v>
      </c>
      <c r="D4558" t="s">
        <v>32</v>
      </c>
      <c r="E4558" s="3">
        <v>1417</v>
      </c>
      <c r="F4558" s="8">
        <v>5162</v>
      </c>
      <c r="G4558" s="1">
        <f t="shared" si="2002"/>
        <v>6579</v>
      </c>
      <c r="H4558" s="2">
        <f t="shared" si="2003"/>
        <v>0.21538227694178447</v>
      </c>
      <c r="I4558" s="2">
        <f t="shared" si="2004"/>
        <v>0.78461772305821553</v>
      </c>
      <c r="J4558" s="21">
        <v>113.04</v>
      </c>
      <c r="K4558" s="4">
        <v>3052.62</v>
      </c>
      <c r="L4558" s="1">
        <f t="shared" si="2005"/>
        <v>3165.66</v>
      </c>
      <c r="M4558" s="2">
        <f t="shared" si="2006"/>
        <v>3.5708193552055498E-2</v>
      </c>
      <c r="N4558" s="2">
        <f t="shared" si="2007"/>
        <v>0.96429180644794454</v>
      </c>
    </row>
    <row r="4559" spans="1:14" x14ac:dyDescent="0.35">
      <c r="A4559" t="s">
        <v>37</v>
      </c>
      <c r="B4559" t="s">
        <v>27</v>
      </c>
      <c r="C4559">
        <v>2013</v>
      </c>
      <c r="D4559" t="s">
        <v>32</v>
      </c>
      <c r="E4559" s="3">
        <v>1415</v>
      </c>
      <c r="F4559" s="8">
        <v>5158</v>
      </c>
      <c r="G4559" s="1">
        <f t="shared" si="2002"/>
        <v>6573</v>
      </c>
      <c r="H4559" s="2">
        <f t="shared" si="2003"/>
        <v>0.21527460824585426</v>
      </c>
      <c r="I4559" s="2">
        <f t="shared" si="2004"/>
        <v>0.7847253917541458</v>
      </c>
      <c r="J4559" s="21">
        <v>109.7</v>
      </c>
      <c r="K4559" s="4">
        <v>3059.35</v>
      </c>
      <c r="L4559" s="1">
        <f t="shared" si="2005"/>
        <v>3169.0499999999997</v>
      </c>
      <c r="M4559" s="2">
        <f t="shared" si="2006"/>
        <v>3.4616052129186982E-2</v>
      </c>
      <c r="N4559" s="2">
        <f t="shared" si="2007"/>
        <v>0.96538394787081305</v>
      </c>
    </row>
    <row r="4560" spans="1:14" x14ac:dyDescent="0.35">
      <c r="A4560" t="s">
        <v>37</v>
      </c>
      <c r="B4560" t="s">
        <v>28</v>
      </c>
      <c r="C4560">
        <v>2013</v>
      </c>
      <c r="D4560" t="s">
        <v>32</v>
      </c>
      <c r="E4560" s="3">
        <v>1384</v>
      </c>
      <c r="F4560" s="8">
        <v>5138</v>
      </c>
      <c r="G4560" s="1">
        <f t="shared" si="2002"/>
        <v>6522</v>
      </c>
      <c r="H4560" s="2">
        <f t="shared" si="2003"/>
        <v>0.21220484513952775</v>
      </c>
      <c r="I4560" s="2">
        <f t="shared" si="2004"/>
        <v>0.78779515486047225</v>
      </c>
      <c r="J4560" s="21">
        <v>108.38</v>
      </c>
      <c r="K4560" s="4">
        <v>3055.68</v>
      </c>
      <c r="L4560" s="1">
        <f t="shared" si="2005"/>
        <v>3164.06</v>
      </c>
      <c r="M4560" s="2">
        <f t="shared" si="2006"/>
        <v>3.4253459163226994E-2</v>
      </c>
      <c r="N4560" s="2">
        <f t="shared" si="2007"/>
        <v>0.96574654083677303</v>
      </c>
    </row>
    <row r="4561" spans="1:14" x14ac:dyDescent="0.35">
      <c r="A4561" t="s">
        <v>37</v>
      </c>
      <c r="B4561" t="s">
        <v>29</v>
      </c>
      <c r="C4561">
        <v>2013</v>
      </c>
      <c r="D4561" t="s">
        <v>32</v>
      </c>
      <c r="E4561" s="3">
        <v>1375</v>
      </c>
      <c r="F4561" s="8">
        <v>5138</v>
      </c>
      <c r="G4561" s="1">
        <f t="shared" si="2002"/>
        <v>6513</v>
      </c>
      <c r="H4561" s="2">
        <f t="shared" si="2003"/>
        <v>0.21111622908030095</v>
      </c>
      <c r="I4561" s="2">
        <f t="shared" si="2004"/>
        <v>0.78888377091969908</v>
      </c>
      <c r="J4561" s="21">
        <v>107.58</v>
      </c>
      <c r="K4561" s="4">
        <v>3313.06</v>
      </c>
      <c r="L4561" s="1">
        <f t="shared" si="2005"/>
        <v>3420.64</v>
      </c>
      <c r="M4561" s="2">
        <f t="shared" si="2006"/>
        <v>3.1450254923055337E-2</v>
      </c>
      <c r="N4561" s="2">
        <f t="shared" si="2007"/>
        <v>0.96854974507694469</v>
      </c>
    </row>
    <row r="4562" spans="1:14" x14ac:dyDescent="0.35">
      <c r="A4562" t="s">
        <v>37</v>
      </c>
      <c r="B4562" t="s">
        <v>17</v>
      </c>
      <c r="C4562">
        <v>2014</v>
      </c>
      <c r="D4562" t="s">
        <v>32</v>
      </c>
      <c r="E4562" s="3">
        <v>1364</v>
      </c>
      <c r="F4562" s="8">
        <v>5110</v>
      </c>
      <c r="G4562" s="1">
        <f t="shared" si="2002"/>
        <v>6474</v>
      </c>
      <c r="H4562" s="2">
        <f t="shared" si="2003"/>
        <v>0.21068890948409022</v>
      </c>
      <c r="I4562" s="2">
        <f t="shared" si="2004"/>
        <v>0.78931109051590975</v>
      </c>
      <c r="J4562" s="21">
        <v>106.79</v>
      </c>
      <c r="K4562" s="4">
        <v>2813.35</v>
      </c>
      <c r="L4562" s="1">
        <f t="shared" si="2005"/>
        <v>2920.14</v>
      </c>
      <c r="M4562" s="2">
        <f t="shared" si="2006"/>
        <v>3.6570164444170487E-2</v>
      </c>
      <c r="N4562" s="2">
        <f t="shared" si="2007"/>
        <v>0.96342983555582951</v>
      </c>
    </row>
    <row r="4563" spans="1:14" x14ac:dyDescent="0.35">
      <c r="A4563" t="s">
        <v>37</v>
      </c>
      <c r="B4563" t="s">
        <v>19</v>
      </c>
      <c r="C4563">
        <v>2014</v>
      </c>
      <c r="D4563" t="s">
        <v>32</v>
      </c>
      <c r="E4563" s="3">
        <v>1347</v>
      </c>
      <c r="F4563" s="8">
        <v>5118</v>
      </c>
      <c r="G4563" s="1">
        <f t="shared" si="2002"/>
        <v>6465</v>
      </c>
      <c r="H4563" s="2">
        <f t="shared" si="2003"/>
        <v>0.20835266821345708</v>
      </c>
      <c r="I4563" s="2">
        <f t="shared" si="2004"/>
        <v>0.7916473317865429</v>
      </c>
      <c r="J4563" s="21">
        <v>104.24</v>
      </c>
      <c r="K4563" s="4">
        <v>3145.84</v>
      </c>
      <c r="L4563" s="1">
        <f t="shared" si="2005"/>
        <v>3250.08</v>
      </c>
      <c r="M4563" s="2">
        <f t="shared" si="2006"/>
        <v>3.2073056663220599E-2</v>
      </c>
      <c r="N4563" s="2">
        <f t="shared" si="2007"/>
        <v>0.96792694333677942</v>
      </c>
    </row>
    <row r="4564" spans="1:14" x14ac:dyDescent="0.35">
      <c r="A4564" t="s">
        <v>37</v>
      </c>
      <c r="B4564" t="s">
        <v>20</v>
      </c>
      <c r="C4564">
        <v>2014</v>
      </c>
      <c r="D4564" t="s">
        <v>32</v>
      </c>
      <c r="E4564" s="3">
        <v>1332</v>
      </c>
      <c r="F4564" s="8">
        <v>5105</v>
      </c>
      <c r="G4564" s="1">
        <f t="shared" si="2002"/>
        <v>6437</v>
      </c>
      <c r="H4564" s="2">
        <f t="shared" si="2003"/>
        <v>0.20692869349075657</v>
      </c>
      <c r="I4564" s="2">
        <f t="shared" si="2004"/>
        <v>0.7930713065092434</v>
      </c>
      <c r="J4564" s="21">
        <v>106.41</v>
      </c>
      <c r="K4564" s="4">
        <v>3098.89</v>
      </c>
      <c r="L4564" s="1">
        <f t="shared" si="2005"/>
        <v>3205.2999999999997</v>
      </c>
      <c r="M4564" s="2">
        <f t="shared" si="2006"/>
        <v>3.3198140579664935E-2</v>
      </c>
      <c r="N4564" s="2">
        <f t="shared" si="2007"/>
        <v>0.96680185942033514</v>
      </c>
    </row>
    <row r="4565" spans="1:14" x14ac:dyDescent="0.35">
      <c r="A4565" t="s">
        <v>37</v>
      </c>
      <c r="B4565" t="s">
        <v>21</v>
      </c>
      <c r="C4565">
        <v>2014</v>
      </c>
      <c r="D4565" t="s">
        <v>32</v>
      </c>
      <c r="E4565" s="3">
        <v>1321</v>
      </c>
      <c r="F4565" s="8">
        <v>5099</v>
      </c>
      <c r="G4565" s="1">
        <f t="shared" si="2002"/>
        <v>6420</v>
      </c>
      <c r="H4565" s="2">
        <f t="shared" si="2003"/>
        <v>0.20576323987538941</v>
      </c>
      <c r="I4565" s="2">
        <f t="shared" si="2004"/>
        <v>0.79423676012461064</v>
      </c>
      <c r="J4565" s="21">
        <v>103.69</v>
      </c>
      <c r="K4565" s="4">
        <v>3076.48</v>
      </c>
      <c r="L4565" s="1">
        <f t="shared" si="2005"/>
        <v>3180.17</v>
      </c>
      <c r="M4565" s="2">
        <f t="shared" si="2006"/>
        <v>3.2605175195036744E-2</v>
      </c>
      <c r="N4565" s="2">
        <f t="shared" si="2007"/>
        <v>0.96739482480496319</v>
      </c>
    </row>
    <row r="4566" spans="1:14" x14ac:dyDescent="0.35">
      <c r="A4566" t="s">
        <v>37</v>
      </c>
      <c r="B4566" t="s">
        <v>22</v>
      </c>
      <c r="C4566">
        <v>2014</v>
      </c>
      <c r="D4566" t="s">
        <v>32</v>
      </c>
      <c r="E4566" s="3">
        <v>1313</v>
      </c>
      <c r="F4566" s="8">
        <v>5080</v>
      </c>
      <c r="G4566" s="1">
        <f t="shared" si="2002"/>
        <v>6393</v>
      </c>
      <c r="H4566" s="2">
        <f t="shared" si="2003"/>
        <v>0.20538088534334428</v>
      </c>
      <c r="I4566" s="2">
        <f t="shared" si="2004"/>
        <v>0.79461911465665569</v>
      </c>
      <c r="J4566" s="21">
        <v>103.07</v>
      </c>
      <c r="K4566" s="4">
        <v>3024.66</v>
      </c>
      <c r="L4566" s="1">
        <f t="shared" si="2005"/>
        <v>3127.73</v>
      </c>
      <c r="M4566" s="2">
        <f t="shared" si="2006"/>
        <v>3.2953611724797216E-2</v>
      </c>
      <c r="N4566" s="2">
        <f t="shared" si="2007"/>
        <v>0.96704638827520273</v>
      </c>
    </row>
    <row r="4567" spans="1:14" x14ac:dyDescent="0.35">
      <c r="A4567" t="s">
        <v>37</v>
      </c>
      <c r="B4567" t="s">
        <v>23</v>
      </c>
      <c r="C4567">
        <v>2014</v>
      </c>
      <c r="D4567" t="s">
        <v>32</v>
      </c>
      <c r="E4567" s="3">
        <v>1306</v>
      </c>
      <c r="F4567" s="8">
        <v>5072</v>
      </c>
      <c r="G4567" s="1">
        <f t="shared" si="2002"/>
        <v>6378</v>
      </c>
      <c r="H4567" s="2">
        <f t="shared" si="2003"/>
        <v>0.20476638444653497</v>
      </c>
      <c r="I4567" s="2">
        <f t="shared" si="2004"/>
        <v>0.79523361555346506</v>
      </c>
      <c r="J4567" s="21">
        <v>102.6</v>
      </c>
      <c r="K4567" s="4">
        <v>3011.03</v>
      </c>
      <c r="L4567" s="1">
        <f t="shared" si="2005"/>
        <v>3113.63</v>
      </c>
      <c r="M4567" s="2">
        <f t="shared" si="2006"/>
        <v>3.2951892164451137E-2</v>
      </c>
      <c r="N4567" s="2">
        <f t="shared" si="2007"/>
        <v>0.96704810783554884</v>
      </c>
    </row>
    <row r="4568" spans="1:14" x14ac:dyDescent="0.35">
      <c r="A4568" t="s">
        <v>37</v>
      </c>
      <c r="B4568" t="s">
        <v>24</v>
      </c>
      <c r="C4568">
        <v>2014</v>
      </c>
      <c r="D4568" t="s">
        <v>32</v>
      </c>
      <c r="E4568" s="3">
        <v>1290</v>
      </c>
      <c r="F4568" s="8">
        <v>5073</v>
      </c>
      <c r="G4568" s="1">
        <f t="shared" si="2002"/>
        <v>6363</v>
      </c>
      <c r="H4568" s="2">
        <f t="shared" si="2003"/>
        <v>0.20273455917020272</v>
      </c>
      <c r="I4568" s="2">
        <f t="shared" si="2004"/>
        <v>0.79726544082979722</v>
      </c>
      <c r="J4568" s="21">
        <v>100.39</v>
      </c>
      <c r="K4568" s="4">
        <v>3000.76</v>
      </c>
      <c r="L4568" s="1">
        <f t="shared" si="2005"/>
        <v>3101.15</v>
      </c>
      <c r="M4568" s="2">
        <f t="shared" si="2006"/>
        <v>3.2371862051174566E-2</v>
      </c>
      <c r="N4568" s="2">
        <f t="shared" si="2007"/>
        <v>0.96762813794882552</v>
      </c>
    </row>
    <row r="4569" spans="1:14" x14ac:dyDescent="0.35">
      <c r="A4569" t="s">
        <v>37</v>
      </c>
      <c r="B4569" t="s">
        <v>25</v>
      </c>
      <c r="C4569">
        <v>2014</v>
      </c>
      <c r="D4569" t="s">
        <v>32</v>
      </c>
      <c r="E4569" s="3">
        <v>1275</v>
      </c>
      <c r="F4569" s="8">
        <v>5062</v>
      </c>
      <c r="G4569" s="1">
        <f t="shared" si="2002"/>
        <v>6337</v>
      </c>
      <c r="H4569" s="2">
        <f t="shared" si="2003"/>
        <v>0.20119930566514124</v>
      </c>
      <c r="I4569" s="2">
        <f t="shared" si="2004"/>
        <v>0.79880069433485879</v>
      </c>
      <c r="J4569" s="21">
        <v>99.59</v>
      </c>
      <c r="K4569" s="4">
        <v>3007.7</v>
      </c>
      <c r="L4569" s="1">
        <f t="shared" si="2005"/>
        <v>3107.29</v>
      </c>
      <c r="M4569" s="2">
        <f t="shared" si="2006"/>
        <v>3.2050436232215214E-2</v>
      </c>
      <c r="N4569" s="2">
        <f t="shared" si="2007"/>
        <v>0.96794956376778474</v>
      </c>
    </row>
    <row r="4570" spans="1:14" x14ac:dyDescent="0.35">
      <c r="A4570" t="s">
        <v>37</v>
      </c>
      <c r="B4570" t="s">
        <v>26</v>
      </c>
      <c r="C4570">
        <v>2014</v>
      </c>
      <c r="D4570" t="s">
        <v>32</v>
      </c>
      <c r="E4570" s="3">
        <v>1260</v>
      </c>
      <c r="F4570" s="8">
        <v>5050</v>
      </c>
      <c r="G4570" s="1">
        <f t="shared" si="2002"/>
        <v>6310</v>
      </c>
      <c r="H4570" s="2">
        <f t="shared" si="2003"/>
        <v>0.19968304278922344</v>
      </c>
      <c r="I4570" s="2">
        <f t="shared" si="2004"/>
        <v>0.80031695721077656</v>
      </c>
      <c r="J4570" s="21">
        <v>98.74</v>
      </c>
      <c r="K4570" s="4">
        <v>3012.61</v>
      </c>
      <c r="L4570" s="1">
        <f t="shared" si="2005"/>
        <v>3111.35</v>
      </c>
      <c r="M4570" s="2">
        <f t="shared" si="2006"/>
        <v>3.1735420315940024E-2</v>
      </c>
      <c r="N4570" s="2">
        <f t="shared" si="2007"/>
        <v>0.96826457968405999</v>
      </c>
    </row>
    <row r="4571" spans="1:14" x14ac:dyDescent="0.35">
      <c r="A4571" t="s">
        <v>37</v>
      </c>
      <c r="B4571" t="s">
        <v>27</v>
      </c>
      <c r="C4571">
        <v>2014</v>
      </c>
      <c r="D4571" t="s">
        <v>32</v>
      </c>
      <c r="E4571" s="3">
        <v>1247</v>
      </c>
      <c r="F4571" s="3">
        <v>5034</v>
      </c>
      <c r="G4571" s="1">
        <f t="shared" si="2002"/>
        <v>6281</v>
      </c>
      <c r="H4571" s="2">
        <f t="shared" si="2003"/>
        <v>0.19853526508517752</v>
      </c>
      <c r="I4571" s="2">
        <f t="shared" si="2004"/>
        <v>0.80146473491482251</v>
      </c>
      <c r="J4571" s="22">
        <v>97.87</v>
      </c>
      <c r="K4571" s="4">
        <v>3021.5</v>
      </c>
      <c r="L4571" s="1">
        <f t="shared" si="2005"/>
        <v>3119.37</v>
      </c>
      <c r="M4571" s="2">
        <f t="shared" si="2006"/>
        <v>3.1374925064997103E-2</v>
      </c>
      <c r="N4571" s="2">
        <f t="shared" si="2007"/>
        <v>0.96862507493500294</v>
      </c>
    </row>
    <row r="4572" spans="1:14" x14ac:dyDescent="0.35">
      <c r="A4572" t="s">
        <v>37</v>
      </c>
      <c r="B4572" t="s">
        <v>28</v>
      </c>
      <c r="C4572">
        <v>2014</v>
      </c>
      <c r="D4572" t="s">
        <v>32</v>
      </c>
      <c r="E4572" s="3">
        <v>1233</v>
      </c>
      <c r="F4572" s="3">
        <v>5029</v>
      </c>
      <c r="G4572" s="1">
        <f t="shared" si="2002"/>
        <v>6262</v>
      </c>
      <c r="H4572" s="2">
        <f t="shared" si="2003"/>
        <v>0.19690194825934207</v>
      </c>
      <c r="I4572" s="2">
        <f t="shared" si="2004"/>
        <v>0.80309805174065796</v>
      </c>
      <c r="J4572" s="22">
        <v>96.75</v>
      </c>
      <c r="K4572" s="4">
        <v>3041.56</v>
      </c>
      <c r="L4572" s="1">
        <f t="shared" si="2005"/>
        <v>3138.31</v>
      </c>
      <c r="M4572" s="2">
        <f t="shared" si="2006"/>
        <v>3.0828694424706291E-2</v>
      </c>
      <c r="N4572" s="2">
        <f t="shared" si="2007"/>
        <v>0.96917130557529374</v>
      </c>
    </row>
    <row r="4573" spans="1:14" x14ac:dyDescent="0.35">
      <c r="A4573" t="s">
        <v>37</v>
      </c>
      <c r="B4573" t="s">
        <v>29</v>
      </c>
      <c r="C4573">
        <v>2014</v>
      </c>
      <c r="D4573" t="s">
        <v>32</v>
      </c>
      <c r="E4573" s="3">
        <v>1224</v>
      </c>
      <c r="F4573" s="3">
        <v>5022</v>
      </c>
      <c r="G4573" s="1">
        <f t="shared" si="2002"/>
        <v>6246</v>
      </c>
      <c r="H4573" s="2">
        <f t="shared" si="2003"/>
        <v>0.19596541786743515</v>
      </c>
      <c r="I4573" s="2">
        <f t="shared" si="2004"/>
        <v>0.80403458213256485</v>
      </c>
      <c r="J4573" s="22">
        <v>96.19</v>
      </c>
      <c r="K4573" s="4">
        <v>3055.86</v>
      </c>
      <c r="L4573" s="1">
        <f t="shared" si="2005"/>
        <v>3152.05</v>
      </c>
      <c r="M4573" s="2">
        <f t="shared" si="2006"/>
        <v>3.0516647895813834E-2</v>
      </c>
      <c r="N4573" s="2">
        <f t="shared" si="2007"/>
        <v>0.96948335210418612</v>
      </c>
    </row>
    <row r="4574" spans="1:14" x14ac:dyDescent="0.35">
      <c r="A4574" t="s">
        <v>37</v>
      </c>
      <c r="B4574" t="s">
        <v>17</v>
      </c>
      <c r="C4574">
        <v>2015</v>
      </c>
      <c r="D4574" t="s">
        <v>32</v>
      </c>
      <c r="E4574" s="3">
        <v>1196</v>
      </c>
      <c r="F4574" s="3">
        <v>5049</v>
      </c>
      <c r="G4574" s="1">
        <f t="shared" si="2002"/>
        <v>6245</v>
      </c>
      <c r="H4574" s="2">
        <f t="shared" si="2003"/>
        <v>0.19151321056845477</v>
      </c>
      <c r="I4574" s="2">
        <f t="shared" si="2004"/>
        <v>0.80848678943154528</v>
      </c>
      <c r="J4574" s="4">
        <v>96.3</v>
      </c>
      <c r="K4574" s="4">
        <v>3080.52</v>
      </c>
      <c r="L4574" s="1">
        <f t="shared" si="2005"/>
        <v>3176.82</v>
      </c>
      <c r="M4574" s="2">
        <f t="shared" si="2006"/>
        <v>3.0313332200124651E-2</v>
      </c>
      <c r="N4574" s="2">
        <f t="shared" si="2007"/>
        <v>0.96968666779987533</v>
      </c>
    </row>
    <row r="4575" spans="1:14" x14ac:dyDescent="0.35">
      <c r="A4575" t="s">
        <v>37</v>
      </c>
      <c r="B4575" t="s">
        <v>19</v>
      </c>
      <c r="C4575">
        <v>2015</v>
      </c>
      <c r="D4575" t="s">
        <v>32</v>
      </c>
      <c r="E4575" s="3">
        <v>1199</v>
      </c>
      <c r="F4575" s="3">
        <v>5004</v>
      </c>
      <c r="G4575" s="1">
        <f t="shared" si="2002"/>
        <v>6203</v>
      </c>
      <c r="H4575" s="2">
        <f t="shared" si="2003"/>
        <v>0.19329356762856681</v>
      </c>
      <c r="I4575" s="2">
        <f t="shared" si="2004"/>
        <v>0.80670643237143314</v>
      </c>
      <c r="J4575" s="4">
        <v>94.14</v>
      </c>
      <c r="K4575" s="4">
        <v>3047.06</v>
      </c>
      <c r="L4575" s="1">
        <f t="shared" si="2005"/>
        <v>3141.2</v>
      </c>
      <c r="M4575" s="2">
        <f t="shared" si="2006"/>
        <v>2.9969438431172803E-2</v>
      </c>
      <c r="N4575" s="2">
        <f t="shared" si="2007"/>
        <v>0.97003056156882728</v>
      </c>
    </row>
    <row r="4576" spans="1:14" x14ac:dyDescent="0.35">
      <c r="A4576" t="s">
        <v>37</v>
      </c>
      <c r="B4576" t="s">
        <v>20</v>
      </c>
      <c r="C4576">
        <v>2015</v>
      </c>
      <c r="D4576" t="s">
        <v>32</v>
      </c>
      <c r="E4576" s="3">
        <v>1193</v>
      </c>
      <c r="F4576" s="3">
        <v>4998</v>
      </c>
      <c r="G4576" s="1">
        <f t="shared" si="2002"/>
        <v>6191</v>
      </c>
      <c r="H4576" s="2">
        <f t="shared" si="2003"/>
        <v>0.19269907930867389</v>
      </c>
      <c r="I4576" s="2">
        <f t="shared" si="2004"/>
        <v>0.80730092069132608</v>
      </c>
      <c r="J4576" s="4">
        <v>93.86</v>
      </c>
      <c r="K4576" s="4">
        <v>3047</v>
      </c>
      <c r="L4576" s="1">
        <f t="shared" si="2005"/>
        <v>3140.86</v>
      </c>
      <c r="M4576" s="2">
        <f t="shared" si="2006"/>
        <v>2.9883535082748037E-2</v>
      </c>
      <c r="N4576" s="2">
        <f t="shared" si="2007"/>
        <v>0.9701164649172519</v>
      </c>
    </row>
    <row r="4577" spans="1:14" x14ac:dyDescent="0.35">
      <c r="A4577" t="s">
        <v>37</v>
      </c>
      <c r="B4577" t="s">
        <v>21</v>
      </c>
      <c r="C4577">
        <v>2015</v>
      </c>
      <c r="D4577" t="s">
        <v>32</v>
      </c>
      <c r="E4577" s="3">
        <v>1181</v>
      </c>
      <c r="F4577" s="3">
        <v>4991</v>
      </c>
      <c r="G4577" s="1">
        <f t="shared" si="2002"/>
        <v>6172</v>
      </c>
      <c r="H4577" s="2">
        <f t="shared" si="2003"/>
        <v>0.19134802333117304</v>
      </c>
      <c r="I4577" s="2">
        <f t="shared" si="2004"/>
        <v>0.80865197666882693</v>
      </c>
      <c r="J4577" s="23">
        <v>93</v>
      </c>
      <c r="K4577" s="4">
        <v>3031</v>
      </c>
      <c r="L4577" s="1">
        <f t="shared" si="2005"/>
        <v>3124</v>
      </c>
      <c r="M4577" s="2">
        <f t="shared" si="2006"/>
        <v>2.9769526248399489E-2</v>
      </c>
      <c r="N4577" s="2">
        <f t="shared" si="2007"/>
        <v>0.97023047375160054</v>
      </c>
    </row>
    <row r="4578" spans="1:14" x14ac:dyDescent="0.35">
      <c r="A4578" t="s">
        <v>37</v>
      </c>
      <c r="B4578" t="s">
        <v>22</v>
      </c>
      <c r="C4578">
        <v>2015</v>
      </c>
      <c r="D4578" t="s">
        <v>32</v>
      </c>
      <c r="E4578" s="3">
        <v>1170</v>
      </c>
      <c r="F4578" s="3">
        <v>4980</v>
      </c>
      <c r="G4578" s="1">
        <f t="shared" si="2002"/>
        <v>6150</v>
      </c>
      <c r="H4578" s="2">
        <f t="shared" si="2003"/>
        <v>0.19024390243902439</v>
      </c>
      <c r="I4578" s="2">
        <f t="shared" si="2004"/>
        <v>0.80975609756097566</v>
      </c>
      <c r="J4578" s="23">
        <v>91</v>
      </c>
      <c r="K4578" s="4">
        <v>2991</v>
      </c>
      <c r="L4578" s="1">
        <f t="shared" si="2005"/>
        <v>3082</v>
      </c>
      <c r="M4578" s="2">
        <f t="shared" si="2006"/>
        <v>2.9526281635301754E-2</v>
      </c>
      <c r="N4578" s="2">
        <f t="shared" si="2007"/>
        <v>0.9704737183646982</v>
      </c>
    </row>
    <row r="4579" spans="1:14" x14ac:dyDescent="0.35">
      <c r="A4579" t="s">
        <v>37</v>
      </c>
      <c r="B4579" t="s">
        <v>23</v>
      </c>
      <c r="C4579">
        <v>2015</v>
      </c>
      <c r="D4579" t="s">
        <v>32</v>
      </c>
      <c r="E4579" s="3">
        <v>1164</v>
      </c>
      <c r="F4579" s="3">
        <v>4954</v>
      </c>
      <c r="G4579" s="1">
        <f t="shared" si="2002"/>
        <v>6118</v>
      </c>
      <c r="H4579" s="2">
        <f t="shared" si="2003"/>
        <v>0.19025825433148089</v>
      </c>
      <c r="I4579" s="2">
        <f t="shared" si="2004"/>
        <v>0.80974174566851909</v>
      </c>
      <c r="J4579" s="23">
        <v>91</v>
      </c>
      <c r="K4579" s="4">
        <v>2970</v>
      </c>
      <c r="L4579" s="1">
        <f t="shared" si="2005"/>
        <v>3061</v>
      </c>
      <c r="M4579" s="2">
        <f t="shared" si="2006"/>
        <v>2.9728846782097355E-2</v>
      </c>
      <c r="N4579" s="2">
        <f t="shared" si="2007"/>
        <v>0.97027115321790269</v>
      </c>
    </row>
    <row r="4580" spans="1:14" x14ac:dyDescent="0.35">
      <c r="A4580" t="s">
        <v>37</v>
      </c>
      <c r="B4580" t="s">
        <v>24</v>
      </c>
      <c r="C4580">
        <v>2015</v>
      </c>
      <c r="D4580" t="s">
        <v>32</v>
      </c>
      <c r="E4580" s="3">
        <v>1154</v>
      </c>
      <c r="F4580" s="3">
        <v>4958</v>
      </c>
      <c r="G4580" s="1">
        <f t="shared" si="2002"/>
        <v>6112</v>
      </c>
      <c r="H4580" s="2">
        <f t="shared" si="2003"/>
        <v>0.1888089005235602</v>
      </c>
      <c r="I4580" s="2">
        <f t="shared" si="2004"/>
        <v>0.81119109947643975</v>
      </c>
      <c r="J4580" s="22">
        <v>90.35</v>
      </c>
      <c r="K4580" s="4">
        <v>2962.68</v>
      </c>
      <c r="L4580" s="1">
        <f t="shared" si="2005"/>
        <v>3053.0299999999997</v>
      </c>
      <c r="M4580" s="2">
        <f t="shared" si="2006"/>
        <v>2.9593551324421968E-2</v>
      </c>
      <c r="N4580" s="2">
        <f t="shared" si="2007"/>
        <v>0.97040644867557802</v>
      </c>
    </row>
    <row r="4581" spans="1:14" x14ac:dyDescent="0.35">
      <c r="A4581" t="s">
        <v>37</v>
      </c>
      <c r="B4581" t="s">
        <v>25</v>
      </c>
      <c r="C4581">
        <v>2015</v>
      </c>
      <c r="D4581" t="s">
        <v>32</v>
      </c>
      <c r="E4581" s="3">
        <v>1144</v>
      </c>
      <c r="F4581" s="3">
        <v>4922</v>
      </c>
      <c r="G4581" s="1">
        <f t="shared" si="2002"/>
        <v>6066</v>
      </c>
      <c r="H4581" s="2">
        <f t="shared" si="2003"/>
        <v>0.18859215298384438</v>
      </c>
      <c r="I4581" s="2">
        <f t="shared" si="2004"/>
        <v>0.81140784701615565</v>
      </c>
      <c r="J4581" s="22">
        <v>88.98</v>
      </c>
      <c r="K4581" s="4">
        <v>2953.57</v>
      </c>
      <c r="L4581" s="1">
        <f t="shared" si="2005"/>
        <v>3042.55</v>
      </c>
      <c r="M4581" s="2">
        <f t="shared" si="2006"/>
        <v>2.9245205501963814E-2</v>
      </c>
      <c r="N4581" s="2">
        <f t="shared" si="2007"/>
        <v>0.97075479449803614</v>
      </c>
    </row>
    <row r="4582" spans="1:14" x14ac:dyDescent="0.35">
      <c r="A4582" t="s">
        <v>37</v>
      </c>
      <c r="B4582" t="s">
        <v>26</v>
      </c>
      <c r="C4582">
        <v>2015</v>
      </c>
      <c r="D4582" t="s">
        <v>32</v>
      </c>
      <c r="E4582" s="3">
        <v>1131</v>
      </c>
      <c r="F4582" s="3">
        <v>4916</v>
      </c>
      <c r="G4582" s="1">
        <f t="shared" si="2002"/>
        <v>6047</v>
      </c>
      <c r="H4582" s="2">
        <f t="shared" si="2003"/>
        <v>0.18703489333553827</v>
      </c>
      <c r="I4582" s="2">
        <f t="shared" si="2004"/>
        <v>0.81296510666446176</v>
      </c>
      <c r="J4582" s="22">
        <v>88.58</v>
      </c>
      <c r="K4582" s="4">
        <v>2959.72</v>
      </c>
      <c r="L4582" s="1">
        <f t="shared" si="2005"/>
        <v>3048.2999999999997</v>
      </c>
      <c r="M4582" s="2">
        <f t="shared" si="2006"/>
        <v>2.9058819669979991E-2</v>
      </c>
      <c r="N4582" s="2">
        <f t="shared" si="2007"/>
        <v>0.97094118033002008</v>
      </c>
    </row>
    <row r="4583" spans="1:14" x14ac:dyDescent="0.35">
      <c r="A4583" t="s">
        <v>37</v>
      </c>
      <c r="B4583" t="s">
        <v>27</v>
      </c>
      <c r="C4583">
        <v>2015</v>
      </c>
      <c r="D4583" t="s">
        <v>32</v>
      </c>
      <c r="E4583" s="3">
        <v>1123</v>
      </c>
      <c r="F4583" s="3">
        <v>4897</v>
      </c>
      <c r="G4583" s="1">
        <f t="shared" si="2002"/>
        <v>6020</v>
      </c>
      <c r="H4583" s="2">
        <f t="shared" si="2003"/>
        <v>0.18654485049833888</v>
      </c>
      <c r="I4583" s="2">
        <f t="shared" si="2004"/>
        <v>0.81345514950166109</v>
      </c>
      <c r="J4583" s="22">
        <v>87.56</v>
      </c>
      <c r="K4583" s="4">
        <v>2965.35</v>
      </c>
      <c r="L4583" s="1">
        <f t="shared" si="2005"/>
        <v>3052.91</v>
      </c>
      <c r="M4583" s="2">
        <f t="shared" si="2006"/>
        <v>2.8680832386149609E-2</v>
      </c>
      <c r="N4583" s="2">
        <f t="shared" si="2007"/>
        <v>0.9713191676138504</v>
      </c>
    </row>
    <row r="4584" spans="1:14" x14ac:dyDescent="0.35">
      <c r="A4584" t="s">
        <v>37</v>
      </c>
      <c r="B4584" t="s">
        <v>28</v>
      </c>
      <c r="C4584">
        <v>2015</v>
      </c>
      <c r="D4584" t="s">
        <v>32</v>
      </c>
      <c r="E4584" s="3">
        <v>1112</v>
      </c>
      <c r="F4584" s="3">
        <v>4889</v>
      </c>
      <c r="G4584" s="1">
        <f t="shared" si="2002"/>
        <v>6001</v>
      </c>
      <c r="H4584" s="2">
        <f t="shared" si="2003"/>
        <v>0.18530244959173472</v>
      </c>
      <c r="I4584" s="2">
        <f t="shared" si="2004"/>
        <v>0.8146975504082653</v>
      </c>
      <c r="J4584" s="22">
        <v>86.4</v>
      </c>
      <c r="K4584" s="4">
        <v>2984.14</v>
      </c>
      <c r="L4584" s="1">
        <f t="shared" si="2005"/>
        <v>3070.54</v>
      </c>
      <c r="M4584" s="2">
        <f t="shared" si="2006"/>
        <v>2.8138373054902396E-2</v>
      </c>
      <c r="N4584" s="2">
        <f t="shared" si="2007"/>
        <v>0.97186162694509759</v>
      </c>
    </row>
    <row r="4585" spans="1:14" x14ac:dyDescent="0.35">
      <c r="A4585" t="s">
        <v>37</v>
      </c>
      <c r="B4585" t="s">
        <v>29</v>
      </c>
      <c r="C4585">
        <v>2015</v>
      </c>
      <c r="D4585" t="s">
        <v>32</v>
      </c>
      <c r="E4585" s="3">
        <v>1104</v>
      </c>
      <c r="F4585" s="3">
        <v>4872</v>
      </c>
      <c r="G4585" s="1">
        <f t="shared" si="2002"/>
        <v>5976</v>
      </c>
      <c r="H4585" s="2">
        <f t="shared" si="2003"/>
        <v>0.18473895582329317</v>
      </c>
      <c r="I4585" s="2">
        <f t="shared" si="2004"/>
        <v>0.81526104417670686</v>
      </c>
      <c r="J4585" s="22">
        <v>85.71</v>
      </c>
      <c r="K4585" s="4">
        <v>2991.32</v>
      </c>
      <c r="L4585" s="1">
        <f t="shared" si="2005"/>
        <v>3077.03</v>
      </c>
      <c r="M4585" s="2">
        <f t="shared" si="2006"/>
        <v>2.7854782046323887E-2</v>
      </c>
      <c r="N4585" s="2">
        <f t="shared" si="2007"/>
        <v>0.97214521795367614</v>
      </c>
    </row>
    <row r="4586" spans="1:14" x14ac:dyDescent="0.35">
      <c r="A4586" t="s">
        <v>37</v>
      </c>
      <c r="B4586" t="s">
        <v>17</v>
      </c>
      <c r="C4586">
        <v>2016</v>
      </c>
      <c r="D4586" t="s">
        <v>32</v>
      </c>
      <c r="E4586" s="3">
        <v>1095</v>
      </c>
      <c r="F4586" s="3">
        <v>4866</v>
      </c>
      <c r="G4586" s="1">
        <f t="shared" si="2002"/>
        <v>5961</v>
      </c>
      <c r="H4586" s="2">
        <f t="shared" si="2003"/>
        <v>0.18369401107196778</v>
      </c>
      <c r="I4586" s="2">
        <f t="shared" si="2004"/>
        <v>0.81630598892803219</v>
      </c>
      <c r="J4586" s="22">
        <v>85.38</v>
      </c>
      <c r="K4586" s="4">
        <v>2999.95</v>
      </c>
      <c r="L4586" s="1">
        <f t="shared" si="2005"/>
        <v>3085.33</v>
      </c>
      <c r="M4586" s="2">
        <f t="shared" si="2006"/>
        <v>2.7672890744263982E-2</v>
      </c>
      <c r="N4586" s="2">
        <f t="shared" si="2007"/>
        <v>0.97232710925573596</v>
      </c>
    </row>
    <row r="4587" spans="1:14" x14ac:dyDescent="0.35">
      <c r="A4587" t="s">
        <v>37</v>
      </c>
      <c r="B4587" t="s">
        <v>19</v>
      </c>
      <c r="C4587">
        <v>2016</v>
      </c>
      <c r="D4587" t="s">
        <v>32</v>
      </c>
      <c r="E4587" s="3">
        <v>1085</v>
      </c>
      <c r="F4587" s="3">
        <v>4854</v>
      </c>
      <c r="G4587" s="1">
        <f t="shared" si="2002"/>
        <v>5939</v>
      </c>
      <c r="H4587" s="2">
        <f t="shared" si="2003"/>
        <v>0.18269068866812593</v>
      </c>
      <c r="I4587" s="2">
        <f t="shared" si="2004"/>
        <v>0.81730931133187401</v>
      </c>
      <c r="J4587" s="22">
        <v>84.02</v>
      </c>
      <c r="K4587" s="4">
        <v>2962.86</v>
      </c>
      <c r="L4587" s="1">
        <f t="shared" si="2005"/>
        <v>3046.88</v>
      </c>
      <c r="M4587" s="2">
        <f t="shared" si="2006"/>
        <v>2.7575749619282674E-2</v>
      </c>
      <c r="N4587" s="2">
        <f t="shared" si="2007"/>
        <v>0.97242425038071734</v>
      </c>
    </row>
    <row r="4588" spans="1:14" x14ac:dyDescent="0.35">
      <c r="A4588" t="s">
        <v>37</v>
      </c>
      <c r="B4588" t="s">
        <v>20</v>
      </c>
      <c r="C4588">
        <v>2016</v>
      </c>
      <c r="D4588" t="s">
        <v>32</v>
      </c>
      <c r="E4588" s="3">
        <v>1078</v>
      </c>
      <c r="F4588" s="3">
        <v>4836</v>
      </c>
      <c r="G4588" s="1">
        <f t="shared" si="2002"/>
        <v>5914</v>
      </c>
      <c r="H4588" s="2">
        <f t="shared" si="2003"/>
        <v>0.18227933716604666</v>
      </c>
      <c r="I4588" s="2">
        <f t="shared" si="2004"/>
        <v>0.81772066283395328</v>
      </c>
      <c r="J4588" s="22">
        <v>83.43</v>
      </c>
      <c r="K4588" s="4">
        <v>2994.64</v>
      </c>
      <c r="L4588" s="1">
        <f t="shared" si="2005"/>
        <v>3078.0699999999997</v>
      </c>
      <c r="M4588" s="2">
        <f t="shared" si="2006"/>
        <v>2.7104646742926577E-2</v>
      </c>
      <c r="N4588" s="2">
        <f t="shared" si="2007"/>
        <v>0.97289535325707344</v>
      </c>
    </row>
    <row r="4589" spans="1:14" x14ac:dyDescent="0.35">
      <c r="A4589" t="s">
        <v>37</v>
      </c>
      <c r="B4589" t="s">
        <v>21</v>
      </c>
      <c r="C4589">
        <v>2016</v>
      </c>
      <c r="D4589" t="s">
        <v>32</v>
      </c>
      <c r="E4589" s="3">
        <v>1070</v>
      </c>
      <c r="F4589" s="3">
        <v>4828</v>
      </c>
      <c r="G4589" s="1">
        <f t="shared" si="2002"/>
        <v>5898</v>
      </c>
      <c r="H4589" s="2">
        <f t="shared" si="2003"/>
        <v>0.18141742963716515</v>
      </c>
      <c r="I4589" s="2">
        <f t="shared" si="2004"/>
        <v>0.81858257036283488</v>
      </c>
      <c r="J4589" s="22">
        <v>82.85</v>
      </c>
      <c r="K4589" s="4">
        <v>2969.6</v>
      </c>
      <c r="L4589" s="1">
        <f t="shared" si="2005"/>
        <v>3052.45</v>
      </c>
      <c r="M4589" s="2">
        <f t="shared" si="2006"/>
        <v>2.7142131730249472E-2</v>
      </c>
      <c r="N4589" s="2">
        <f t="shared" si="2007"/>
        <v>0.97285786826975051</v>
      </c>
    </row>
    <row r="4590" spans="1:14" x14ac:dyDescent="0.35">
      <c r="A4590" t="s">
        <v>37</v>
      </c>
      <c r="B4590" t="s">
        <v>22</v>
      </c>
      <c r="C4590">
        <v>2016</v>
      </c>
      <c r="D4590" t="s">
        <v>32</v>
      </c>
      <c r="E4590" s="3">
        <v>1060</v>
      </c>
      <c r="F4590" s="3">
        <v>4828</v>
      </c>
      <c r="G4590" s="1">
        <f t="shared" si="2002"/>
        <v>5888</v>
      </c>
      <c r="H4590" s="2">
        <f t="shared" si="2003"/>
        <v>0.18002717391304349</v>
      </c>
      <c r="I4590" s="2">
        <f t="shared" si="2004"/>
        <v>0.81997282608695654</v>
      </c>
      <c r="J4590" s="22">
        <v>82.12</v>
      </c>
      <c r="K4590" s="4">
        <v>2957.33</v>
      </c>
      <c r="L4590" s="1">
        <f t="shared" si="2005"/>
        <v>3039.45</v>
      </c>
      <c r="M4590" s="2">
        <f t="shared" si="2006"/>
        <v>2.7018046028064291E-2</v>
      </c>
      <c r="N4590" s="2">
        <f t="shared" si="2007"/>
        <v>0.97298195397193576</v>
      </c>
    </row>
    <row r="4591" spans="1:14" x14ac:dyDescent="0.35">
      <c r="A4591" t="s">
        <v>37</v>
      </c>
      <c r="B4591" t="s">
        <v>23</v>
      </c>
      <c r="C4591">
        <v>2016</v>
      </c>
      <c r="D4591" t="s">
        <v>32</v>
      </c>
      <c r="E4591" s="3">
        <v>1057</v>
      </c>
      <c r="F4591" s="3">
        <v>4816</v>
      </c>
      <c r="G4591" s="1">
        <f t="shared" si="2002"/>
        <v>5873</v>
      </c>
      <c r="H4591" s="2">
        <f t="shared" si="2003"/>
        <v>0.1799761620977354</v>
      </c>
      <c r="I4591" s="2">
        <f t="shared" si="2004"/>
        <v>0.82002383790226463</v>
      </c>
      <c r="J4591" s="22">
        <v>81.89</v>
      </c>
      <c r="K4591" s="4">
        <v>2926.35</v>
      </c>
      <c r="L4591" s="1">
        <f t="shared" si="2005"/>
        <v>3008.24</v>
      </c>
      <c r="M4591" s="2">
        <f t="shared" si="2006"/>
        <v>2.7221897189054066E-2</v>
      </c>
      <c r="N4591" s="2">
        <f t="shared" si="2007"/>
        <v>0.97277810281094601</v>
      </c>
    </row>
    <row r="4592" spans="1:14" x14ac:dyDescent="0.35">
      <c r="A4592" t="s">
        <v>37</v>
      </c>
      <c r="B4592" t="s">
        <v>24</v>
      </c>
      <c r="C4592">
        <v>2016</v>
      </c>
      <c r="D4592" t="s">
        <v>32</v>
      </c>
      <c r="E4592" s="3">
        <v>1052</v>
      </c>
      <c r="F4592" s="9">
        <f>5861-1052</f>
        <v>4809</v>
      </c>
      <c r="G4592" s="1">
        <f t="shared" si="2002"/>
        <v>5861</v>
      </c>
      <c r="H4592" s="2">
        <f t="shared" si="2003"/>
        <v>0.17949155434226241</v>
      </c>
      <c r="I4592" s="2">
        <f t="shared" si="2004"/>
        <v>0.82050844565773762</v>
      </c>
      <c r="J4592" s="22">
        <v>81.349999999999994</v>
      </c>
      <c r="K4592" s="4">
        <f>2988.25-81.35</f>
        <v>2906.9</v>
      </c>
      <c r="L4592" s="1">
        <f t="shared" si="2005"/>
        <v>2988.25</v>
      </c>
      <c r="M4592" s="2">
        <f t="shared" si="2006"/>
        <v>2.722329122396051E-2</v>
      </c>
      <c r="N4592" s="2">
        <f t="shared" si="2007"/>
        <v>0.9727767087760395</v>
      </c>
    </row>
    <row r="4593" spans="1:14" x14ac:dyDescent="0.35">
      <c r="A4593" t="s">
        <v>37</v>
      </c>
      <c r="B4593" t="s">
        <v>25</v>
      </c>
      <c r="C4593">
        <v>2016</v>
      </c>
      <c r="D4593" t="s">
        <v>32</v>
      </c>
      <c r="E4593" s="3">
        <v>1041</v>
      </c>
      <c r="F4593" s="9">
        <f>5846-1041</f>
        <v>4805</v>
      </c>
      <c r="G4593" s="1">
        <f t="shared" si="2002"/>
        <v>5846</v>
      </c>
      <c r="H4593" s="2">
        <f t="shared" si="2003"/>
        <v>0.17807047553882996</v>
      </c>
      <c r="I4593" s="2">
        <f t="shared" si="2004"/>
        <v>0.82192952446117007</v>
      </c>
      <c r="J4593" s="22">
        <v>81.16</v>
      </c>
      <c r="K4593" s="4">
        <f>2996.08-81.16</f>
        <v>2914.92</v>
      </c>
      <c r="L4593" s="1">
        <f t="shared" si="2005"/>
        <v>2996.08</v>
      </c>
      <c r="M4593" s="2">
        <f t="shared" si="2006"/>
        <v>2.7088729272916612E-2</v>
      </c>
      <c r="N4593" s="2">
        <f t="shared" si="2007"/>
        <v>0.97291127072708339</v>
      </c>
    </row>
    <row r="4594" spans="1:14" x14ac:dyDescent="0.35">
      <c r="A4594" t="s">
        <v>37</v>
      </c>
      <c r="B4594" t="s">
        <v>26</v>
      </c>
      <c r="C4594">
        <v>2016</v>
      </c>
      <c r="D4594" t="s">
        <v>32</v>
      </c>
      <c r="E4594" s="3">
        <v>1032</v>
      </c>
      <c r="F4594" s="9">
        <f>5824-1032</f>
        <v>4792</v>
      </c>
      <c r="G4594" s="1">
        <f t="shared" si="2002"/>
        <v>5824</v>
      </c>
      <c r="H4594" s="2">
        <f t="shared" si="2003"/>
        <v>0.17719780219780221</v>
      </c>
      <c r="I4594" s="2">
        <f t="shared" si="2004"/>
        <v>0.82280219780219777</v>
      </c>
      <c r="J4594" s="22">
        <v>80.33</v>
      </c>
      <c r="K4594" s="4">
        <f>3010.36-80.33</f>
        <v>2930.03</v>
      </c>
      <c r="L4594" s="1">
        <f t="shared" si="2005"/>
        <v>3010.36</v>
      </c>
      <c r="M4594" s="2">
        <f t="shared" si="2006"/>
        <v>2.6684516137604804E-2</v>
      </c>
      <c r="N4594" s="2">
        <f t="shared" si="2007"/>
        <v>0.97331548386239519</v>
      </c>
    </row>
    <row r="4595" spans="1:14" x14ac:dyDescent="0.35">
      <c r="A4595" t="s">
        <v>37</v>
      </c>
      <c r="B4595" t="s">
        <v>27</v>
      </c>
      <c r="C4595">
        <v>2016</v>
      </c>
      <c r="D4595" t="s">
        <v>32</v>
      </c>
      <c r="E4595" s="3">
        <v>978</v>
      </c>
      <c r="F4595" s="9">
        <f>5497-978</f>
        <v>4519</v>
      </c>
      <c r="G4595" s="1">
        <f t="shared" si="2002"/>
        <v>5497</v>
      </c>
      <c r="H4595" s="2">
        <f t="shared" si="2003"/>
        <v>0.17791522648717481</v>
      </c>
      <c r="I4595" s="2">
        <f t="shared" si="2004"/>
        <v>0.82208477351282516</v>
      </c>
      <c r="J4595" s="22">
        <v>79.44</v>
      </c>
      <c r="K4595" s="4">
        <f>3007.36-79.44</f>
        <v>2927.92</v>
      </c>
      <c r="L4595" s="1">
        <f t="shared" si="2005"/>
        <v>3007.36</v>
      </c>
      <c r="M4595" s="2">
        <f t="shared" si="2006"/>
        <v>2.6415194722281335E-2</v>
      </c>
      <c r="N4595" s="2">
        <f t="shared" si="2007"/>
        <v>0.97358480527771862</v>
      </c>
    </row>
    <row r="4596" spans="1:14" x14ac:dyDescent="0.35">
      <c r="A4596" t="s">
        <v>37</v>
      </c>
      <c r="B4596" t="s">
        <v>28</v>
      </c>
      <c r="C4596">
        <v>2016</v>
      </c>
      <c r="D4596" t="s">
        <v>32</v>
      </c>
      <c r="E4596" s="3">
        <v>969</v>
      </c>
      <c r="F4596" s="9">
        <f>5472-969</f>
        <v>4503</v>
      </c>
      <c r="G4596" s="1">
        <f t="shared" si="2002"/>
        <v>5472</v>
      </c>
      <c r="H4596" s="2">
        <f t="shared" si="2003"/>
        <v>0.17708333333333334</v>
      </c>
      <c r="I4596" s="2">
        <f t="shared" si="2004"/>
        <v>0.82291666666666663</v>
      </c>
      <c r="J4596" s="22">
        <v>77.69</v>
      </c>
      <c r="K4596" s="4">
        <f>3039.72-77.69</f>
        <v>2962.0299999999997</v>
      </c>
      <c r="L4596" s="1">
        <f t="shared" si="2005"/>
        <v>3039.72</v>
      </c>
      <c r="M4596" s="2">
        <f t="shared" si="2006"/>
        <v>2.5558275104285922E-2</v>
      </c>
      <c r="N4596" s="2">
        <f t="shared" si="2007"/>
        <v>0.97444172489571401</v>
      </c>
    </row>
    <row r="4597" spans="1:14" x14ac:dyDescent="0.35">
      <c r="A4597" t="s">
        <v>37</v>
      </c>
      <c r="B4597" t="s">
        <v>29</v>
      </c>
      <c r="C4597">
        <v>2016</v>
      </c>
      <c r="D4597" t="s">
        <v>32</v>
      </c>
      <c r="E4597" s="3">
        <v>962</v>
      </c>
      <c r="F4597" s="9">
        <f>5451-962</f>
        <v>4489</v>
      </c>
      <c r="G4597" s="1">
        <f t="shared" si="2002"/>
        <v>5451</v>
      </c>
      <c r="H4597" s="2">
        <f t="shared" si="2003"/>
        <v>0.17648137956338286</v>
      </c>
      <c r="I4597" s="2">
        <f t="shared" si="2004"/>
        <v>0.82351862043661717</v>
      </c>
      <c r="J4597" s="22">
        <v>77.45</v>
      </c>
      <c r="K4597" s="4">
        <f>3037.21-77.45</f>
        <v>2959.76</v>
      </c>
      <c r="L4597" s="1">
        <f t="shared" si="2005"/>
        <v>3037.21</v>
      </c>
      <c r="M4597" s="2">
        <f t="shared" si="2006"/>
        <v>2.5500376990725042E-2</v>
      </c>
      <c r="N4597" s="2">
        <f t="shared" si="2007"/>
        <v>0.97449962300927506</v>
      </c>
    </row>
    <row r="4598" spans="1:14" x14ac:dyDescent="0.35">
      <c r="A4598" t="s">
        <v>37</v>
      </c>
      <c r="B4598" t="s">
        <v>17</v>
      </c>
      <c r="C4598">
        <v>2017</v>
      </c>
      <c r="D4598" t="s">
        <v>32</v>
      </c>
      <c r="E4598" s="3">
        <v>953</v>
      </c>
      <c r="F4598" s="9">
        <f>5432-953</f>
        <v>4479</v>
      </c>
      <c r="G4598" s="1">
        <f t="shared" si="2002"/>
        <v>5432</v>
      </c>
      <c r="H4598" s="2">
        <f t="shared" si="2003"/>
        <v>0.17544182621502208</v>
      </c>
      <c r="I4598" s="2">
        <f t="shared" si="2004"/>
        <v>0.82455817378497787</v>
      </c>
      <c r="J4598" s="22">
        <v>73.31</v>
      </c>
      <c r="K4598" s="4">
        <f>2733.46-73</f>
        <v>2660.46</v>
      </c>
      <c r="L4598" s="1">
        <f t="shared" si="2005"/>
        <v>2733.77</v>
      </c>
      <c r="M4598" s="2">
        <f t="shared" si="2006"/>
        <v>2.6816447616295445E-2</v>
      </c>
      <c r="N4598" s="2">
        <f t="shared" si="2007"/>
        <v>0.97318355238370458</v>
      </c>
    </row>
    <row r="4599" spans="1:14" x14ac:dyDescent="0.35">
      <c r="A4599" t="s">
        <v>37</v>
      </c>
      <c r="B4599" t="s">
        <v>19</v>
      </c>
      <c r="C4599">
        <v>2017</v>
      </c>
      <c r="D4599" t="s">
        <v>32</v>
      </c>
      <c r="E4599" s="3">
        <v>941</v>
      </c>
      <c r="F4599" s="9">
        <f>5418-941</f>
        <v>4477</v>
      </c>
      <c r="G4599" s="1">
        <f t="shared" ref="G4599:G4662" si="2008">SUM(E4599:F4599)</f>
        <v>5418</v>
      </c>
      <c r="H4599" s="2">
        <f t="shared" ref="H4599:H4662" si="2009">SUM(E4599)/G4599</f>
        <v>0.17368032484311555</v>
      </c>
      <c r="I4599" s="2">
        <f t="shared" ref="I4599:I4662" si="2010">SUM(F4599/G4599)</f>
        <v>0.82631967515688443</v>
      </c>
      <c r="J4599" s="22">
        <v>72.260000000000005</v>
      </c>
      <c r="K4599" s="4">
        <f>2732.84-72</f>
        <v>2660.84</v>
      </c>
      <c r="L4599" s="1">
        <f t="shared" si="2005"/>
        <v>2733.1000000000004</v>
      </c>
      <c r="M4599" s="2">
        <f t="shared" si="2006"/>
        <v>2.6438842340199772E-2</v>
      </c>
      <c r="N4599" s="2">
        <f t="shared" si="2007"/>
        <v>0.97356115765980011</v>
      </c>
    </row>
    <row r="4600" spans="1:14" x14ac:dyDescent="0.35">
      <c r="A4600" t="s">
        <v>37</v>
      </c>
      <c r="B4600" t="s">
        <v>20</v>
      </c>
      <c r="C4600">
        <v>2017</v>
      </c>
      <c r="D4600" t="s">
        <v>32</v>
      </c>
      <c r="E4600" s="3">
        <v>933</v>
      </c>
      <c r="F4600" s="9">
        <f>5396-933</f>
        <v>4463</v>
      </c>
      <c r="G4600" s="1">
        <f t="shared" si="2008"/>
        <v>5396</v>
      </c>
      <c r="H4600" s="2">
        <f t="shared" si="2009"/>
        <v>0.1729058561897702</v>
      </c>
      <c r="I4600" s="2">
        <f t="shared" si="2010"/>
        <v>0.82709414381022983</v>
      </c>
      <c r="J4600" s="22">
        <v>71.989999999999995</v>
      </c>
      <c r="K4600" s="4">
        <f>2716.43-72</f>
        <v>2644.43</v>
      </c>
      <c r="L4600" s="1">
        <f t="shared" si="2005"/>
        <v>2716.4199999999996</v>
      </c>
      <c r="M4600" s="2">
        <f t="shared" si="2006"/>
        <v>2.6501792800818727E-2</v>
      </c>
      <c r="N4600" s="2">
        <f t="shared" si="2007"/>
        <v>0.97349820719918134</v>
      </c>
    </row>
    <row r="4601" spans="1:14" x14ac:dyDescent="0.35">
      <c r="A4601" t="s">
        <v>37</v>
      </c>
      <c r="B4601" t="s">
        <v>21</v>
      </c>
      <c r="C4601">
        <v>2017</v>
      </c>
      <c r="D4601" t="s">
        <v>32</v>
      </c>
      <c r="E4601" s="3">
        <v>929</v>
      </c>
      <c r="F4601" s="16">
        <f>5362-E4601</f>
        <v>4433</v>
      </c>
      <c r="G4601" s="1">
        <f t="shared" si="2008"/>
        <v>5362</v>
      </c>
      <c r="H4601" s="2">
        <f t="shared" si="2009"/>
        <v>0.17325624766878031</v>
      </c>
      <c r="I4601" s="2">
        <f t="shared" si="2010"/>
        <v>0.82674375233121966</v>
      </c>
      <c r="J4601" s="22">
        <v>71.67</v>
      </c>
      <c r="K4601" s="24">
        <f>2688.23-J4601</f>
        <v>2616.56</v>
      </c>
      <c r="L4601" s="1">
        <f t="shared" si="2005"/>
        <v>2688.23</v>
      </c>
      <c r="M4601" s="2">
        <f t="shared" si="2006"/>
        <v>2.6660665196058374E-2</v>
      </c>
      <c r="N4601" s="2">
        <f t="shared" si="2007"/>
        <v>0.97333933480394164</v>
      </c>
    </row>
    <row r="4602" spans="1:14" x14ac:dyDescent="0.35">
      <c r="A4602" t="s">
        <v>37</v>
      </c>
      <c r="B4602" t="s">
        <v>22</v>
      </c>
      <c r="C4602">
        <v>2017</v>
      </c>
      <c r="D4602" t="s">
        <v>32</v>
      </c>
      <c r="E4602" s="3">
        <v>923</v>
      </c>
      <c r="F4602" s="16">
        <f>5345-E4602</f>
        <v>4422</v>
      </c>
      <c r="G4602" s="1">
        <f t="shared" si="2008"/>
        <v>5345</v>
      </c>
      <c r="H4602" s="2">
        <f t="shared" si="2009"/>
        <v>0.1726847521047708</v>
      </c>
      <c r="I4602" s="2">
        <f t="shared" si="2010"/>
        <v>0.82731524789522914</v>
      </c>
      <c r="J4602" s="22">
        <v>70.81</v>
      </c>
      <c r="K4602" s="24">
        <f>2655.08-J4602</f>
        <v>2584.27</v>
      </c>
      <c r="L4602" s="1">
        <f t="shared" si="2005"/>
        <v>2655.08</v>
      </c>
      <c r="M4602" s="2">
        <f t="shared" si="2006"/>
        <v>2.6669629540352836E-2</v>
      </c>
      <c r="N4602" s="2">
        <f t="shared" si="2007"/>
        <v>0.97333037045964721</v>
      </c>
    </row>
    <row r="4603" spans="1:14" x14ac:dyDescent="0.35">
      <c r="A4603" t="s">
        <v>37</v>
      </c>
      <c r="B4603" t="s">
        <v>23</v>
      </c>
      <c r="C4603">
        <v>2017</v>
      </c>
      <c r="D4603" t="s">
        <v>32</v>
      </c>
      <c r="E4603" s="3">
        <v>914</v>
      </c>
      <c r="F4603" s="16">
        <f>5336-E4603</f>
        <v>4422</v>
      </c>
      <c r="G4603" s="1">
        <f t="shared" si="2008"/>
        <v>5336</v>
      </c>
      <c r="H4603" s="2">
        <f t="shared" si="2009"/>
        <v>0.17128935532233883</v>
      </c>
      <c r="I4603" s="2">
        <f t="shared" si="2010"/>
        <v>0.8287106446776612</v>
      </c>
      <c r="J4603" s="22">
        <v>69.81</v>
      </c>
      <c r="K4603" s="24">
        <f>2624.4-J4603</f>
        <v>2554.59</v>
      </c>
      <c r="L4603" s="1">
        <f t="shared" si="2005"/>
        <v>2624.4</v>
      </c>
      <c r="M4603" s="2">
        <f t="shared" si="2006"/>
        <v>2.6600365797896663E-2</v>
      </c>
      <c r="N4603" s="2">
        <f t="shared" si="2007"/>
        <v>0.9733996342021034</v>
      </c>
    </row>
    <row r="4604" spans="1:14" x14ac:dyDescent="0.35">
      <c r="A4604" t="s">
        <v>37</v>
      </c>
      <c r="B4604" t="s">
        <v>24</v>
      </c>
      <c r="C4604">
        <v>2017</v>
      </c>
      <c r="D4604" t="s">
        <v>32</v>
      </c>
      <c r="E4604" s="3">
        <v>904</v>
      </c>
      <c r="F4604" s="16">
        <f>5323-E4604</f>
        <v>4419</v>
      </c>
      <c r="G4604" s="1">
        <f t="shared" si="2008"/>
        <v>5323</v>
      </c>
      <c r="H4604" s="2">
        <f t="shared" si="2009"/>
        <v>0.16982904377230884</v>
      </c>
      <c r="I4604" s="2">
        <f t="shared" si="2010"/>
        <v>0.8301709562276911</v>
      </c>
      <c r="J4604" s="22">
        <v>69.209999999999994</v>
      </c>
      <c r="K4604" s="22">
        <f>2607.76-J4604</f>
        <v>2538.5500000000002</v>
      </c>
      <c r="L4604" s="1">
        <f t="shared" si="2005"/>
        <v>2607.7600000000002</v>
      </c>
      <c r="M4604" s="2">
        <f t="shared" si="2006"/>
        <v>2.6540019020155223E-2</v>
      </c>
      <c r="N4604" s="2">
        <f t="shared" si="2007"/>
        <v>0.97345998097984476</v>
      </c>
    </row>
    <row r="4605" spans="1:14" x14ac:dyDescent="0.35">
      <c r="A4605" t="s">
        <v>37</v>
      </c>
      <c r="B4605" t="s">
        <v>25</v>
      </c>
      <c r="C4605">
        <v>2017</v>
      </c>
      <c r="D4605" t="s">
        <v>32</v>
      </c>
      <c r="E4605" s="3">
        <v>898</v>
      </c>
      <c r="F4605" s="16">
        <f>5314-E4605</f>
        <v>4416</v>
      </c>
      <c r="G4605" s="1">
        <f t="shared" si="2008"/>
        <v>5314</v>
      </c>
      <c r="H4605" s="2">
        <f t="shared" si="2009"/>
        <v>0.16898757997741815</v>
      </c>
      <c r="I4605" s="2">
        <f t="shared" si="2010"/>
        <v>0.83101242002258191</v>
      </c>
      <c r="J4605" s="22">
        <v>68.75</v>
      </c>
      <c r="K4605" s="22">
        <f>2620.42-J4605</f>
        <v>2551.67</v>
      </c>
      <c r="L4605" s="1">
        <f t="shared" si="2005"/>
        <v>2620.42</v>
      </c>
      <c r="M4605" s="2">
        <f t="shared" si="2006"/>
        <v>2.6236252203845185E-2</v>
      </c>
      <c r="N4605" s="2">
        <f t="shared" si="2007"/>
        <v>0.97376374779615482</v>
      </c>
    </row>
    <row r="4606" spans="1:14" x14ac:dyDescent="0.35">
      <c r="A4606" t="s">
        <v>37</v>
      </c>
      <c r="B4606" t="s">
        <v>26</v>
      </c>
      <c r="C4606">
        <v>2017</v>
      </c>
      <c r="D4606" t="s">
        <v>32</v>
      </c>
      <c r="E4606" s="3">
        <v>893</v>
      </c>
      <c r="F4606" s="16">
        <f>5296-E4606</f>
        <v>4403</v>
      </c>
      <c r="G4606" s="1">
        <f t="shared" si="2008"/>
        <v>5296</v>
      </c>
      <c r="H4606" s="2">
        <f t="shared" si="2009"/>
        <v>0.16861782477341389</v>
      </c>
      <c r="I4606" s="2">
        <f t="shared" si="2010"/>
        <v>0.83138217522658608</v>
      </c>
      <c r="J4606" s="22">
        <v>68.400000000000006</v>
      </c>
      <c r="K4606" s="22">
        <f>2626.87-J4606</f>
        <v>2558.4699999999998</v>
      </c>
      <c r="L4606" s="1">
        <f t="shared" si="2005"/>
        <v>2626.87</v>
      </c>
      <c r="M4606" s="2">
        <f t="shared" si="2006"/>
        <v>2.603859345913578E-2</v>
      </c>
      <c r="N4606" s="2">
        <f t="shared" si="2007"/>
        <v>0.97396140654086416</v>
      </c>
    </row>
    <row r="4607" spans="1:14" x14ac:dyDescent="0.35">
      <c r="A4607" t="s">
        <v>37</v>
      </c>
      <c r="B4607" t="s">
        <v>27</v>
      </c>
      <c r="C4607">
        <v>2017</v>
      </c>
      <c r="D4607" t="s">
        <v>32</v>
      </c>
      <c r="E4607" s="3">
        <v>891</v>
      </c>
      <c r="F4607" s="16">
        <f>5289-E4607</f>
        <v>4398</v>
      </c>
      <c r="G4607" s="1">
        <f t="shared" si="2008"/>
        <v>5289</v>
      </c>
      <c r="H4607" s="2">
        <f t="shared" si="2009"/>
        <v>0.16846284741917186</v>
      </c>
      <c r="I4607" s="2">
        <f t="shared" si="2010"/>
        <v>0.83153715258082816</v>
      </c>
      <c r="J4607" s="22">
        <v>68.290000000000006</v>
      </c>
      <c r="K4607" s="22">
        <f>2634.66-J4607</f>
        <v>2566.37</v>
      </c>
      <c r="L4607" s="1">
        <f t="shared" si="2005"/>
        <v>2634.66</v>
      </c>
      <c r="M4607" s="2">
        <f t="shared" si="2006"/>
        <v>2.5919853036065379E-2</v>
      </c>
      <c r="N4607" s="2">
        <f t="shared" si="2007"/>
        <v>0.97408014696393463</v>
      </c>
    </row>
    <row r="4608" spans="1:14" x14ac:dyDescent="0.35">
      <c r="A4608" t="s">
        <v>37</v>
      </c>
      <c r="B4608" t="s">
        <v>28</v>
      </c>
      <c r="C4608">
        <v>2017</v>
      </c>
      <c r="D4608" t="s">
        <v>32</v>
      </c>
      <c r="E4608" s="3">
        <v>883</v>
      </c>
      <c r="F4608" s="16">
        <f>5279-E4608</f>
        <v>4396</v>
      </c>
      <c r="G4608" s="1">
        <f t="shared" si="2008"/>
        <v>5279</v>
      </c>
      <c r="H4608" s="2">
        <f t="shared" si="2009"/>
        <v>0.16726652775146808</v>
      </c>
      <c r="I4608" s="2">
        <f t="shared" si="2010"/>
        <v>0.83273347224853189</v>
      </c>
      <c r="J4608" s="22">
        <v>67.62</v>
      </c>
      <c r="K4608" s="22">
        <f>2644.84-J4608</f>
        <v>2577.2200000000003</v>
      </c>
      <c r="L4608" s="1">
        <f t="shared" si="2005"/>
        <v>2644.84</v>
      </c>
      <c r="M4608" s="2">
        <f t="shared" si="2006"/>
        <v>2.5566763963037462E-2</v>
      </c>
      <c r="N4608" s="2">
        <f t="shared" si="2007"/>
        <v>0.97443323603696264</v>
      </c>
    </row>
    <row r="4609" spans="1:14" x14ac:dyDescent="0.35">
      <c r="A4609" t="s">
        <v>37</v>
      </c>
      <c r="B4609" t="s">
        <v>29</v>
      </c>
      <c r="C4609">
        <v>2017</v>
      </c>
      <c r="D4609" t="s">
        <v>32</v>
      </c>
      <c r="E4609" s="3">
        <v>869</v>
      </c>
      <c r="F4609" s="16">
        <f>5261-E4609</f>
        <v>4392</v>
      </c>
      <c r="G4609" s="1">
        <f t="shared" si="2008"/>
        <v>5261</v>
      </c>
      <c r="H4609" s="2">
        <f t="shared" si="2009"/>
        <v>0.16517772286637522</v>
      </c>
      <c r="I4609" s="2">
        <f t="shared" si="2010"/>
        <v>0.83482227713362478</v>
      </c>
      <c r="J4609" s="22">
        <v>67.260000000000005</v>
      </c>
      <c r="K4609" s="22">
        <f>2637.12-J4609</f>
        <v>2569.8599999999997</v>
      </c>
      <c r="L4609" s="1">
        <f t="shared" si="2005"/>
        <v>2637.12</v>
      </c>
      <c r="M4609" s="2">
        <f t="shared" si="2006"/>
        <v>2.5505096468875138E-2</v>
      </c>
      <c r="N4609" s="2">
        <f t="shared" si="2007"/>
        <v>0.97449490353112478</v>
      </c>
    </row>
    <row r="4610" spans="1:14" x14ac:dyDescent="0.35">
      <c r="A4610" t="s">
        <v>37</v>
      </c>
      <c r="B4610" t="s">
        <v>17</v>
      </c>
      <c r="C4610">
        <v>2002</v>
      </c>
      <c r="D4610" t="s">
        <v>33</v>
      </c>
      <c r="E4610" s="1">
        <f>SUM(E3842+E4034+E4226+E4418)</f>
        <v>204697</v>
      </c>
      <c r="F4610" s="1">
        <f>SUM(F3842+F4034+F4226+F4418)</f>
        <v>2691</v>
      </c>
      <c r="G4610" s="1">
        <f t="shared" si="2008"/>
        <v>207388</v>
      </c>
      <c r="H4610" s="2">
        <f t="shared" si="2009"/>
        <v>0.98702432156151754</v>
      </c>
      <c r="I4610" s="2">
        <f t="shared" si="2010"/>
        <v>1.2975678438482458E-2</v>
      </c>
      <c r="J4610" s="1">
        <f>SUM(J3842+J4034+J4226+J4418)</f>
        <v>484459.00039999996</v>
      </c>
      <c r="K4610" s="1">
        <f>SUM(K3842+K4034+K4226+K4418)</f>
        <v>21924.648000000001</v>
      </c>
      <c r="L4610" s="1">
        <f t="shared" si="2005"/>
        <v>506383.64839999995</v>
      </c>
      <c r="M4610" s="2">
        <f t="shared" si="2006"/>
        <v>0.95670348347685708</v>
      </c>
      <c r="N4610" s="2">
        <f t="shared" si="2007"/>
        <v>4.3296516523142939E-2</v>
      </c>
    </row>
    <row r="4611" spans="1:14" x14ac:dyDescent="0.35">
      <c r="A4611" t="s">
        <v>37</v>
      </c>
      <c r="B4611" t="s">
        <v>19</v>
      </c>
      <c r="C4611">
        <v>2002</v>
      </c>
      <c r="D4611" t="s">
        <v>33</v>
      </c>
      <c r="E4611" s="1">
        <f>SUM(E3843+E4035+E4227+E4419)</f>
        <v>203851</v>
      </c>
      <c r="F4611" s="1">
        <f t="shared" ref="F4611:F4674" si="2011">SUM(F3843+F4035+F4227+F4419)</f>
        <v>4032</v>
      </c>
      <c r="G4611" s="1">
        <f t="shared" si="2008"/>
        <v>207883</v>
      </c>
      <c r="H4611" s="2">
        <f t="shared" si="2009"/>
        <v>0.98060447463236533</v>
      </c>
      <c r="I4611" s="2">
        <f t="shared" si="2010"/>
        <v>1.939552536763468E-2</v>
      </c>
      <c r="J4611" s="1">
        <f t="shared" ref="J4611:K4611" si="2012">SUM(J3843+J4035+J4227+J4419)</f>
        <v>439146.26239999995</v>
      </c>
      <c r="K4611" s="1">
        <f t="shared" si="2012"/>
        <v>32768.758000000002</v>
      </c>
      <c r="L4611" s="1">
        <f t="shared" ref="L4611:L4674" si="2013">SUM(J4611:K4611)</f>
        <v>471915.02039999992</v>
      </c>
      <c r="M4611" s="2">
        <f t="shared" ref="M4611:M4674" si="2014">SUM(J4611)/L4611</f>
        <v>0.93056216356024257</v>
      </c>
      <c r="N4611" s="2">
        <f t="shared" ref="N4611:N4674" si="2015">SUM(K4611/L4611)</f>
        <v>6.9437836439757469E-2</v>
      </c>
    </row>
    <row r="4612" spans="1:14" x14ac:dyDescent="0.35">
      <c r="A4612" t="s">
        <v>37</v>
      </c>
      <c r="B4612" t="s">
        <v>20</v>
      </c>
      <c r="C4612">
        <v>2002</v>
      </c>
      <c r="D4612" t="s">
        <v>33</v>
      </c>
      <c r="E4612" s="1">
        <f t="shared" ref="E4612" si="2016">SUM(E3844+E4036+E4228+E4420)</f>
        <v>201519</v>
      </c>
      <c r="F4612" s="1">
        <f t="shared" si="2011"/>
        <v>4824</v>
      </c>
      <c r="G4612" s="1">
        <f t="shared" si="2008"/>
        <v>206343</v>
      </c>
      <c r="H4612" s="2">
        <f t="shared" si="2009"/>
        <v>0.97662145069132467</v>
      </c>
      <c r="I4612" s="2">
        <f t="shared" si="2010"/>
        <v>2.3378549308675362E-2</v>
      </c>
      <c r="J4612" s="1">
        <f t="shared" ref="J4612:K4612" si="2017">SUM(J3844+J4036+J4228+J4420)</f>
        <v>287587.12143000006</v>
      </c>
      <c r="K4612" s="1">
        <f t="shared" si="2017"/>
        <v>63511.862539999995</v>
      </c>
      <c r="L4612" s="1">
        <f t="shared" si="2013"/>
        <v>351098.98397000006</v>
      </c>
      <c r="M4612" s="2">
        <f t="shared" si="2014"/>
        <v>0.81910553593220647</v>
      </c>
      <c r="N4612" s="2">
        <f t="shared" si="2015"/>
        <v>0.18089446406779353</v>
      </c>
    </row>
    <row r="4613" spans="1:14" x14ac:dyDescent="0.35">
      <c r="A4613" t="s">
        <v>37</v>
      </c>
      <c r="B4613" t="s">
        <v>21</v>
      </c>
      <c r="C4613">
        <v>2002</v>
      </c>
      <c r="D4613" t="s">
        <v>33</v>
      </c>
      <c r="E4613" s="1">
        <f t="shared" ref="E4613" si="2018">SUM(E3845+E4037+E4229+E4421)</f>
        <v>203731</v>
      </c>
      <c r="F4613" s="1">
        <f t="shared" si="2011"/>
        <v>6208</v>
      </c>
      <c r="G4613" s="1">
        <f t="shared" si="2008"/>
        <v>209939</v>
      </c>
      <c r="H4613" s="2">
        <f t="shared" si="2009"/>
        <v>0.97042950571356446</v>
      </c>
      <c r="I4613" s="2">
        <f t="shared" si="2010"/>
        <v>2.9570494286435583E-2</v>
      </c>
      <c r="J4613" s="1">
        <f t="shared" ref="J4613:K4613" si="2019">SUM(J3845+J4037+J4229+J4421)</f>
        <v>300458.67988999997</v>
      </c>
      <c r="K4613" s="1">
        <f t="shared" si="2019"/>
        <v>92248.331119999988</v>
      </c>
      <c r="L4613" s="1">
        <f t="shared" si="2013"/>
        <v>392707.01100999996</v>
      </c>
      <c r="M4613" s="2">
        <f t="shared" si="2014"/>
        <v>0.76509629689893421</v>
      </c>
      <c r="N4613" s="2">
        <f t="shared" si="2015"/>
        <v>0.23490370310106576</v>
      </c>
    </row>
    <row r="4614" spans="1:14" x14ac:dyDescent="0.35">
      <c r="A4614" t="s">
        <v>37</v>
      </c>
      <c r="B4614" t="s">
        <v>22</v>
      </c>
      <c r="C4614">
        <v>2002</v>
      </c>
      <c r="D4614" t="s">
        <v>33</v>
      </c>
      <c r="E4614" s="1">
        <f t="shared" ref="E4614" si="2020">SUM(E3846+E4038+E4230+E4422)</f>
        <v>203469</v>
      </c>
      <c r="F4614" s="1">
        <f t="shared" si="2011"/>
        <v>6820</v>
      </c>
      <c r="G4614" s="1">
        <f t="shared" si="2008"/>
        <v>210289</v>
      </c>
      <c r="H4614" s="2">
        <f t="shared" si="2009"/>
        <v>0.96756844152570987</v>
      </c>
      <c r="I4614" s="2">
        <f t="shared" si="2010"/>
        <v>3.2431558474290141E-2</v>
      </c>
      <c r="J4614" s="1">
        <f t="shared" ref="J4614:K4614" si="2021">SUM(J3846+J4038+J4230+J4422)</f>
        <v>468307.38508999982</v>
      </c>
      <c r="K4614" s="1">
        <f t="shared" si="2021"/>
        <v>100181.64908</v>
      </c>
      <c r="L4614" s="1">
        <f t="shared" si="2013"/>
        <v>568489.03416999988</v>
      </c>
      <c r="M4614" s="2">
        <f t="shared" si="2014"/>
        <v>0.82377558218644209</v>
      </c>
      <c r="N4614" s="2">
        <f t="shared" si="2015"/>
        <v>0.1762244178135578</v>
      </c>
    </row>
    <row r="4615" spans="1:14" x14ac:dyDescent="0.35">
      <c r="A4615" t="s">
        <v>37</v>
      </c>
      <c r="B4615" t="s">
        <v>23</v>
      </c>
      <c r="C4615">
        <v>2002</v>
      </c>
      <c r="D4615" t="s">
        <v>33</v>
      </c>
      <c r="E4615" s="1">
        <f t="shared" ref="E4615" si="2022">SUM(E3847+E4039+E4231+E4423)</f>
        <v>202405</v>
      </c>
      <c r="F4615" s="1">
        <f t="shared" si="2011"/>
        <v>6160</v>
      </c>
      <c r="G4615" s="1">
        <f t="shared" si="2008"/>
        <v>208565</v>
      </c>
      <c r="H4615" s="2">
        <f t="shared" si="2009"/>
        <v>0.97046484309447889</v>
      </c>
      <c r="I4615" s="2">
        <f t="shared" si="2010"/>
        <v>2.9535156905521061E-2</v>
      </c>
      <c r="J4615" s="1">
        <f t="shared" ref="J4615:K4615" si="2023">SUM(J3847+J4039+J4231+J4423)</f>
        <v>386327.53518000012</v>
      </c>
      <c r="K4615" s="1">
        <f t="shared" si="2023"/>
        <v>187951.49100000001</v>
      </c>
      <c r="L4615" s="1">
        <f t="shared" si="2013"/>
        <v>574279.02618000016</v>
      </c>
      <c r="M4615" s="2">
        <f t="shared" si="2014"/>
        <v>0.67271747281070104</v>
      </c>
      <c r="N4615" s="2">
        <f t="shared" si="2015"/>
        <v>0.3272825271892989</v>
      </c>
    </row>
    <row r="4616" spans="1:14" x14ac:dyDescent="0.35">
      <c r="A4616" t="s">
        <v>37</v>
      </c>
      <c r="B4616" t="s">
        <v>24</v>
      </c>
      <c r="C4616">
        <v>2002</v>
      </c>
      <c r="D4616" t="s">
        <v>33</v>
      </c>
      <c r="E4616" s="1">
        <f t="shared" ref="E4616" si="2024">SUM(E3848+E4040+E4232+E4424)</f>
        <v>202805</v>
      </c>
      <c r="F4616" s="1">
        <f t="shared" si="2011"/>
        <v>8035</v>
      </c>
      <c r="G4616" s="1">
        <f t="shared" si="2008"/>
        <v>210840</v>
      </c>
      <c r="H4616" s="2">
        <f t="shared" si="2009"/>
        <v>0.96189053310567252</v>
      </c>
      <c r="I4616" s="2">
        <f t="shared" si="2010"/>
        <v>3.8109466894327454E-2</v>
      </c>
      <c r="J4616" s="1">
        <f t="shared" ref="J4616:K4616" si="2025">SUM(J3848+J4040+J4232+J4424)</f>
        <v>379280.62188999983</v>
      </c>
      <c r="K4616" s="1">
        <f t="shared" si="2025"/>
        <v>163299.37300000002</v>
      </c>
      <c r="L4616" s="1">
        <f t="shared" si="2013"/>
        <v>542579.99488999986</v>
      </c>
      <c r="M4616" s="2">
        <f t="shared" si="2014"/>
        <v>0.69903171046122592</v>
      </c>
      <c r="N4616" s="2">
        <f t="shared" si="2015"/>
        <v>0.30096828953877403</v>
      </c>
    </row>
    <row r="4617" spans="1:14" x14ac:dyDescent="0.35">
      <c r="A4617" t="s">
        <v>37</v>
      </c>
      <c r="B4617" t="s">
        <v>25</v>
      </c>
      <c r="C4617">
        <v>2002</v>
      </c>
      <c r="D4617" t="s">
        <v>33</v>
      </c>
      <c r="E4617" s="1">
        <f t="shared" ref="E4617" si="2026">SUM(E3849+E4041+E4233+E4425)</f>
        <v>209672</v>
      </c>
      <c r="F4617" s="1">
        <f t="shared" si="2011"/>
        <v>9417</v>
      </c>
      <c r="G4617" s="1">
        <f t="shared" si="2008"/>
        <v>219089</v>
      </c>
      <c r="H4617" s="2">
        <f t="shared" si="2009"/>
        <v>0.95701746778706376</v>
      </c>
      <c r="I4617" s="2">
        <f t="shared" si="2010"/>
        <v>4.2982532212936297E-2</v>
      </c>
      <c r="J4617" s="1">
        <f t="shared" ref="J4617:K4617" si="2027">SUM(J3849+J4041+J4233+J4425)</f>
        <v>353062.2</v>
      </c>
      <c r="K4617" s="1">
        <f t="shared" si="2027"/>
        <v>220151.86000000002</v>
      </c>
      <c r="L4617" s="1">
        <f t="shared" si="2013"/>
        <v>573214.06000000006</v>
      </c>
      <c r="M4617" s="2">
        <f t="shared" si="2014"/>
        <v>0.61593429861088889</v>
      </c>
      <c r="N4617" s="2">
        <f t="shared" si="2015"/>
        <v>0.38406570138911106</v>
      </c>
    </row>
    <row r="4618" spans="1:14" x14ac:dyDescent="0.35">
      <c r="A4618" t="s">
        <v>37</v>
      </c>
      <c r="B4618" t="s">
        <v>26</v>
      </c>
      <c r="C4618">
        <v>2002</v>
      </c>
      <c r="D4618" t="s">
        <v>33</v>
      </c>
      <c r="E4618" s="1">
        <f t="shared" ref="E4618" si="2028">SUM(E3850+E4042+E4234+E4426)</f>
        <v>210904</v>
      </c>
      <c r="F4618" s="1">
        <f t="shared" si="2011"/>
        <v>10012</v>
      </c>
      <c r="G4618" s="1">
        <f t="shared" si="2008"/>
        <v>220916</v>
      </c>
      <c r="H4618" s="2">
        <f t="shared" si="2009"/>
        <v>0.95467960672834928</v>
      </c>
      <c r="I4618" s="2">
        <f t="shared" si="2010"/>
        <v>4.5320393271650765E-2</v>
      </c>
      <c r="J4618" s="1">
        <f t="shared" ref="J4618:K4618" si="2029">SUM(J3850+J4042+J4234+J4426)</f>
        <v>431555.49</v>
      </c>
      <c r="K4618" s="1">
        <f t="shared" si="2029"/>
        <v>223412.1</v>
      </c>
      <c r="L4618" s="1">
        <f t="shared" si="2013"/>
        <v>654967.59</v>
      </c>
      <c r="M4618" s="2">
        <f t="shared" si="2014"/>
        <v>0.65889594628644144</v>
      </c>
      <c r="N4618" s="2">
        <f t="shared" si="2015"/>
        <v>0.34110405371355856</v>
      </c>
    </row>
    <row r="4619" spans="1:14" x14ac:dyDescent="0.35">
      <c r="A4619" t="s">
        <v>37</v>
      </c>
      <c r="B4619" t="s">
        <v>27</v>
      </c>
      <c r="C4619">
        <v>2002</v>
      </c>
      <c r="D4619" t="s">
        <v>33</v>
      </c>
      <c r="E4619" s="1">
        <f t="shared" ref="E4619" si="2030">SUM(E3851+E4043+E4235+E4427)</f>
        <v>211007</v>
      </c>
      <c r="F4619" s="1">
        <f t="shared" si="2011"/>
        <v>10866</v>
      </c>
      <c r="G4619" s="1">
        <f t="shared" si="2008"/>
        <v>221873</v>
      </c>
      <c r="H4619" s="2">
        <f t="shared" si="2009"/>
        <v>0.95102603741780212</v>
      </c>
      <c r="I4619" s="2">
        <f t="shared" si="2010"/>
        <v>4.8973962582197925E-2</v>
      </c>
      <c r="J4619" s="1">
        <f t="shared" ref="J4619:K4619" si="2031">SUM(J3851+J4043+J4235+J4427)</f>
        <v>320002.27999999997</v>
      </c>
      <c r="K4619" s="1">
        <f t="shared" si="2031"/>
        <v>217861.8634</v>
      </c>
      <c r="L4619" s="1">
        <f t="shared" si="2013"/>
        <v>537864.14339999994</v>
      </c>
      <c r="M4619" s="2">
        <f t="shared" si="2014"/>
        <v>0.59495001465829267</v>
      </c>
      <c r="N4619" s="2">
        <f t="shared" si="2015"/>
        <v>0.40504998534170744</v>
      </c>
    </row>
    <row r="4620" spans="1:14" x14ac:dyDescent="0.35">
      <c r="A4620" t="s">
        <v>37</v>
      </c>
      <c r="B4620" t="s">
        <v>28</v>
      </c>
      <c r="C4620">
        <v>2002</v>
      </c>
      <c r="D4620" t="s">
        <v>33</v>
      </c>
      <c r="E4620" s="1">
        <f t="shared" ref="E4620" si="2032">SUM(E3852+E4044+E4236+E4428)</f>
        <v>210069</v>
      </c>
      <c r="F4620" s="1">
        <f t="shared" si="2011"/>
        <v>11454</v>
      </c>
      <c r="G4620" s="1">
        <f t="shared" si="2008"/>
        <v>221523</v>
      </c>
      <c r="H4620" s="2">
        <f t="shared" si="2009"/>
        <v>0.94829430804024861</v>
      </c>
      <c r="I4620" s="2">
        <f t="shared" si="2010"/>
        <v>5.170569195975136E-2</v>
      </c>
      <c r="J4620" s="1">
        <f t="shared" ref="J4620:K4620" si="2033">SUM(J3852+J4044+J4236+J4428)</f>
        <v>226937.74000000002</v>
      </c>
      <c r="K4620" s="1">
        <f t="shared" si="2033"/>
        <v>160629.74000000002</v>
      </c>
      <c r="L4620" s="1">
        <f t="shared" si="2013"/>
        <v>387567.48000000004</v>
      </c>
      <c r="M4620" s="2">
        <f t="shared" si="2014"/>
        <v>0.58554381291227009</v>
      </c>
      <c r="N4620" s="2">
        <f t="shared" si="2015"/>
        <v>0.41445618708772985</v>
      </c>
    </row>
    <row r="4621" spans="1:14" x14ac:dyDescent="0.35">
      <c r="A4621" t="s">
        <v>37</v>
      </c>
      <c r="B4621" t="s">
        <v>29</v>
      </c>
      <c r="C4621">
        <v>2002</v>
      </c>
      <c r="D4621" t="s">
        <v>33</v>
      </c>
      <c r="E4621" s="1">
        <f t="shared" ref="E4621" si="2034">SUM(E3853+E4045+E4237+E4429)</f>
        <v>208747</v>
      </c>
      <c r="F4621" s="1">
        <f t="shared" si="2011"/>
        <v>12202</v>
      </c>
      <c r="G4621" s="1">
        <f t="shared" si="2008"/>
        <v>220949</v>
      </c>
      <c r="H4621" s="2">
        <f t="shared" si="2009"/>
        <v>0.94477458599043218</v>
      </c>
      <c r="I4621" s="2">
        <f t="shared" si="2010"/>
        <v>5.5225414009567819E-2</v>
      </c>
      <c r="J4621" s="1">
        <f t="shared" ref="J4621:K4621" si="2035">SUM(J3853+J4045+J4237+J4429)</f>
        <v>253915.13</v>
      </c>
      <c r="K4621" s="1">
        <f t="shared" si="2035"/>
        <v>111981.45399999998</v>
      </c>
      <c r="L4621" s="1">
        <f t="shared" si="2013"/>
        <v>365896.58399999997</v>
      </c>
      <c r="M4621" s="2">
        <f t="shared" si="2014"/>
        <v>0.69395326740738317</v>
      </c>
      <c r="N4621" s="2">
        <f t="shared" si="2015"/>
        <v>0.30604673259261689</v>
      </c>
    </row>
    <row r="4622" spans="1:14" x14ac:dyDescent="0.35">
      <c r="A4622" t="s">
        <v>37</v>
      </c>
      <c r="B4622" t="s">
        <v>17</v>
      </c>
      <c r="C4622">
        <v>2003</v>
      </c>
      <c r="D4622" t="s">
        <v>33</v>
      </c>
      <c r="E4622" s="1">
        <f t="shared" ref="E4622" si="2036">SUM(E3854+E4046+E4238+E4430)</f>
        <v>199527</v>
      </c>
      <c r="F4622" s="1">
        <f t="shared" si="2011"/>
        <v>13006</v>
      </c>
      <c r="G4622" s="1">
        <f t="shared" si="2008"/>
        <v>212533</v>
      </c>
      <c r="H4622" s="2">
        <f t="shared" si="2009"/>
        <v>0.93880479737264333</v>
      </c>
      <c r="I4622" s="2">
        <f t="shared" si="2010"/>
        <v>6.1195202627356692E-2</v>
      </c>
      <c r="J4622" s="1">
        <f t="shared" ref="J4622:K4622" si="2037">SUM(J3854+J4046+J4238+J4430)</f>
        <v>272577</v>
      </c>
      <c r="K4622" s="1">
        <f t="shared" si="2037"/>
        <v>120149</v>
      </c>
      <c r="L4622" s="1">
        <f t="shared" si="2013"/>
        <v>392726</v>
      </c>
      <c r="M4622" s="2">
        <f t="shared" si="2014"/>
        <v>0.69406405483721478</v>
      </c>
      <c r="N4622" s="2">
        <f t="shared" si="2015"/>
        <v>0.30593594516278527</v>
      </c>
    </row>
    <row r="4623" spans="1:14" x14ac:dyDescent="0.35">
      <c r="A4623" t="s">
        <v>37</v>
      </c>
      <c r="B4623" t="s">
        <v>19</v>
      </c>
      <c r="C4623">
        <v>2003</v>
      </c>
      <c r="D4623" t="s">
        <v>33</v>
      </c>
      <c r="E4623" s="1">
        <f t="shared" ref="E4623" si="2038">SUM(E3855+E4047+E4239+E4431)</f>
        <v>199180</v>
      </c>
      <c r="F4623" s="1">
        <f t="shared" si="2011"/>
        <v>13322</v>
      </c>
      <c r="G4623" s="1">
        <f t="shared" si="2008"/>
        <v>212502</v>
      </c>
      <c r="H4623" s="2">
        <f t="shared" si="2009"/>
        <v>0.93730882532870274</v>
      </c>
      <c r="I4623" s="2">
        <f t="shared" si="2010"/>
        <v>6.2691174671297215E-2</v>
      </c>
      <c r="J4623" s="1">
        <f t="shared" ref="J4623:K4623" si="2039">SUM(J3855+J4047+J4239+J4431)</f>
        <v>282085</v>
      </c>
      <c r="K4623" s="1">
        <f t="shared" si="2039"/>
        <v>138488</v>
      </c>
      <c r="L4623" s="1">
        <f t="shared" si="2013"/>
        <v>420573</v>
      </c>
      <c r="M4623" s="2">
        <f t="shared" si="2014"/>
        <v>0.67071590425443384</v>
      </c>
      <c r="N4623" s="2">
        <f t="shared" si="2015"/>
        <v>0.32928409574556616</v>
      </c>
    </row>
    <row r="4624" spans="1:14" x14ac:dyDescent="0.35">
      <c r="A4624" t="s">
        <v>37</v>
      </c>
      <c r="B4624" t="s">
        <v>20</v>
      </c>
      <c r="C4624">
        <v>2003</v>
      </c>
      <c r="D4624" t="s">
        <v>33</v>
      </c>
      <c r="E4624" s="1">
        <f t="shared" ref="E4624" si="2040">SUM(E3856+E4048+E4240+E4432)</f>
        <v>199608</v>
      </c>
      <c r="F4624" s="1">
        <f t="shared" si="2011"/>
        <v>13666</v>
      </c>
      <c r="G4624" s="1">
        <f t="shared" si="2008"/>
        <v>213274</v>
      </c>
      <c r="H4624" s="2">
        <f t="shared" si="2009"/>
        <v>0.93592280352973167</v>
      </c>
      <c r="I4624" s="2">
        <f t="shared" si="2010"/>
        <v>6.4077196470268299E-2</v>
      </c>
      <c r="J4624" s="1">
        <f t="shared" ref="J4624:K4624" si="2041">SUM(J3856+J4048+J4240+J4432)</f>
        <v>256045</v>
      </c>
      <c r="K4624" s="1">
        <f t="shared" si="2041"/>
        <v>169941</v>
      </c>
      <c r="L4624" s="1">
        <f t="shared" si="2013"/>
        <v>425986</v>
      </c>
      <c r="M4624" s="2">
        <f t="shared" si="2014"/>
        <v>0.60106435422760374</v>
      </c>
      <c r="N4624" s="2">
        <f t="shared" si="2015"/>
        <v>0.39893564577239626</v>
      </c>
    </row>
    <row r="4625" spans="1:14" x14ac:dyDescent="0.35">
      <c r="A4625" t="s">
        <v>37</v>
      </c>
      <c r="B4625" t="s">
        <v>21</v>
      </c>
      <c r="C4625">
        <v>2003</v>
      </c>
      <c r="D4625" t="s">
        <v>33</v>
      </c>
      <c r="E4625" s="1">
        <f t="shared" ref="E4625" si="2042">SUM(E3857+E4049+E4241+E4433)</f>
        <v>199879</v>
      </c>
      <c r="F4625" s="1">
        <f t="shared" si="2011"/>
        <v>13922</v>
      </c>
      <c r="G4625" s="1">
        <f t="shared" si="2008"/>
        <v>213801</v>
      </c>
      <c r="H4625" s="2">
        <f t="shared" si="2009"/>
        <v>0.93488337285606704</v>
      </c>
      <c r="I4625" s="2">
        <f t="shared" si="2010"/>
        <v>6.5116627143932904E-2</v>
      </c>
      <c r="J4625" s="1">
        <f t="shared" ref="J4625:K4625" si="2043">SUM(J3857+J4049+J4241+J4433)</f>
        <v>220133.52999999997</v>
      </c>
      <c r="K4625" s="1">
        <f t="shared" si="2043"/>
        <v>299629.77</v>
      </c>
      <c r="L4625" s="1">
        <f t="shared" si="2013"/>
        <v>519763.3</v>
      </c>
      <c r="M4625" s="2">
        <f t="shared" si="2014"/>
        <v>0.42352649754224658</v>
      </c>
      <c r="N4625" s="2">
        <f t="shared" si="2015"/>
        <v>0.57647350245775342</v>
      </c>
    </row>
    <row r="4626" spans="1:14" x14ac:dyDescent="0.35">
      <c r="A4626" t="s">
        <v>37</v>
      </c>
      <c r="B4626" t="s">
        <v>22</v>
      </c>
      <c r="C4626">
        <v>2003</v>
      </c>
      <c r="D4626" t="s">
        <v>33</v>
      </c>
      <c r="E4626" s="1">
        <f t="shared" ref="E4626" si="2044">SUM(E3858+E4050+E4242+E4434)</f>
        <v>200375</v>
      </c>
      <c r="F4626" s="1">
        <f t="shared" si="2011"/>
        <v>14106</v>
      </c>
      <c r="G4626" s="1">
        <f t="shared" si="2008"/>
        <v>214481</v>
      </c>
      <c r="H4626" s="2">
        <f t="shared" si="2009"/>
        <v>0.9342319366284193</v>
      </c>
      <c r="I4626" s="2">
        <f t="shared" si="2010"/>
        <v>6.5768063371580698E-2</v>
      </c>
      <c r="J4626" s="1">
        <f t="shared" ref="J4626:K4626" si="2045">SUM(J3858+J4050+J4242+J4434)</f>
        <v>279296.97000000003</v>
      </c>
      <c r="K4626" s="1">
        <f t="shared" si="2045"/>
        <v>83894.449999999983</v>
      </c>
      <c r="L4626" s="1">
        <f t="shared" si="2013"/>
        <v>363191.42000000004</v>
      </c>
      <c r="M4626" s="2">
        <f t="shared" si="2014"/>
        <v>0.76900762138048306</v>
      </c>
      <c r="N4626" s="2">
        <f t="shared" si="2015"/>
        <v>0.23099237861951688</v>
      </c>
    </row>
    <row r="4627" spans="1:14" x14ac:dyDescent="0.35">
      <c r="A4627" t="s">
        <v>37</v>
      </c>
      <c r="B4627" t="s">
        <v>23</v>
      </c>
      <c r="C4627">
        <v>2003</v>
      </c>
      <c r="D4627" t="s">
        <v>33</v>
      </c>
      <c r="E4627" s="1">
        <f t="shared" ref="E4627" si="2046">SUM(E3859+E4051+E4243+E4435)</f>
        <v>199171</v>
      </c>
      <c r="F4627" s="1">
        <f t="shared" si="2011"/>
        <v>15341</v>
      </c>
      <c r="G4627" s="1">
        <f t="shared" si="2008"/>
        <v>214512</v>
      </c>
      <c r="H4627" s="2">
        <f t="shared" si="2009"/>
        <v>0.92848418736480942</v>
      </c>
      <c r="I4627" s="2">
        <f t="shared" si="2010"/>
        <v>7.1515812635190579E-2</v>
      </c>
      <c r="J4627" s="1">
        <f t="shared" ref="J4627:K4627" si="2047">SUM(J3859+J4051+J4243+J4435)</f>
        <v>349440.81999999995</v>
      </c>
      <c r="K4627" s="1">
        <f t="shared" si="2047"/>
        <v>140352.47</v>
      </c>
      <c r="L4627" s="1">
        <f t="shared" si="2013"/>
        <v>489793.28999999992</v>
      </c>
      <c r="M4627" s="2">
        <f t="shared" si="2014"/>
        <v>0.71344550269359552</v>
      </c>
      <c r="N4627" s="2">
        <f t="shared" si="2015"/>
        <v>0.28655449730640453</v>
      </c>
    </row>
    <row r="4628" spans="1:14" x14ac:dyDescent="0.35">
      <c r="A4628" t="s">
        <v>37</v>
      </c>
      <c r="B4628" t="s">
        <v>24</v>
      </c>
      <c r="C4628">
        <v>2003</v>
      </c>
      <c r="D4628" t="s">
        <v>33</v>
      </c>
      <c r="E4628" s="1">
        <f t="shared" ref="E4628" si="2048">SUM(E3860+E4052+E4244+E4436)</f>
        <v>196430</v>
      </c>
      <c r="F4628" s="1">
        <f t="shared" si="2011"/>
        <v>18803</v>
      </c>
      <c r="G4628" s="1">
        <f t="shared" si="2008"/>
        <v>215233</v>
      </c>
      <c r="H4628" s="2">
        <f t="shared" si="2009"/>
        <v>0.91263886114118187</v>
      </c>
      <c r="I4628" s="2">
        <f t="shared" si="2010"/>
        <v>8.7361138858818119E-2</v>
      </c>
      <c r="J4628" s="1">
        <f t="shared" ref="J4628:K4628" si="2049">SUM(J3860+J4052+J4244+J4436)</f>
        <v>387020.99</v>
      </c>
      <c r="K4628" s="1">
        <f t="shared" si="2049"/>
        <v>181300.84999999998</v>
      </c>
      <c r="L4628" s="1">
        <f t="shared" si="2013"/>
        <v>568321.84</v>
      </c>
      <c r="M4628" s="2">
        <f t="shared" si="2014"/>
        <v>0.68098912053071903</v>
      </c>
      <c r="N4628" s="2">
        <f t="shared" si="2015"/>
        <v>0.31901087946928097</v>
      </c>
    </row>
    <row r="4629" spans="1:14" x14ac:dyDescent="0.35">
      <c r="A4629" t="s">
        <v>37</v>
      </c>
      <c r="B4629" t="s">
        <v>25</v>
      </c>
      <c r="C4629">
        <v>2003</v>
      </c>
      <c r="D4629" t="s">
        <v>33</v>
      </c>
      <c r="E4629" s="1">
        <f t="shared" ref="E4629" si="2050">SUM(E3861+E4053+E4245+E4437)</f>
        <v>194502</v>
      </c>
      <c r="F4629" s="1">
        <f t="shared" si="2011"/>
        <v>20526</v>
      </c>
      <c r="G4629" s="1">
        <f t="shared" si="2008"/>
        <v>215028</v>
      </c>
      <c r="H4629" s="2">
        <f t="shared" si="2009"/>
        <v>0.90454266421117246</v>
      </c>
      <c r="I4629" s="2">
        <f t="shared" si="2010"/>
        <v>9.5457335788827508E-2</v>
      </c>
      <c r="J4629" s="1">
        <f t="shared" ref="J4629:K4629" si="2051">SUM(J3861+J4053+J4245+J4437)</f>
        <v>406487.96000000008</v>
      </c>
      <c r="K4629" s="1">
        <f t="shared" si="2051"/>
        <v>168885.74</v>
      </c>
      <c r="L4629" s="1">
        <f t="shared" si="2013"/>
        <v>575373.70000000007</v>
      </c>
      <c r="M4629" s="2">
        <f t="shared" si="2014"/>
        <v>0.70647643435909568</v>
      </c>
      <c r="N4629" s="2">
        <f t="shared" si="2015"/>
        <v>0.29352356564090426</v>
      </c>
    </row>
    <row r="4630" spans="1:14" x14ac:dyDescent="0.35">
      <c r="A4630" t="s">
        <v>37</v>
      </c>
      <c r="B4630" t="s">
        <v>26</v>
      </c>
      <c r="C4630">
        <v>2003</v>
      </c>
      <c r="D4630" t="s">
        <v>33</v>
      </c>
      <c r="E4630" s="1">
        <f t="shared" ref="E4630" si="2052">SUM(E3862+E4054+E4246+E4438)</f>
        <v>192534</v>
      </c>
      <c r="F4630" s="1">
        <f t="shared" si="2011"/>
        <v>22314</v>
      </c>
      <c r="G4630" s="1">
        <f t="shared" si="2008"/>
        <v>214848</v>
      </c>
      <c r="H4630" s="2">
        <f t="shared" si="2009"/>
        <v>0.89614052725647897</v>
      </c>
      <c r="I4630" s="2">
        <f t="shared" si="2010"/>
        <v>0.103859472743521</v>
      </c>
      <c r="J4630" s="1">
        <f t="shared" ref="J4630:K4630" si="2053">SUM(J3862+J4054+J4246+J4438)</f>
        <v>344752.09</v>
      </c>
      <c r="K4630" s="1">
        <f t="shared" si="2053"/>
        <v>174623.65</v>
      </c>
      <c r="L4630" s="1">
        <f t="shared" si="2013"/>
        <v>519375.74</v>
      </c>
      <c r="M4630" s="2">
        <f t="shared" si="2014"/>
        <v>0.66378165834237857</v>
      </c>
      <c r="N4630" s="2">
        <f t="shared" si="2015"/>
        <v>0.33621834165762149</v>
      </c>
    </row>
    <row r="4631" spans="1:14" x14ac:dyDescent="0.35">
      <c r="A4631" t="s">
        <v>37</v>
      </c>
      <c r="B4631" t="s">
        <v>27</v>
      </c>
      <c r="C4631">
        <v>2003</v>
      </c>
      <c r="D4631" t="s">
        <v>33</v>
      </c>
      <c r="E4631" s="1">
        <f t="shared" ref="E4631" si="2054">SUM(E3863+E4055+E4247+E4439)</f>
        <v>191320</v>
      </c>
      <c r="F4631" s="1">
        <f t="shared" si="2011"/>
        <v>24227</v>
      </c>
      <c r="G4631" s="1">
        <f t="shared" si="2008"/>
        <v>215547</v>
      </c>
      <c r="H4631" s="2">
        <f t="shared" si="2009"/>
        <v>0.88760223988271703</v>
      </c>
      <c r="I4631" s="2">
        <f t="shared" si="2010"/>
        <v>0.112397760117283</v>
      </c>
      <c r="J4631" s="1">
        <f t="shared" ref="J4631:K4631" si="2055">SUM(J3863+J4055+J4247+J4439)</f>
        <v>281242.67000000004</v>
      </c>
      <c r="K4631" s="1">
        <f t="shared" si="2055"/>
        <v>141874.42000000001</v>
      </c>
      <c r="L4631" s="1">
        <f t="shared" si="2013"/>
        <v>423117.09000000008</v>
      </c>
      <c r="M4631" s="2">
        <f t="shared" si="2014"/>
        <v>0.66469229593160606</v>
      </c>
      <c r="N4631" s="2">
        <f t="shared" si="2015"/>
        <v>0.33530770406839389</v>
      </c>
    </row>
    <row r="4632" spans="1:14" x14ac:dyDescent="0.35">
      <c r="A4632" t="s">
        <v>37</v>
      </c>
      <c r="B4632" t="s">
        <v>28</v>
      </c>
      <c r="C4632">
        <v>2003</v>
      </c>
      <c r="D4632" t="s">
        <v>33</v>
      </c>
      <c r="E4632" s="1">
        <f t="shared" ref="E4632" si="2056">SUM(E3864+E4056+E4248+E4440)</f>
        <v>188799</v>
      </c>
      <c r="F4632" s="1">
        <f t="shared" si="2011"/>
        <v>25874</v>
      </c>
      <c r="G4632" s="1">
        <f t="shared" si="2008"/>
        <v>214673</v>
      </c>
      <c r="H4632" s="2">
        <f t="shared" si="2009"/>
        <v>0.87947250003493682</v>
      </c>
      <c r="I4632" s="2">
        <f t="shared" si="2010"/>
        <v>0.12052749996506314</v>
      </c>
      <c r="J4632" s="1">
        <f t="shared" ref="J4632:K4632" si="2057">SUM(J3864+J4056+J4248+J4440)</f>
        <v>224608.68999999997</v>
      </c>
      <c r="K4632" s="1">
        <f t="shared" si="2057"/>
        <v>115269.81000000001</v>
      </c>
      <c r="L4632" s="1">
        <f t="shared" si="2013"/>
        <v>339878.5</v>
      </c>
      <c r="M4632" s="2">
        <f t="shared" si="2014"/>
        <v>0.66084995079123854</v>
      </c>
      <c r="N4632" s="2">
        <f t="shared" si="2015"/>
        <v>0.33915004920876141</v>
      </c>
    </row>
    <row r="4633" spans="1:14" x14ac:dyDescent="0.35">
      <c r="A4633" t="s">
        <v>37</v>
      </c>
      <c r="B4633" t="s">
        <v>29</v>
      </c>
      <c r="C4633">
        <v>2003</v>
      </c>
      <c r="D4633" t="s">
        <v>33</v>
      </c>
      <c r="E4633" s="1">
        <f t="shared" ref="E4633" si="2058">SUM(E3865+E4057+E4249+E4441)</f>
        <v>188533</v>
      </c>
      <c r="F4633" s="1">
        <f t="shared" si="2011"/>
        <v>27799</v>
      </c>
      <c r="G4633" s="1">
        <f t="shared" si="2008"/>
        <v>216332</v>
      </c>
      <c r="H4633" s="2">
        <f t="shared" si="2009"/>
        <v>0.87149843758667234</v>
      </c>
      <c r="I4633" s="2">
        <f t="shared" si="2010"/>
        <v>0.12850156241332766</v>
      </c>
      <c r="J4633" s="1">
        <f t="shared" ref="J4633:K4633" si="2059">SUM(J3865+J4057+J4249+J4441)</f>
        <v>227783.93</v>
      </c>
      <c r="K4633" s="1">
        <f t="shared" si="2059"/>
        <v>250208.13000000003</v>
      </c>
      <c r="L4633" s="1">
        <f t="shared" si="2013"/>
        <v>477992.06000000006</v>
      </c>
      <c r="M4633" s="2">
        <f t="shared" si="2014"/>
        <v>0.47654333421354317</v>
      </c>
      <c r="N4633" s="2">
        <f t="shared" si="2015"/>
        <v>0.52345666578645678</v>
      </c>
    </row>
    <row r="4634" spans="1:14" x14ac:dyDescent="0.35">
      <c r="A4634" t="s">
        <v>37</v>
      </c>
      <c r="B4634" t="s">
        <v>17</v>
      </c>
      <c r="C4634">
        <v>2004</v>
      </c>
      <c r="D4634" t="s">
        <v>33</v>
      </c>
      <c r="E4634" s="1">
        <f t="shared" ref="E4634" si="2060">SUM(E3866+E4058+E4250+E4442)</f>
        <v>186394</v>
      </c>
      <c r="F4634" s="1">
        <f t="shared" si="2011"/>
        <v>29564</v>
      </c>
      <c r="G4634" s="1">
        <f t="shared" si="2008"/>
        <v>215958</v>
      </c>
      <c r="H4634" s="2">
        <f t="shared" si="2009"/>
        <v>0.8631030107706128</v>
      </c>
      <c r="I4634" s="2">
        <f t="shared" si="2010"/>
        <v>0.1368969892293872</v>
      </c>
      <c r="J4634" s="1">
        <f t="shared" ref="J4634:K4634" si="2061">SUM(J3866+J4058+J4250+J4442)</f>
        <v>242516.88</v>
      </c>
      <c r="K4634" s="1">
        <f t="shared" si="2061"/>
        <v>192411.25</v>
      </c>
      <c r="L4634" s="1">
        <f t="shared" si="2013"/>
        <v>434928.13</v>
      </c>
      <c r="M4634" s="2">
        <f t="shared" si="2014"/>
        <v>0.55760219510290121</v>
      </c>
      <c r="N4634" s="2">
        <f t="shared" si="2015"/>
        <v>0.44239780489709873</v>
      </c>
    </row>
    <row r="4635" spans="1:14" x14ac:dyDescent="0.35">
      <c r="A4635" t="s">
        <v>37</v>
      </c>
      <c r="B4635" t="s">
        <v>19</v>
      </c>
      <c r="C4635">
        <v>2004</v>
      </c>
      <c r="D4635" t="s">
        <v>33</v>
      </c>
      <c r="E4635" s="1">
        <f t="shared" ref="E4635" si="2062">SUM(E3867+E4059+E4251+E4443)</f>
        <v>185414</v>
      </c>
      <c r="F4635" s="1">
        <f t="shared" si="2011"/>
        <v>30760</v>
      </c>
      <c r="G4635" s="1">
        <f t="shared" si="2008"/>
        <v>216174</v>
      </c>
      <c r="H4635" s="2">
        <f t="shared" si="2009"/>
        <v>0.85770721733418454</v>
      </c>
      <c r="I4635" s="2">
        <f t="shared" si="2010"/>
        <v>0.14229278266581549</v>
      </c>
      <c r="J4635" s="1">
        <f t="shared" ref="J4635:K4635" si="2063">SUM(J3867+J4059+J4251+J4443)</f>
        <v>238393.07</v>
      </c>
      <c r="K4635" s="1">
        <f t="shared" si="2063"/>
        <v>172230.66</v>
      </c>
      <c r="L4635" s="1">
        <f t="shared" si="2013"/>
        <v>410623.73</v>
      </c>
      <c r="M4635" s="2">
        <f t="shared" si="2014"/>
        <v>0.58056330548650958</v>
      </c>
      <c r="N4635" s="2">
        <f t="shared" si="2015"/>
        <v>0.41943669451349053</v>
      </c>
    </row>
    <row r="4636" spans="1:14" x14ac:dyDescent="0.35">
      <c r="A4636" t="s">
        <v>37</v>
      </c>
      <c r="B4636" t="s">
        <v>20</v>
      </c>
      <c r="C4636">
        <v>2004</v>
      </c>
      <c r="D4636" t="s">
        <v>33</v>
      </c>
      <c r="E4636" s="1">
        <f t="shared" ref="E4636" si="2064">SUM(E3868+E4060+E4252+E4444)</f>
        <v>185026</v>
      </c>
      <c r="F4636" s="1">
        <f t="shared" si="2011"/>
        <v>31658</v>
      </c>
      <c r="G4636" s="1">
        <f t="shared" si="2008"/>
        <v>216684</v>
      </c>
      <c r="H4636" s="2">
        <f t="shared" si="2009"/>
        <v>0.85389784201879237</v>
      </c>
      <c r="I4636" s="2">
        <f t="shared" si="2010"/>
        <v>0.14610215798120765</v>
      </c>
      <c r="J4636" s="1">
        <f t="shared" ref="J4636:K4636" si="2065">SUM(J3868+J4060+J4252+J4444)</f>
        <v>207360.68</v>
      </c>
      <c r="K4636" s="1">
        <f t="shared" si="2065"/>
        <v>178581.32</v>
      </c>
      <c r="L4636" s="1">
        <f t="shared" si="2013"/>
        <v>385942</v>
      </c>
      <c r="M4636" s="2">
        <f t="shared" si="2014"/>
        <v>0.5372845660746951</v>
      </c>
      <c r="N4636" s="2">
        <f t="shared" si="2015"/>
        <v>0.46271543392530484</v>
      </c>
    </row>
    <row r="4637" spans="1:14" x14ac:dyDescent="0.35">
      <c r="A4637" t="s">
        <v>37</v>
      </c>
      <c r="B4637" t="s">
        <v>21</v>
      </c>
      <c r="C4637">
        <v>2004</v>
      </c>
      <c r="D4637" t="s">
        <v>33</v>
      </c>
      <c r="E4637" s="1">
        <f t="shared" ref="E4637" si="2066">SUM(E3869+E4061+E4253+E4445)</f>
        <v>183999</v>
      </c>
      <c r="F4637" s="1">
        <f t="shared" si="2011"/>
        <v>32921</v>
      </c>
      <c r="G4637" s="1">
        <f t="shared" si="2008"/>
        <v>216920</v>
      </c>
      <c r="H4637" s="2">
        <f t="shared" si="2009"/>
        <v>0.84823437211875341</v>
      </c>
      <c r="I4637" s="2">
        <f t="shared" si="2010"/>
        <v>0.15176562788124653</v>
      </c>
      <c r="J4637" s="1">
        <f t="shared" ref="J4637:K4637" si="2067">SUM(J3869+J4061+J4253+J4445)</f>
        <v>193348.86</v>
      </c>
      <c r="K4637" s="1">
        <f t="shared" si="2067"/>
        <v>208900.12999999998</v>
      </c>
      <c r="L4637" s="1">
        <f t="shared" si="2013"/>
        <v>402248.99</v>
      </c>
      <c r="M4637" s="2">
        <f t="shared" si="2014"/>
        <v>0.48066959720644664</v>
      </c>
      <c r="N4637" s="2">
        <f t="shared" si="2015"/>
        <v>0.51933040279355325</v>
      </c>
    </row>
    <row r="4638" spans="1:14" x14ac:dyDescent="0.35">
      <c r="A4638" t="s">
        <v>37</v>
      </c>
      <c r="B4638" t="s">
        <v>22</v>
      </c>
      <c r="C4638">
        <v>2004</v>
      </c>
      <c r="D4638" t="s">
        <v>33</v>
      </c>
      <c r="E4638" s="1">
        <f t="shared" ref="E4638" si="2068">SUM(E3870+E4062+E4254+E4446)</f>
        <v>182076</v>
      </c>
      <c r="F4638" s="1">
        <f t="shared" si="2011"/>
        <v>34415</v>
      </c>
      <c r="G4638" s="1">
        <f t="shared" si="2008"/>
        <v>216491</v>
      </c>
      <c r="H4638" s="2">
        <f t="shared" si="2009"/>
        <v>0.84103265262759186</v>
      </c>
      <c r="I4638" s="2">
        <f t="shared" si="2010"/>
        <v>0.15896734737240809</v>
      </c>
      <c r="J4638" s="1">
        <f t="shared" ref="J4638:K4638" si="2069">SUM(J3870+J4062+J4254+J4446)</f>
        <v>215917.51</v>
      </c>
      <c r="K4638" s="1">
        <f t="shared" si="2069"/>
        <v>136635.16999999998</v>
      </c>
      <c r="L4638" s="1">
        <f t="shared" si="2013"/>
        <v>352552.68</v>
      </c>
      <c r="M4638" s="2">
        <f t="shared" si="2014"/>
        <v>0.61244041599683774</v>
      </c>
      <c r="N4638" s="2">
        <f t="shared" si="2015"/>
        <v>0.38755958400316226</v>
      </c>
    </row>
    <row r="4639" spans="1:14" x14ac:dyDescent="0.35">
      <c r="A4639" t="s">
        <v>37</v>
      </c>
      <c r="B4639" t="s">
        <v>23</v>
      </c>
      <c r="C4639">
        <v>2004</v>
      </c>
      <c r="D4639" t="s">
        <v>33</v>
      </c>
      <c r="E4639" s="1">
        <f t="shared" ref="E4639" si="2070">SUM(E3871+E4063+E4255+E4447)</f>
        <v>181405</v>
      </c>
      <c r="F4639" s="1">
        <f t="shared" si="2011"/>
        <v>37186</v>
      </c>
      <c r="G4639" s="1">
        <f t="shared" si="2008"/>
        <v>218591</v>
      </c>
      <c r="H4639" s="2">
        <f t="shared" si="2009"/>
        <v>0.82988320653640812</v>
      </c>
      <c r="I4639" s="2">
        <f t="shared" si="2010"/>
        <v>0.17011679346359182</v>
      </c>
      <c r="J4639" s="1">
        <f t="shared" ref="J4639:K4639" si="2071">SUM(J3871+J4063+J4255+J4447)</f>
        <v>288164.29000000004</v>
      </c>
      <c r="K4639" s="1">
        <f t="shared" si="2071"/>
        <v>295611.14</v>
      </c>
      <c r="L4639" s="1">
        <f t="shared" si="2013"/>
        <v>583775.43000000005</v>
      </c>
      <c r="M4639" s="2">
        <f t="shared" si="2014"/>
        <v>0.49362181960963997</v>
      </c>
      <c r="N4639" s="2">
        <f t="shared" si="2015"/>
        <v>0.50637818039035998</v>
      </c>
    </row>
    <row r="4640" spans="1:14" x14ac:dyDescent="0.35">
      <c r="A4640" t="s">
        <v>37</v>
      </c>
      <c r="B4640" t="s">
        <v>24</v>
      </c>
      <c r="C4640">
        <v>2004</v>
      </c>
      <c r="D4640" t="s">
        <v>33</v>
      </c>
      <c r="E4640" s="1">
        <f t="shared" ref="E4640" si="2072">SUM(E3872+E4064+E4256+E4448)</f>
        <v>178922</v>
      </c>
      <c r="F4640" s="1">
        <f t="shared" si="2011"/>
        <v>37784</v>
      </c>
      <c r="G4640" s="1">
        <f t="shared" si="2008"/>
        <v>216706</v>
      </c>
      <c r="H4640" s="2">
        <f t="shared" si="2009"/>
        <v>0.82564396001956564</v>
      </c>
      <c r="I4640" s="2">
        <f t="shared" si="2010"/>
        <v>0.17435603998043431</v>
      </c>
      <c r="J4640" s="1">
        <f t="shared" ref="J4640:K4640" si="2073">SUM(J3872+J4064+J4256+J4448)</f>
        <v>304306.06999999995</v>
      </c>
      <c r="K4640" s="1">
        <f t="shared" si="2073"/>
        <v>247701.37</v>
      </c>
      <c r="L4640" s="1">
        <f t="shared" si="2013"/>
        <v>552007.43999999994</v>
      </c>
      <c r="M4640" s="2">
        <f t="shared" si="2014"/>
        <v>0.55127168213529876</v>
      </c>
      <c r="N4640" s="2">
        <f t="shared" si="2015"/>
        <v>0.4487283178647013</v>
      </c>
    </row>
    <row r="4641" spans="1:14" x14ac:dyDescent="0.35">
      <c r="A4641" t="s">
        <v>37</v>
      </c>
      <c r="B4641" t="s">
        <v>25</v>
      </c>
      <c r="C4641">
        <v>2004</v>
      </c>
      <c r="D4641" t="s">
        <v>33</v>
      </c>
      <c r="E4641" s="1">
        <f t="shared" ref="E4641" si="2074">SUM(E3873+E4065+E4257+E4449)</f>
        <v>176893</v>
      </c>
      <c r="F4641" s="1">
        <f t="shared" si="2011"/>
        <v>39131</v>
      </c>
      <c r="G4641" s="1">
        <f t="shared" si="2008"/>
        <v>216024</v>
      </c>
      <c r="H4641" s="2">
        <f t="shared" si="2009"/>
        <v>0.81885808984186947</v>
      </c>
      <c r="I4641" s="2">
        <f t="shared" si="2010"/>
        <v>0.18114191015813058</v>
      </c>
      <c r="J4641" s="1">
        <f t="shared" ref="J4641:K4641" si="2075">SUM(J3873+J4065+J4257+J4449)</f>
        <v>321140.0199999999</v>
      </c>
      <c r="K4641" s="1">
        <f t="shared" si="2075"/>
        <v>282010.38</v>
      </c>
      <c r="L4641" s="1">
        <f t="shared" si="2013"/>
        <v>603150.39999999991</v>
      </c>
      <c r="M4641" s="2">
        <f t="shared" si="2014"/>
        <v>0.53243771371120696</v>
      </c>
      <c r="N4641" s="2">
        <f t="shared" si="2015"/>
        <v>0.46756228628879304</v>
      </c>
    </row>
    <row r="4642" spans="1:14" x14ac:dyDescent="0.35">
      <c r="A4642" t="s">
        <v>37</v>
      </c>
      <c r="B4642" t="s">
        <v>26</v>
      </c>
      <c r="C4642">
        <v>2004</v>
      </c>
      <c r="D4642" t="s">
        <v>33</v>
      </c>
      <c r="E4642" s="1">
        <f t="shared" ref="E4642" si="2076">SUM(E3874+E4066+E4258+E4450)</f>
        <v>175234</v>
      </c>
      <c r="F4642" s="1">
        <f t="shared" si="2011"/>
        <v>41059</v>
      </c>
      <c r="G4642" s="1">
        <f t="shared" si="2008"/>
        <v>216293</v>
      </c>
      <c r="H4642" s="2">
        <f t="shared" si="2009"/>
        <v>0.81016953854262508</v>
      </c>
      <c r="I4642" s="2">
        <f t="shared" si="2010"/>
        <v>0.18983046145737495</v>
      </c>
      <c r="J4642" s="1">
        <f t="shared" ref="J4642:K4642" si="2077">SUM(J3874+J4066+J4258+J4450)</f>
        <v>298748.71000000002</v>
      </c>
      <c r="K4642" s="1">
        <f t="shared" si="2077"/>
        <v>278467.73000000004</v>
      </c>
      <c r="L4642" s="1">
        <f t="shared" si="2013"/>
        <v>577216.44000000006</v>
      </c>
      <c r="M4642" s="2">
        <f t="shared" si="2014"/>
        <v>0.51756791611825881</v>
      </c>
      <c r="N4642" s="2">
        <f t="shared" si="2015"/>
        <v>0.48243208388174114</v>
      </c>
    </row>
    <row r="4643" spans="1:14" x14ac:dyDescent="0.35">
      <c r="A4643" t="s">
        <v>37</v>
      </c>
      <c r="B4643" t="s">
        <v>27</v>
      </c>
      <c r="C4643">
        <v>2004</v>
      </c>
      <c r="D4643" t="s">
        <v>33</v>
      </c>
      <c r="E4643" s="1">
        <f t="shared" ref="E4643" si="2078">SUM(E3875+E4067+E4259+E4451)</f>
        <v>173934</v>
      </c>
      <c r="F4643" s="1">
        <f t="shared" si="2011"/>
        <v>42414</v>
      </c>
      <c r="G4643" s="1">
        <f t="shared" si="2008"/>
        <v>216348</v>
      </c>
      <c r="H4643" s="2">
        <f t="shared" si="2009"/>
        <v>0.80395473958622221</v>
      </c>
      <c r="I4643" s="2">
        <f t="shared" si="2010"/>
        <v>0.19604526041377779</v>
      </c>
      <c r="J4643" s="1">
        <f t="shared" ref="J4643:K4643" si="2079">SUM(J3875+J4067+J4259+J4451)</f>
        <v>245561.95</v>
      </c>
      <c r="K4643" s="1">
        <f t="shared" si="2079"/>
        <v>257979.11</v>
      </c>
      <c r="L4643" s="1">
        <f t="shared" si="2013"/>
        <v>503541.06</v>
      </c>
      <c r="M4643" s="2">
        <f t="shared" si="2014"/>
        <v>0.48767016139657016</v>
      </c>
      <c r="N4643" s="2">
        <f t="shared" si="2015"/>
        <v>0.51232983860342984</v>
      </c>
    </row>
    <row r="4644" spans="1:14" x14ac:dyDescent="0.35">
      <c r="A4644" t="s">
        <v>37</v>
      </c>
      <c r="B4644" t="s">
        <v>28</v>
      </c>
      <c r="C4644">
        <v>2004</v>
      </c>
      <c r="D4644" t="s">
        <v>33</v>
      </c>
      <c r="E4644" s="1">
        <f t="shared" ref="E4644" si="2080">SUM(E3876+E4068+E4260+E4452)</f>
        <v>173188</v>
      </c>
      <c r="F4644" s="1">
        <f t="shared" si="2011"/>
        <v>43655</v>
      </c>
      <c r="G4644" s="1">
        <f t="shared" si="2008"/>
        <v>216843</v>
      </c>
      <c r="H4644" s="2">
        <f t="shared" si="2009"/>
        <v>0.79867922875075514</v>
      </c>
      <c r="I4644" s="2">
        <f t="shared" si="2010"/>
        <v>0.20132077124924486</v>
      </c>
      <c r="J4644" s="1">
        <f t="shared" ref="J4644:K4644" si="2081">SUM(J3876+J4068+J4260+J4452)</f>
        <v>208195.50999999998</v>
      </c>
      <c r="K4644" s="1">
        <f t="shared" si="2081"/>
        <v>291598.57999999996</v>
      </c>
      <c r="L4644" s="1">
        <f t="shared" si="2013"/>
        <v>499794.08999999997</v>
      </c>
      <c r="M4644" s="2">
        <f t="shared" si="2014"/>
        <v>0.41656256879708198</v>
      </c>
      <c r="N4644" s="2">
        <f t="shared" si="2015"/>
        <v>0.58343743120291791</v>
      </c>
    </row>
    <row r="4645" spans="1:14" x14ac:dyDescent="0.35">
      <c r="A4645" t="s">
        <v>37</v>
      </c>
      <c r="B4645" t="s">
        <v>29</v>
      </c>
      <c r="C4645">
        <v>2004</v>
      </c>
      <c r="D4645" t="s">
        <v>33</v>
      </c>
      <c r="E4645" s="1">
        <f t="shared" ref="E4645" si="2082">SUM(E3877+E4069+E4261+E4453)</f>
        <v>171924</v>
      </c>
      <c r="F4645" s="1">
        <f t="shared" si="2011"/>
        <v>44797</v>
      </c>
      <c r="G4645" s="1">
        <f t="shared" si="2008"/>
        <v>216721</v>
      </c>
      <c r="H4645" s="2">
        <f t="shared" si="2009"/>
        <v>0.79329645027477724</v>
      </c>
      <c r="I4645" s="2">
        <f t="shared" si="2010"/>
        <v>0.20670354972522276</v>
      </c>
      <c r="J4645" s="1">
        <f t="shared" ref="J4645:K4645" si="2083">SUM(J3877+J4069+J4261+J4453)</f>
        <v>200015.19</v>
      </c>
      <c r="K4645" s="1">
        <f t="shared" si="2083"/>
        <v>235123.36999999997</v>
      </c>
      <c r="L4645" s="1">
        <f t="shared" si="2013"/>
        <v>435138.55999999994</v>
      </c>
      <c r="M4645" s="2">
        <f t="shared" si="2014"/>
        <v>0.4596586200037065</v>
      </c>
      <c r="N4645" s="2">
        <f t="shared" si="2015"/>
        <v>0.54034137999629361</v>
      </c>
    </row>
    <row r="4646" spans="1:14" x14ac:dyDescent="0.35">
      <c r="A4646" t="s">
        <v>37</v>
      </c>
      <c r="B4646" t="s">
        <v>17</v>
      </c>
      <c r="C4646">
        <v>2005</v>
      </c>
      <c r="D4646" t="s">
        <v>33</v>
      </c>
      <c r="E4646" s="1">
        <f t="shared" ref="E4646" si="2084">SUM(E3878+E4070+E4262+E4454)</f>
        <v>170899</v>
      </c>
      <c r="F4646" s="1">
        <f t="shared" si="2011"/>
        <v>45780</v>
      </c>
      <c r="G4646" s="1">
        <f t="shared" si="2008"/>
        <v>216679</v>
      </c>
      <c r="H4646" s="2">
        <f t="shared" si="2009"/>
        <v>0.78871971903137816</v>
      </c>
      <c r="I4646" s="2">
        <f t="shared" si="2010"/>
        <v>0.21128028096862178</v>
      </c>
      <c r="J4646" s="1">
        <f t="shared" ref="J4646:K4646" si="2085">SUM(J3878+J4070+J4262+J4454)</f>
        <v>213044.62000000002</v>
      </c>
      <c r="K4646" s="1">
        <f t="shared" si="2085"/>
        <v>226465.53000000003</v>
      </c>
      <c r="L4646" s="1">
        <f t="shared" si="2013"/>
        <v>439510.15</v>
      </c>
      <c r="M4646" s="2">
        <f t="shared" si="2014"/>
        <v>0.48473196807855295</v>
      </c>
      <c r="N4646" s="2">
        <f t="shared" si="2015"/>
        <v>0.5152680319214471</v>
      </c>
    </row>
    <row r="4647" spans="1:14" x14ac:dyDescent="0.35">
      <c r="A4647" t="s">
        <v>37</v>
      </c>
      <c r="B4647" t="s">
        <v>19</v>
      </c>
      <c r="C4647">
        <v>2005</v>
      </c>
      <c r="D4647" t="s">
        <v>33</v>
      </c>
      <c r="E4647" s="1">
        <f t="shared" ref="E4647" si="2086">SUM(E3879+E4071+E4263+E4455)</f>
        <v>169593</v>
      </c>
      <c r="F4647" s="1">
        <f t="shared" si="2011"/>
        <v>47343</v>
      </c>
      <c r="G4647" s="1">
        <f t="shared" si="2008"/>
        <v>216936</v>
      </c>
      <c r="H4647" s="2">
        <f t="shared" si="2009"/>
        <v>0.78176512888593874</v>
      </c>
      <c r="I4647" s="2">
        <f t="shared" si="2010"/>
        <v>0.21823487111406129</v>
      </c>
      <c r="J4647" s="1">
        <f t="shared" ref="J4647:K4647" si="2087">SUM(J3879+J4071+J4263+J4455)</f>
        <v>197322.55</v>
      </c>
      <c r="K4647" s="1">
        <f t="shared" si="2087"/>
        <v>277024.05000000005</v>
      </c>
      <c r="L4647" s="1">
        <f t="shared" si="2013"/>
        <v>474346.60000000003</v>
      </c>
      <c r="M4647" s="2">
        <f t="shared" si="2014"/>
        <v>0.41598811923601853</v>
      </c>
      <c r="N4647" s="2">
        <f t="shared" si="2015"/>
        <v>0.58401188076398147</v>
      </c>
    </row>
    <row r="4648" spans="1:14" x14ac:dyDescent="0.35">
      <c r="A4648" t="s">
        <v>37</v>
      </c>
      <c r="B4648" t="s">
        <v>20</v>
      </c>
      <c r="C4648">
        <v>2005</v>
      </c>
      <c r="D4648" t="s">
        <v>33</v>
      </c>
      <c r="E4648" s="1">
        <f t="shared" ref="E4648" si="2088">SUM(E3880+E4072+E4264+E4456)</f>
        <v>168973</v>
      </c>
      <c r="F4648" s="1">
        <f t="shared" si="2011"/>
        <v>48048</v>
      </c>
      <c r="G4648" s="1">
        <f t="shared" si="2008"/>
        <v>217021</v>
      </c>
      <c r="H4648" s="2">
        <f t="shared" si="2009"/>
        <v>0.77860207076734511</v>
      </c>
      <c r="I4648" s="2">
        <f t="shared" si="2010"/>
        <v>0.22139792923265492</v>
      </c>
      <c r="J4648" s="1">
        <f t="shared" ref="J4648:K4648" si="2089">SUM(J3880+J4072+J4264+J4456)</f>
        <v>171432.75</v>
      </c>
      <c r="K4648" s="1">
        <f t="shared" si="2089"/>
        <v>245525.4</v>
      </c>
      <c r="L4648" s="1">
        <f t="shared" si="2013"/>
        <v>416958.15</v>
      </c>
      <c r="M4648" s="2">
        <f t="shared" si="2014"/>
        <v>0.41115097522377242</v>
      </c>
      <c r="N4648" s="2">
        <f t="shared" si="2015"/>
        <v>0.58884902477622747</v>
      </c>
    </row>
    <row r="4649" spans="1:14" x14ac:dyDescent="0.35">
      <c r="A4649" t="s">
        <v>37</v>
      </c>
      <c r="B4649" t="s">
        <v>21</v>
      </c>
      <c r="C4649">
        <v>2005</v>
      </c>
      <c r="D4649" t="s">
        <v>33</v>
      </c>
      <c r="E4649" s="1">
        <f t="shared" ref="E4649" si="2090">SUM(E3881+E4073+E4265+E4457)</f>
        <v>168622</v>
      </c>
      <c r="F4649" s="1">
        <f t="shared" si="2011"/>
        <v>49108</v>
      </c>
      <c r="G4649" s="1">
        <f t="shared" si="2008"/>
        <v>217730</v>
      </c>
      <c r="H4649" s="2">
        <f t="shared" si="2009"/>
        <v>0.77445459973361508</v>
      </c>
      <c r="I4649" s="2">
        <f t="shared" si="2010"/>
        <v>0.22554540026638498</v>
      </c>
      <c r="J4649" s="1">
        <f t="shared" ref="J4649:K4649" si="2091">SUM(J3881+J4073+J4265+J4457)</f>
        <v>159589.13999999998</v>
      </c>
      <c r="K4649" s="1">
        <f t="shared" si="2091"/>
        <v>224903.73</v>
      </c>
      <c r="L4649" s="1">
        <f t="shared" si="2013"/>
        <v>384492.87</v>
      </c>
      <c r="M4649" s="2">
        <f t="shared" si="2014"/>
        <v>0.41506397764931241</v>
      </c>
      <c r="N4649" s="2">
        <f t="shared" si="2015"/>
        <v>0.58493602235068753</v>
      </c>
    </row>
    <row r="4650" spans="1:14" x14ac:dyDescent="0.35">
      <c r="A4650" t="s">
        <v>37</v>
      </c>
      <c r="B4650" t="s">
        <v>22</v>
      </c>
      <c r="C4650">
        <v>2005</v>
      </c>
      <c r="D4650" t="s">
        <v>33</v>
      </c>
      <c r="E4650" s="1">
        <f t="shared" ref="E4650" si="2092">SUM(E3882+E4074+E4266+E4458)</f>
        <v>167772</v>
      </c>
      <c r="F4650" s="1">
        <f t="shared" si="2011"/>
        <v>50233</v>
      </c>
      <c r="G4650" s="1">
        <f t="shared" si="2008"/>
        <v>218005</v>
      </c>
      <c r="H4650" s="2">
        <f t="shared" si="2009"/>
        <v>0.76957867938808744</v>
      </c>
      <c r="I4650" s="2">
        <f t="shared" si="2010"/>
        <v>0.23042132061191256</v>
      </c>
      <c r="J4650" s="1">
        <f t="shared" ref="J4650:K4650" si="2093">SUM(J3882+J4074+J4266+J4458)</f>
        <v>180229.13999999998</v>
      </c>
      <c r="K4650" s="1">
        <f t="shared" si="2093"/>
        <v>286297.13</v>
      </c>
      <c r="L4650" s="1">
        <f t="shared" si="2013"/>
        <v>466526.27</v>
      </c>
      <c r="M4650" s="2">
        <f t="shared" si="2014"/>
        <v>0.38632152483074528</v>
      </c>
      <c r="N4650" s="2">
        <f t="shared" si="2015"/>
        <v>0.61367847516925467</v>
      </c>
    </row>
    <row r="4651" spans="1:14" x14ac:dyDescent="0.35">
      <c r="A4651" t="s">
        <v>37</v>
      </c>
      <c r="B4651" t="s">
        <v>23</v>
      </c>
      <c r="C4651">
        <v>2005</v>
      </c>
      <c r="D4651" t="s">
        <v>33</v>
      </c>
      <c r="E4651" s="1">
        <f t="shared" ref="E4651" si="2094">SUM(E3883+E4075+E4267+E4459)</f>
        <v>166918</v>
      </c>
      <c r="F4651" s="1">
        <f t="shared" si="2011"/>
        <v>51593</v>
      </c>
      <c r="G4651" s="1">
        <f t="shared" si="2008"/>
        <v>218511</v>
      </c>
      <c r="H4651" s="2">
        <f t="shared" si="2009"/>
        <v>0.76388831683530811</v>
      </c>
      <c r="I4651" s="2">
        <f t="shared" si="2010"/>
        <v>0.23611168316469194</v>
      </c>
      <c r="J4651" s="1">
        <f t="shared" ref="J4651:K4651" si="2095">SUM(J3883+J4075+J4267+J4459)</f>
        <v>253852.87999999998</v>
      </c>
      <c r="K4651" s="1">
        <f t="shared" si="2095"/>
        <v>333859.86000000004</v>
      </c>
      <c r="L4651" s="1">
        <f t="shared" si="2013"/>
        <v>587712.74</v>
      </c>
      <c r="M4651" s="2">
        <f t="shared" si="2014"/>
        <v>0.43193360075876519</v>
      </c>
      <c r="N4651" s="2">
        <f t="shared" si="2015"/>
        <v>0.56806639924123481</v>
      </c>
    </row>
    <row r="4652" spans="1:14" x14ac:dyDescent="0.35">
      <c r="A4652" t="s">
        <v>37</v>
      </c>
      <c r="B4652" t="s">
        <v>24</v>
      </c>
      <c r="C4652">
        <v>2005</v>
      </c>
      <c r="D4652" t="s">
        <v>33</v>
      </c>
      <c r="E4652" s="1">
        <f t="shared" ref="E4652" si="2096">SUM(E3884+E4076+E4268+E4460)</f>
        <v>165363</v>
      </c>
      <c r="F4652" s="1">
        <f t="shared" si="2011"/>
        <v>52902</v>
      </c>
      <c r="G4652" s="1">
        <f t="shared" si="2008"/>
        <v>218265</v>
      </c>
      <c r="H4652" s="2">
        <f t="shared" si="2009"/>
        <v>0.75762490550477635</v>
      </c>
      <c r="I4652" s="2">
        <f t="shared" si="2010"/>
        <v>0.24237509449522371</v>
      </c>
      <c r="J4652" s="1">
        <f t="shared" ref="J4652:K4652" si="2097">SUM(J3884+J4076+J4268+J4460)</f>
        <v>295084.07999999996</v>
      </c>
      <c r="K4652" s="1">
        <f t="shared" si="2097"/>
        <v>361700.3</v>
      </c>
      <c r="L4652" s="1">
        <f t="shared" si="2013"/>
        <v>656784.37999999989</v>
      </c>
      <c r="M4652" s="2">
        <f t="shared" si="2014"/>
        <v>0.44928608076824239</v>
      </c>
      <c r="N4652" s="2">
        <f t="shared" si="2015"/>
        <v>0.55071391923175772</v>
      </c>
    </row>
    <row r="4653" spans="1:14" x14ac:dyDescent="0.35">
      <c r="A4653" t="s">
        <v>37</v>
      </c>
      <c r="B4653" t="s">
        <v>25</v>
      </c>
      <c r="C4653">
        <v>2005</v>
      </c>
      <c r="D4653" t="s">
        <v>33</v>
      </c>
      <c r="E4653" s="1">
        <f t="shared" ref="E4653" si="2098">SUM(E3885+E4077+E4269+E4461)</f>
        <v>164090</v>
      </c>
      <c r="F4653" s="1">
        <f t="shared" si="2011"/>
        <v>54528</v>
      </c>
      <c r="G4653" s="1">
        <f t="shared" si="2008"/>
        <v>218618</v>
      </c>
      <c r="H4653" s="2">
        <f t="shared" si="2009"/>
        <v>0.75057863487910415</v>
      </c>
      <c r="I4653" s="2">
        <f t="shared" si="2010"/>
        <v>0.2494213651208958</v>
      </c>
      <c r="J4653" s="1">
        <f t="shared" ref="J4653:K4653" si="2099">SUM(J3885+J4077+J4269+J4461)</f>
        <v>284723</v>
      </c>
      <c r="K4653" s="1">
        <f t="shared" si="2099"/>
        <v>382367.80999999994</v>
      </c>
      <c r="L4653" s="1">
        <f t="shared" si="2013"/>
        <v>667090.80999999994</v>
      </c>
      <c r="M4653" s="2">
        <f t="shared" si="2014"/>
        <v>0.42681295519571022</v>
      </c>
      <c r="N4653" s="2">
        <f t="shared" si="2015"/>
        <v>0.57318704480428984</v>
      </c>
    </row>
    <row r="4654" spans="1:14" x14ac:dyDescent="0.35">
      <c r="A4654" t="s">
        <v>37</v>
      </c>
      <c r="B4654" t="s">
        <v>26</v>
      </c>
      <c r="C4654">
        <v>2005</v>
      </c>
      <c r="D4654" t="s">
        <v>33</v>
      </c>
      <c r="E4654" s="1">
        <f t="shared" ref="E4654" si="2100">SUM(E3886+E4078+E4270+E4462)</f>
        <v>162349</v>
      </c>
      <c r="F4654" s="1">
        <f t="shared" si="2011"/>
        <v>55866</v>
      </c>
      <c r="G4654" s="1">
        <f t="shared" si="2008"/>
        <v>218215</v>
      </c>
      <c r="H4654" s="2">
        <f t="shared" si="2009"/>
        <v>0.74398643539628351</v>
      </c>
      <c r="I4654" s="2">
        <f t="shared" si="2010"/>
        <v>0.25601356460371649</v>
      </c>
      <c r="J4654" s="1">
        <f t="shared" ref="J4654:K4654" si="2101">SUM(J3886+J4078+J4270+J4462)</f>
        <v>276904.70999999996</v>
      </c>
      <c r="K4654" s="1">
        <f t="shared" si="2101"/>
        <v>351743.76</v>
      </c>
      <c r="L4654" s="1">
        <f t="shared" si="2013"/>
        <v>628648.47</v>
      </c>
      <c r="M4654" s="2">
        <f t="shared" si="2014"/>
        <v>0.44047623308460448</v>
      </c>
      <c r="N4654" s="2">
        <f t="shared" si="2015"/>
        <v>0.55952376691539552</v>
      </c>
    </row>
    <row r="4655" spans="1:14" x14ac:dyDescent="0.35">
      <c r="A4655" t="s">
        <v>37</v>
      </c>
      <c r="B4655" t="s">
        <v>27</v>
      </c>
      <c r="C4655">
        <v>2005</v>
      </c>
      <c r="D4655" t="s">
        <v>33</v>
      </c>
      <c r="E4655" s="1">
        <f t="shared" ref="E4655" si="2102">SUM(E3887+E4079+E4271+E4463)</f>
        <v>161194</v>
      </c>
      <c r="F4655" s="1">
        <f t="shared" si="2011"/>
        <v>57424</v>
      </c>
      <c r="G4655" s="1">
        <f t="shared" si="2008"/>
        <v>218618</v>
      </c>
      <c r="H4655" s="2">
        <f t="shared" si="2009"/>
        <v>0.73733178420807066</v>
      </c>
      <c r="I4655" s="2">
        <f t="shared" si="2010"/>
        <v>0.26266821579192928</v>
      </c>
      <c r="J4655" s="1">
        <f t="shared" ref="J4655:K4655" si="2103">SUM(J3887+J4079+J4271+J4463)</f>
        <v>238456.19</v>
      </c>
      <c r="K4655" s="1">
        <f t="shared" si="2103"/>
        <v>354804.60999999993</v>
      </c>
      <c r="L4655" s="1">
        <f t="shared" si="2013"/>
        <v>593260.79999999993</v>
      </c>
      <c r="M4655" s="2">
        <f t="shared" si="2014"/>
        <v>0.40194159128666523</v>
      </c>
      <c r="N4655" s="2">
        <f t="shared" si="2015"/>
        <v>0.59805840871333482</v>
      </c>
    </row>
    <row r="4656" spans="1:14" x14ac:dyDescent="0.35">
      <c r="A4656" t="s">
        <v>37</v>
      </c>
      <c r="B4656" t="s">
        <v>28</v>
      </c>
      <c r="C4656">
        <v>2005</v>
      </c>
      <c r="D4656" t="s">
        <v>33</v>
      </c>
      <c r="E4656" s="1">
        <f t="shared" ref="E4656" si="2104">SUM(E3888+E4080+E4272+E4464)</f>
        <v>160214</v>
      </c>
      <c r="F4656" s="1">
        <f t="shared" si="2011"/>
        <v>59032</v>
      </c>
      <c r="G4656" s="1">
        <f t="shared" si="2008"/>
        <v>219246</v>
      </c>
      <c r="H4656" s="2">
        <f t="shared" si="2009"/>
        <v>0.73074993386424381</v>
      </c>
      <c r="I4656" s="2">
        <f t="shared" si="2010"/>
        <v>0.26925006613575619</v>
      </c>
      <c r="J4656" s="1">
        <f t="shared" ref="J4656:K4656" si="2105">SUM(J3888+J4080+J4272+J4464)</f>
        <v>162541.82</v>
      </c>
      <c r="K4656" s="1">
        <f t="shared" si="2105"/>
        <v>320915.45</v>
      </c>
      <c r="L4656" s="1">
        <f t="shared" si="2013"/>
        <v>483457.27</v>
      </c>
      <c r="M4656" s="2">
        <f t="shared" si="2014"/>
        <v>0.33620721020494737</v>
      </c>
      <c r="N4656" s="2">
        <f t="shared" si="2015"/>
        <v>0.66379278979505263</v>
      </c>
    </row>
    <row r="4657" spans="1:14" x14ac:dyDescent="0.35">
      <c r="A4657" t="s">
        <v>37</v>
      </c>
      <c r="B4657" t="s">
        <v>29</v>
      </c>
      <c r="C4657">
        <v>2005</v>
      </c>
      <c r="D4657" t="s">
        <v>33</v>
      </c>
      <c r="E4657" s="1">
        <f t="shared" ref="E4657" si="2106">SUM(E3889+E4081+E4273+E4465)</f>
        <v>160049</v>
      </c>
      <c r="F4657" s="1">
        <f t="shared" si="2011"/>
        <v>60405</v>
      </c>
      <c r="G4657" s="1">
        <f t="shared" si="2008"/>
        <v>220454</v>
      </c>
      <c r="H4657" s="2">
        <f t="shared" si="2009"/>
        <v>0.72599726019940669</v>
      </c>
      <c r="I4657" s="2">
        <f t="shared" si="2010"/>
        <v>0.27400273980059331</v>
      </c>
      <c r="J4657" s="1">
        <f t="shared" ref="J4657:K4657" si="2107">SUM(J3889+J4081+J4273+J4465)</f>
        <v>177026.25</v>
      </c>
      <c r="K4657" s="1">
        <f t="shared" si="2107"/>
        <v>306086.32999999996</v>
      </c>
      <c r="L4657" s="1">
        <f t="shared" si="2013"/>
        <v>483112.57999999996</v>
      </c>
      <c r="M4657" s="2">
        <f t="shared" si="2014"/>
        <v>0.36642856619465386</v>
      </c>
      <c r="N4657" s="2">
        <f t="shared" si="2015"/>
        <v>0.63357143380534608</v>
      </c>
    </row>
    <row r="4658" spans="1:14" x14ac:dyDescent="0.35">
      <c r="A4658" t="s">
        <v>37</v>
      </c>
      <c r="B4658" t="s">
        <v>17</v>
      </c>
      <c r="C4658">
        <v>2006</v>
      </c>
      <c r="D4658" t="s">
        <v>33</v>
      </c>
      <c r="E4658" s="1">
        <f t="shared" ref="E4658" si="2108">SUM(E3890+E4082+E4274+E4466)</f>
        <v>157738</v>
      </c>
      <c r="F4658" s="1">
        <f t="shared" si="2011"/>
        <v>61516</v>
      </c>
      <c r="G4658" s="1">
        <f t="shared" si="2008"/>
        <v>219254</v>
      </c>
      <c r="H4658" s="2">
        <f t="shared" si="2009"/>
        <v>0.7194304322840176</v>
      </c>
      <c r="I4658" s="2">
        <f t="shared" si="2010"/>
        <v>0.2805695677159824</v>
      </c>
      <c r="J4658" s="1">
        <f t="shared" ref="J4658:K4658" si="2109">SUM(J3890+J4082+J4274+J4466)</f>
        <v>171886.71</v>
      </c>
      <c r="K4658" s="1">
        <f t="shared" si="2109"/>
        <v>299331.04000000004</v>
      </c>
      <c r="L4658" s="1">
        <f t="shared" si="2013"/>
        <v>471217.75</v>
      </c>
      <c r="M4658" s="2">
        <f t="shared" si="2014"/>
        <v>0.36477129734607833</v>
      </c>
      <c r="N4658" s="2">
        <f t="shared" si="2015"/>
        <v>0.63522870265392173</v>
      </c>
    </row>
    <row r="4659" spans="1:14" x14ac:dyDescent="0.35">
      <c r="A4659" t="s">
        <v>37</v>
      </c>
      <c r="B4659" t="s">
        <v>19</v>
      </c>
      <c r="C4659">
        <v>2006</v>
      </c>
      <c r="D4659" t="s">
        <v>33</v>
      </c>
      <c r="E4659" s="1">
        <f t="shared" ref="E4659" si="2110">SUM(E3891+E4083+E4275+E4467)</f>
        <v>156933</v>
      </c>
      <c r="F4659" s="1">
        <f t="shared" si="2011"/>
        <v>62473</v>
      </c>
      <c r="G4659" s="1">
        <f t="shared" si="2008"/>
        <v>219406</v>
      </c>
      <c r="H4659" s="2">
        <f t="shared" si="2009"/>
        <v>0.71526302835838584</v>
      </c>
      <c r="I4659" s="2">
        <f t="shared" si="2010"/>
        <v>0.28473697164161416</v>
      </c>
      <c r="J4659" s="1">
        <f t="shared" ref="J4659:K4659" si="2111">SUM(J3891+J4083+J4275+J4467)</f>
        <v>156610.65</v>
      </c>
      <c r="K4659" s="1">
        <f t="shared" si="2111"/>
        <v>287911.49</v>
      </c>
      <c r="L4659" s="1">
        <f t="shared" si="2013"/>
        <v>444522.14</v>
      </c>
      <c r="M4659" s="2">
        <f t="shared" si="2014"/>
        <v>0.35231237301251178</v>
      </c>
      <c r="N4659" s="2">
        <f t="shared" si="2015"/>
        <v>0.64768762698748816</v>
      </c>
    </row>
    <row r="4660" spans="1:14" x14ac:dyDescent="0.35">
      <c r="A4660" t="s">
        <v>37</v>
      </c>
      <c r="B4660" t="s">
        <v>20</v>
      </c>
      <c r="C4660">
        <v>2006</v>
      </c>
      <c r="D4660" t="s">
        <v>33</v>
      </c>
      <c r="E4660" s="1">
        <f t="shared" ref="E4660" si="2112">SUM(E3892+E4084+E4276+E4468)</f>
        <v>156532</v>
      </c>
      <c r="F4660" s="1">
        <f t="shared" si="2011"/>
        <v>63431</v>
      </c>
      <c r="G4660" s="1">
        <f t="shared" si="2008"/>
        <v>219963</v>
      </c>
      <c r="H4660" s="2">
        <f t="shared" si="2009"/>
        <v>0.711628773930161</v>
      </c>
      <c r="I4660" s="2">
        <f t="shared" si="2010"/>
        <v>0.288371226069839</v>
      </c>
      <c r="J4660" s="1">
        <f t="shared" ref="J4660:K4660" si="2113">SUM(J3892+J4084+J4276+J4468)</f>
        <v>163675.66</v>
      </c>
      <c r="K4660" s="1">
        <f t="shared" si="2113"/>
        <v>288586.29000000004</v>
      </c>
      <c r="L4660" s="1">
        <f t="shared" si="2013"/>
        <v>452261.95000000007</v>
      </c>
      <c r="M4660" s="2">
        <f t="shared" si="2014"/>
        <v>0.36190455553468509</v>
      </c>
      <c r="N4660" s="2">
        <f t="shared" si="2015"/>
        <v>0.63809544446531485</v>
      </c>
    </row>
    <row r="4661" spans="1:14" x14ac:dyDescent="0.35">
      <c r="A4661" t="s">
        <v>37</v>
      </c>
      <c r="B4661" t="s">
        <v>21</v>
      </c>
      <c r="C4661">
        <v>2006</v>
      </c>
      <c r="D4661" t="s">
        <v>33</v>
      </c>
      <c r="E4661" s="1">
        <f t="shared" ref="E4661" si="2114">SUM(E3893+E4085+E4277+E4469)</f>
        <v>155818</v>
      </c>
      <c r="F4661" s="1">
        <f t="shared" si="2011"/>
        <v>64874</v>
      </c>
      <c r="G4661" s="1">
        <f t="shared" si="2008"/>
        <v>220692</v>
      </c>
      <c r="H4661" s="2">
        <f t="shared" si="2009"/>
        <v>0.70604281079513531</v>
      </c>
      <c r="I4661" s="2">
        <f t="shared" si="2010"/>
        <v>0.29395718920486469</v>
      </c>
      <c r="J4661" s="1">
        <f t="shared" ref="J4661:K4661" si="2115">SUM(J3893+J4085+J4277+J4469)</f>
        <v>162991.91000000003</v>
      </c>
      <c r="K4661" s="1">
        <f t="shared" si="2115"/>
        <v>262280.40999999997</v>
      </c>
      <c r="L4661" s="1">
        <f t="shared" si="2013"/>
        <v>425272.32000000001</v>
      </c>
      <c r="M4661" s="2">
        <f t="shared" si="2014"/>
        <v>0.38326479842374889</v>
      </c>
      <c r="N4661" s="2">
        <f t="shared" si="2015"/>
        <v>0.61673520157625117</v>
      </c>
    </row>
    <row r="4662" spans="1:14" x14ac:dyDescent="0.35">
      <c r="A4662" t="s">
        <v>37</v>
      </c>
      <c r="B4662" t="s">
        <v>22</v>
      </c>
      <c r="C4662">
        <v>2006</v>
      </c>
      <c r="D4662" t="s">
        <v>33</v>
      </c>
      <c r="E4662" s="1">
        <f t="shared" ref="E4662" si="2116">SUM(E3894+E4086+E4278+E4470)</f>
        <v>154672</v>
      </c>
      <c r="F4662" s="1">
        <f t="shared" si="2011"/>
        <v>65988</v>
      </c>
      <c r="G4662" s="1">
        <f t="shared" si="2008"/>
        <v>220660</v>
      </c>
      <c r="H4662" s="2">
        <f t="shared" si="2009"/>
        <v>0.70095169038339522</v>
      </c>
      <c r="I4662" s="2">
        <f t="shared" si="2010"/>
        <v>0.29904830961660472</v>
      </c>
      <c r="J4662" s="1">
        <f t="shared" ref="J4662:K4662" si="2117">SUM(J3894+J4086+J4278+J4470)</f>
        <v>186853.76000000001</v>
      </c>
      <c r="K4662" s="1">
        <f t="shared" si="2117"/>
        <v>355483.89</v>
      </c>
      <c r="L4662" s="1">
        <f t="shared" si="2013"/>
        <v>542337.65</v>
      </c>
      <c r="M4662" s="2">
        <f t="shared" si="2014"/>
        <v>0.34453400017498326</v>
      </c>
      <c r="N4662" s="2">
        <f t="shared" si="2015"/>
        <v>0.65546599982501674</v>
      </c>
    </row>
    <row r="4663" spans="1:14" x14ac:dyDescent="0.35">
      <c r="A4663" t="s">
        <v>37</v>
      </c>
      <c r="B4663" t="s">
        <v>23</v>
      </c>
      <c r="C4663">
        <v>2006</v>
      </c>
      <c r="D4663" t="s">
        <v>33</v>
      </c>
      <c r="E4663" s="1">
        <f t="shared" ref="E4663" si="2118">SUM(E3895+E4087+E4279+E4471)</f>
        <v>153809</v>
      </c>
      <c r="F4663" s="1">
        <f t="shared" si="2011"/>
        <v>67549</v>
      </c>
      <c r="G4663" s="1">
        <f t="shared" ref="G4663:G4726" si="2119">SUM(E4663:F4663)</f>
        <v>221358</v>
      </c>
      <c r="H4663" s="2">
        <f t="shared" ref="H4663:H4726" si="2120">SUM(E4663)/G4663</f>
        <v>0.69484274342919616</v>
      </c>
      <c r="I4663" s="2">
        <f t="shared" ref="I4663:I4726" si="2121">SUM(F4663/G4663)</f>
        <v>0.30515725657080384</v>
      </c>
      <c r="J4663" s="1">
        <f t="shared" ref="J4663:K4663" si="2122">SUM(J3895+J4087+J4279+J4471)</f>
        <v>238533.86999999997</v>
      </c>
      <c r="K4663" s="1">
        <f t="shared" si="2122"/>
        <v>379703.11</v>
      </c>
      <c r="L4663" s="1">
        <f t="shared" si="2013"/>
        <v>618236.98</v>
      </c>
      <c r="M4663" s="2">
        <f t="shared" si="2014"/>
        <v>0.38582918478930195</v>
      </c>
      <c r="N4663" s="2">
        <f t="shared" si="2015"/>
        <v>0.61417081521069805</v>
      </c>
    </row>
    <row r="4664" spans="1:14" x14ac:dyDescent="0.35">
      <c r="A4664" t="s">
        <v>37</v>
      </c>
      <c r="B4664" t="s">
        <v>24</v>
      </c>
      <c r="C4664">
        <v>2006</v>
      </c>
      <c r="D4664" t="s">
        <v>33</v>
      </c>
      <c r="E4664" s="1">
        <f t="shared" ref="E4664" si="2123">SUM(E3896+E4088+E4280+E4472)</f>
        <v>151944</v>
      </c>
      <c r="F4664" s="1">
        <f t="shared" si="2011"/>
        <v>69171</v>
      </c>
      <c r="G4664" s="1">
        <f t="shared" si="2119"/>
        <v>221115</v>
      </c>
      <c r="H4664" s="2">
        <f t="shared" si="2120"/>
        <v>0.68717183366121704</v>
      </c>
      <c r="I4664" s="2">
        <f t="shared" si="2121"/>
        <v>0.31282816633878296</v>
      </c>
      <c r="J4664" s="1">
        <f t="shared" ref="J4664:K4664" si="2124">SUM(J3896+J4088+J4280+J4472)</f>
        <v>254175.8</v>
      </c>
      <c r="K4664" s="1">
        <f t="shared" si="2124"/>
        <v>384358.78</v>
      </c>
      <c r="L4664" s="1">
        <f t="shared" si="2013"/>
        <v>638534.58000000007</v>
      </c>
      <c r="M4664" s="2">
        <f t="shared" si="2014"/>
        <v>0.39806113554570521</v>
      </c>
      <c r="N4664" s="2">
        <f t="shared" si="2015"/>
        <v>0.60193886445429468</v>
      </c>
    </row>
    <row r="4665" spans="1:14" x14ac:dyDescent="0.35">
      <c r="A4665" t="s">
        <v>37</v>
      </c>
      <c r="B4665" t="s">
        <v>25</v>
      </c>
      <c r="C4665">
        <v>2006</v>
      </c>
      <c r="D4665" t="s">
        <v>33</v>
      </c>
      <c r="E4665" s="1">
        <f t="shared" ref="E4665" si="2125">SUM(E3897+E4089+E4281+E4473)</f>
        <v>150850</v>
      </c>
      <c r="F4665" s="1">
        <f t="shared" si="2011"/>
        <v>70555</v>
      </c>
      <c r="G4665" s="1">
        <f t="shared" si="2119"/>
        <v>221405</v>
      </c>
      <c r="H4665" s="2">
        <f t="shared" si="2120"/>
        <v>0.68133059325670153</v>
      </c>
      <c r="I4665" s="2">
        <f t="shared" si="2121"/>
        <v>0.31866940674329847</v>
      </c>
      <c r="J4665" s="1">
        <f t="shared" ref="J4665:K4665" si="2126">SUM(J3897+J4089+J4281+J4473)</f>
        <v>281194.34000000003</v>
      </c>
      <c r="K4665" s="1">
        <f t="shared" si="2126"/>
        <v>409542.72000000003</v>
      </c>
      <c r="L4665" s="1">
        <f t="shared" si="2013"/>
        <v>690737.06</v>
      </c>
      <c r="M4665" s="2">
        <f t="shared" si="2014"/>
        <v>0.4070931708803926</v>
      </c>
      <c r="N4665" s="2">
        <f t="shared" si="2015"/>
        <v>0.59290682911960735</v>
      </c>
    </row>
    <row r="4666" spans="1:14" x14ac:dyDescent="0.35">
      <c r="A4666" t="s">
        <v>37</v>
      </c>
      <c r="B4666" t="s">
        <v>26</v>
      </c>
      <c r="C4666">
        <v>2006</v>
      </c>
      <c r="D4666" t="s">
        <v>33</v>
      </c>
      <c r="E4666" s="1">
        <f t="shared" ref="E4666" si="2127">SUM(E3898+E4090+E4282+E4474)</f>
        <v>150014</v>
      </c>
      <c r="F4666" s="1">
        <f t="shared" si="2011"/>
        <v>71763</v>
      </c>
      <c r="G4666" s="1">
        <f t="shared" si="2119"/>
        <v>221777</v>
      </c>
      <c r="H4666" s="2">
        <f t="shared" si="2120"/>
        <v>0.67641820387145646</v>
      </c>
      <c r="I4666" s="2">
        <f t="shared" si="2121"/>
        <v>0.32358179612854354</v>
      </c>
      <c r="J4666" s="1">
        <f t="shared" ref="J4666:K4666" si="2128">SUM(J3898+J4090+J4282+J4474)</f>
        <v>247464.34999999998</v>
      </c>
      <c r="K4666" s="1">
        <f t="shared" si="2128"/>
        <v>399337.41</v>
      </c>
      <c r="L4666" s="1">
        <f t="shared" si="2013"/>
        <v>646801.76</v>
      </c>
      <c r="M4666" s="2">
        <f t="shared" si="2014"/>
        <v>0.3825969026429365</v>
      </c>
      <c r="N4666" s="2">
        <f t="shared" si="2015"/>
        <v>0.61740309735706345</v>
      </c>
    </row>
    <row r="4667" spans="1:14" x14ac:dyDescent="0.35">
      <c r="A4667" t="s">
        <v>37</v>
      </c>
      <c r="B4667" t="s">
        <v>27</v>
      </c>
      <c r="C4667">
        <v>2006</v>
      </c>
      <c r="D4667" t="s">
        <v>33</v>
      </c>
      <c r="E4667" s="1">
        <f t="shared" ref="E4667" si="2129">SUM(E3899+E4091+E4283+E4475)</f>
        <v>148958</v>
      </c>
      <c r="F4667" s="1">
        <f t="shared" si="2011"/>
        <v>73006</v>
      </c>
      <c r="G4667" s="1">
        <f t="shared" si="2119"/>
        <v>221964</v>
      </c>
      <c r="H4667" s="2">
        <f t="shared" si="2120"/>
        <v>0.67109080751833627</v>
      </c>
      <c r="I4667" s="2">
        <f t="shared" si="2121"/>
        <v>0.32890919248166367</v>
      </c>
      <c r="J4667" s="1">
        <f t="shared" ref="J4667:K4667" si="2130">SUM(J3899+J4091+J4283+J4475)</f>
        <v>192226.5</v>
      </c>
      <c r="K4667" s="1">
        <f t="shared" si="2130"/>
        <v>362044.4</v>
      </c>
      <c r="L4667" s="1">
        <f t="shared" si="2013"/>
        <v>554270.9</v>
      </c>
      <c r="M4667" s="2">
        <f t="shared" si="2014"/>
        <v>0.34680965571167455</v>
      </c>
      <c r="N4667" s="2">
        <f t="shared" si="2015"/>
        <v>0.65319034428832545</v>
      </c>
    </row>
    <row r="4668" spans="1:14" x14ac:dyDescent="0.35">
      <c r="A4668" t="s">
        <v>37</v>
      </c>
      <c r="B4668" t="s">
        <v>28</v>
      </c>
      <c r="C4668">
        <v>2006</v>
      </c>
      <c r="D4668" t="s">
        <v>33</v>
      </c>
      <c r="E4668" s="1">
        <f t="shared" ref="E4668" si="2131">SUM(E3900+E4092+E4284+E4476)</f>
        <v>148098</v>
      </c>
      <c r="F4668" s="1">
        <f t="shared" si="2011"/>
        <v>74486</v>
      </c>
      <c r="G4668" s="1">
        <f t="shared" si="2119"/>
        <v>222584</v>
      </c>
      <c r="H4668" s="2">
        <f t="shared" si="2120"/>
        <v>0.66535779750566082</v>
      </c>
      <c r="I4668" s="2">
        <f t="shared" si="2121"/>
        <v>0.33464220249433924</v>
      </c>
      <c r="J4668" s="1">
        <f t="shared" ref="J4668:K4668" si="2132">SUM(J3900+J4092+J4284+J4476)</f>
        <v>145369.78</v>
      </c>
      <c r="K4668" s="1">
        <f t="shared" si="2132"/>
        <v>368971.93000000005</v>
      </c>
      <c r="L4668" s="1">
        <f t="shared" si="2013"/>
        <v>514341.71000000008</v>
      </c>
      <c r="M4668" s="2">
        <f t="shared" si="2014"/>
        <v>0.28263268790703361</v>
      </c>
      <c r="N4668" s="2">
        <f t="shared" si="2015"/>
        <v>0.71736731209296634</v>
      </c>
    </row>
    <row r="4669" spans="1:14" x14ac:dyDescent="0.35">
      <c r="A4669" t="s">
        <v>37</v>
      </c>
      <c r="B4669" t="s">
        <v>29</v>
      </c>
      <c r="C4669">
        <v>2006</v>
      </c>
      <c r="D4669" t="s">
        <v>33</v>
      </c>
      <c r="E4669" s="1">
        <f t="shared" ref="E4669" si="2133">SUM(E3901+E4093+E4285+E4477)</f>
        <v>148068</v>
      </c>
      <c r="F4669" s="1">
        <f t="shared" si="2011"/>
        <v>75917</v>
      </c>
      <c r="G4669" s="1">
        <f t="shared" si="2119"/>
        <v>223985</v>
      </c>
      <c r="H4669" s="2">
        <f t="shared" si="2120"/>
        <v>0.66106212469585013</v>
      </c>
      <c r="I4669" s="2">
        <f t="shared" si="2121"/>
        <v>0.33893787530414982</v>
      </c>
      <c r="J4669" s="1">
        <f t="shared" ref="J4669:K4669" si="2134">SUM(J3901+J4093+J4285+J4477)</f>
        <v>157409.57999999999</v>
      </c>
      <c r="K4669" s="1">
        <f t="shared" si="2134"/>
        <v>316219.14999999997</v>
      </c>
      <c r="L4669" s="1">
        <f t="shared" si="2013"/>
        <v>473628.73</v>
      </c>
      <c r="M4669" s="2">
        <f t="shared" si="2014"/>
        <v>0.33234803978213062</v>
      </c>
      <c r="N4669" s="2">
        <f t="shared" si="2015"/>
        <v>0.66765196021786932</v>
      </c>
    </row>
    <row r="4670" spans="1:14" x14ac:dyDescent="0.35">
      <c r="A4670" t="s">
        <v>37</v>
      </c>
      <c r="B4670" t="s">
        <v>17</v>
      </c>
      <c r="C4670">
        <v>2007</v>
      </c>
      <c r="D4670" t="s">
        <v>33</v>
      </c>
      <c r="E4670" s="1">
        <f t="shared" ref="E4670" si="2135">SUM(E3902+E4094+E4286+E4478)</f>
        <v>145981</v>
      </c>
      <c r="F4670" s="1">
        <f t="shared" si="2011"/>
        <v>76795</v>
      </c>
      <c r="G4670" s="1">
        <f t="shared" si="2119"/>
        <v>222776</v>
      </c>
      <c r="H4670" s="2">
        <f t="shared" si="2120"/>
        <v>0.65528153840629155</v>
      </c>
      <c r="I4670" s="2">
        <f t="shared" si="2121"/>
        <v>0.3447184615937085</v>
      </c>
      <c r="J4670" s="1">
        <f t="shared" ref="J4670:K4670" si="2136">SUM(J3902+J4094+J4286+J4478)</f>
        <v>172071.65000000002</v>
      </c>
      <c r="K4670" s="1">
        <f t="shared" si="2136"/>
        <v>236800.72</v>
      </c>
      <c r="L4670" s="1">
        <f t="shared" si="2013"/>
        <v>408872.37</v>
      </c>
      <c r="M4670" s="2">
        <f t="shared" si="2014"/>
        <v>0.42084440677661838</v>
      </c>
      <c r="N4670" s="2">
        <f t="shared" si="2015"/>
        <v>0.57915559322338173</v>
      </c>
    </row>
    <row r="4671" spans="1:14" x14ac:dyDescent="0.35">
      <c r="A4671" t="s">
        <v>37</v>
      </c>
      <c r="B4671" t="s">
        <v>19</v>
      </c>
      <c r="C4671">
        <v>2007</v>
      </c>
      <c r="D4671" t="s">
        <v>33</v>
      </c>
      <c r="E4671" s="1">
        <f t="shared" ref="E4671" si="2137">SUM(E3903+E4095+E4287+E4479)</f>
        <v>144305</v>
      </c>
      <c r="F4671" s="1">
        <f t="shared" si="2011"/>
        <v>78375</v>
      </c>
      <c r="G4671" s="1">
        <f t="shared" si="2119"/>
        <v>222680</v>
      </c>
      <c r="H4671" s="2">
        <f t="shared" si="2120"/>
        <v>0.648037542662116</v>
      </c>
      <c r="I4671" s="2">
        <f t="shared" si="2121"/>
        <v>0.35196245733788395</v>
      </c>
      <c r="J4671" s="1">
        <f t="shared" ref="J4671:K4671" si="2138">SUM(J3903+J4095+J4287+J4479)</f>
        <v>181385.68</v>
      </c>
      <c r="K4671" s="1">
        <f t="shared" si="2138"/>
        <v>348408.77999999997</v>
      </c>
      <c r="L4671" s="1">
        <f t="shared" si="2013"/>
        <v>529794.46</v>
      </c>
      <c r="M4671" s="2">
        <f t="shared" si="2014"/>
        <v>0.34236990700129255</v>
      </c>
      <c r="N4671" s="2">
        <f t="shared" si="2015"/>
        <v>0.65763009299870745</v>
      </c>
    </row>
    <row r="4672" spans="1:14" x14ac:dyDescent="0.35">
      <c r="A4672" t="s">
        <v>37</v>
      </c>
      <c r="B4672" t="s">
        <v>20</v>
      </c>
      <c r="C4672">
        <v>2007</v>
      </c>
      <c r="D4672" t="s">
        <v>33</v>
      </c>
      <c r="E4672" s="1">
        <f t="shared" ref="E4672" si="2139">SUM(E3904+E4096+E4288+E4480)</f>
        <v>143535</v>
      </c>
      <c r="F4672" s="1">
        <f t="shared" si="2011"/>
        <v>79887</v>
      </c>
      <c r="G4672" s="1">
        <f t="shared" si="2119"/>
        <v>223422</v>
      </c>
      <c r="H4672" s="2">
        <f t="shared" si="2120"/>
        <v>0.64243897199022482</v>
      </c>
      <c r="I4672" s="2">
        <f t="shared" si="2121"/>
        <v>0.35756102800977524</v>
      </c>
      <c r="J4672" s="1">
        <f t="shared" ref="J4672:K4672" si="2140">SUM(J3904+J4096+J4288+J4480)</f>
        <v>140708.45000000001</v>
      </c>
      <c r="K4672" s="1">
        <f t="shared" si="2140"/>
        <v>295568.54000000004</v>
      </c>
      <c r="L4672" s="1">
        <f t="shared" si="2013"/>
        <v>436276.99000000005</v>
      </c>
      <c r="M4672" s="2">
        <f t="shared" si="2014"/>
        <v>0.32252090581261228</v>
      </c>
      <c r="N4672" s="2">
        <f t="shared" si="2015"/>
        <v>0.67747909418738772</v>
      </c>
    </row>
    <row r="4673" spans="1:14" x14ac:dyDescent="0.35">
      <c r="A4673" t="s">
        <v>37</v>
      </c>
      <c r="B4673" t="s">
        <v>21</v>
      </c>
      <c r="C4673">
        <v>2007</v>
      </c>
      <c r="D4673" t="s">
        <v>33</v>
      </c>
      <c r="E4673" s="1">
        <f t="shared" ref="E4673" si="2141">SUM(E3905+E4097+E4289+E4481)</f>
        <v>141910</v>
      </c>
      <c r="F4673" s="1">
        <f t="shared" si="2011"/>
        <v>81459</v>
      </c>
      <c r="G4673" s="1">
        <f t="shared" si="2119"/>
        <v>223369</v>
      </c>
      <c r="H4673" s="2">
        <f t="shared" si="2120"/>
        <v>0.6353164494625485</v>
      </c>
      <c r="I4673" s="2">
        <f t="shared" si="2121"/>
        <v>0.3646835505374515</v>
      </c>
      <c r="J4673" s="1">
        <f t="shared" ref="J4673:K4673" si="2142">SUM(J3905+J4097+J4289+J4481)</f>
        <v>127126.52</v>
      </c>
      <c r="K4673" s="1">
        <f t="shared" si="2142"/>
        <v>307779.48</v>
      </c>
      <c r="L4673" s="1">
        <f t="shared" si="2013"/>
        <v>434906</v>
      </c>
      <c r="M4673" s="2">
        <f t="shared" si="2014"/>
        <v>0.29230803897853791</v>
      </c>
      <c r="N4673" s="2">
        <f t="shared" si="2015"/>
        <v>0.70769196102146203</v>
      </c>
    </row>
    <row r="4674" spans="1:14" x14ac:dyDescent="0.35">
      <c r="A4674" t="s">
        <v>37</v>
      </c>
      <c r="B4674" t="s">
        <v>22</v>
      </c>
      <c r="C4674">
        <v>2007</v>
      </c>
      <c r="D4674" t="s">
        <v>33</v>
      </c>
      <c r="E4674" s="1">
        <f t="shared" ref="E4674" si="2143">SUM(E3906+E4098+E4290+E4482)</f>
        <v>140720</v>
      </c>
      <c r="F4674" s="1">
        <f t="shared" si="2011"/>
        <v>83324</v>
      </c>
      <c r="G4674" s="1">
        <f t="shared" si="2119"/>
        <v>224044</v>
      </c>
      <c r="H4674" s="2">
        <f t="shared" si="2120"/>
        <v>0.62809091071396694</v>
      </c>
      <c r="I4674" s="2">
        <f t="shared" si="2121"/>
        <v>0.37190908928603311</v>
      </c>
      <c r="J4674" s="1">
        <f t="shared" ref="J4674:K4674" si="2144">SUM(J3906+J4098+J4290+J4482)</f>
        <v>150508.46</v>
      </c>
      <c r="K4674" s="1">
        <f t="shared" si="2144"/>
        <v>366670.18</v>
      </c>
      <c r="L4674" s="1">
        <f t="shared" si="2013"/>
        <v>517178.64</v>
      </c>
      <c r="M4674" s="2">
        <f t="shared" si="2014"/>
        <v>0.29101832202505501</v>
      </c>
      <c r="N4674" s="2">
        <f t="shared" si="2015"/>
        <v>0.70898167797494493</v>
      </c>
    </row>
    <row r="4675" spans="1:14" x14ac:dyDescent="0.35">
      <c r="A4675" t="s">
        <v>37</v>
      </c>
      <c r="B4675" t="s">
        <v>23</v>
      </c>
      <c r="C4675">
        <v>2007</v>
      </c>
      <c r="D4675" t="s">
        <v>33</v>
      </c>
      <c r="E4675" s="1">
        <f t="shared" ref="E4675:F4675" si="2145">SUM(E3907+E4099+E4291+E4483)</f>
        <v>140413</v>
      </c>
      <c r="F4675" s="1">
        <f t="shared" si="2145"/>
        <v>85391</v>
      </c>
      <c r="G4675" s="1">
        <f t="shared" si="2119"/>
        <v>225804</v>
      </c>
      <c r="H4675" s="2">
        <f t="shared" si="2120"/>
        <v>0.62183575135958624</v>
      </c>
      <c r="I4675" s="2">
        <f t="shared" si="2121"/>
        <v>0.37816424864041381</v>
      </c>
      <c r="J4675" s="1">
        <f t="shared" ref="J4675:K4675" si="2146">SUM(J3907+J4099+J4291+J4483)</f>
        <v>180901.40000000002</v>
      </c>
      <c r="K4675" s="1">
        <f t="shared" si="2146"/>
        <v>408503.61999999994</v>
      </c>
      <c r="L4675" s="1">
        <f t="shared" ref="L4675:L4738" si="2147">SUM(J4675:K4675)</f>
        <v>589405.02</v>
      </c>
      <c r="M4675" s="2">
        <f t="shared" ref="M4675:M4738" si="2148">SUM(J4675)/L4675</f>
        <v>0.306922055058167</v>
      </c>
      <c r="N4675" s="2">
        <f t="shared" ref="N4675:N4738" si="2149">SUM(K4675/L4675)</f>
        <v>0.69307794494183295</v>
      </c>
    </row>
    <row r="4676" spans="1:14" x14ac:dyDescent="0.35">
      <c r="A4676" t="s">
        <v>37</v>
      </c>
      <c r="B4676" t="s">
        <v>24</v>
      </c>
      <c r="C4676">
        <v>2007</v>
      </c>
      <c r="D4676" t="s">
        <v>33</v>
      </c>
      <c r="E4676" s="1">
        <f t="shared" ref="E4676:F4676" si="2150">SUM(E3908+E4100+E4292+E4484)</f>
        <v>137275</v>
      </c>
      <c r="F4676" s="1">
        <f t="shared" si="2150"/>
        <v>86702</v>
      </c>
      <c r="G4676" s="1">
        <f t="shared" si="2119"/>
        <v>223977</v>
      </c>
      <c r="H4676" s="2">
        <f t="shared" si="2120"/>
        <v>0.6128977528942704</v>
      </c>
      <c r="I4676" s="2">
        <f t="shared" si="2121"/>
        <v>0.3871022471057296</v>
      </c>
      <c r="J4676" s="1">
        <f t="shared" ref="J4676:K4676" si="2151">SUM(J3908+J4100+J4292+J4484)</f>
        <v>199682.71</v>
      </c>
      <c r="K4676" s="1">
        <f t="shared" si="2151"/>
        <v>453075.71999999991</v>
      </c>
      <c r="L4676" s="1">
        <f t="shared" si="2147"/>
        <v>652758.42999999993</v>
      </c>
      <c r="M4676" s="2">
        <f t="shared" si="2148"/>
        <v>0.30590598423983589</v>
      </c>
      <c r="N4676" s="2">
        <f t="shared" si="2149"/>
        <v>0.69409401576016405</v>
      </c>
    </row>
    <row r="4677" spans="1:14" x14ac:dyDescent="0.35">
      <c r="A4677" t="s">
        <v>37</v>
      </c>
      <c r="B4677" t="s">
        <v>25</v>
      </c>
      <c r="C4677">
        <v>2007</v>
      </c>
      <c r="D4677" t="s">
        <v>33</v>
      </c>
      <c r="E4677" s="1">
        <f t="shared" ref="E4677:F4677" si="2152">SUM(E3909+E4101+E4293+E4485)</f>
        <v>135655</v>
      </c>
      <c r="F4677" s="1">
        <f t="shared" si="2152"/>
        <v>88881</v>
      </c>
      <c r="G4677" s="1">
        <f t="shared" si="2119"/>
        <v>224536</v>
      </c>
      <c r="H4677" s="2">
        <f t="shared" si="2120"/>
        <v>0.60415701713756365</v>
      </c>
      <c r="I4677" s="2">
        <f t="shared" si="2121"/>
        <v>0.3958429828624363</v>
      </c>
      <c r="J4677" s="1">
        <f t="shared" ref="J4677:K4677" si="2153">SUM(J3909+J4101+J4293+J4485)</f>
        <v>218554.43</v>
      </c>
      <c r="K4677" s="1">
        <f t="shared" si="2153"/>
        <v>451660.92999999993</v>
      </c>
      <c r="L4677" s="1">
        <f t="shared" si="2147"/>
        <v>670215.35999999987</v>
      </c>
      <c r="M4677" s="2">
        <f t="shared" si="2148"/>
        <v>0.32609582388562391</v>
      </c>
      <c r="N4677" s="2">
        <f t="shared" si="2149"/>
        <v>0.67390417611437614</v>
      </c>
    </row>
    <row r="4678" spans="1:14" x14ac:dyDescent="0.35">
      <c r="A4678" t="s">
        <v>37</v>
      </c>
      <c r="B4678" t="s">
        <v>26</v>
      </c>
      <c r="C4678">
        <v>2007</v>
      </c>
      <c r="D4678" t="s">
        <v>33</v>
      </c>
      <c r="E4678" s="1">
        <f t="shared" ref="E4678:F4678" si="2154">SUM(E3910+E4102+E4294+E4486)</f>
        <v>134001</v>
      </c>
      <c r="F4678" s="1">
        <f t="shared" si="2154"/>
        <v>90820</v>
      </c>
      <c r="G4678" s="1">
        <f t="shared" si="2119"/>
        <v>224821</v>
      </c>
      <c r="H4678" s="2">
        <f t="shared" si="2120"/>
        <v>0.59603417830184902</v>
      </c>
      <c r="I4678" s="2">
        <f t="shared" si="2121"/>
        <v>0.40396582169815098</v>
      </c>
      <c r="J4678" s="1">
        <f t="shared" ref="J4678:K4678" si="2155">SUM(J3910+J4102+J4294+J4486)</f>
        <v>211730.7</v>
      </c>
      <c r="K4678" s="1">
        <f t="shared" si="2155"/>
        <v>480632.71</v>
      </c>
      <c r="L4678" s="1">
        <f t="shared" si="2147"/>
        <v>692363.41</v>
      </c>
      <c r="M4678" s="2">
        <f t="shared" si="2148"/>
        <v>0.30580862151568639</v>
      </c>
      <c r="N4678" s="2">
        <f t="shared" si="2149"/>
        <v>0.69419137848431356</v>
      </c>
    </row>
    <row r="4679" spans="1:14" x14ac:dyDescent="0.35">
      <c r="A4679" t="s">
        <v>37</v>
      </c>
      <c r="B4679" t="s">
        <v>27</v>
      </c>
      <c r="C4679">
        <v>2007</v>
      </c>
      <c r="D4679" t="s">
        <v>33</v>
      </c>
      <c r="E4679" s="1">
        <f t="shared" ref="E4679:F4679" si="2156">SUM(E3911+E4103+E4295+E4487)</f>
        <v>132534</v>
      </c>
      <c r="F4679" s="1">
        <f t="shared" si="2156"/>
        <v>92592</v>
      </c>
      <c r="G4679" s="1">
        <f t="shared" si="2119"/>
        <v>225126</v>
      </c>
      <c r="H4679" s="2">
        <f t="shared" si="2120"/>
        <v>0.5887103222195571</v>
      </c>
      <c r="I4679" s="2">
        <f t="shared" si="2121"/>
        <v>0.41128967778044295</v>
      </c>
      <c r="J4679" s="1">
        <f t="shared" ref="J4679:K4679" si="2157">SUM(J3911+J4103+J4295+J4487)</f>
        <v>179168.02000000002</v>
      </c>
      <c r="K4679" s="1">
        <f t="shared" si="2157"/>
        <v>481710.89</v>
      </c>
      <c r="L4679" s="1">
        <f t="shared" si="2147"/>
        <v>660878.91</v>
      </c>
      <c r="M4679" s="2">
        <f t="shared" si="2148"/>
        <v>0.2711056704775161</v>
      </c>
      <c r="N4679" s="2">
        <f t="shared" si="2149"/>
        <v>0.7288943295224839</v>
      </c>
    </row>
    <row r="4680" spans="1:14" x14ac:dyDescent="0.35">
      <c r="A4680" t="s">
        <v>37</v>
      </c>
      <c r="B4680" t="s">
        <v>28</v>
      </c>
      <c r="C4680">
        <v>2007</v>
      </c>
      <c r="D4680" t="s">
        <v>33</v>
      </c>
      <c r="E4680" s="1">
        <f t="shared" ref="E4680:F4680" si="2158">SUM(E3912+E4104+E4296+E4488)</f>
        <v>130722</v>
      </c>
      <c r="F4680" s="1">
        <f t="shared" si="2158"/>
        <v>94581</v>
      </c>
      <c r="G4680" s="1">
        <f t="shared" si="2119"/>
        <v>225303</v>
      </c>
      <c r="H4680" s="2">
        <f t="shared" si="2120"/>
        <v>0.58020532349768983</v>
      </c>
      <c r="I4680" s="2">
        <f t="shared" si="2121"/>
        <v>0.41979467650231023</v>
      </c>
      <c r="J4680" s="1">
        <f t="shared" ref="J4680:K4680" si="2159">SUM(J3912+J4104+J4296+J4488)</f>
        <v>126119.02</v>
      </c>
      <c r="K4680" s="1">
        <f t="shared" si="2159"/>
        <v>379066.52</v>
      </c>
      <c r="L4680" s="1">
        <f t="shared" si="2147"/>
        <v>505185.54000000004</v>
      </c>
      <c r="M4680" s="2">
        <f t="shared" si="2148"/>
        <v>0.24964891117033949</v>
      </c>
      <c r="N4680" s="2">
        <f t="shared" si="2149"/>
        <v>0.75035108882966051</v>
      </c>
    </row>
    <row r="4681" spans="1:14" x14ac:dyDescent="0.35">
      <c r="A4681" t="s">
        <v>37</v>
      </c>
      <c r="B4681" t="s">
        <v>29</v>
      </c>
      <c r="C4681">
        <v>2007</v>
      </c>
      <c r="D4681" t="s">
        <v>33</v>
      </c>
      <c r="E4681" s="1">
        <f t="shared" ref="E4681:F4681" si="2160">SUM(E3913+E4105+E4297+E4489)</f>
        <v>128783</v>
      </c>
      <c r="F4681" s="1">
        <f t="shared" si="2160"/>
        <v>96663</v>
      </c>
      <c r="G4681" s="1">
        <f t="shared" si="2119"/>
        <v>225446</v>
      </c>
      <c r="H4681" s="2">
        <f t="shared" si="2120"/>
        <v>0.57123657106358061</v>
      </c>
      <c r="I4681" s="2">
        <f t="shared" si="2121"/>
        <v>0.42876342893641939</v>
      </c>
      <c r="J4681" s="1">
        <f t="shared" ref="J4681:K4681" si="2161">SUM(J3913+J4105+J4297+J4489)</f>
        <v>129412.31</v>
      </c>
      <c r="K4681" s="1">
        <f t="shared" si="2161"/>
        <v>380113.99</v>
      </c>
      <c r="L4681" s="1">
        <f t="shared" si="2147"/>
        <v>509526.3</v>
      </c>
      <c r="M4681" s="2">
        <f t="shared" si="2148"/>
        <v>0.25398553519219713</v>
      </c>
      <c r="N4681" s="2">
        <f t="shared" si="2149"/>
        <v>0.74601446480780287</v>
      </c>
    </row>
    <row r="4682" spans="1:14" x14ac:dyDescent="0.35">
      <c r="A4682" t="s">
        <v>37</v>
      </c>
      <c r="B4682" t="s">
        <v>17</v>
      </c>
      <c r="C4682">
        <v>2008</v>
      </c>
      <c r="D4682" t="s">
        <v>33</v>
      </c>
      <c r="E4682" s="1">
        <f t="shared" ref="E4682:F4682" si="2162">SUM(E3914+E4106+E4298+E4490)</f>
        <v>126325</v>
      </c>
      <c r="F4682" s="1">
        <f t="shared" si="2162"/>
        <v>98672</v>
      </c>
      <c r="G4682" s="1">
        <f t="shared" si="2119"/>
        <v>224997</v>
      </c>
      <c r="H4682" s="2">
        <f t="shared" si="2120"/>
        <v>0.56145193047018405</v>
      </c>
      <c r="I4682" s="2">
        <f t="shared" si="2121"/>
        <v>0.43854806952981595</v>
      </c>
      <c r="J4682" s="1">
        <f t="shared" ref="J4682:K4682" si="2163">SUM(J3914+J4106+J4298+J4490)</f>
        <v>150155.01</v>
      </c>
      <c r="K4682" s="1">
        <f t="shared" si="2163"/>
        <v>391044.41000000003</v>
      </c>
      <c r="L4682" s="1">
        <f t="shared" si="2147"/>
        <v>541199.42000000004</v>
      </c>
      <c r="M4682" s="2">
        <f t="shared" si="2148"/>
        <v>0.27744857893602326</v>
      </c>
      <c r="N4682" s="2">
        <f t="shared" si="2149"/>
        <v>0.72255142106397674</v>
      </c>
    </row>
    <row r="4683" spans="1:14" x14ac:dyDescent="0.35">
      <c r="A4683" t="s">
        <v>37</v>
      </c>
      <c r="B4683" t="s">
        <v>19</v>
      </c>
      <c r="C4683">
        <v>2008</v>
      </c>
      <c r="D4683" t="s">
        <v>33</v>
      </c>
      <c r="E4683" s="1">
        <f t="shared" ref="E4683:F4683" si="2164">SUM(E3915+E4107+E4299+E4491)</f>
        <v>124551</v>
      </c>
      <c r="F4683" s="1">
        <f t="shared" si="2164"/>
        <v>100625</v>
      </c>
      <c r="G4683" s="1">
        <f t="shared" si="2119"/>
        <v>225176</v>
      </c>
      <c r="H4683" s="2">
        <f t="shared" si="2120"/>
        <v>0.55312733150957472</v>
      </c>
      <c r="I4683" s="2">
        <f t="shared" si="2121"/>
        <v>0.44687266849042528</v>
      </c>
      <c r="J4683" s="1">
        <f t="shared" ref="J4683:K4683" si="2165">SUM(J3915+J4107+J4299+J4491)</f>
        <v>135341</v>
      </c>
      <c r="K4683" s="1">
        <f t="shared" si="2165"/>
        <v>411930.86</v>
      </c>
      <c r="L4683" s="1">
        <f t="shared" si="2147"/>
        <v>547271.86</v>
      </c>
      <c r="M4683" s="2">
        <f t="shared" si="2148"/>
        <v>0.24730122246738578</v>
      </c>
      <c r="N4683" s="2">
        <f t="shared" si="2149"/>
        <v>0.75269877753261427</v>
      </c>
    </row>
    <row r="4684" spans="1:14" x14ac:dyDescent="0.35">
      <c r="A4684" t="s">
        <v>37</v>
      </c>
      <c r="B4684" t="s">
        <v>20</v>
      </c>
      <c r="C4684">
        <v>2008</v>
      </c>
      <c r="D4684" t="s">
        <v>33</v>
      </c>
      <c r="E4684" s="1">
        <f t="shared" ref="E4684:F4684" si="2166">SUM(E3916+E4108+E4300+E4492)</f>
        <v>122527</v>
      </c>
      <c r="F4684" s="1">
        <f t="shared" si="2166"/>
        <v>102915</v>
      </c>
      <c r="G4684" s="1">
        <f t="shared" si="2119"/>
        <v>225442</v>
      </c>
      <c r="H4684" s="2">
        <f t="shared" si="2120"/>
        <v>0.54349677522378259</v>
      </c>
      <c r="I4684" s="2">
        <f t="shared" si="2121"/>
        <v>0.45650322477621741</v>
      </c>
      <c r="J4684" s="1">
        <f t="shared" ref="J4684:K4684" si="2167">SUM(J3916+J4108+J4300+J4492)</f>
        <v>118441.26999999999</v>
      </c>
      <c r="K4684" s="1">
        <f t="shared" si="2167"/>
        <v>364524.51999999996</v>
      </c>
      <c r="L4684" s="1">
        <f t="shared" si="2147"/>
        <v>482965.78999999992</v>
      </c>
      <c r="M4684" s="2">
        <f t="shared" si="2148"/>
        <v>0.24523739041641027</v>
      </c>
      <c r="N4684" s="2">
        <f t="shared" si="2149"/>
        <v>0.75476260958358976</v>
      </c>
    </row>
    <row r="4685" spans="1:14" x14ac:dyDescent="0.35">
      <c r="A4685" t="s">
        <v>37</v>
      </c>
      <c r="B4685" t="s">
        <v>21</v>
      </c>
      <c r="C4685">
        <v>2008</v>
      </c>
      <c r="D4685" t="s">
        <v>33</v>
      </c>
      <c r="E4685" s="1">
        <f t="shared" ref="E4685:F4685" si="2168">SUM(E3917+E4109+E4301+E4493)</f>
        <v>120374</v>
      </c>
      <c r="F4685" s="1">
        <f t="shared" si="2168"/>
        <v>105275</v>
      </c>
      <c r="G4685" s="1">
        <f t="shared" si="2119"/>
        <v>225649</v>
      </c>
      <c r="H4685" s="2">
        <f t="shared" si="2120"/>
        <v>0.53345682896888535</v>
      </c>
      <c r="I4685" s="2">
        <f t="shared" si="2121"/>
        <v>0.4665431710311147</v>
      </c>
      <c r="J4685" s="1">
        <f t="shared" ref="J4685:K4685" si="2169">SUM(J3917+J4109+J4301+J4493)</f>
        <v>113514.22</v>
      </c>
      <c r="K4685" s="1">
        <f t="shared" si="2169"/>
        <v>419160.84</v>
      </c>
      <c r="L4685" s="1">
        <f t="shared" si="2147"/>
        <v>532675.06000000006</v>
      </c>
      <c r="M4685" s="2">
        <f t="shared" si="2148"/>
        <v>0.21310218653751123</v>
      </c>
      <c r="N4685" s="2">
        <f t="shared" si="2149"/>
        <v>0.78689781346248866</v>
      </c>
    </row>
    <row r="4686" spans="1:14" x14ac:dyDescent="0.35">
      <c r="A4686" t="s">
        <v>37</v>
      </c>
      <c r="B4686" t="s">
        <v>22</v>
      </c>
      <c r="C4686">
        <v>2008</v>
      </c>
      <c r="D4686" t="s">
        <v>33</v>
      </c>
      <c r="E4686" s="1">
        <f t="shared" ref="E4686:F4686" si="2170">SUM(E3918+E4110+E4302+E4494)</f>
        <v>118335</v>
      </c>
      <c r="F4686" s="1">
        <f t="shared" si="2170"/>
        <v>107614</v>
      </c>
      <c r="G4686" s="1">
        <f t="shared" si="2119"/>
        <v>225949</v>
      </c>
      <c r="H4686" s="2">
        <f t="shared" si="2120"/>
        <v>0.52372438028050583</v>
      </c>
      <c r="I4686" s="2">
        <f t="shared" si="2121"/>
        <v>0.47627561971949423</v>
      </c>
      <c r="J4686" s="1">
        <f t="shared" ref="J4686:K4686" si="2171">SUM(J3918+J4110+J4302+J4494)</f>
        <v>121063.84999999999</v>
      </c>
      <c r="K4686" s="1">
        <f t="shared" si="2171"/>
        <v>411748.47000000003</v>
      </c>
      <c r="L4686" s="1">
        <f t="shared" si="2147"/>
        <v>532812.32000000007</v>
      </c>
      <c r="M4686" s="2">
        <f t="shared" si="2148"/>
        <v>0.22721668673126774</v>
      </c>
      <c r="N4686" s="2">
        <f t="shared" si="2149"/>
        <v>0.77278331326873217</v>
      </c>
    </row>
    <row r="4687" spans="1:14" x14ac:dyDescent="0.35">
      <c r="A4687" t="s">
        <v>37</v>
      </c>
      <c r="B4687" t="s">
        <v>23</v>
      </c>
      <c r="C4687">
        <v>2008</v>
      </c>
      <c r="D4687" t="s">
        <v>33</v>
      </c>
      <c r="E4687" s="1">
        <f t="shared" ref="E4687:F4687" si="2172">SUM(E3919+E4111+E4303+E4495)</f>
        <v>116614</v>
      </c>
      <c r="F4687" s="1">
        <f t="shared" si="2172"/>
        <v>109625</v>
      </c>
      <c r="G4687" s="1">
        <f t="shared" si="2119"/>
        <v>226239</v>
      </c>
      <c r="H4687" s="2">
        <f t="shared" si="2120"/>
        <v>0.51544605483581518</v>
      </c>
      <c r="I4687" s="2">
        <f t="shared" si="2121"/>
        <v>0.48455394516418476</v>
      </c>
      <c r="J4687" s="1">
        <f t="shared" ref="J4687:K4687" si="2173">SUM(J3919+J4111+J4303+J4495)</f>
        <v>168083.12</v>
      </c>
      <c r="K4687" s="1">
        <f t="shared" si="2173"/>
        <v>477738.37</v>
      </c>
      <c r="L4687" s="1">
        <f t="shared" si="2147"/>
        <v>645821.49</v>
      </c>
      <c r="M4687" s="2">
        <f t="shared" si="2148"/>
        <v>0.26026250690419112</v>
      </c>
      <c r="N4687" s="2">
        <f t="shared" si="2149"/>
        <v>0.73973749309580883</v>
      </c>
    </row>
    <row r="4688" spans="1:14" x14ac:dyDescent="0.35">
      <c r="A4688" t="s">
        <v>37</v>
      </c>
      <c r="B4688" t="s">
        <v>24</v>
      </c>
      <c r="C4688">
        <v>2008</v>
      </c>
      <c r="D4688" t="s">
        <v>33</v>
      </c>
      <c r="E4688" s="1">
        <f t="shared" ref="E4688:F4688" si="2174">SUM(E3920+E4112+E4304+E4496)</f>
        <v>114502</v>
      </c>
      <c r="F4688" s="1">
        <f t="shared" si="2174"/>
        <v>112003</v>
      </c>
      <c r="G4688" s="1">
        <f t="shared" si="2119"/>
        <v>226505</v>
      </c>
      <c r="H4688" s="2">
        <f t="shared" si="2120"/>
        <v>0.50551643451579431</v>
      </c>
      <c r="I4688" s="2">
        <f t="shared" si="2121"/>
        <v>0.49448356548420563</v>
      </c>
      <c r="J4688" s="1">
        <f t="shared" ref="J4688:K4688" si="2175">SUM(J3920+J4112+J4304+J4496)</f>
        <v>186036.6</v>
      </c>
      <c r="K4688" s="1">
        <f t="shared" si="2175"/>
        <v>524696.78999999992</v>
      </c>
      <c r="L4688" s="1">
        <f t="shared" si="2147"/>
        <v>710733.3899999999</v>
      </c>
      <c r="M4688" s="2">
        <f t="shared" si="2148"/>
        <v>0.26175300417502551</v>
      </c>
      <c r="N4688" s="2">
        <f t="shared" si="2149"/>
        <v>0.73824699582497455</v>
      </c>
    </row>
    <row r="4689" spans="1:14" x14ac:dyDescent="0.35">
      <c r="A4689" t="s">
        <v>37</v>
      </c>
      <c r="B4689" t="s">
        <v>25</v>
      </c>
      <c r="C4689">
        <v>2008</v>
      </c>
      <c r="D4689" t="s">
        <v>33</v>
      </c>
      <c r="E4689" s="1">
        <f t="shared" ref="E4689:F4689" si="2176">SUM(E3921+E4113+E4305+E4497)</f>
        <v>110375</v>
      </c>
      <c r="F4689" s="1">
        <f t="shared" si="2176"/>
        <v>116315</v>
      </c>
      <c r="G4689" s="1">
        <f t="shared" si="2119"/>
        <v>226690</v>
      </c>
      <c r="H4689" s="2">
        <f t="shared" si="2120"/>
        <v>0.48689840751687324</v>
      </c>
      <c r="I4689" s="2">
        <f t="shared" si="2121"/>
        <v>0.5131015924831267</v>
      </c>
      <c r="J4689" s="1">
        <f t="shared" ref="J4689:K4689" si="2177">SUM(J3921+J4113+J4305+J4497)</f>
        <v>182740.36</v>
      </c>
      <c r="K4689" s="1">
        <f t="shared" si="2177"/>
        <v>541205.13</v>
      </c>
      <c r="L4689" s="1">
        <f t="shared" si="2147"/>
        <v>723945.49</v>
      </c>
      <c r="M4689" s="2">
        <f t="shared" si="2148"/>
        <v>0.25242281708254027</v>
      </c>
      <c r="N4689" s="2">
        <f t="shared" si="2149"/>
        <v>0.74757718291745978</v>
      </c>
    </row>
    <row r="4690" spans="1:14" x14ac:dyDescent="0.35">
      <c r="A4690" t="s">
        <v>37</v>
      </c>
      <c r="B4690" t="s">
        <v>26</v>
      </c>
      <c r="C4690">
        <v>2008</v>
      </c>
      <c r="D4690" t="s">
        <v>33</v>
      </c>
      <c r="E4690" s="1">
        <f t="shared" ref="E4690:F4690" si="2178">SUM(E3922+E4114+E4306+E4498)</f>
        <v>104279</v>
      </c>
      <c r="F4690" s="1">
        <f t="shared" si="2178"/>
        <v>122456</v>
      </c>
      <c r="G4690" s="1">
        <f t="shared" si="2119"/>
        <v>226735</v>
      </c>
      <c r="H4690" s="2">
        <f t="shared" si="2120"/>
        <v>0.45991576068979206</v>
      </c>
      <c r="I4690" s="2">
        <f t="shared" si="2121"/>
        <v>0.54008423931020799</v>
      </c>
      <c r="J4690" s="1">
        <f t="shared" ref="J4690:K4690" si="2179">SUM(J3922+J4114+J4306+J4498)</f>
        <v>138107.25</v>
      </c>
      <c r="K4690" s="1">
        <f t="shared" si="2179"/>
        <v>493896.33</v>
      </c>
      <c r="L4690" s="1">
        <f t="shared" si="2147"/>
        <v>632003.58000000007</v>
      </c>
      <c r="M4690" s="2">
        <f t="shared" si="2148"/>
        <v>0.21852289191146668</v>
      </c>
      <c r="N4690" s="2">
        <f t="shared" si="2149"/>
        <v>0.78147710808853321</v>
      </c>
    </row>
    <row r="4691" spans="1:14" x14ac:dyDescent="0.35">
      <c r="A4691" t="s">
        <v>37</v>
      </c>
      <c r="B4691" t="s">
        <v>27</v>
      </c>
      <c r="C4691">
        <v>2008</v>
      </c>
      <c r="D4691" t="s">
        <v>33</v>
      </c>
      <c r="E4691" s="1">
        <f t="shared" ref="E4691:F4691" si="2180">SUM(E3923+E4115+E4307+E4499)</f>
        <v>97907</v>
      </c>
      <c r="F4691" s="1">
        <f t="shared" si="2180"/>
        <v>128590</v>
      </c>
      <c r="G4691" s="1">
        <f t="shared" si="2119"/>
        <v>226497</v>
      </c>
      <c r="H4691" s="2">
        <f t="shared" si="2120"/>
        <v>0.43226621103149271</v>
      </c>
      <c r="I4691" s="2">
        <f t="shared" si="2121"/>
        <v>0.56773378896850735</v>
      </c>
      <c r="J4691" s="1">
        <f t="shared" ref="J4691:K4691" si="2181">SUM(J3923+J4115+J4307+J4499)</f>
        <v>103413.31</v>
      </c>
      <c r="K4691" s="1">
        <f t="shared" si="2181"/>
        <v>440468.52999999997</v>
      </c>
      <c r="L4691" s="1">
        <f t="shared" si="2147"/>
        <v>543881.84</v>
      </c>
      <c r="M4691" s="2">
        <f t="shared" si="2148"/>
        <v>0.19013929569702126</v>
      </c>
      <c r="N4691" s="2">
        <f t="shared" si="2149"/>
        <v>0.80986070430297874</v>
      </c>
    </row>
    <row r="4692" spans="1:14" x14ac:dyDescent="0.35">
      <c r="A4692" t="s">
        <v>37</v>
      </c>
      <c r="B4692" t="s">
        <v>28</v>
      </c>
      <c r="C4692">
        <v>2008</v>
      </c>
      <c r="D4692" t="s">
        <v>33</v>
      </c>
      <c r="E4692" s="1">
        <f t="shared" ref="E4692:F4692" si="2182">SUM(E3924+E4116+E4308+E4500)</f>
        <v>93599</v>
      </c>
      <c r="F4692" s="1">
        <f t="shared" si="2182"/>
        <v>133631</v>
      </c>
      <c r="G4692" s="1">
        <f t="shared" si="2119"/>
        <v>227230</v>
      </c>
      <c r="H4692" s="2">
        <f t="shared" si="2120"/>
        <v>0.41191303965145448</v>
      </c>
      <c r="I4692" s="2">
        <f t="shared" si="2121"/>
        <v>0.58808696034854557</v>
      </c>
      <c r="J4692" s="1">
        <f t="shared" ref="J4692:K4692" si="2183">SUM(J3924+J4116+J4308+J4500)</f>
        <v>76776.900000000009</v>
      </c>
      <c r="K4692" s="1">
        <f t="shared" si="2183"/>
        <v>392755.96</v>
      </c>
      <c r="L4692" s="1">
        <f t="shared" si="2147"/>
        <v>469532.86000000004</v>
      </c>
      <c r="M4692" s="2">
        <f t="shared" si="2148"/>
        <v>0.16351762898980063</v>
      </c>
      <c r="N4692" s="2">
        <f t="shared" si="2149"/>
        <v>0.83648237101019929</v>
      </c>
    </row>
    <row r="4693" spans="1:14" x14ac:dyDescent="0.35">
      <c r="A4693" t="s">
        <v>37</v>
      </c>
      <c r="B4693" t="s">
        <v>29</v>
      </c>
      <c r="C4693">
        <v>2008</v>
      </c>
      <c r="D4693" t="s">
        <v>33</v>
      </c>
      <c r="E4693" s="1">
        <f t="shared" ref="E4693:F4693" si="2184">SUM(E3925+E4117+E4309+E4501)</f>
        <v>91679</v>
      </c>
      <c r="F4693" s="1">
        <f t="shared" si="2184"/>
        <v>135863</v>
      </c>
      <c r="G4693" s="1">
        <f t="shared" si="2119"/>
        <v>227542</v>
      </c>
      <c r="H4693" s="2">
        <f t="shared" si="2120"/>
        <v>0.40291023195717712</v>
      </c>
      <c r="I4693" s="2">
        <f t="shared" si="2121"/>
        <v>0.59708976804282288</v>
      </c>
      <c r="J4693" s="1">
        <f t="shared" ref="J4693:K4693" si="2185">SUM(J3925+J4117+J4309+J4501)</f>
        <v>84840.24</v>
      </c>
      <c r="K4693" s="1">
        <f t="shared" si="2185"/>
        <v>479730.2</v>
      </c>
      <c r="L4693" s="1">
        <f t="shared" si="2147"/>
        <v>564570.44000000006</v>
      </c>
      <c r="M4693" s="2">
        <f t="shared" si="2148"/>
        <v>0.15027396758498371</v>
      </c>
      <c r="N4693" s="2">
        <f t="shared" si="2149"/>
        <v>0.84972603241501621</v>
      </c>
    </row>
    <row r="4694" spans="1:14" x14ac:dyDescent="0.35">
      <c r="A4694" t="s">
        <v>37</v>
      </c>
      <c r="B4694" t="s">
        <v>17</v>
      </c>
      <c r="C4694">
        <v>2009</v>
      </c>
      <c r="D4694" t="s">
        <v>33</v>
      </c>
      <c r="E4694" s="1">
        <f t="shared" ref="E4694:F4694" si="2186">SUM(E3926+E4118+E4310+E4502)</f>
        <v>90456</v>
      </c>
      <c r="F4694" s="1">
        <f t="shared" si="2186"/>
        <v>136841</v>
      </c>
      <c r="G4694" s="1">
        <f t="shared" si="2119"/>
        <v>227297</v>
      </c>
      <c r="H4694" s="2">
        <f t="shared" si="2120"/>
        <v>0.39796389745575173</v>
      </c>
      <c r="I4694" s="2">
        <f t="shared" si="2121"/>
        <v>0.60203610254424822</v>
      </c>
      <c r="J4694" s="1">
        <f t="shared" ref="J4694:K4694" si="2187">SUM(J3926+J4118+J4310+J4502)</f>
        <v>95546.550000000017</v>
      </c>
      <c r="K4694" s="1">
        <f t="shared" si="2187"/>
        <v>458196.44999999995</v>
      </c>
      <c r="L4694" s="1">
        <f t="shared" si="2147"/>
        <v>553743</v>
      </c>
      <c r="M4694" s="2">
        <f t="shared" si="2148"/>
        <v>0.17254674099717743</v>
      </c>
      <c r="N4694" s="2">
        <f t="shared" si="2149"/>
        <v>0.82745325900282252</v>
      </c>
    </row>
    <row r="4695" spans="1:14" x14ac:dyDescent="0.35">
      <c r="A4695" t="s">
        <v>37</v>
      </c>
      <c r="B4695" t="s">
        <v>19</v>
      </c>
      <c r="C4695">
        <v>2009</v>
      </c>
      <c r="D4695" t="s">
        <v>33</v>
      </c>
      <c r="E4695" s="1">
        <f t="shared" ref="E4695:F4695" si="2188">SUM(E3927+E4119+E4311+E4503)</f>
        <v>89631</v>
      </c>
      <c r="F4695" s="1">
        <f t="shared" si="2188"/>
        <v>137949</v>
      </c>
      <c r="G4695" s="1">
        <f t="shared" si="2119"/>
        <v>227580</v>
      </c>
      <c r="H4695" s="2">
        <f t="shared" si="2120"/>
        <v>0.39384392301608223</v>
      </c>
      <c r="I4695" s="2">
        <f t="shared" si="2121"/>
        <v>0.60615607698391771</v>
      </c>
      <c r="J4695" s="1">
        <f t="shared" ref="J4695:K4695" si="2189">SUM(J3927+J4119+J4311+J4503)</f>
        <v>91336.59</v>
      </c>
      <c r="K4695" s="1">
        <f t="shared" si="2189"/>
        <v>403303.89</v>
      </c>
      <c r="L4695" s="1">
        <f t="shared" si="2147"/>
        <v>494640.48</v>
      </c>
      <c r="M4695" s="2">
        <f t="shared" si="2148"/>
        <v>0.18465247729017245</v>
      </c>
      <c r="N4695" s="2">
        <f t="shared" si="2149"/>
        <v>0.81534752270982758</v>
      </c>
    </row>
    <row r="4696" spans="1:14" x14ac:dyDescent="0.35">
      <c r="A4696" t="s">
        <v>37</v>
      </c>
      <c r="B4696" t="s">
        <v>20</v>
      </c>
      <c r="C4696">
        <v>2009</v>
      </c>
      <c r="D4696" t="s">
        <v>33</v>
      </c>
      <c r="E4696" s="1">
        <f t="shared" ref="E4696:F4696" si="2190">SUM(E3928+E4120+E4312+E4504)</f>
        <v>88922</v>
      </c>
      <c r="F4696" s="1">
        <f t="shared" si="2190"/>
        <v>138806</v>
      </c>
      <c r="G4696" s="1">
        <f t="shared" si="2119"/>
        <v>227728</v>
      </c>
      <c r="H4696" s="2">
        <f t="shared" si="2120"/>
        <v>0.39047460127871847</v>
      </c>
      <c r="I4696" s="2">
        <f t="shared" si="2121"/>
        <v>0.60952539872128153</v>
      </c>
      <c r="J4696" s="1">
        <f t="shared" ref="J4696:K4696" si="2191">SUM(J3928+J4120+J4312+J4504)</f>
        <v>80624.47</v>
      </c>
      <c r="K4696" s="1">
        <f t="shared" si="2191"/>
        <v>352043.87</v>
      </c>
      <c r="L4696" s="1">
        <f t="shared" si="2147"/>
        <v>432668.33999999997</v>
      </c>
      <c r="M4696" s="2">
        <f t="shared" si="2148"/>
        <v>0.186342430324345</v>
      </c>
      <c r="N4696" s="2">
        <f t="shared" si="2149"/>
        <v>0.81365756967565506</v>
      </c>
    </row>
    <row r="4697" spans="1:14" x14ac:dyDescent="0.35">
      <c r="A4697" t="s">
        <v>37</v>
      </c>
      <c r="B4697" t="s">
        <v>21</v>
      </c>
      <c r="C4697">
        <v>2009</v>
      </c>
      <c r="D4697" t="s">
        <v>33</v>
      </c>
      <c r="E4697" s="1">
        <f t="shared" ref="E4697:F4697" si="2192">SUM(E3929+E4121+E4313+E4505)</f>
        <v>88082</v>
      </c>
      <c r="F4697" s="1">
        <f t="shared" si="2192"/>
        <v>139571</v>
      </c>
      <c r="G4697" s="1">
        <f t="shared" si="2119"/>
        <v>227653</v>
      </c>
      <c r="H4697" s="2">
        <f t="shared" si="2120"/>
        <v>0.3869134164715598</v>
      </c>
      <c r="I4697" s="2">
        <f t="shared" si="2121"/>
        <v>0.61308658352844025</v>
      </c>
      <c r="J4697" s="1">
        <f t="shared" ref="J4697:K4697" si="2193">SUM(J3929+J4121+J4313+J4505)</f>
        <v>71907.33</v>
      </c>
      <c r="K4697" s="1">
        <f t="shared" si="2193"/>
        <v>396041.31000000006</v>
      </c>
      <c r="L4697" s="1">
        <f t="shared" si="2147"/>
        <v>467948.64000000007</v>
      </c>
      <c r="M4697" s="2">
        <f t="shared" si="2148"/>
        <v>0.15366500477488296</v>
      </c>
      <c r="N4697" s="2">
        <f t="shared" si="2149"/>
        <v>0.84633499522511701</v>
      </c>
    </row>
    <row r="4698" spans="1:14" x14ac:dyDescent="0.35">
      <c r="A4698" t="s">
        <v>37</v>
      </c>
      <c r="B4698" t="s">
        <v>22</v>
      </c>
      <c r="C4698">
        <v>2009</v>
      </c>
      <c r="D4698" t="s">
        <v>33</v>
      </c>
      <c r="E4698" s="1">
        <f t="shared" ref="E4698:F4698" si="2194">SUM(E3930+E4122+E4314+E4506)</f>
        <v>87341</v>
      </c>
      <c r="F4698" s="1">
        <f t="shared" si="2194"/>
        <v>140376</v>
      </c>
      <c r="G4698" s="1">
        <f t="shared" si="2119"/>
        <v>227717</v>
      </c>
      <c r="H4698" s="2">
        <f t="shared" si="2120"/>
        <v>0.38355063521827532</v>
      </c>
      <c r="I4698" s="2">
        <f t="shared" si="2121"/>
        <v>0.61644936478172463</v>
      </c>
      <c r="J4698" s="1">
        <f t="shared" ref="J4698:K4698" si="2195">SUM(J3930+J4122+J4314+J4506)</f>
        <v>83588.490000000005</v>
      </c>
      <c r="K4698" s="1">
        <f t="shared" si="2195"/>
        <v>464974.13000000006</v>
      </c>
      <c r="L4698" s="1">
        <f t="shared" si="2147"/>
        <v>548562.62000000011</v>
      </c>
      <c r="M4698" s="2">
        <f t="shared" si="2148"/>
        <v>0.15237729832922262</v>
      </c>
      <c r="N4698" s="2">
        <f t="shared" si="2149"/>
        <v>0.84762270167077725</v>
      </c>
    </row>
    <row r="4699" spans="1:14" x14ac:dyDescent="0.35">
      <c r="A4699" t="s">
        <v>37</v>
      </c>
      <c r="B4699" t="s">
        <v>23</v>
      </c>
      <c r="C4699">
        <v>2009</v>
      </c>
      <c r="D4699" t="s">
        <v>33</v>
      </c>
      <c r="E4699" s="1">
        <f t="shared" ref="E4699:F4699" si="2196">SUM(E3931+E4123+E4315+E4507)</f>
        <v>86453</v>
      </c>
      <c r="F4699" s="1">
        <f t="shared" si="2196"/>
        <v>141350</v>
      </c>
      <c r="G4699" s="1">
        <f t="shared" si="2119"/>
        <v>227803</v>
      </c>
      <c r="H4699" s="2">
        <f t="shared" si="2120"/>
        <v>0.37950773255839476</v>
      </c>
      <c r="I4699" s="2">
        <f t="shared" si="2121"/>
        <v>0.62049226744160524</v>
      </c>
      <c r="J4699" s="1">
        <f t="shared" ref="J4699:K4699" si="2197">SUM(J3931+J4123+J4315+J4507)</f>
        <v>104898.53</v>
      </c>
      <c r="K4699" s="1">
        <f t="shared" si="2197"/>
        <v>557357.67999999993</v>
      </c>
      <c r="L4699" s="1">
        <f t="shared" si="2147"/>
        <v>662256.21</v>
      </c>
      <c r="M4699" s="2">
        <f t="shared" si="2148"/>
        <v>0.15839569099699344</v>
      </c>
      <c r="N4699" s="2">
        <f t="shared" si="2149"/>
        <v>0.84160430900300653</v>
      </c>
    </row>
    <row r="4700" spans="1:14" x14ac:dyDescent="0.35">
      <c r="A4700" t="s">
        <v>37</v>
      </c>
      <c r="B4700" t="s">
        <v>24</v>
      </c>
      <c r="C4700">
        <v>2009</v>
      </c>
      <c r="D4700" t="s">
        <v>33</v>
      </c>
      <c r="E4700" s="1">
        <f t="shared" ref="E4700:F4700" si="2198">SUM(E3932+E4124+E4316+E4508)</f>
        <v>85703</v>
      </c>
      <c r="F4700" s="1">
        <f t="shared" si="2198"/>
        <v>142261</v>
      </c>
      <c r="G4700" s="1">
        <f t="shared" si="2119"/>
        <v>227964</v>
      </c>
      <c r="H4700" s="2">
        <f t="shared" si="2120"/>
        <v>0.3759497113579337</v>
      </c>
      <c r="I4700" s="2">
        <f t="shared" si="2121"/>
        <v>0.62405028864206624</v>
      </c>
      <c r="J4700" s="1">
        <f t="shared" ref="J4700:K4700" si="2199">SUM(J3932+J4124+J4316+J4508)</f>
        <v>134491.30000000002</v>
      </c>
      <c r="K4700" s="1">
        <f t="shared" si="2199"/>
        <v>593001.71000000008</v>
      </c>
      <c r="L4700" s="1">
        <f t="shared" si="2147"/>
        <v>727493.01000000013</v>
      </c>
      <c r="M4700" s="2">
        <f t="shared" si="2148"/>
        <v>0.18486954259533023</v>
      </c>
      <c r="N4700" s="2">
        <f t="shared" si="2149"/>
        <v>0.81513045740466972</v>
      </c>
    </row>
    <row r="4701" spans="1:14" x14ac:dyDescent="0.35">
      <c r="A4701" t="s">
        <v>37</v>
      </c>
      <c r="B4701" t="s">
        <v>25</v>
      </c>
      <c r="C4701">
        <v>2009</v>
      </c>
      <c r="D4701" t="s">
        <v>33</v>
      </c>
      <c r="E4701" s="1">
        <f t="shared" ref="E4701:F4701" si="2200">SUM(E3933+E4125+E4317+E4509)</f>
        <v>84776</v>
      </c>
      <c r="F4701" s="1">
        <f t="shared" si="2200"/>
        <v>143364</v>
      </c>
      <c r="G4701" s="1">
        <f t="shared" si="2119"/>
        <v>228140</v>
      </c>
      <c r="H4701" s="2">
        <f t="shared" si="2120"/>
        <v>0.37159638818269486</v>
      </c>
      <c r="I4701" s="2">
        <f t="shared" si="2121"/>
        <v>0.6284036118173052</v>
      </c>
      <c r="J4701" s="1">
        <f t="shared" ref="J4701:K4701" si="2201">SUM(J3933+J4125+J4317+J4509)</f>
        <v>132544.09</v>
      </c>
      <c r="K4701" s="1">
        <f t="shared" si="2201"/>
        <v>594553.33000000007</v>
      </c>
      <c r="L4701" s="1">
        <f t="shared" si="2147"/>
        <v>727097.42</v>
      </c>
      <c r="M4701" s="2">
        <f t="shared" si="2148"/>
        <v>0.18229206479648902</v>
      </c>
      <c r="N4701" s="2">
        <f t="shared" si="2149"/>
        <v>0.81770793520351104</v>
      </c>
    </row>
    <row r="4702" spans="1:14" x14ac:dyDescent="0.35">
      <c r="A4702" t="s">
        <v>37</v>
      </c>
      <c r="B4702" t="s">
        <v>26</v>
      </c>
      <c r="C4702">
        <v>2009</v>
      </c>
      <c r="D4702" t="s">
        <v>33</v>
      </c>
      <c r="E4702" s="1">
        <f t="shared" ref="E4702:F4702" si="2202">SUM(E3934+E4126+E4318+E4510)</f>
        <v>83589</v>
      </c>
      <c r="F4702" s="1">
        <f t="shared" si="2202"/>
        <v>144585</v>
      </c>
      <c r="G4702" s="1">
        <f t="shared" si="2119"/>
        <v>228174</v>
      </c>
      <c r="H4702" s="2">
        <f t="shared" si="2120"/>
        <v>0.36633884666964683</v>
      </c>
      <c r="I4702" s="2">
        <f t="shared" si="2121"/>
        <v>0.63366115333035311</v>
      </c>
      <c r="J4702" s="1">
        <f t="shared" ref="J4702:K4702" si="2203">SUM(J3934+J4126+J4318+J4510)</f>
        <v>114962.52</v>
      </c>
      <c r="K4702" s="1">
        <f t="shared" si="2203"/>
        <v>576047.32999999996</v>
      </c>
      <c r="L4702" s="1">
        <f t="shared" si="2147"/>
        <v>691009.85</v>
      </c>
      <c r="M4702" s="2">
        <f t="shared" si="2148"/>
        <v>0.16636885856258055</v>
      </c>
      <c r="N4702" s="2">
        <f t="shared" si="2149"/>
        <v>0.83363114143741945</v>
      </c>
    </row>
    <row r="4703" spans="1:14" x14ac:dyDescent="0.35">
      <c r="A4703" t="s">
        <v>37</v>
      </c>
      <c r="B4703" t="s">
        <v>27</v>
      </c>
      <c r="C4703">
        <v>2009</v>
      </c>
      <c r="D4703" t="s">
        <v>33</v>
      </c>
      <c r="E4703" s="1">
        <f t="shared" ref="E4703:F4703" si="2204">SUM(E3935+E4127+E4319+E4511)</f>
        <v>82350</v>
      </c>
      <c r="F4703" s="1">
        <f t="shared" si="2204"/>
        <v>145502</v>
      </c>
      <c r="G4703" s="1">
        <f t="shared" si="2119"/>
        <v>227852</v>
      </c>
      <c r="H4703" s="2">
        <f t="shared" si="2120"/>
        <v>0.36141881572248652</v>
      </c>
      <c r="I4703" s="2">
        <f t="shared" si="2121"/>
        <v>0.63858118427751343</v>
      </c>
      <c r="J4703" s="1">
        <f t="shared" ref="J4703:K4703" si="2205">SUM(J3935+J4127+J4319+J4511)</f>
        <v>87137.040000000008</v>
      </c>
      <c r="K4703" s="1">
        <f t="shared" si="2205"/>
        <v>481120.64999999997</v>
      </c>
      <c r="L4703" s="1">
        <f t="shared" si="2147"/>
        <v>568257.68999999994</v>
      </c>
      <c r="M4703" s="2">
        <f t="shared" si="2148"/>
        <v>0.15334071413974182</v>
      </c>
      <c r="N4703" s="2">
        <f t="shared" si="2149"/>
        <v>0.84665928586025829</v>
      </c>
    </row>
    <row r="4704" spans="1:14" x14ac:dyDescent="0.35">
      <c r="A4704" t="s">
        <v>37</v>
      </c>
      <c r="B4704" t="s">
        <v>28</v>
      </c>
      <c r="C4704">
        <v>2009</v>
      </c>
      <c r="D4704" t="s">
        <v>33</v>
      </c>
      <c r="E4704" s="1">
        <f t="shared" ref="E4704:F4704" si="2206">SUM(E3936+E4128+E4320+E4512)</f>
        <v>81282</v>
      </c>
      <c r="F4704" s="1">
        <f t="shared" si="2206"/>
        <v>146477</v>
      </c>
      <c r="G4704" s="1">
        <f t="shared" si="2119"/>
        <v>227759</v>
      </c>
      <c r="H4704" s="2">
        <f t="shared" si="2120"/>
        <v>0.35687722548834516</v>
      </c>
      <c r="I4704" s="2">
        <f t="shared" si="2121"/>
        <v>0.64312277451165489</v>
      </c>
      <c r="J4704" s="1">
        <f t="shared" ref="J4704:K4704" si="2207">SUM(J3936+J4128+J4320+J4512)</f>
        <v>67709.650000000009</v>
      </c>
      <c r="K4704" s="1">
        <f t="shared" si="2207"/>
        <v>405905.92000000004</v>
      </c>
      <c r="L4704" s="1">
        <f t="shared" si="2147"/>
        <v>473615.57000000007</v>
      </c>
      <c r="M4704" s="2">
        <f t="shared" si="2148"/>
        <v>0.14296331094013653</v>
      </c>
      <c r="N4704" s="2">
        <f t="shared" si="2149"/>
        <v>0.85703668905986341</v>
      </c>
    </row>
    <row r="4705" spans="1:14" x14ac:dyDescent="0.35">
      <c r="A4705" t="s">
        <v>37</v>
      </c>
      <c r="B4705" t="s">
        <v>29</v>
      </c>
      <c r="C4705">
        <v>2009</v>
      </c>
      <c r="D4705" t="s">
        <v>33</v>
      </c>
      <c r="E4705" s="1">
        <f t="shared" ref="E4705:F4705" si="2208">SUM(E3937+E4129+E4321+E4513)</f>
        <v>80467</v>
      </c>
      <c r="F4705" s="1">
        <f t="shared" si="2208"/>
        <v>147234</v>
      </c>
      <c r="G4705" s="1">
        <f t="shared" si="2119"/>
        <v>227701</v>
      </c>
      <c r="H4705" s="2">
        <f t="shared" si="2120"/>
        <v>0.35338887400582342</v>
      </c>
      <c r="I4705" s="2">
        <f t="shared" si="2121"/>
        <v>0.64661112599417658</v>
      </c>
      <c r="J4705" s="1">
        <f t="shared" ref="J4705:K4705" si="2209">SUM(J3937+J4129+J4321+J4513)</f>
        <v>76419.110000000015</v>
      </c>
      <c r="K4705" s="1">
        <f t="shared" si="2209"/>
        <v>466016.05</v>
      </c>
      <c r="L4705" s="1">
        <f t="shared" si="2147"/>
        <v>542435.16</v>
      </c>
      <c r="M4705" s="2">
        <f t="shared" si="2148"/>
        <v>0.140881557161597</v>
      </c>
      <c r="N4705" s="2">
        <f t="shared" si="2149"/>
        <v>0.859118442838403</v>
      </c>
    </row>
    <row r="4706" spans="1:14" x14ac:dyDescent="0.35">
      <c r="A4706" t="s">
        <v>37</v>
      </c>
      <c r="B4706" t="s">
        <v>17</v>
      </c>
      <c r="C4706">
        <v>2010</v>
      </c>
      <c r="D4706" t="s">
        <v>33</v>
      </c>
      <c r="E4706" s="1">
        <f t="shared" ref="E4706:F4706" si="2210">SUM(E3938+E4130+E4322+E4514)</f>
        <v>79818</v>
      </c>
      <c r="F4706" s="1">
        <f t="shared" si="2210"/>
        <v>147985</v>
      </c>
      <c r="G4706" s="1">
        <f t="shared" si="2119"/>
        <v>227803</v>
      </c>
      <c r="H4706" s="2">
        <f t="shared" si="2120"/>
        <v>0.3503816894421935</v>
      </c>
      <c r="I4706" s="2">
        <f t="shared" si="2121"/>
        <v>0.6496183105578065</v>
      </c>
      <c r="J4706" s="1">
        <f t="shared" ref="J4706:K4706" si="2211">SUM(J3938+J4130+J4322+J4514)</f>
        <v>96894.29</v>
      </c>
      <c r="K4706" s="1">
        <f t="shared" si="2211"/>
        <v>487335.05999999994</v>
      </c>
      <c r="L4706" s="1">
        <f t="shared" si="2147"/>
        <v>584229.35</v>
      </c>
      <c r="M4706" s="2">
        <f t="shared" si="2148"/>
        <v>0.16584974719260509</v>
      </c>
      <c r="N4706" s="2">
        <f t="shared" si="2149"/>
        <v>0.83415025280739485</v>
      </c>
    </row>
    <row r="4707" spans="1:14" x14ac:dyDescent="0.35">
      <c r="A4707" t="s">
        <v>37</v>
      </c>
      <c r="B4707" t="s">
        <v>19</v>
      </c>
      <c r="C4707">
        <v>2010</v>
      </c>
      <c r="D4707" t="s">
        <v>33</v>
      </c>
      <c r="E4707" s="1">
        <f t="shared" ref="E4707:F4707" si="2212">SUM(E3939+E4131+E4323+E4515)</f>
        <v>79172</v>
      </c>
      <c r="F4707" s="1">
        <f t="shared" si="2212"/>
        <v>148701</v>
      </c>
      <c r="G4707" s="1">
        <f t="shared" si="2119"/>
        <v>227873</v>
      </c>
      <c r="H4707" s="2">
        <f t="shared" si="2120"/>
        <v>0.34743914373357088</v>
      </c>
      <c r="I4707" s="2">
        <f t="shared" si="2121"/>
        <v>0.65256085626642912</v>
      </c>
      <c r="J4707" s="1">
        <f t="shared" ref="J4707:K4707" si="2213">SUM(J3939+J4131+J4323+J4515)</f>
        <v>89389.449999999983</v>
      </c>
      <c r="K4707" s="1">
        <f t="shared" si="2213"/>
        <v>458179.69999999995</v>
      </c>
      <c r="L4707" s="1">
        <f t="shared" si="2147"/>
        <v>547569.14999999991</v>
      </c>
      <c r="M4707" s="2">
        <f t="shared" si="2148"/>
        <v>0.16324778340781251</v>
      </c>
      <c r="N4707" s="2">
        <f t="shared" si="2149"/>
        <v>0.83675221659218757</v>
      </c>
    </row>
    <row r="4708" spans="1:14" x14ac:dyDescent="0.35">
      <c r="A4708" t="s">
        <v>37</v>
      </c>
      <c r="B4708" t="s">
        <v>20</v>
      </c>
      <c r="C4708">
        <v>2010</v>
      </c>
      <c r="D4708" t="s">
        <v>33</v>
      </c>
      <c r="E4708" s="1">
        <f t="shared" ref="E4708:F4708" si="2214">SUM(E3940+E4132+E4324+E4516)</f>
        <v>78350</v>
      </c>
      <c r="F4708" s="1">
        <f t="shared" si="2214"/>
        <v>149884</v>
      </c>
      <c r="G4708" s="1">
        <f t="shared" si="2119"/>
        <v>228234</v>
      </c>
      <c r="H4708" s="2">
        <f t="shared" si="2120"/>
        <v>0.34328802895274146</v>
      </c>
      <c r="I4708" s="2">
        <f t="shared" si="2121"/>
        <v>0.65671197104725854</v>
      </c>
      <c r="J4708" s="1">
        <f t="shared" ref="J4708:K4708" si="2215">SUM(J3940+J4132+J4324+J4516)</f>
        <v>79535.51999999999</v>
      </c>
      <c r="K4708" s="1">
        <f t="shared" si="2215"/>
        <v>484761.06999999995</v>
      </c>
      <c r="L4708" s="1">
        <f t="shared" si="2147"/>
        <v>564296.59</v>
      </c>
      <c r="M4708" s="2">
        <f t="shared" si="2148"/>
        <v>0.1409463062677731</v>
      </c>
      <c r="N4708" s="2">
        <f t="shared" si="2149"/>
        <v>0.85905369373222684</v>
      </c>
    </row>
    <row r="4709" spans="1:14" x14ac:dyDescent="0.35">
      <c r="A4709" t="s">
        <v>37</v>
      </c>
      <c r="B4709" t="s">
        <v>21</v>
      </c>
      <c r="C4709">
        <v>2010</v>
      </c>
      <c r="D4709" t="s">
        <v>33</v>
      </c>
      <c r="E4709" s="1">
        <f t="shared" ref="E4709:F4709" si="2216">SUM(E3941+E4133+E4325+E4517)</f>
        <v>77532</v>
      </c>
      <c r="F4709" s="1">
        <f t="shared" si="2216"/>
        <v>150788</v>
      </c>
      <c r="G4709" s="1">
        <f t="shared" si="2119"/>
        <v>228320</v>
      </c>
      <c r="H4709" s="2">
        <f t="shared" si="2120"/>
        <v>0.33957603363700067</v>
      </c>
      <c r="I4709" s="2">
        <f t="shared" si="2121"/>
        <v>0.66042396636299927</v>
      </c>
      <c r="J4709" s="1">
        <f t="shared" ref="J4709:K4709" si="2217">SUM(J3941+J4133+J4325+J4517)</f>
        <v>62456.25</v>
      </c>
      <c r="K4709" s="1">
        <f t="shared" si="2217"/>
        <v>446625.07</v>
      </c>
      <c r="L4709" s="1">
        <f t="shared" si="2147"/>
        <v>509081.32</v>
      </c>
      <c r="M4709" s="2">
        <f t="shared" si="2148"/>
        <v>0.12268423048796998</v>
      </c>
      <c r="N4709" s="2">
        <f t="shared" si="2149"/>
        <v>0.87731576951203005</v>
      </c>
    </row>
    <row r="4710" spans="1:14" x14ac:dyDescent="0.35">
      <c r="A4710" t="s">
        <v>37</v>
      </c>
      <c r="B4710" t="s">
        <v>22</v>
      </c>
      <c r="C4710">
        <v>2010</v>
      </c>
      <c r="D4710" t="s">
        <v>33</v>
      </c>
      <c r="E4710" s="1">
        <f t="shared" ref="E4710:F4710" si="2218">SUM(E3942+E4134+E4326+E4518)</f>
        <v>76651</v>
      </c>
      <c r="F4710" s="1">
        <f t="shared" si="2218"/>
        <v>152051</v>
      </c>
      <c r="G4710" s="1">
        <f t="shared" si="2119"/>
        <v>228702</v>
      </c>
      <c r="H4710" s="2">
        <f t="shared" si="2120"/>
        <v>0.33515666675411671</v>
      </c>
      <c r="I4710" s="2">
        <f t="shared" si="2121"/>
        <v>0.66484333324588329</v>
      </c>
      <c r="J4710" s="1">
        <f t="shared" ref="J4710:K4710" si="2219">SUM(J3942+J4134+J4326+J4518)</f>
        <v>70531.700000000012</v>
      </c>
      <c r="K4710" s="1">
        <f t="shared" si="2219"/>
        <v>445011.60000000003</v>
      </c>
      <c r="L4710" s="1">
        <f t="shared" si="2147"/>
        <v>515543.30000000005</v>
      </c>
      <c r="M4710" s="2">
        <f t="shared" si="2148"/>
        <v>0.13681042892032541</v>
      </c>
      <c r="N4710" s="2">
        <f t="shared" si="2149"/>
        <v>0.86318957107967453</v>
      </c>
    </row>
    <row r="4711" spans="1:14" x14ac:dyDescent="0.35">
      <c r="A4711" t="s">
        <v>37</v>
      </c>
      <c r="B4711" t="s">
        <v>23</v>
      </c>
      <c r="C4711">
        <v>2010</v>
      </c>
      <c r="D4711" t="s">
        <v>33</v>
      </c>
      <c r="E4711" s="1">
        <f t="shared" ref="E4711:F4711" si="2220">SUM(E3943+E4135+E4327+E4519)</f>
        <v>75770</v>
      </c>
      <c r="F4711" s="1">
        <f t="shared" si="2220"/>
        <v>153088</v>
      </c>
      <c r="G4711" s="1">
        <f t="shared" si="2119"/>
        <v>228858</v>
      </c>
      <c r="H4711" s="2">
        <f t="shared" si="2120"/>
        <v>0.3310786601298622</v>
      </c>
      <c r="I4711" s="2">
        <f t="shared" si="2121"/>
        <v>0.6689213398701378</v>
      </c>
      <c r="J4711" s="1">
        <f t="shared" ref="J4711:K4711" si="2221">SUM(J3943+J4135+J4327+J4519)</f>
        <v>102957.31</v>
      </c>
      <c r="K4711" s="1">
        <f t="shared" si="2221"/>
        <v>634543.61</v>
      </c>
      <c r="L4711" s="1">
        <f t="shared" si="2147"/>
        <v>737500.91999999993</v>
      </c>
      <c r="M4711" s="2">
        <f t="shared" si="2148"/>
        <v>0.13960295805461506</v>
      </c>
      <c r="N4711" s="2">
        <f t="shared" si="2149"/>
        <v>0.86039704194538502</v>
      </c>
    </row>
    <row r="4712" spans="1:14" x14ac:dyDescent="0.35">
      <c r="A4712" t="s">
        <v>37</v>
      </c>
      <c r="B4712" t="s">
        <v>24</v>
      </c>
      <c r="C4712">
        <v>2010</v>
      </c>
      <c r="D4712" t="s">
        <v>33</v>
      </c>
      <c r="E4712" s="1">
        <f t="shared" ref="E4712:F4712" si="2222">SUM(E3944+E4136+E4328+E4520)</f>
        <v>74820</v>
      </c>
      <c r="F4712" s="1">
        <f t="shared" si="2222"/>
        <v>154128</v>
      </c>
      <c r="G4712" s="1">
        <f t="shared" si="2119"/>
        <v>228948</v>
      </c>
      <c r="H4712" s="2">
        <f t="shared" si="2120"/>
        <v>0.32679909848524558</v>
      </c>
      <c r="I4712" s="2">
        <f t="shared" si="2121"/>
        <v>0.67320090151475442</v>
      </c>
      <c r="J4712" s="1">
        <f t="shared" ref="J4712:K4712" si="2223">SUM(J3944+J4136+J4328+J4520)</f>
        <v>108098.40000000001</v>
      </c>
      <c r="K4712" s="1">
        <f t="shared" si="2223"/>
        <v>584643.36</v>
      </c>
      <c r="L4712" s="1">
        <f t="shared" si="2147"/>
        <v>692741.76</v>
      </c>
      <c r="M4712" s="2">
        <f t="shared" si="2148"/>
        <v>0.15604429564055733</v>
      </c>
      <c r="N4712" s="2">
        <f t="shared" si="2149"/>
        <v>0.84395570435944267</v>
      </c>
    </row>
    <row r="4713" spans="1:14" x14ac:dyDescent="0.35">
      <c r="A4713" t="s">
        <v>37</v>
      </c>
      <c r="B4713" t="s">
        <v>25</v>
      </c>
      <c r="C4713">
        <v>2010</v>
      </c>
      <c r="D4713" t="s">
        <v>33</v>
      </c>
      <c r="E4713" s="1">
        <f t="shared" ref="E4713:F4713" si="2224">SUM(E3945+E4137+E4329+E4521)</f>
        <v>73735</v>
      </c>
      <c r="F4713" s="1">
        <f t="shared" si="2224"/>
        <v>155411</v>
      </c>
      <c r="G4713" s="1">
        <f t="shared" si="2119"/>
        <v>229146</v>
      </c>
      <c r="H4713" s="2">
        <f t="shared" si="2120"/>
        <v>0.32178174613565153</v>
      </c>
      <c r="I4713" s="2">
        <f t="shared" si="2121"/>
        <v>0.67821825386434853</v>
      </c>
      <c r="J4713" s="1">
        <f t="shared" ref="J4713:K4713" si="2225">SUM(J3945+J4137+J4329+J4521)</f>
        <v>117845.02</v>
      </c>
      <c r="K4713" s="1">
        <f t="shared" si="2225"/>
        <v>694523.66999999993</v>
      </c>
      <c r="L4713" s="1">
        <f t="shared" si="2147"/>
        <v>812368.69</v>
      </c>
      <c r="M4713" s="2">
        <f t="shared" si="2148"/>
        <v>0.1450634686573162</v>
      </c>
      <c r="N4713" s="2">
        <f t="shared" si="2149"/>
        <v>0.85493653134268377</v>
      </c>
    </row>
    <row r="4714" spans="1:14" x14ac:dyDescent="0.35">
      <c r="A4714" t="s">
        <v>37</v>
      </c>
      <c r="B4714" t="s">
        <v>26</v>
      </c>
      <c r="C4714">
        <v>2010</v>
      </c>
      <c r="D4714" t="s">
        <v>33</v>
      </c>
      <c r="E4714" s="1">
        <f t="shared" ref="E4714:F4714" si="2226">SUM(E3946+E4138+E4330+E4522)</f>
        <v>72813</v>
      </c>
      <c r="F4714" s="1">
        <f t="shared" si="2226"/>
        <v>156432</v>
      </c>
      <c r="G4714" s="1">
        <f t="shared" si="2119"/>
        <v>229245</v>
      </c>
      <c r="H4714" s="2">
        <f t="shared" si="2120"/>
        <v>0.31762088595171106</v>
      </c>
      <c r="I4714" s="2">
        <f t="shared" si="2121"/>
        <v>0.68237911404828899</v>
      </c>
      <c r="J4714" s="1">
        <f t="shared" ref="J4714:K4714" si="2227">SUM(J3946+J4138+J4330+J4522)</f>
        <v>107382.97</v>
      </c>
      <c r="K4714" s="1">
        <f t="shared" si="2227"/>
        <v>634140.79999999993</v>
      </c>
      <c r="L4714" s="1">
        <f t="shared" si="2147"/>
        <v>741523.7699999999</v>
      </c>
      <c r="M4714" s="2">
        <f t="shared" si="2148"/>
        <v>0.14481392821702804</v>
      </c>
      <c r="N4714" s="2">
        <f t="shared" si="2149"/>
        <v>0.85518607178297201</v>
      </c>
    </row>
    <row r="4715" spans="1:14" x14ac:dyDescent="0.35">
      <c r="A4715" t="s">
        <v>37</v>
      </c>
      <c r="B4715" t="s">
        <v>27</v>
      </c>
      <c r="C4715">
        <v>2010</v>
      </c>
      <c r="D4715" t="s">
        <v>33</v>
      </c>
      <c r="E4715" s="1">
        <f t="shared" ref="E4715:F4715" si="2228">SUM(E3947+E4139+E4331+E4523)</f>
        <v>71835</v>
      </c>
      <c r="F4715" s="1">
        <f t="shared" si="2228"/>
        <v>157379</v>
      </c>
      <c r="G4715" s="1">
        <f t="shared" si="2119"/>
        <v>229214</v>
      </c>
      <c r="H4715" s="2">
        <f t="shared" si="2120"/>
        <v>0.31339708743794009</v>
      </c>
      <c r="I4715" s="2">
        <f t="shared" si="2121"/>
        <v>0.68660291256205996</v>
      </c>
      <c r="J4715" s="1">
        <f t="shared" ref="J4715:K4715" si="2229">SUM(J3947+J4139+J4331+J4523)</f>
        <v>75920.509999999995</v>
      </c>
      <c r="K4715" s="1">
        <f t="shared" si="2229"/>
        <v>479024.12</v>
      </c>
      <c r="L4715" s="1">
        <f t="shared" si="2147"/>
        <v>554944.63</v>
      </c>
      <c r="M4715" s="2">
        <f t="shared" si="2148"/>
        <v>0.13680736040278468</v>
      </c>
      <c r="N4715" s="2">
        <f t="shared" si="2149"/>
        <v>0.86319263959721526</v>
      </c>
    </row>
    <row r="4716" spans="1:14" x14ac:dyDescent="0.35">
      <c r="A4716" t="s">
        <v>37</v>
      </c>
      <c r="B4716" t="s">
        <v>28</v>
      </c>
      <c r="C4716">
        <v>2010</v>
      </c>
      <c r="D4716" t="s">
        <v>33</v>
      </c>
      <c r="E4716" s="1">
        <f t="shared" ref="E4716:F4716" si="2230">SUM(E3948+E4140+E4332+E4524)</f>
        <v>70944</v>
      </c>
      <c r="F4716" s="1">
        <f t="shared" si="2230"/>
        <v>158469</v>
      </c>
      <c r="G4716" s="1">
        <f t="shared" si="2119"/>
        <v>229413</v>
      </c>
      <c r="H4716" s="2">
        <f t="shared" si="2120"/>
        <v>0.30924141177701353</v>
      </c>
      <c r="I4716" s="2">
        <f t="shared" si="2121"/>
        <v>0.69075858822298652</v>
      </c>
      <c r="J4716" s="1">
        <f t="shared" ref="J4716:K4716" si="2231">SUM(J3948+J4140+J4332+J4524)</f>
        <v>60652.74</v>
      </c>
      <c r="K4716" s="1">
        <f t="shared" si="2231"/>
        <v>467043.98</v>
      </c>
      <c r="L4716" s="1">
        <f t="shared" si="2147"/>
        <v>527696.72</v>
      </c>
      <c r="M4716" s="2">
        <f t="shared" si="2148"/>
        <v>0.11493863369095794</v>
      </c>
      <c r="N4716" s="2">
        <f t="shared" si="2149"/>
        <v>0.88506136630904209</v>
      </c>
    </row>
    <row r="4717" spans="1:14" x14ac:dyDescent="0.35">
      <c r="A4717" t="s">
        <v>37</v>
      </c>
      <c r="B4717" t="s">
        <v>29</v>
      </c>
      <c r="C4717">
        <v>2010</v>
      </c>
      <c r="D4717" t="s">
        <v>33</v>
      </c>
      <c r="E4717" s="1">
        <f t="shared" ref="E4717:F4717" si="2232">SUM(E3949+E4141+E4333+E4525)</f>
        <v>70185</v>
      </c>
      <c r="F4717" s="1">
        <f t="shared" si="2232"/>
        <v>159373</v>
      </c>
      <c r="G4717" s="1">
        <f t="shared" si="2119"/>
        <v>229558</v>
      </c>
      <c r="H4717" s="2">
        <f t="shared" si="2120"/>
        <v>0.30573972590804938</v>
      </c>
      <c r="I4717" s="2">
        <f t="shared" si="2121"/>
        <v>0.69426027409195057</v>
      </c>
      <c r="J4717" s="1">
        <f t="shared" ref="J4717:K4717" si="2233">SUM(J3949+J4141+J4333+J4525)</f>
        <v>63071.77</v>
      </c>
      <c r="K4717" s="1">
        <f t="shared" si="2233"/>
        <v>505385.31</v>
      </c>
      <c r="L4717" s="1">
        <f t="shared" si="2147"/>
        <v>568457.07999999996</v>
      </c>
      <c r="M4717" s="2">
        <f t="shared" si="2148"/>
        <v>0.1109525630325512</v>
      </c>
      <c r="N4717" s="2">
        <f t="shared" si="2149"/>
        <v>0.88904743696744881</v>
      </c>
    </row>
    <row r="4718" spans="1:14" x14ac:dyDescent="0.35">
      <c r="A4718" t="s">
        <v>37</v>
      </c>
      <c r="B4718" t="s">
        <v>17</v>
      </c>
      <c r="C4718">
        <v>2011</v>
      </c>
      <c r="D4718" t="s">
        <v>33</v>
      </c>
      <c r="E4718" s="1">
        <f t="shared" ref="E4718:F4718" si="2234">SUM(E3950+E4142+E4334+E4526)</f>
        <v>69563</v>
      </c>
      <c r="F4718" s="1">
        <f t="shared" si="2234"/>
        <v>160117</v>
      </c>
      <c r="G4718" s="1">
        <f t="shared" si="2119"/>
        <v>229680</v>
      </c>
      <c r="H4718" s="2">
        <f t="shared" si="2120"/>
        <v>0.30286920933472655</v>
      </c>
      <c r="I4718" s="2">
        <f t="shared" si="2121"/>
        <v>0.69713079066527339</v>
      </c>
      <c r="J4718" s="1">
        <f t="shared" ref="J4718:K4718" si="2235">SUM(J3950+J4142+J4334+J4526)</f>
        <v>74211.390000000014</v>
      </c>
      <c r="K4718" s="1">
        <f t="shared" si="2235"/>
        <v>502425.55999999994</v>
      </c>
      <c r="L4718" s="1">
        <f t="shared" si="2147"/>
        <v>576636.94999999995</v>
      </c>
      <c r="M4718" s="2">
        <f t="shared" si="2148"/>
        <v>0.12869690365835906</v>
      </c>
      <c r="N4718" s="2">
        <f t="shared" si="2149"/>
        <v>0.87130309634164094</v>
      </c>
    </row>
    <row r="4719" spans="1:14" x14ac:dyDescent="0.35">
      <c r="A4719" t="s">
        <v>37</v>
      </c>
      <c r="B4719" t="s">
        <v>19</v>
      </c>
      <c r="C4719">
        <v>2011</v>
      </c>
      <c r="D4719" t="s">
        <v>33</v>
      </c>
      <c r="E4719" s="1">
        <f t="shared" ref="E4719:F4719" si="2236">SUM(E3951+E4143+E4335+E4527)</f>
        <v>69025</v>
      </c>
      <c r="F4719" s="1">
        <f t="shared" si="2236"/>
        <v>160922</v>
      </c>
      <c r="G4719" s="1">
        <f t="shared" si="2119"/>
        <v>229947</v>
      </c>
      <c r="H4719" s="2">
        <f t="shared" si="2120"/>
        <v>0.30017786707371696</v>
      </c>
      <c r="I4719" s="2">
        <f t="shared" si="2121"/>
        <v>0.69982213292628304</v>
      </c>
      <c r="J4719" s="1">
        <f t="shared" ref="J4719:K4719" si="2237">SUM(J3951+J4143+J4335+J4527)</f>
        <v>81629.08</v>
      </c>
      <c r="K4719" s="1">
        <f t="shared" si="2237"/>
        <v>505623.25</v>
      </c>
      <c r="L4719" s="1">
        <f t="shared" si="2147"/>
        <v>587252.32999999996</v>
      </c>
      <c r="M4719" s="2">
        <f t="shared" si="2148"/>
        <v>0.13900171328396432</v>
      </c>
      <c r="N4719" s="2">
        <f t="shared" si="2149"/>
        <v>0.86099828671603573</v>
      </c>
    </row>
    <row r="4720" spans="1:14" x14ac:dyDescent="0.35">
      <c r="A4720" t="s">
        <v>37</v>
      </c>
      <c r="B4720" t="s">
        <v>20</v>
      </c>
      <c r="C4720">
        <v>2011</v>
      </c>
      <c r="D4720" t="s">
        <v>33</v>
      </c>
      <c r="E4720" s="1">
        <f t="shared" ref="E4720:F4720" si="2238">SUM(E3952+E4144+E4336+E4528)</f>
        <v>68496</v>
      </c>
      <c r="F4720" s="1">
        <f t="shared" si="2238"/>
        <v>161923</v>
      </c>
      <c r="G4720" s="1">
        <f t="shared" si="2119"/>
        <v>230419</v>
      </c>
      <c r="H4720" s="2">
        <f t="shared" si="2120"/>
        <v>0.29726715244836582</v>
      </c>
      <c r="I4720" s="2">
        <f t="shared" si="2121"/>
        <v>0.70273284755163423</v>
      </c>
      <c r="J4720" s="1">
        <f t="shared" ref="J4720:K4720" si="2239">SUM(J3952+J4144+J4336+J4528)</f>
        <v>60774.33</v>
      </c>
      <c r="K4720" s="1">
        <f t="shared" si="2239"/>
        <v>513568.33000000007</v>
      </c>
      <c r="L4720" s="1">
        <f t="shared" si="2147"/>
        <v>574342.66</v>
      </c>
      <c r="M4720" s="2">
        <f t="shared" si="2148"/>
        <v>0.10581545518488911</v>
      </c>
      <c r="N4720" s="2">
        <f t="shared" si="2149"/>
        <v>0.894184544815111</v>
      </c>
    </row>
    <row r="4721" spans="1:14" x14ac:dyDescent="0.35">
      <c r="A4721" t="s">
        <v>37</v>
      </c>
      <c r="B4721" t="s">
        <v>21</v>
      </c>
      <c r="C4721">
        <v>2011</v>
      </c>
      <c r="D4721" t="s">
        <v>33</v>
      </c>
      <c r="E4721" s="1">
        <f t="shared" ref="E4721:F4721" si="2240">SUM(E3953+E4145+E4337+E4529)</f>
        <v>67789</v>
      </c>
      <c r="F4721" s="1">
        <f t="shared" si="2240"/>
        <v>162850</v>
      </c>
      <c r="G4721" s="1">
        <f t="shared" si="2119"/>
        <v>230639</v>
      </c>
      <c r="H4721" s="2">
        <f t="shared" si="2120"/>
        <v>0.29391820117152778</v>
      </c>
      <c r="I4721" s="2">
        <f t="shared" si="2121"/>
        <v>0.70608179882847222</v>
      </c>
      <c r="J4721" s="1">
        <f t="shared" ref="J4721:K4721" si="2241">SUM(J3953+J4145+J4337+J4529)</f>
        <v>60050.799999999996</v>
      </c>
      <c r="K4721" s="1">
        <f t="shared" si="2241"/>
        <v>461973.86</v>
      </c>
      <c r="L4721" s="1">
        <f t="shared" si="2147"/>
        <v>522024.66</v>
      </c>
      <c r="M4721" s="2">
        <f t="shared" si="2148"/>
        <v>0.11503441235898702</v>
      </c>
      <c r="N4721" s="2">
        <f t="shared" si="2149"/>
        <v>0.88496558764101296</v>
      </c>
    </row>
    <row r="4722" spans="1:14" x14ac:dyDescent="0.35">
      <c r="A4722" t="s">
        <v>37</v>
      </c>
      <c r="B4722" t="s">
        <v>22</v>
      </c>
      <c r="C4722">
        <v>2011</v>
      </c>
      <c r="D4722" t="s">
        <v>33</v>
      </c>
      <c r="E4722" s="1">
        <f t="shared" ref="E4722:F4722" si="2242">SUM(E3954+E4146+E4338+E4530)</f>
        <v>67273</v>
      </c>
      <c r="F4722" s="1">
        <f t="shared" si="2242"/>
        <v>163636</v>
      </c>
      <c r="G4722" s="1">
        <f t="shared" si="2119"/>
        <v>230909</v>
      </c>
      <c r="H4722" s="2">
        <f t="shared" si="2120"/>
        <v>0.2913398784802671</v>
      </c>
      <c r="I4722" s="2">
        <f t="shared" si="2121"/>
        <v>0.7086601215197329</v>
      </c>
      <c r="J4722" s="1">
        <f t="shared" ref="J4722:K4722" si="2243">SUM(J3954+J4146+J4338+J4530)</f>
        <v>67394.33</v>
      </c>
      <c r="K4722" s="1">
        <f t="shared" si="2243"/>
        <v>523518.37</v>
      </c>
      <c r="L4722" s="1">
        <f t="shared" si="2147"/>
        <v>590912.69999999995</v>
      </c>
      <c r="M4722" s="2">
        <f t="shared" si="2148"/>
        <v>0.11405124648700224</v>
      </c>
      <c r="N4722" s="2">
        <f t="shared" si="2149"/>
        <v>0.88594875351299784</v>
      </c>
    </row>
    <row r="4723" spans="1:14" x14ac:dyDescent="0.35">
      <c r="A4723" t="s">
        <v>37</v>
      </c>
      <c r="B4723" t="s">
        <v>23</v>
      </c>
      <c r="C4723">
        <v>2011</v>
      </c>
      <c r="D4723" t="s">
        <v>33</v>
      </c>
      <c r="E4723" s="1">
        <f t="shared" ref="E4723:F4723" si="2244">SUM(E3955+E4147+E4339+E4531)</f>
        <v>66786</v>
      </c>
      <c r="F4723" s="1">
        <f t="shared" si="2244"/>
        <v>164279</v>
      </c>
      <c r="G4723" s="1">
        <f t="shared" si="2119"/>
        <v>231065</v>
      </c>
      <c r="H4723" s="2">
        <f t="shared" si="2120"/>
        <v>0.28903555276653753</v>
      </c>
      <c r="I4723" s="2">
        <f t="shared" si="2121"/>
        <v>0.71096444723346242</v>
      </c>
      <c r="J4723" s="1">
        <f t="shared" ref="J4723:K4723" si="2245">SUM(J3955+J4147+J4339+J4531)</f>
        <v>91716.88</v>
      </c>
      <c r="K4723" s="1">
        <f t="shared" si="2245"/>
        <v>638154.48</v>
      </c>
      <c r="L4723" s="1">
        <f t="shared" si="2147"/>
        <v>729871.35999999999</v>
      </c>
      <c r="M4723" s="2">
        <f t="shared" si="2148"/>
        <v>0.12566170564632104</v>
      </c>
      <c r="N4723" s="2">
        <f t="shared" si="2149"/>
        <v>0.87433829435367894</v>
      </c>
    </row>
    <row r="4724" spans="1:14" x14ac:dyDescent="0.35">
      <c r="A4724" t="s">
        <v>37</v>
      </c>
      <c r="B4724" t="s">
        <v>24</v>
      </c>
      <c r="C4724">
        <v>2011</v>
      </c>
      <c r="D4724" t="s">
        <v>33</v>
      </c>
      <c r="E4724" s="1">
        <f t="shared" ref="E4724:F4724" si="2246">SUM(E3956+E4148+E4340+E4532)</f>
        <v>66439</v>
      </c>
      <c r="F4724" s="1">
        <f t="shared" si="2246"/>
        <v>164831</v>
      </c>
      <c r="G4724" s="1">
        <f t="shared" si="2119"/>
        <v>231270</v>
      </c>
      <c r="H4724" s="2">
        <f t="shared" si="2120"/>
        <v>0.28727893803779131</v>
      </c>
      <c r="I4724" s="2">
        <f t="shared" si="2121"/>
        <v>0.71272106196220864</v>
      </c>
      <c r="J4724" s="1">
        <f t="shared" ref="J4724:K4724" si="2247">SUM(J3956+J4148+J4340+J4532)</f>
        <v>110425.07</v>
      </c>
      <c r="K4724" s="1">
        <f t="shared" si="2247"/>
        <v>702638.70000000007</v>
      </c>
      <c r="L4724" s="1">
        <f t="shared" si="2147"/>
        <v>813063.77</v>
      </c>
      <c r="M4724" s="2">
        <f t="shared" si="2148"/>
        <v>0.13581354141508484</v>
      </c>
      <c r="N4724" s="2">
        <f t="shared" si="2149"/>
        <v>0.86418645858491527</v>
      </c>
    </row>
    <row r="4725" spans="1:14" x14ac:dyDescent="0.35">
      <c r="A4725" t="s">
        <v>37</v>
      </c>
      <c r="B4725" t="s">
        <v>25</v>
      </c>
      <c r="C4725">
        <v>2011</v>
      </c>
      <c r="D4725" t="s">
        <v>33</v>
      </c>
      <c r="E4725" s="1">
        <f t="shared" ref="E4725:F4725" si="2248">SUM(E3957+E4149+E4341+E4533)</f>
        <v>66293</v>
      </c>
      <c r="F4725" s="1">
        <f t="shared" si="2248"/>
        <v>165253</v>
      </c>
      <c r="G4725" s="1">
        <f t="shared" si="2119"/>
        <v>231546</v>
      </c>
      <c r="H4725" s="2">
        <f t="shared" si="2120"/>
        <v>0.28630596080260512</v>
      </c>
      <c r="I4725" s="2">
        <f t="shared" si="2121"/>
        <v>0.71369403919739494</v>
      </c>
      <c r="J4725" s="1">
        <f t="shared" ref="J4725:K4725" si="2249">SUM(J3957+J4149+J4341+J4533)</f>
        <v>116203.56999999999</v>
      </c>
      <c r="K4725" s="1">
        <f t="shared" si="2249"/>
        <v>768751.05999999994</v>
      </c>
      <c r="L4725" s="1">
        <f t="shared" si="2147"/>
        <v>884954.62999999989</v>
      </c>
      <c r="M4725" s="2">
        <f t="shared" si="2148"/>
        <v>0.13131020061446541</v>
      </c>
      <c r="N4725" s="2">
        <f t="shared" si="2149"/>
        <v>0.86868979938553459</v>
      </c>
    </row>
    <row r="4726" spans="1:14" x14ac:dyDescent="0.35">
      <c r="A4726" t="s">
        <v>37</v>
      </c>
      <c r="B4726" t="s">
        <v>26</v>
      </c>
      <c r="C4726">
        <v>2011</v>
      </c>
      <c r="D4726" t="s">
        <v>33</v>
      </c>
      <c r="E4726" s="1">
        <f t="shared" ref="E4726:F4726" si="2250">SUM(E3958+E4150+E4342+E4534)</f>
        <v>66309</v>
      </c>
      <c r="F4726" s="1">
        <f t="shared" si="2250"/>
        <v>165305</v>
      </c>
      <c r="G4726" s="1">
        <f t="shared" si="2119"/>
        <v>231614</v>
      </c>
      <c r="H4726" s="2">
        <f t="shared" si="2120"/>
        <v>0.28629098413740101</v>
      </c>
      <c r="I4726" s="2">
        <f t="shared" si="2121"/>
        <v>0.71370901586259894</v>
      </c>
      <c r="J4726" s="1">
        <f t="shared" ref="J4726:K4726" si="2251">SUM(J3958+J4150+J4342+J4534)</f>
        <v>106123.8</v>
      </c>
      <c r="K4726" s="1">
        <f t="shared" si="2251"/>
        <v>707562.37</v>
      </c>
      <c r="L4726" s="1">
        <f t="shared" si="2147"/>
        <v>813686.17</v>
      </c>
      <c r="M4726" s="2">
        <f t="shared" si="2148"/>
        <v>0.13042350222076404</v>
      </c>
      <c r="N4726" s="2">
        <f t="shared" si="2149"/>
        <v>0.86957649777923585</v>
      </c>
    </row>
    <row r="4727" spans="1:14" x14ac:dyDescent="0.35">
      <c r="A4727" t="s">
        <v>37</v>
      </c>
      <c r="B4727" t="s">
        <v>27</v>
      </c>
      <c r="C4727">
        <v>2011</v>
      </c>
      <c r="D4727" t="s">
        <v>33</v>
      </c>
      <c r="E4727" s="1">
        <f t="shared" ref="E4727:F4727" si="2252">SUM(E3959+E4151+E4343+E4535)</f>
        <v>64811</v>
      </c>
      <c r="F4727" s="1">
        <f t="shared" si="2252"/>
        <v>166552</v>
      </c>
      <c r="G4727" s="1">
        <f t="shared" ref="G4727:G4790" si="2253">SUM(E4727:F4727)</f>
        <v>231363</v>
      </c>
      <c r="H4727" s="2">
        <f t="shared" ref="H4727:H4790" si="2254">SUM(E4727)/G4727</f>
        <v>0.28012690015257408</v>
      </c>
      <c r="I4727" s="2">
        <f t="shared" ref="I4727:I4790" si="2255">SUM(F4727/G4727)</f>
        <v>0.71987309984742587</v>
      </c>
      <c r="J4727" s="1">
        <f t="shared" ref="J4727:K4727" si="2256">SUM(J3959+J4151+J4343+J4535)</f>
        <v>72731.430000000008</v>
      </c>
      <c r="K4727" s="1">
        <f t="shared" si="2256"/>
        <v>542545.78</v>
      </c>
      <c r="L4727" s="1">
        <f t="shared" si="2147"/>
        <v>615277.21000000008</v>
      </c>
      <c r="M4727" s="2">
        <f t="shared" si="2148"/>
        <v>0.11820920524587608</v>
      </c>
      <c r="N4727" s="2">
        <f t="shared" si="2149"/>
        <v>0.88179079475412381</v>
      </c>
    </row>
    <row r="4728" spans="1:14" x14ac:dyDescent="0.35">
      <c r="A4728" t="s">
        <v>37</v>
      </c>
      <c r="B4728" t="s">
        <v>28</v>
      </c>
      <c r="C4728">
        <v>2011</v>
      </c>
      <c r="D4728" t="s">
        <v>33</v>
      </c>
      <c r="E4728" s="1">
        <f t="shared" ref="E4728:F4728" si="2257">SUM(E3960+E4152+E4344+E4536)</f>
        <v>64020</v>
      </c>
      <c r="F4728" s="1">
        <f t="shared" si="2257"/>
        <v>167352</v>
      </c>
      <c r="G4728" s="1">
        <f t="shared" si="2253"/>
        <v>231372</v>
      </c>
      <c r="H4728" s="2">
        <f t="shared" si="2254"/>
        <v>0.27669726673927703</v>
      </c>
      <c r="I4728" s="2">
        <f t="shared" si="2255"/>
        <v>0.72330273326072303</v>
      </c>
      <c r="J4728" s="1">
        <f t="shared" ref="J4728:K4728" si="2258">SUM(J3960+J4152+J4344+J4536)</f>
        <v>55718.649999999994</v>
      </c>
      <c r="K4728" s="1">
        <f t="shared" si="2258"/>
        <v>501444.9</v>
      </c>
      <c r="L4728" s="1">
        <f t="shared" si="2147"/>
        <v>557163.55000000005</v>
      </c>
      <c r="M4728" s="2">
        <f t="shared" si="2148"/>
        <v>0.10000411907778244</v>
      </c>
      <c r="N4728" s="2">
        <f t="shared" si="2149"/>
        <v>0.89999588092221749</v>
      </c>
    </row>
    <row r="4729" spans="1:14" x14ac:dyDescent="0.35">
      <c r="A4729" t="s">
        <v>37</v>
      </c>
      <c r="B4729" t="s">
        <v>29</v>
      </c>
      <c r="C4729">
        <v>2011</v>
      </c>
      <c r="D4729" t="s">
        <v>33</v>
      </c>
      <c r="E4729" s="1">
        <f t="shared" ref="E4729:F4729" si="2259">SUM(E3961+E4153+E4345+E4537)</f>
        <v>63540</v>
      </c>
      <c r="F4729" s="1">
        <f t="shared" si="2259"/>
        <v>168012</v>
      </c>
      <c r="G4729" s="1">
        <f t="shared" si="2253"/>
        <v>231552</v>
      </c>
      <c r="H4729" s="2">
        <f t="shared" si="2254"/>
        <v>0.27440920398009949</v>
      </c>
      <c r="I4729" s="2">
        <f t="shared" si="2255"/>
        <v>0.72559079601990051</v>
      </c>
      <c r="J4729" s="1">
        <f t="shared" ref="J4729:K4729" si="2260">SUM(J3961+J4153+J4345+J4537)</f>
        <v>59610.1</v>
      </c>
      <c r="K4729" s="1">
        <f t="shared" si="2260"/>
        <v>542053.75999999989</v>
      </c>
      <c r="L4729" s="1">
        <f t="shared" si="2147"/>
        <v>601663.85999999987</v>
      </c>
      <c r="M4729" s="2">
        <f t="shared" si="2148"/>
        <v>9.9075420617751597E-2</v>
      </c>
      <c r="N4729" s="2">
        <f t="shared" si="2149"/>
        <v>0.90092457938224846</v>
      </c>
    </row>
    <row r="4730" spans="1:14" x14ac:dyDescent="0.35">
      <c r="A4730" t="s">
        <v>37</v>
      </c>
      <c r="B4730" t="s">
        <v>17</v>
      </c>
      <c r="C4730">
        <v>2012</v>
      </c>
      <c r="D4730" t="s">
        <v>33</v>
      </c>
      <c r="E4730" s="1">
        <f t="shared" ref="E4730:F4730" si="2261">SUM(E3962+E4154+E4346+E4538)</f>
        <v>63211</v>
      </c>
      <c r="F4730" s="1">
        <f t="shared" si="2261"/>
        <v>168129</v>
      </c>
      <c r="G4730" s="1">
        <f t="shared" si="2253"/>
        <v>231340</v>
      </c>
      <c r="H4730" s="2">
        <f t="shared" si="2254"/>
        <v>0.2732385233854932</v>
      </c>
      <c r="I4730" s="2">
        <f t="shared" si="2255"/>
        <v>0.72676147661450674</v>
      </c>
      <c r="J4730" s="1">
        <f t="shared" ref="J4730:K4730" si="2262">SUM(J3962+J4154+J4346+J4538)</f>
        <v>65108.97</v>
      </c>
      <c r="K4730" s="1">
        <f t="shared" si="2262"/>
        <v>494671.20000000007</v>
      </c>
      <c r="L4730" s="1">
        <f t="shared" si="2147"/>
        <v>559780.17000000004</v>
      </c>
      <c r="M4730" s="2">
        <f t="shared" si="2148"/>
        <v>0.11631167642112081</v>
      </c>
      <c r="N4730" s="2">
        <f t="shared" si="2149"/>
        <v>0.88368832357887928</v>
      </c>
    </row>
    <row r="4731" spans="1:14" x14ac:dyDescent="0.35">
      <c r="A4731" t="s">
        <v>37</v>
      </c>
      <c r="B4731" t="s">
        <v>19</v>
      </c>
      <c r="C4731">
        <v>2012</v>
      </c>
      <c r="D4731" t="s">
        <v>33</v>
      </c>
      <c r="E4731" s="1">
        <f t="shared" ref="E4731:F4731" si="2263">SUM(E3963+E4155+E4347+E4539)</f>
        <v>62593</v>
      </c>
      <c r="F4731" s="1">
        <f t="shared" si="2263"/>
        <v>168753</v>
      </c>
      <c r="G4731" s="1">
        <f t="shared" si="2253"/>
        <v>231346</v>
      </c>
      <c r="H4731" s="2">
        <f t="shared" si="2254"/>
        <v>0.27056011342318431</v>
      </c>
      <c r="I4731" s="2">
        <f t="shared" si="2255"/>
        <v>0.72943988657681569</v>
      </c>
      <c r="J4731" s="1">
        <f t="shared" ref="J4731:K4731" si="2264">SUM(J3963+J4155+J4347+J4539)</f>
        <v>59661.700000000004</v>
      </c>
      <c r="K4731" s="1">
        <f t="shared" si="2264"/>
        <v>511611.95</v>
      </c>
      <c r="L4731" s="1">
        <f t="shared" si="2147"/>
        <v>571273.65</v>
      </c>
      <c r="M4731" s="2">
        <f t="shared" si="2148"/>
        <v>0.10443628898339702</v>
      </c>
      <c r="N4731" s="2">
        <f t="shared" si="2149"/>
        <v>0.89556371101660293</v>
      </c>
    </row>
    <row r="4732" spans="1:14" x14ac:dyDescent="0.35">
      <c r="A4732" t="s">
        <v>37</v>
      </c>
      <c r="B4732" t="s">
        <v>20</v>
      </c>
      <c r="C4732">
        <v>2012</v>
      </c>
      <c r="D4732" t="s">
        <v>33</v>
      </c>
      <c r="E4732" s="1">
        <f t="shared" ref="E4732:F4732" si="2265">SUM(E3964+E4156+E4348+E4540)</f>
        <v>62174</v>
      </c>
      <c r="F4732" s="1">
        <f t="shared" si="2265"/>
        <v>169995</v>
      </c>
      <c r="G4732" s="1">
        <f t="shared" si="2253"/>
        <v>232169</v>
      </c>
      <c r="H4732" s="2">
        <f t="shared" si="2254"/>
        <v>0.26779630355473816</v>
      </c>
      <c r="I4732" s="2">
        <f t="shared" si="2255"/>
        <v>0.73220369644526184</v>
      </c>
      <c r="J4732" s="1">
        <f t="shared" ref="J4732:K4732" si="2266">SUM(J3964+J4156+J4348+J4540)</f>
        <v>55367.35</v>
      </c>
      <c r="K4732" s="1">
        <f t="shared" si="2266"/>
        <v>479869.7</v>
      </c>
      <c r="L4732" s="1">
        <f t="shared" si="2147"/>
        <v>535237.05000000005</v>
      </c>
      <c r="M4732" s="2">
        <f t="shared" si="2148"/>
        <v>0.10344453919996756</v>
      </c>
      <c r="N4732" s="2">
        <f t="shared" si="2149"/>
        <v>0.89655546080003234</v>
      </c>
    </row>
    <row r="4733" spans="1:14" x14ac:dyDescent="0.35">
      <c r="A4733" t="s">
        <v>37</v>
      </c>
      <c r="B4733" t="s">
        <v>21</v>
      </c>
      <c r="C4733">
        <v>2012</v>
      </c>
      <c r="D4733" t="s">
        <v>33</v>
      </c>
      <c r="E4733" s="1">
        <f t="shared" ref="E4733:F4733" si="2267">SUM(E3965+E4157+E4349+E4541)</f>
        <v>61751</v>
      </c>
      <c r="F4733" s="1">
        <f t="shared" si="2267"/>
        <v>170770</v>
      </c>
      <c r="G4733" s="1">
        <f t="shared" si="2253"/>
        <v>232521</v>
      </c>
      <c r="H4733" s="2">
        <f t="shared" si="2254"/>
        <v>0.26557171180237482</v>
      </c>
      <c r="I4733" s="2">
        <f t="shared" si="2255"/>
        <v>0.73442828819762518</v>
      </c>
      <c r="J4733" s="1">
        <f t="shared" ref="J4733:K4733" si="2268">SUM(J3965+J4157+J4349+J4541)</f>
        <v>56342.080000000002</v>
      </c>
      <c r="K4733" s="1">
        <f t="shared" si="2268"/>
        <v>503015.57999999996</v>
      </c>
      <c r="L4733" s="1">
        <f t="shared" si="2147"/>
        <v>559357.65999999992</v>
      </c>
      <c r="M4733" s="2">
        <f t="shared" si="2148"/>
        <v>0.10072639391404778</v>
      </c>
      <c r="N4733" s="2">
        <f t="shared" si="2149"/>
        <v>0.8992736060859523</v>
      </c>
    </row>
    <row r="4734" spans="1:14" x14ac:dyDescent="0.35">
      <c r="A4734" t="s">
        <v>37</v>
      </c>
      <c r="B4734" t="s">
        <v>22</v>
      </c>
      <c r="C4734">
        <v>2012</v>
      </c>
      <c r="D4734" t="s">
        <v>33</v>
      </c>
      <c r="E4734" s="1">
        <f t="shared" ref="E4734:F4734" si="2269">SUM(E3966+E4158+E4350+E4542)</f>
        <v>60020</v>
      </c>
      <c r="F4734" s="1">
        <f t="shared" si="2269"/>
        <v>172571</v>
      </c>
      <c r="G4734" s="1">
        <f t="shared" si="2253"/>
        <v>232591</v>
      </c>
      <c r="H4734" s="2">
        <f t="shared" si="2254"/>
        <v>0.25804953760033705</v>
      </c>
      <c r="I4734" s="2">
        <f t="shared" si="2255"/>
        <v>0.74195046239966289</v>
      </c>
      <c r="J4734" s="1">
        <f t="shared" ref="J4734:K4734" si="2270">SUM(J3966+J4158+J4350+J4542)</f>
        <v>61709.570000000007</v>
      </c>
      <c r="K4734" s="1">
        <f t="shared" si="2270"/>
        <v>573873.82999999996</v>
      </c>
      <c r="L4734" s="1">
        <f t="shared" si="2147"/>
        <v>635583.39999999991</v>
      </c>
      <c r="M4734" s="2">
        <f t="shared" si="2148"/>
        <v>9.709122359079865E-2</v>
      </c>
      <c r="N4734" s="2">
        <f t="shared" si="2149"/>
        <v>0.90290877640920142</v>
      </c>
    </row>
    <row r="4735" spans="1:14" x14ac:dyDescent="0.35">
      <c r="A4735" t="s">
        <v>37</v>
      </c>
      <c r="B4735" t="s">
        <v>23</v>
      </c>
      <c r="C4735">
        <v>2012</v>
      </c>
      <c r="D4735" t="s">
        <v>33</v>
      </c>
      <c r="E4735" s="1">
        <f t="shared" ref="E4735:F4735" si="2271">SUM(E3967+E4159+E4351+E4543)</f>
        <v>53134</v>
      </c>
      <c r="F4735" s="1">
        <f t="shared" si="2271"/>
        <v>179688</v>
      </c>
      <c r="G4735" s="1">
        <f t="shared" si="2253"/>
        <v>232822</v>
      </c>
      <c r="H4735" s="2">
        <f t="shared" si="2254"/>
        <v>0.22821726469148104</v>
      </c>
      <c r="I4735" s="2">
        <f t="shared" si="2255"/>
        <v>0.77178273530851893</v>
      </c>
      <c r="J4735" s="1">
        <f t="shared" ref="J4735:K4735" si="2272">SUM(J3967+J4159+J4351+J4543)</f>
        <v>59182.71</v>
      </c>
      <c r="K4735" s="1">
        <f t="shared" si="2272"/>
        <v>667003.89</v>
      </c>
      <c r="L4735" s="1">
        <f t="shared" si="2147"/>
        <v>726186.6</v>
      </c>
      <c r="M4735" s="2">
        <f t="shared" si="2148"/>
        <v>8.1497937307022747E-2</v>
      </c>
      <c r="N4735" s="2">
        <f t="shared" si="2149"/>
        <v>0.91850206269297729</v>
      </c>
    </row>
    <row r="4736" spans="1:14" x14ac:dyDescent="0.35">
      <c r="A4736" t="s">
        <v>37</v>
      </c>
      <c r="B4736" t="s">
        <v>24</v>
      </c>
      <c r="C4736">
        <v>2012</v>
      </c>
      <c r="D4736" t="s">
        <v>33</v>
      </c>
      <c r="E4736" s="1">
        <f t="shared" ref="E4736:F4736" si="2273">SUM(E3968+E4160+E4352+E4544)</f>
        <v>50525</v>
      </c>
      <c r="F4736" s="1">
        <f t="shared" si="2273"/>
        <v>182429</v>
      </c>
      <c r="G4736" s="1">
        <f t="shared" si="2253"/>
        <v>232954</v>
      </c>
      <c r="H4736" s="2">
        <f t="shared" si="2254"/>
        <v>0.21688831271409806</v>
      </c>
      <c r="I4736" s="2">
        <f t="shared" si="2255"/>
        <v>0.78311168728590197</v>
      </c>
      <c r="J4736" s="1">
        <f t="shared" ref="J4736:K4736" si="2274">SUM(J3968+J4160+J4352+J4544)</f>
        <v>65169.65</v>
      </c>
      <c r="K4736" s="1">
        <f t="shared" si="2274"/>
        <v>718833.03</v>
      </c>
      <c r="L4736" s="1">
        <f t="shared" si="2147"/>
        <v>784002.68</v>
      </c>
      <c r="M4736" s="2">
        <f t="shared" si="2148"/>
        <v>8.312426942214024E-2</v>
      </c>
      <c r="N4736" s="2">
        <f t="shared" si="2149"/>
        <v>0.91687573057785976</v>
      </c>
    </row>
    <row r="4737" spans="1:14" x14ac:dyDescent="0.35">
      <c r="A4737" t="s">
        <v>37</v>
      </c>
      <c r="B4737" t="s">
        <v>25</v>
      </c>
      <c r="C4737">
        <v>2012</v>
      </c>
      <c r="D4737" t="s">
        <v>33</v>
      </c>
      <c r="E4737" s="1">
        <f t="shared" ref="E4737:F4737" si="2275">SUM(E3969+E4161+E4353+E4545)</f>
        <v>50087</v>
      </c>
      <c r="F4737" s="1">
        <f t="shared" si="2275"/>
        <v>183135</v>
      </c>
      <c r="G4737" s="1">
        <f t="shared" si="2253"/>
        <v>233222</v>
      </c>
      <c r="H4737" s="2">
        <f t="shared" si="2254"/>
        <v>0.21476104312629168</v>
      </c>
      <c r="I4737" s="2">
        <f t="shared" si="2255"/>
        <v>0.78523895687370826</v>
      </c>
      <c r="J4737" s="1">
        <f t="shared" ref="J4737:K4737" si="2276">SUM(J3969+J4161+J4353+J4545)</f>
        <v>74912.319999999992</v>
      </c>
      <c r="K4737" s="1">
        <f t="shared" si="2276"/>
        <v>816689.9</v>
      </c>
      <c r="L4737" s="1">
        <f t="shared" si="2147"/>
        <v>891602.22</v>
      </c>
      <c r="M4737" s="2">
        <f t="shared" si="2148"/>
        <v>8.4019889497359029E-2</v>
      </c>
      <c r="N4737" s="2">
        <f t="shared" si="2149"/>
        <v>0.91598011050264105</v>
      </c>
    </row>
    <row r="4738" spans="1:14" x14ac:dyDescent="0.35">
      <c r="A4738" t="s">
        <v>37</v>
      </c>
      <c r="B4738" t="s">
        <v>26</v>
      </c>
      <c r="C4738">
        <v>2012</v>
      </c>
      <c r="D4738" t="s">
        <v>33</v>
      </c>
      <c r="E4738" s="1">
        <f t="shared" ref="E4738:F4738" si="2277">SUM(E3970+E4162+E4354+E4546)</f>
        <v>49636</v>
      </c>
      <c r="F4738" s="1">
        <f t="shared" si="2277"/>
        <v>183695</v>
      </c>
      <c r="G4738" s="1">
        <f t="shared" si="2253"/>
        <v>233331</v>
      </c>
      <c r="H4738" s="2">
        <f t="shared" si="2254"/>
        <v>0.21272784156412994</v>
      </c>
      <c r="I4738" s="2">
        <f t="shared" si="2255"/>
        <v>0.78727215843587006</v>
      </c>
      <c r="J4738" s="1">
        <f t="shared" ref="J4738:K4738" si="2278">SUM(J3970+J4162+J4354+J4546)</f>
        <v>61616.51</v>
      </c>
      <c r="K4738" s="1">
        <f t="shared" si="2278"/>
        <v>701030.16</v>
      </c>
      <c r="L4738" s="1">
        <f t="shared" si="2147"/>
        <v>762646.67</v>
      </c>
      <c r="M4738" s="2">
        <f t="shared" si="2148"/>
        <v>8.0792996840856848E-2</v>
      </c>
      <c r="N4738" s="2">
        <f t="shared" si="2149"/>
        <v>0.91920700315914317</v>
      </c>
    </row>
    <row r="4739" spans="1:14" x14ac:dyDescent="0.35">
      <c r="A4739" t="s">
        <v>37</v>
      </c>
      <c r="B4739" t="s">
        <v>27</v>
      </c>
      <c r="C4739">
        <v>2012</v>
      </c>
      <c r="D4739" t="s">
        <v>33</v>
      </c>
      <c r="E4739" s="1">
        <f t="shared" ref="E4739:F4739" si="2279">SUM(E3971+E4163+E4355+E4547)</f>
        <v>49179</v>
      </c>
      <c r="F4739" s="1">
        <f t="shared" si="2279"/>
        <v>184261</v>
      </c>
      <c r="G4739" s="1">
        <f t="shared" si="2253"/>
        <v>233440</v>
      </c>
      <c r="H4739" s="2">
        <f t="shared" si="2254"/>
        <v>0.21067083618917065</v>
      </c>
      <c r="I4739" s="2">
        <f t="shared" si="2255"/>
        <v>0.78932916381082929</v>
      </c>
      <c r="J4739" s="1">
        <f t="shared" ref="J4739:K4739" si="2280">SUM(J3971+J4163+J4355+J4547)</f>
        <v>42023.49</v>
      </c>
      <c r="K4739" s="1">
        <f t="shared" si="2280"/>
        <v>599565.71</v>
      </c>
      <c r="L4739" s="1">
        <f t="shared" ref="L4739:L4801" si="2281">SUM(J4739:K4739)</f>
        <v>641589.19999999995</v>
      </c>
      <c r="M4739" s="2">
        <f t="shared" ref="M4739:M4801" si="2282">SUM(J4739)/L4739</f>
        <v>6.549906076972617E-2</v>
      </c>
      <c r="N4739" s="2">
        <f t="shared" ref="N4739:N4801" si="2283">SUM(K4739/L4739)</f>
        <v>0.93450093923027389</v>
      </c>
    </row>
    <row r="4740" spans="1:14" x14ac:dyDescent="0.35">
      <c r="A4740" t="s">
        <v>37</v>
      </c>
      <c r="B4740" t="s">
        <v>28</v>
      </c>
      <c r="C4740">
        <v>2012</v>
      </c>
      <c r="D4740" t="s">
        <v>33</v>
      </c>
      <c r="E4740" s="1">
        <f t="shared" ref="E4740:F4740" si="2284">SUM(E3972+E4164+E4356+E4548)</f>
        <v>48782</v>
      </c>
      <c r="F4740" s="1">
        <f t="shared" si="2284"/>
        <v>184728</v>
      </c>
      <c r="G4740" s="1">
        <f t="shared" si="2253"/>
        <v>233510</v>
      </c>
      <c r="H4740" s="2">
        <f t="shared" si="2254"/>
        <v>0.20890754143291507</v>
      </c>
      <c r="I4740" s="2">
        <f t="shared" si="2255"/>
        <v>0.79109245856708488</v>
      </c>
      <c r="J4740" s="1">
        <f t="shared" ref="J4740:K4740" si="2285">SUM(J3972+J4164+J4356+J4548)</f>
        <v>34385.99</v>
      </c>
      <c r="K4740" s="1">
        <f t="shared" si="2285"/>
        <v>572234.30000000005</v>
      </c>
      <c r="L4740" s="1">
        <f t="shared" si="2281"/>
        <v>606620.29</v>
      </c>
      <c r="M4740" s="2">
        <f t="shared" si="2282"/>
        <v>5.6684536549214327E-2</v>
      </c>
      <c r="N4740" s="2">
        <f t="shared" si="2283"/>
        <v>0.94331546345078565</v>
      </c>
    </row>
    <row r="4741" spans="1:14" x14ac:dyDescent="0.35">
      <c r="A4741" t="s">
        <v>37</v>
      </c>
      <c r="B4741" t="s">
        <v>29</v>
      </c>
      <c r="C4741">
        <v>2012</v>
      </c>
      <c r="D4741" t="s">
        <v>33</v>
      </c>
      <c r="E4741" s="1">
        <f t="shared" ref="E4741:F4741" si="2286">SUM(E3973+E4165+E4357+E4549)</f>
        <v>48448</v>
      </c>
      <c r="F4741" s="1">
        <f t="shared" si="2286"/>
        <v>185147</v>
      </c>
      <c r="G4741" s="1">
        <f t="shared" si="2253"/>
        <v>233595</v>
      </c>
      <c r="H4741" s="2">
        <f t="shared" si="2254"/>
        <v>0.20740169952267815</v>
      </c>
      <c r="I4741" s="2">
        <f t="shared" si="2255"/>
        <v>0.79259830047732183</v>
      </c>
      <c r="J4741" s="1">
        <f t="shared" ref="J4741:K4741" si="2287">SUM(J3973+J4165+J4357+J4549)</f>
        <v>34628.99</v>
      </c>
      <c r="K4741" s="1">
        <f t="shared" si="2287"/>
        <v>558012.63</v>
      </c>
      <c r="L4741" s="1">
        <f t="shared" si="2281"/>
        <v>592641.62</v>
      </c>
      <c r="M4741" s="2">
        <f t="shared" si="2282"/>
        <v>5.8431586360741923E-2</v>
      </c>
      <c r="N4741" s="2">
        <f t="shared" si="2283"/>
        <v>0.94156841363925814</v>
      </c>
    </row>
    <row r="4742" spans="1:14" x14ac:dyDescent="0.35">
      <c r="A4742" t="s">
        <v>37</v>
      </c>
      <c r="B4742" t="s">
        <v>17</v>
      </c>
      <c r="C4742">
        <v>2013</v>
      </c>
      <c r="D4742" t="s">
        <v>33</v>
      </c>
      <c r="E4742" s="1">
        <f t="shared" ref="E4742:F4742" si="2288">SUM(E3974+E4166+E4358+E4550)</f>
        <v>48315</v>
      </c>
      <c r="F4742" s="1">
        <f t="shared" si="2288"/>
        <v>186620</v>
      </c>
      <c r="G4742" s="1">
        <f t="shared" si="2253"/>
        <v>234935</v>
      </c>
      <c r="H4742" s="2">
        <f t="shared" si="2254"/>
        <v>0.2056526273224509</v>
      </c>
      <c r="I4742" s="2">
        <f t="shared" si="2255"/>
        <v>0.79434737267754907</v>
      </c>
      <c r="J4742" s="1">
        <f t="shared" ref="J4742:K4742" si="2289">SUM(J3974+J4166+J4358+J4550)</f>
        <v>46310.21</v>
      </c>
      <c r="K4742" s="1">
        <f t="shared" si="2289"/>
        <v>551437.05000000005</v>
      </c>
      <c r="L4742" s="1">
        <f t="shared" si="2281"/>
        <v>597747.26</v>
      </c>
      <c r="M4742" s="2">
        <f t="shared" si="2282"/>
        <v>7.7474566759201877E-2</v>
      </c>
      <c r="N4742" s="2">
        <f t="shared" si="2283"/>
        <v>0.92252543324079817</v>
      </c>
    </row>
    <row r="4743" spans="1:14" x14ac:dyDescent="0.35">
      <c r="A4743" t="s">
        <v>37</v>
      </c>
      <c r="B4743" t="s">
        <v>19</v>
      </c>
      <c r="C4743">
        <v>2013</v>
      </c>
      <c r="D4743" t="s">
        <v>33</v>
      </c>
      <c r="E4743" s="1">
        <f t="shared" ref="E4743:F4743" si="2290">SUM(E3975+E4167+E4359+E4551)</f>
        <v>47741</v>
      </c>
      <c r="F4743" s="1">
        <f t="shared" si="2290"/>
        <v>186745</v>
      </c>
      <c r="G4743" s="1">
        <f t="shared" si="2253"/>
        <v>234486</v>
      </c>
      <c r="H4743" s="2">
        <f t="shared" si="2254"/>
        <v>0.2035985090794333</v>
      </c>
      <c r="I4743" s="2">
        <f t="shared" si="2255"/>
        <v>0.79640149092056667</v>
      </c>
      <c r="J4743" s="1">
        <f t="shared" ref="J4743:K4743" si="2291">SUM(J3975+J4167+J4359+J4551)</f>
        <v>37193.129999999997</v>
      </c>
      <c r="K4743" s="1">
        <f t="shared" si="2291"/>
        <v>532798.34000000008</v>
      </c>
      <c r="L4743" s="1">
        <f t="shared" si="2281"/>
        <v>569991.47000000009</v>
      </c>
      <c r="M4743" s="2">
        <f t="shared" si="2282"/>
        <v>6.5252081754837474E-2</v>
      </c>
      <c r="N4743" s="2">
        <f t="shared" si="2283"/>
        <v>0.93474791824516257</v>
      </c>
    </row>
    <row r="4744" spans="1:14" x14ac:dyDescent="0.35">
      <c r="A4744" t="s">
        <v>37</v>
      </c>
      <c r="B4744" t="s">
        <v>20</v>
      </c>
      <c r="C4744">
        <v>2013</v>
      </c>
      <c r="D4744" t="s">
        <v>33</v>
      </c>
      <c r="E4744" s="1">
        <f t="shared" ref="E4744:F4744" si="2292">SUM(E3976+E4168+E4360+E4552)</f>
        <v>47419</v>
      </c>
      <c r="F4744" s="1">
        <f t="shared" si="2292"/>
        <v>187223</v>
      </c>
      <c r="G4744" s="1">
        <f t="shared" si="2253"/>
        <v>234642</v>
      </c>
      <c r="H4744" s="2">
        <f t="shared" si="2254"/>
        <v>0.20209084477629752</v>
      </c>
      <c r="I4744" s="2">
        <f t="shared" si="2255"/>
        <v>0.79790915522370254</v>
      </c>
      <c r="J4744" s="1">
        <f t="shared" ref="J4744:K4744" si="2293">SUM(J3976+J4168+J4360+J4552)</f>
        <v>32983.11</v>
      </c>
      <c r="K4744" s="1">
        <f t="shared" si="2293"/>
        <v>441477.63999999996</v>
      </c>
      <c r="L4744" s="1">
        <f t="shared" si="2281"/>
        <v>474460.74999999994</v>
      </c>
      <c r="M4744" s="2">
        <f t="shared" si="2282"/>
        <v>6.9517046457478318E-2</v>
      </c>
      <c r="N4744" s="2">
        <f t="shared" si="2283"/>
        <v>0.93048295354252175</v>
      </c>
    </row>
    <row r="4745" spans="1:14" x14ac:dyDescent="0.35">
      <c r="A4745" t="s">
        <v>37</v>
      </c>
      <c r="B4745" t="s">
        <v>21</v>
      </c>
      <c r="C4745">
        <v>2013</v>
      </c>
      <c r="D4745" t="s">
        <v>33</v>
      </c>
      <c r="E4745" s="1">
        <f t="shared" ref="E4745:F4745" si="2294">SUM(E3977+E4169+E4361+E4553)</f>
        <v>47116</v>
      </c>
      <c r="F4745" s="1">
        <f t="shared" si="2294"/>
        <v>188001</v>
      </c>
      <c r="G4745" s="1">
        <f t="shared" si="2253"/>
        <v>235117</v>
      </c>
      <c r="H4745" s="2">
        <f t="shared" si="2254"/>
        <v>0.20039384646792874</v>
      </c>
      <c r="I4745" s="2">
        <f t="shared" si="2255"/>
        <v>0.79960615353207132</v>
      </c>
      <c r="J4745" s="1">
        <f t="shared" ref="J4745:K4745" si="2295">SUM(J3977+J4169+J4361+J4553)</f>
        <v>30593.390000000003</v>
      </c>
      <c r="K4745" s="1">
        <f t="shared" si="2295"/>
        <v>563692.53</v>
      </c>
      <c r="L4745" s="1">
        <f t="shared" si="2281"/>
        <v>594285.92000000004</v>
      </c>
      <c r="M4745" s="2">
        <f t="shared" si="2282"/>
        <v>5.1479244199492395E-2</v>
      </c>
      <c r="N4745" s="2">
        <f t="shared" si="2283"/>
        <v>0.94852075580050754</v>
      </c>
    </row>
    <row r="4746" spans="1:14" x14ac:dyDescent="0.35">
      <c r="A4746" t="s">
        <v>37</v>
      </c>
      <c r="B4746" t="s">
        <v>22</v>
      </c>
      <c r="C4746">
        <v>2013</v>
      </c>
      <c r="D4746" t="s">
        <v>33</v>
      </c>
      <c r="E4746" s="1">
        <f t="shared" ref="E4746:F4746" si="2296">SUM(E3978+E4170+E4362+E4554)</f>
        <v>46850</v>
      </c>
      <c r="F4746" s="1">
        <f t="shared" si="2296"/>
        <v>188626</v>
      </c>
      <c r="G4746" s="1">
        <f t="shared" si="2253"/>
        <v>235476</v>
      </c>
      <c r="H4746" s="2">
        <f t="shared" si="2254"/>
        <v>0.19895870492109599</v>
      </c>
      <c r="I4746" s="2">
        <f t="shared" si="2255"/>
        <v>0.80104129507890398</v>
      </c>
      <c r="J4746" s="1">
        <f t="shared" ref="J4746:K4746" si="2297">SUM(J3978+J4170+J4362+J4554)</f>
        <v>33836.19</v>
      </c>
      <c r="K4746" s="1">
        <f t="shared" si="2297"/>
        <v>597298.84</v>
      </c>
      <c r="L4746" s="1">
        <f t="shared" si="2281"/>
        <v>631135.03</v>
      </c>
      <c r="M4746" s="2">
        <f t="shared" si="2282"/>
        <v>5.3611649475390391E-2</v>
      </c>
      <c r="N4746" s="2">
        <f t="shared" si="2283"/>
        <v>0.94638835052460957</v>
      </c>
    </row>
    <row r="4747" spans="1:14" x14ac:dyDescent="0.35">
      <c r="A4747" t="s">
        <v>37</v>
      </c>
      <c r="B4747" t="s">
        <v>23</v>
      </c>
      <c r="C4747">
        <v>2013</v>
      </c>
      <c r="D4747" t="s">
        <v>33</v>
      </c>
      <c r="E4747" s="1">
        <f t="shared" ref="E4747:F4747" si="2298">SUM(E3979+E4171+E4363+E4555)</f>
        <v>46358</v>
      </c>
      <c r="F4747" s="1">
        <f t="shared" si="2298"/>
        <v>188815</v>
      </c>
      <c r="G4747" s="1">
        <f t="shared" si="2253"/>
        <v>235173</v>
      </c>
      <c r="H4747" s="2">
        <f t="shared" si="2254"/>
        <v>0.19712296904831761</v>
      </c>
      <c r="I4747" s="2">
        <f t="shared" si="2255"/>
        <v>0.80287703095168239</v>
      </c>
      <c r="J4747" s="1">
        <f t="shared" ref="J4747:K4747" si="2299">SUM(J3979+J4171+J4363+J4555)</f>
        <v>49363.149999999994</v>
      </c>
      <c r="K4747" s="1">
        <f t="shared" si="2299"/>
        <v>682773.09</v>
      </c>
      <c r="L4747" s="1">
        <f t="shared" si="2281"/>
        <v>732136.24</v>
      </c>
      <c r="M4747" s="2">
        <f t="shared" si="2282"/>
        <v>6.742344840080583E-2</v>
      </c>
      <c r="N4747" s="2">
        <f t="shared" si="2283"/>
        <v>0.93257655159919417</v>
      </c>
    </row>
    <row r="4748" spans="1:14" x14ac:dyDescent="0.35">
      <c r="A4748" t="s">
        <v>37</v>
      </c>
      <c r="B4748" t="s">
        <v>24</v>
      </c>
      <c r="C4748">
        <v>2013</v>
      </c>
      <c r="D4748" t="s">
        <v>33</v>
      </c>
      <c r="E4748" s="1">
        <f t="shared" ref="E4748:F4748" si="2300">SUM(E3980+E4172+E4364+E4556)</f>
        <v>46206</v>
      </c>
      <c r="F4748" s="1">
        <f t="shared" si="2300"/>
        <v>189733</v>
      </c>
      <c r="G4748" s="1">
        <f t="shared" si="2253"/>
        <v>235939</v>
      </c>
      <c r="H4748" s="2">
        <f t="shared" si="2254"/>
        <v>0.19583875493241898</v>
      </c>
      <c r="I4748" s="2">
        <f t="shared" si="2255"/>
        <v>0.80416124506758102</v>
      </c>
      <c r="J4748" s="1">
        <f t="shared" ref="J4748:K4748" si="2301">SUM(J3980+J4172+J4364+J4556)</f>
        <v>62398.41</v>
      </c>
      <c r="K4748" s="1">
        <f t="shared" si="2301"/>
        <v>751901.04</v>
      </c>
      <c r="L4748" s="1">
        <f t="shared" si="2281"/>
        <v>814299.45000000007</v>
      </c>
      <c r="M4748" s="2">
        <f t="shared" si="2282"/>
        <v>7.6628333716791772E-2</v>
      </c>
      <c r="N4748" s="2">
        <f t="shared" si="2283"/>
        <v>0.92337166628320821</v>
      </c>
    </row>
    <row r="4749" spans="1:14" x14ac:dyDescent="0.35">
      <c r="A4749" t="s">
        <v>37</v>
      </c>
      <c r="B4749" t="s">
        <v>25</v>
      </c>
      <c r="C4749">
        <v>2013</v>
      </c>
      <c r="D4749" t="s">
        <v>33</v>
      </c>
      <c r="E4749" s="1">
        <f t="shared" ref="E4749:F4749" si="2302">SUM(E3981+E4173+E4365+E4557)</f>
        <v>45831</v>
      </c>
      <c r="F4749" s="1">
        <f t="shared" si="2302"/>
        <v>189921</v>
      </c>
      <c r="G4749" s="1">
        <f t="shared" si="2253"/>
        <v>235752</v>
      </c>
      <c r="H4749" s="2">
        <f t="shared" si="2254"/>
        <v>0.1944034409040008</v>
      </c>
      <c r="I4749" s="2">
        <f t="shared" si="2255"/>
        <v>0.80559655909599914</v>
      </c>
      <c r="J4749" s="1">
        <f t="shared" ref="J4749:K4749" si="2303">SUM(J3981+J4173+J4365+J4557)</f>
        <v>61927.31</v>
      </c>
      <c r="K4749" s="1">
        <f t="shared" si="2303"/>
        <v>745014.93</v>
      </c>
      <c r="L4749" s="1">
        <f t="shared" si="2281"/>
        <v>806942.24</v>
      </c>
      <c r="M4749" s="2">
        <f t="shared" si="2282"/>
        <v>7.674317557102972E-2</v>
      </c>
      <c r="N4749" s="2">
        <f t="shared" si="2283"/>
        <v>0.92325682442897039</v>
      </c>
    </row>
    <row r="4750" spans="1:14" x14ac:dyDescent="0.35">
      <c r="A4750" t="s">
        <v>37</v>
      </c>
      <c r="B4750" t="s">
        <v>26</v>
      </c>
      <c r="C4750">
        <v>2013</v>
      </c>
      <c r="D4750" t="s">
        <v>33</v>
      </c>
      <c r="E4750" s="1">
        <f t="shared" ref="E4750:F4750" si="2304">SUM(E3982+E4174+E4366+E4558)</f>
        <v>45486</v>
      </c>
      <c r="F4750" s="1">
        <f t="shared" si="2304"/>
        <v>190544</v>
      </c>
      <c r="G4750" s="1">
        <f t="shared" si="2253"/>
        <v>236030</v>
      </c>
      <c r="H4750" s="2">
        <f t="shared" si="2254"/>
        <v>0.19271279074693895</v>
      </c>
      <c r="I4750" s="2">
        <f t="shared" si="2255"/>
        <v>0.80728720925306108</v>
      </c>
      <c r="J4750" s="1">
        <f t="shared" ref="J4750:K4750" si="2305">SUM(J3982+J4174+J4366+J4558)</f>
        <v>59165.51</v>
      </c>
      <c r="K4750" s="1">
        <f t="shared" si="2305"/>
        <v>722304.9</v>
      </c>
      <c r="L4750" s="1">
        <f t="shared" si="2281"/>
        <v>781470.41</v>
      </c>
      <c r="M4750" s="2">
        <f t="shared" si="2282"/>
        <v>7.5710492992306644E-2</v>
      </c>
      <c r="N4750" s="2">
        <f t="shared" si="2283"/>
        <v>0.9242895070076933</v>
      </c>
    </row>
    <row r="4751" spans="1:14" x14ac:dyDescent="0.35">
      <c r="A4751" t="s">
        <v>37</v>
      </c>
      <c r="B4751" t="s">
        <v>27</v>
      </c>
      <c r="C4751">
        <v>2013</v>
      </c>
      <c r="D4751" t="s">
        <v>33</v>
      </c>
      <c r="E4751" s="1">
        <f t="shared" ref="E4751:F4751" si="2306">SUM(E3983+E4175+E4367+E4559)</f>
        <v>45448</v>
      </c>
      <c r="F4751" s="1">
        <f t="shared" si="2306"/>
        <v>191676</v>
      </c>
      <c r="G4751" s="1">
        <f t="shared" si="2253"/>
        <v>237124</v>
      </c>
      <c r="H4751" s="2">
        <f t="shared" si="2254"/>
        <v>0.19166343347784282</v>
      </c>
      <c r="I4751" s="2">
        <f t="shared" si="2255"/>
        <v>0.80833656652215713</v>
      </c>
      <c r="J4751" s="1">
        <f t="shared" ref="J4751:K4751" si="2307">SUM(J3983+J4175+J4367+J4559)</f>
        <v>44288.6</v>
      </c>
      <c r="K4751" s="1">
        <f t="shared" si="2307"/>
        <v>825212.88</v>
      </c>
      <c r="L4751" s="1">
        <f t="shared" si="2281"/>
        <v>869501.48</v>
      </c>
      <c r="M4751" s="2">
        <f t="shared" si="2282"/>
        <v>5.093562347932979E-2</v>
      </c>
      <c r="N4751" s="2">
        <f t="shared" si="2283"/>
        <v>0.94906437652067022</v>
      </c>
    </row>
    <row r="4752" spans="1:14" x14ac:dyDescent="0.35">
      <c r="A4752" t="s">
        <v>37</v>
      </c>
      <c r="B4752" t="s">
        <v>28</v>
      </c>
      <c r="C4752">
        <v>2013</v>
      </c>
      <c r="D4752" t="s">
        <v>33</v>
      </c>
      <c r="E4752" s="1">
        <f t="shared" ref="E4752:F4752" si="2308">SUM(E3984+E4176+E4368+E4560)</f>
        <v>44799</v>
      </c>
      <c r="F4752" s="1">
        <f t="shared" si="2308"/>
        <v>191167</v>
      </c>
      <c r="G4752" s="1">
        <f t="shared" si="2253"/>
        <v>235966</v>
      </c>
      <c r="H4752" s="2">
        <f t="shared" si="2254"/>
        <v>0.1898536229795818</v>
      </c>
      <c r="I4752" s="2">
        <f t="shared" si="2255"/>
        <v>0.81014637702041825</v>
      </c>
      <c r="J4752" s="1">
        <f t="shared" ref="J4752:K4752" si="2309">SUM(J3984+J4176+J4368+J4560)</f>
        <v>30412.690000000002</v>
      </c>
      <c r="K4752" s="1">
        <f t="shared" si="2309"/>
        <v>657911.89400000009</v>
      </c>
      <c r="L4752" s="1">
        <f t="shared" si="2281"/>
        <v>688324.58400000003</v>
      </c>
      <c r="M4752" s="2">
        <f t="shared" si="2282"/>
        <v>4.4183646359491353E-2</v>
      </c>
      <c r="N4752" s="2">
        <f t="shared" si="2283"/>
        <v>0.95581635364050876</v>
      </c>
    </row>
    <row r="4753" spans="1:14" x14ac:dyDescent="0.35">
      <c r="A4753" t="s">
        <v>37</v>
      </c>
      <c r="B4753" t="s">
        <v>29</v>
      </c>
      <c r="C4753">
        <v>2013</v>
      </c>
      <c r="D4753" t="s">
        <v>33</v>
      </c>
      <c r="E4753" s="1">
        <f t="shared" ref="E4753:F4753" si="2310">SUM(E3985+E4177+E4369+E4561)</f>
        <v>44828</v>
      </c>
      <c r="F4753" s="1">
        <f t="shared" si="2310"/>
        <v>192051</v>
      </c>
      <c r="G4753" s="1">
        <f t="shared" si="2253"/>
        <v>236879</v>
      </c>
      <c r="H4753" s="2">
        <f t="shared" si="2254"/>
        <v>0.18924429772162157</v>
      </c>
      <c r="I4753" s="2">
        <f t="shared" si="2255"/>
        <v>0.81075570227837845</v>
      </c>
      <c r="J4753" s="1">
        <f t="shared" ref="J4753:K4753" si="2311">SUM(J3985+J4177+J4369+J4561)</f>
        <v>42549.200000000004</v>
      </c>
      <c r="K4753" s="1">
        <f t="shared" si="2311"/>
        <v>754207.19000000006</v>
      </c>
      <c r="L4753" s="1">
        <f t="shared" si="2281"/>
        <v>796756.39</v>
      </c>
      <c r="M4753" s="2">
        <f t="shared" si="2282"/>
        <v>5.3403023225204384E-2</v>
      </c>
      <c r="N4753" s="2">
        <f t="shared" si="2283"/>
        <v>0.94659697677479571</v>
      </c>
    </row>
    <row r="4754" spans="1:14" x14ac:dyDescent="0.35">
      <c r="A4754" t="s">
        <v>37</v>
      </c>
      <c r="B4754" t="s">
        <v>17</v>
      </c>
      <c r="C4754">
        <v>2014</v>
      </c>
      <c r="D4754" t="s">
        <v>33</v>
      </c>
      <c r="E4754" s="1">
        <f t="shared" ref="E4754:F4754" si="2312">SUM(E3986+E4178+E4370+E4562)</f>
        <v>44452</v>
      </c>
      <c r="F4754" s="1">
        <f t="shared" si="2312"/>
        <v>191882</v>
      </c>
      <c r="G4754" s="1">
        <f t="shared" si="2253"/>
        <v>236334</v>
      </c>
      <c r="H4754" s="2">
        <f t="shared" si="2254"/>
        <v>0.18808973740553622</v>
      </c>
      <c r="I4754" s="2">
        <f t="shared" si="2255"/>
        <v>0.81191026259446375</v>
      </c>
      <c r="J4754" s="1">
        <f t="shared" ref="J4754:K4754" si="2313">SUM(J3986+J4178+J4370+J4562)</f>
        <v>48029.29</v>
      </c>
      <c r="K4754" s="1">
        <f t="shared" si="2313"/>
        <v>755529.30999999994</v>
      </c>
      <c r="L4754" s="1">
        <f t="shared" si="2281"/>
        <v>803558.6</v>
      </c>
      <c r="M4754" s="2">
        <f t="shared" si="2282"/>
        <v>5.9770737317726426E-2</v>
      </c>
      <c r="N4754" s="2">
        <f t="shared" si="2283"/>
        <v>0.94022926268227358</v>
      </c>
    </row>
    <row r="4755" spans="1:14" x14ac:dyDescent="0.35">
      <c r="A4755" t="s">
        <v>37</v>
      </c>
      <c r="B4755" t="s">
        <v>19</v>
      </c>
      <c r="C4755">
        <v>2014</v>
      </c>
      <c r="D4755" t="s">
        <v>33</v>
      </c>
      <c r="E4755" s="1">
        <f t="shared" ref="E4755:F4755" si="2314">SUM(E3987+E4179+E4371+E4563)</f>
        <v>44166</v>
      </c>
      <c r="F4755" s="1">
        <f t="shared" si="2314"/>
        <v>192547</v>
      </c>
      <c r="G4755" s="1">
        <f t="shared" si="2253"/>
        <v>236713</v>
      </c>
      <c r="H4755" s="2">
        <f t="shared" si="2254"/>
        <v>0.18658037370148661</v>
      </c>
      <c r="I4755" s="2">
        <f t="shared" si="2255"/>
        <v>0.81341962629851339</v>
      </c>
      <c r="J4755" s="1">
        <f t="shared" ref="J4755:K4755" si="2315">SUM(J3987+J4179+J4371+J4563)</f>
        <v>46285.619999999995</v>
      </c>
      <c r="K4755" s="1">
        <f t="shared" si="2315"/>
        <v>734907.75999999989</v>
      </c>
      <c r="L4755" s="1">
        <f t="shared" si="2281"/>
        <v>781193.37999999989</v>
      </c>
      <c r="M4755" s="2">
        <f t="shared" si="2282"/>
        <v>5.9249887652657783E-2</v>
      </c>
      <c r="N4755" s="2">
        <f t="shared" si="2283"/>
        <v>0.94075011234734218</v>
      </c>
    </row>
    <row r="4756" spans="1:14" x14ac:dyDescent="0.35">
      <c r="A4756" t="s">
        <v>37</v>
      </c>
      <c r="B4756" t="s">
        <v>20</v>
      </c>
      <c r="C4756">
        <v>2014</v>
      </c>
      <c r="D4756" t="s">
        <v>33</v>
      </c>
      <c r="E4756" s="1">
        <f t="shared" ref="E4756:F4756" si="2316">SUM(E3988+E4180+E4372+E4564)</f>
        <v>43937</v>
      </c>
      <c r="F4756" s="1">
        <f t="shared" si="2316"/>
        <v>193247</v>
      </c>
      <c r="G4756" s="1">
        <f t="shared" si="2253"/>
        <v>237184</v>
      </c>
      <c r="H4756" s="2">
        <f t="shared" si="2254"/>
        <v>0.18524436724230978</v>
      </c>
      <c r="I4756" s="2">
        <f t="shared" si="2255"/>
        <v>0.81475563275769025</v>
      </c>
      <c r="J4756" s="1">
        <f t="shared" ref="J4756:K4756" si="2317">SUM(J3988+J4180+J4372+J4564)</f>
        <v>36055.440000000002</v>
      </c>
      <c r="K4756" s="1">
        <f t="shared" si="2317"/>
        <v>658663.44999999995</v>
      </c>
      <c r="L4756" s="1">
        <f t="shared" si="2281"/>
        <v>694718.8899999999</v>
      </c>
      <c r="M4756" s="2">
        <f t="shared" si="2282"/>
        <v>5.1899322904549218E-2</v>
      </c>
      <c r="N4756" s="2">
        <f t="shared" si="2283"/>
        <v>0.94810067709545087</v>
      </c>
    </row>
    <row r="4757" spans="1:14" x14ac:dyDescent="0.35">
      <c r="A4757" t="s">
        <v>37</v>
      </c>
      <c r="B4757" t="s">
        <v>21</v>
      </c>
      <c r="C4757">
        <v>2014</v>
      </c>
      <c r="D4757" t="s">
        <v>33</v>
      </c>
      <c r="E4757" s="1">
        <f t="shared" ref="E4757:F4757" si="2318">SUM(E3989+E4181+E4373+E4565)</f>
        <v>43696</v>
      </c>
      <c r="F4757" s="1">
        <f t="shared" si="2318"/>
        <v>193727</v>
      </c>
      <c r="G4757" s="1">
        <f t="shared" si="2253"/>
        <v>237423</v>
      </c>
      <c r="H4757" s="2">
        <f t="shared" si="2254"/>
        <v>0.18404282651638637</v>
      </c>
      <c r="I4757" s="2">
        <f t="shared" si="2255"/>
        <v>0.81595717348361363</v>
      </c>
      <c r="J4757" s="1">
        <f t="shared" ref="J4757:K4757" si="2319">SUM(J3989+J4181+J4373+J4565)</f>
        <v>28802.309999999998</v>
      </c>
      <c r="K4757" s="1">
        <f t="shared" si="2319"/>
        <v>695425.37999999989</v>
      </c>
      <c r="L4757" s="1">
        <f t="shared" si="2281"/>
        <v>724227.69</v>
      </c>
      <c r="M4757" s="2">
        <f t="shared" si="2282"/>
        <v>3.9769689004848736E-2</v>
      </c>
      <c r="N4757" s="2">
        <f t="shared" si="2283"/>
        <v>0.96023031099515122</v>
      </c>
    </row>
    <row r="4758" spans="1:14" x14ac:dyDescent="0.35">
      <c r="A4758" t="s">
        <v>37</v>
      </c>
      <c r="B4758" t="s">
        <v>22</v>
      </c>
      <c r="C4758">
        <v>2014</v>
      </c>
      <c r="D4758" t="s">
        <v>33</v>
      </c>
      <c r="E4758" s="1">
        <f t="shared" ref="E4758:F4758" si="2320">SUM(E3990+E4182+E4374+E4566)</f>
        <v>43424</v>
      </c>
      <c r="F4758" s="1">
        <f t="shared" si="2320"/>
        <v>194021</v>
      </c>
      <c r="G4758" s="1">
        <f t="shared" si="2253"/>
        <v>237445</v>
      </c>
      <c r="H4758" s="2">
        <f t="shared" si="2254"/>
        <v>0.18288024595169408</v>
      </c>
      <c r="I4758" s="2">
        <f t="shared" si="2255"/>
        <v>0.81711975404830595</v>
      </c>
      <c r="J4758" s="1">
        <f t="shared" ref="J4758:K4758" si="2321">SUM(J3990+J4182+J4374+J4566)</f>
        <v>32958.75</v>
      </c>
      <c r="K4758" s="1">
        <f t="shared" si="2321"/>
        <v>627047.37</v>
      </c>
      <c r="L4758" s="1">
        <f t="shared" si="2281"/>
        <v>660006.12</v>
      </c>
      <c r="M4758" s="2">
        <f t="shared" si="2282"/>
        <v>4.9937036947475581E-2</v>
      </c>
      <c r="N4758" s="2">
        <f t="shared" si="2283"/>
        <v>0.95006296305252447</v>
      </c>
    </row>
    <row r="4759" spans="1:14" x14ac:dyDescent="0.35">
      <c r="A4759" t="s">
        <v>37</v>
      </c>
      <c r="B4759" t="s">
        <v>23</v>
      </c>
      <c r="C4759">
        <v>2014</v>
      </c>
      <c r="D4759" t="s">
        <v>33</v>
      </c>
      <c r="E4759" s="1">
        <f t="shared" ref="E4759:F4759" si="2322">SUM(E3991+E4183+E4375+E4567)</f>
        <v>43078</v>
      </c>
      <c r="F4759" s="1">
        <f t="shared" si="2322"/>
        <v>195225</v>
      </c>
      <c r="G4759" s="1">
        <f t="shared" si="2253"/>
        <v>238303</v>
      </c>
      <c r="H4759" s="2">
        <f t="shared" si="2254"/>
        <v>0.18076986021997205</v>
      </c>
      <c r="I4759" s="2">
        <f t="shared" si="2255"/>
        <v>0.8192301397800279</v>
      </c>
      <c r="J4759" s="1">
        <f t="shared" ref="J4759:K4759" si="2323">SUM(J3991+J4183+J4375+J4567)</f>
        <v>44903.560000000005</v>
      </c>
      <c r="K4759" s="1">
        <f t="shared" si="2323"/>
        <v>835645.12</v>
      </c>
      <c r="L4759" s="1">
        <f t="shared" si="2281"/>
        <v>880548.68</v>
      </c>
      <c r="M4759" s="2">
        <f t="shared" si="2282"/>
        <v>5.0994977358889464E-2</v>
      </c>
      <c r="N4759" s="2">
        <f t="shared" si="2283"/>
        <v>0.94900502264111053</v>
      </c>
    </row>
    <row r="4760" spans="1:14" x14ac:dyDescent="0.35">
      <c r="A4760" t="s">
        <v>37</v>
      </c>
      <c r="B4760" t="s">
        <v>24</v>
      </c>
      <c r="C4760">
        <v>2014</v>
      </c>
      <c r="D4760" t="s">
        <v>33</v>
      </c>
      <c r="E4760" s="1">
        <f t="shared" ref="E4760:F4760" si="2324">SUM(E3992+E4184+E4376+E4568)</f>
        <v>42726</v>
      </c>
      <c r="F4760" s="1">
        <f t="shared" si="2324"/>
        <v>195984</v>
      </c>
      <c r="G4760" s="1">
        <f t="shared" si="2253"/>
        <v>238710</v>
      </c>
      <c r="H4760" s="2">
        <f t="shared" si="2254"/>
        <v>0.17898705542289808</v>
      </c>
      <c r="I4760" s="2">
        <f t="shared" si="2255"/>
        <v>0.82101294457710194</v>
      </c>
      <c r="J4760" s="1">
        <f t="shared" ref="J4760:K4760" si="2325">SUM(J3992+J4184+J4376+J4568)</f>
        <v>54744.299999999996</v>
      </c>
      <c r="K4760" s="1">
        <f t="shared" si="2325"/>
        <v>914246.01</v>
      </c>
      <c r="L4760" s="1">
        <f t="shared" si="2281"/>
        <v>968990.31</v>
      </c>
      <c r="M4760" s="2">
        <f t="shared" si="2282"/>
        <v>5.6496230596980883E-2</v>
      </c>
      <c r="N4760" s="2">
        <f t="shared" si="2283"/>
        <v>0.94350376940301905</v>
      </c>
    </row>
    <row r="4761" spans="1:14" x14ac:dyDescent="0.35">
      <c r="A4761" t="s">
        <v>37</v>
      </c>
      <c r="B4761" t="s">
        <v>25</v>
      </c>
      <c r="C4761">
        <v>2014</v>
      </c>
      <c r="D4761" t="s">
        <v>33</v>
      </c>
      <c r="E4761" s="1">
        <f t="shared" ref="E4761:F4761" si="2326">SUM(E3993+E4185+E4377+E4569)</f>
        <v>42319</v>
      </c>
      <c r="F4761" s="1">
        <f t="shared" si="2326"/>
        <v>196906</v>
      </c>
      <c r="G4761" s="1">
        <f t="shared" si="2253"/>
        <v>239225</v>
      </c>
      <c r="H4761" s="2">
        <f t="shared" si="2254"/>
        <v>0.17690040756609887</v>
      </c>
      <c r="I4761" s="2">
        <f t="shared" si="2255"/>
        <v>0.82309959243390118</v>
      </c>
      <c r="J4761" s="1">
        <f t="shared" ref="J4761:K4761" si="2327">SUM(J3993+J4185+J4377+J4569)</f>
        <v>56488.139999999992</v>
      </c>
      <c r="K4761" s="1">
        <f t="shared" si="2327"/>
        <v>941066.77</v>
      </c>
      <c r="L4761" s="1">
        <f t="shared" si="2281"/>
        <v>997554.91</v>
      </c>
      <c r="M4761" s="2">
        <f t="shared" si="2282"/>
        <v>5.6626597126367702E-2</v>
      </c>
      <c r="N4761" s="2">
        <f t="shared" si="2283"/>
        <v>0.94337340287363225</v>
      </c>
    </row>
    <row r="4762" spans="1:14" x14ac:dyDescent="0.35">
      <c r="A4762" t="s">
        <v>37</v>
      </c>
      <c r="B4762" t="s">
        <v>26</v>
      </c>
      <c r="C4762">
        <v>2014</v>
      </c>
      <c r="D4762" t="s">
        <v>33</v>
      </c>
      <c r="E4762" s="1">
        <f t="shared" ref="E4762:F4762" si="2328">SUM(E3994+E4186+E4378+E4570)</f>
        <v>41896</v>
      </c>
      <c r="F4762" s="1">
        <f t="shared" si="2328"/>
        <v>197416</v>
      </c>
      <c r="G4762" s="1">
        <f t="shared" si="2253"/>
        <v>239312</v>
      </c>
      <c r="H4762" s="2">
        <f t="shared" si="2254"/>
        <v>0.17506852978538476</v>
      </c>
      <c r="I4762" s="2">
        <f t="shared" si="2255"/>
        <v>0.82493147021461521</v>
      </c>
      <c r="J4762" s="1">
        <f t="shared" ref="J4762:K4762" si="2329">SUM(J3994+J4186+J4378+J4570)</f>
        <v>54106.07</v>
      </c>
      <c r="K4762" s="1">
        <f t="shared" si="2329"/>
        <v>932259.62</v>
      </c>
      <c r="L4762" s="1">
        <f t="shared" si="2281"/>
        <v>986365.69</v>
      </c>
      <c r="M4762" s="2">
        <f t="shared" si="2282"/>
        <v>5.4853965976857939E-2</v>
      </c>
      <c r="N4762" s="2">
        <f t="shared" si="2283"/>
        <v>0.94514603402314212</v>
      </c>
    </row>
    <row r="4763" spans="1:14" x14ac:dyDescent="0.35">
      <c r="A4763" t="s">
        <v>37</v>
      </c>
      <c r="B4763" t="s">
        <v>27</v>
      </c>
      <c r="C4763">
        <v>2014</v>
      </c>
      <c r="D4763" t="s">
        <v>33</v>
      </c>
      <c r="E4763" s="1">
        <f t="shared" ref="E4763:F4763" si="2330">SUM(E3995+E4187+E4379+E4571)</f>
        <v>41638</v>
      </c>
      <c r="F4763" s="1">
        <f t="shared" si="2330"/>
        <v>197651</v>
      </c>
      <c r="G4763" s="1">
        <f t="shared" si="2253"/>
        <v>239289</v>
      </c>
      <c r="H4763" s="2">
        <f t="shared" si="2254"/>
        <v>0.17400716288671858</v>
      </c>
      <c r="I4763" s="2">
        <f t="shared" si="2255"/>
        <v>0.82599283711328142</v>
      </c>
      <c r="J4763" s="1">
        <f t="shared" ref="J4763:K4763" si="2331">SUM(J3995+J4187+J4379+J4571)</f>
        <v>39259.810000000005</v>
      </c>
      <c r="K4763" s="1">
        <f t="shared" si="2331"/>
        <v>862635.92</v>
      </c>
      <c r="L4763" s="1">
        <f t="shared" si="2281"/>
        <v>901895.7300000001</v>
      </c>
      <c r="M4763" s="2">
        <f t="shared" si="2282"/>
        <v>4.3530320295451452E-2</v>
      </c>
      <c r="N4763" s="2">
        <f t="shared" si="2283"/>
        <v>0.95646967970454855</v>
      </c>
    </row>
    <row r="4764" spans="1:14" x14ac:dyDescent="0.35">
      <c r="A4764" t="s">
        <v>37</v>
      </c>
      <c r="B4764" t="s">
        <v>28</v>
      </c>
      <c r="C4764">
        <v>2014</v>
      </c>
      <c r="D4764" t="s">
        <v>33</v>
      </c>
      <c r="E4764" s="1">
        <f t="shared" ref="E4764:F4764" si="2332">SUM(E3996+E4188+E4380+E4572)</f>
        <v>41320</v>
      </c>
      <c r="F4764" s="1">
        <f t="shared" si="2332"/>
        <v>198261</v>
      </c>
      <c r="G4764" s="1">
        <f t="shared" si="2253"/>
        <v>239581</v>
      </c>
      <c r="H4764" s="2">
        <f t="shared" si="2254"/>
        <v>0.17246776664259686</v>
      </c>
      <c r="I4764" s="2">
        <f t="shared" si="2255"/>
        <v>0.82753223335740311</v>
      </c>
      <c r="J4764" s="1">
        <f t="shared" ref="J4764:K4764" si="2333">SUM(J3996+J4188+J4380+J4572)</f>
        <v>30748.55</v>
      </c>
      <c r="K4764" s="1">
        <f t="shared" si="2333"/>
        <v>673600.49</v>
      </c>
      <c r="L4764" s="1">
        <f t="shared" si="2281"/>
        <v>704349.04</v>
      </c>
      <c r="M4764" s="2">
        <f t="shared" si="2282"/>
        <v>4.3655273527454512E-2</v>
      </c>
      <c r="N4764" s="2">
        <f t="shared" si="2283"/>
        <v>0.95634472647254543</v>
      </c>
    </row>
    <row r="4765" spans="1:14" x14ac:dyDescent="0.35">
      <c r="A4765" t="s">
        <v>37</v>
      </c>
      <c r="B4765" t="s">
        <v>29</v>
      </c>
      <c r="C4765">
        <v>2014</v>
      </c>
      <c r="D4765" t="s">
        <v>33</v>
      </c>
      <c r="E4765" s="1">
        <f t="shared" ref="E4765:F4765" si="2334">SUM(E3997+E4189+E4381+E4573)</f>
        <v>41079</v>
      </c>
      <c r="F4765" s="1">
        <f t="shared" si="2334"/>
        <v>198748</v>
      </c>
      <c r="G4765" s="1">
        <f t="shared" si="2253"/>
        <v>239827</v>
      </c>
      <c r="H4765" s="2">
        <f t="shared" si="2254"/>
        <v>0.17128596863572493</v>
      </c>
      <c r="I4765" s="2">
        <f t="shared" si="2255"/>
        <v>0.82871403136427513</v>
      </c>
      <c r="J4765" s="1">
        <f t="shared" ref="J4765:K4765" si="2335">SUM(J3997+J4189+J4381+J4573)</f>
        <v>31905.229999999996</v>
      </c>
      <c r="K4765" s="1">
        <f t="shared" si="2335"/>
        <v>742456.46</v>
      </c>
      <c r="L4765" s="1">
        <f t="shared" si="2281"/>
        <v>774361.69</v>
      </c>
      <c r="M4765" s="2">
        <f t="shared" si="2282"/>
        <v>4.1201973718508721E-2</v>
      </c>
      <c r="N4765" s="2">
        <f t="shared" si="2283"/>
        <v>0.95879802628149124</v>
      </c>
    </row>
    <row r="4766" spans="1:14" x14ac:dyDescent="0.35">
      <c r="A4766" t="s">
        <v>37</v>
      </c>
      <c r="B4766" t="s">
        <v>17</v>
      </c>
      <c r="C4766">
        <v>2015</v>
      </c>
      <c r="D4766" t="s">
        <v>33</v>
      </c>
      <c r="E4766" s="1">
        <f t="shared" ref="E4766:F4766" si="2336">SUM(E3998+E4190+E4382+E4574)</f>
        <v>40616</v>
      </c>
      <c r="F4766" s="1">
        <f t="shared" si="2336"/>
        <v>199368</v>
      </c>
      <c r="G4766" s="1">
        <f t="shared" si="2253"/>
        <v>239984</v>
      </c>
      <c r="H4766" s="2">
        <f t="shared" si="2254"/>
        <v>0.16924461630775384</v>
      </c>
      <c r="I4766" s="2">
        <f t="shared" si="2255"/>
        <v>0.83075538369224611</v>
      </c>
      <c r="J4766" s="1">
        <f t="shared" ref="J4766:K4766" si="2337">SUM(J3998+J4190+J4382+J4574)</f>
        <v>42547.460000000006</v>
      </c>
      <c r="K4766" s="1">
        <f t="shared" si="2337"/>
        <v>757527.41</v>
      </c>
      <c r="L4766" s="1">
        <f t="shared" si="2281"/>
        <v>800074.87</v>
      </c>
      <c r="M4766" s="2">
        <f t="shared" si="2282"/>
        <v>5.3179348077761777E-2</v>
      </c>
      <c r="N4766" s="2">
        <f t="shared" si="2283"/>
        <v>0.9468206519222383</v>
      </c>
    </row>
    <row r="4767" spans="1:14" x14ac:dyDescent="0.35">
      <c r="A4767" t="s">
        <v>37</v>
      </c>
      <c r="B4767" t="s">
        <v>19</v>
      </c>
      <c r="C4767">
        <v>2015</v>
      </c>
      <c r="D4767" t="s">
        <v>33</v>
      </c>
      <c r="E4767" s="1">
        <f t="shared" ref="E4767:F4767" si="2338">SUM(E3999+E4191+E4383+E4575)</f>
        <v>40544</v>
      </c>
      <c r="F4767" s="1">
        <f t="shared" si="2338"/>
        <v>199732</v>
      </c>
      <c r="G4767" s="1">
        <f t="shared" si="2253"/>
        <v>240276</v>
      </c>
      <c r="H4767" s="2">
        <f t="shared" si="2254"/>
        <v>0.16873928315770198</v>
      </c>
      <c r="I4767" s="2">
        <f t="shared" si="2255"/>
        <v>0.83126071684229808</v>
      </c>
      <c r="J4767" s="1">
        <f t="shared" ref="J4767:K4767" si="2339">SUM(J3999+J4191+J4383+J4575)</f>
        <v>37784.339999999997</v>
      </c>
      <c r="K4767" s="1">
        <f t="shared" si="2339"/>
        <v>722097.4800000001</v>
      </c>
      <c r="L4767" s="1">
        <f t="shared" si="2281"/>
        <v>759881.82000000007</v>
      </c>
      <c r="M4767" s="2">
        <f t="shared" si="2282"/>
        <v>4.97239689192722E-2</v>
      </c>
      <c r="N4767" s="2">
        <f t="shared" si="2283"/>
        <v>0.95027603108072789</v>
      </c>
    </row>
    <row r="4768" spans="1:14" x14ac:dyDescent="0.35">
      <c r="A4768" t="s">
        <v>37</v>
      </c>
      <c r="B4768" t="s">
        <v>20</v>
      </c>
      <c r="C4768">
        <v>2015</v>
      </c>
      <c r="D4768" t="s">
        <v>33</v>
      </c>
      <c r="E4768" s="1">
        <f t="shared" ref="E4768:F4768" si="2340">SUM(E4000+E4192+E4384+E4576)</f>
        <v>40235</v>
      </c>
      <c r="F4768" s="1">
        <f t="shared" si="2340"/>
        <v>200449</v>
      </c>
      <c r="G4768" s="1">
        <f t="shared" si="2253"/>
        <v>240684</v>
      </c>
      <c r="H4768" s="2">
        <f t="shared" si="2254"/>
        <v>0.16716940054178922</v>
      </c>
      <c r="I4768" s="2">
        <f t="shared" si="2255"/>
        <v>0.83283059945821081</v>
      </c>
      <c r="J4768" s="1">
        <f t="shared" ref="J4768:K4768" si="2341">SUM(J4000+J4192+J4384+J4576)</f>
        <v>38634.200000000004</v>
      </c>
      <c r="K4768" s="1">
        <f t="shared" si="2341"/>
        <v>718602.94</v>
      </c>
      <c r="L4768" s="1">
        <f t="shared" si="2281"/>
        <v>757237.1399999999</v>
      </c>
      <c r="M4768" s="2">
        <f t="shared" si="2282"/>
        <v>5.101994865175262E-2</v>
      </c>
      <c r="N4768" s="2">
        <f t="shared" si="2283"/>
        <v>0.94898005134824748</v>
      </c>
    </row>
    <row r="4769" spans="1:14" x14ac:dyDescent="0.35">
      <c r="A4769" t="s">
        <v>37</v>
      </c>
      <c r="B4769" t="s">
        <v>21</v>
      </c>
      <c r="C4769">
        <v>2015</v>
      </c>
      <c r="D4769" t="s">
        <v>33</v>
      </c>
      <c r="E4769" s="1">
        <f t="shared" ref="E4769:F4769" si="2342">SUM(E4001+E4193+E4385+E4577)</f>
        <v>39956</v>
      </c>
      <c r="F4769" s="1">
        <f t="shared" si="2342"/>
        <v>201055</v>
      </c>
      <c r="G4769" s="1">
        <f t="shared" si="2253"/>
        <v>241011</v>
      </c>
      <c r="H4769" s="2">
        <f t="shared" si="2254"/>
        <v>0.16578496417175981</v>
      </c>
      <c r="I4769" s="2">
        <f t="shared" si="2255"/>
        <v>0.83421503582824019</v>
      </c>
      <c r="J4769" s="1">
        <f t="shared" ref="J4769:K4769" si="2343">SUM(J4001+J4193+J4385+J4577)</f>
        <v>28229</v>
      </c>
      <c r="K4769" s="1">
        <f t="shared" si="2343"/>
        <v>683723.07000000007</v>
      </c>
      <c r="L4769" s="1">
        <f t="shared" si="2281"/>
        <v>711952.07000000007</v>
      </c>
      <c r="M4769" s="2">
        <f t="shared" si="2282"/>
        <v>3.965014105514153E-2</v>
      </c>
      <c r="N4769" s="2">
        <f t="shared" si="2283"/>
        <v>0.96034985894485847</v>
      </c>
    </row>
    <row r="4770" spans="1:14" x14ac:dyDescent="0.35">
      <c r="A4770" t="s">
        <v>37</v>
      </c>
      <c r="B4770" t="s">
        <v>22</v>
      </c>
      <c r="C4770">
        <v>2015</v>
      </c>
      <c r="D4770" t="s">
        <v>33</v>
      </c>
      <c r="E4770" s="1">
        <f t="shared" ref="E4770:F4770" si="2344">SUM(E4002+E4194+E4386+E4578)</f>
        <v>39784</v>
      </c>
      <c r="F4770" s="1">
        <f t="shared" si="2344"/>
        <v>201589</v>
      </c>
      <c r="G4770" s="1">
        <f t="shared" si="2253"/>
        <v>241373</v>
      </c>
      <c r="H4770" s="2">
        <f t="shared" si="2254"/>
        <v>0.16482373753485269</v>
      </c>
      <c r="I4770" s="2">
        <f t="shared" si="2255"/>
        <v>0.83517626246514731</v>
      </c>
      <c r="J4770" s="1">
        <f t="shared" ref="J4770:K4770" si="2345">SUM(J4002+J4194+J4386+J4578)</f>
        <v>30022</v>
      </c>
      <c r="K4770" s="1">
        <f t="shared" si="2345"/>
        <v>747138.5</v>
      </c>
      <c r="L4770" s="1">
        <f t="shared" si="2281"/>
        <v>777160.5</v>
      </c>
      <c r="M4770" s="2">
        <f t="shared" si="2282"/>
        <v>3.863037300531872E-2</v>
      </c>
      <c r="N4770" s="2">
        <f t="shared" si="2283"/>
        <v>0.96136962699468131</v>
      </c>
    </row>
    <row r="4771" spans="1:14" x14ac:dyDescent="0.35">
      <c r="A4771" t="s">
        <v>37</v>
      </c>
      <c r="B4771" t="s">
        <v>23</v>
      </c>
      <c r="C4771">
        <v>2015</v>
      </c>
      <c r="D4771" t="s">
        <v>33</v>
      </c>
      <c r="E4771" s="1">
        <f t="shared" ref="E4771:F4771" si="2346">SUM(E4003+E4195+E4387+E4579)</f>
        <v>39664</v>
      </c>
      <c r="F4771" s="1">
        <f t="shared" si="2346"/>
        <v>202177</v>
      </c>
      <c r="G4771" s="1">
        <f t="shared" si="2253"/>
        <v>241841</v>
      </c>
      <c r="H4771" s="2">
        <f t="shared" si="2254"/>
        <v>0.16400858415239766</v>
      </c>
      <c r="I4771" s="2">
        <f t="shared" si="2255"/>
        <v>0.83599141584760239</v>
      </c>
      <c r="J4771" s="1">
        <f t="shared" ref="J4771:K4771" si="2347">SUM(J4003+J4195+J4387+J4579)</f>
        <v>40910</v>
      </c>
      <c r="K4771" s="1">
        <f t="shared" si="2347"/>
        <v>838427.57000000007</v>
      </c>
      <c r="L4771" s="1">
        <f t="shared" si="2281"/>
        <v>879337.57000000007</v>
      </c>
      <c r="M4771" s="2">
        <f t="shared" si="2282"/>
        <v>4.6523657575554288E-2</v>
      </c>
      <c r="N4771" s="2">
        <f t="shared" si="2283"/>
        <v>0.95347634242444568</v>
      </c>
    </row>
    <row r="4772" spans="1:14" x14ac:dyDescent="0.35">
      <c r="A4772" t="s">
        <v>37</v>
      </c>
      <c r="B4772" t="s">
        <v>24</v>
      </c>
      <c r="C4772">
        <v>2015</v>
      </c>
      <c r="D4772" t="s">
        <v>33</v>
      </c>
      <c r="E4772" s="1">
        <f t="shared" ref="E4772:F4772" si="2348">SUM(E4004+E4196+E4388+E4580)</f>
        <v>39444</v>
      </c>
      <c r="F4772" s="1">
        <f t="shared" si="2348"/>
        <v>203407</v>
      </c>
      <c r="G4772" s="1">
        <f t="shared" si="2253"/>
        <v>242851</v>
      </c>
      <c r="H4772" s="2">
        <f t="shared" si="2254"/>
        <v>0.16242057887346562</v>
      </c>
      <c r="I4772" s="2">
        <f t="shared" si="2255"/>
        <v>0.83757942112653438</v>
      </c>
      <c r="J4772" s="1">
        <f t="shared" ref="J4772:K4772" si="2349">SUM(J4004+J4196+J4388+J4580)</f>
        <v>53058.77</v>
      </c>
      <c r="K4772" s="1">
        <f t="shared" si="2349"/>
        <v>768672.07</v>
      </c>
      <c r="L4772" s="1">
        <f t="shared" si="2281"/>
        <v>821730.84</v>
      </c>
      <c r="M4772" s="2">
        <f t="shared" si="2282"/>
        <v>6.456952497973667E-2</v>
      </c>
      <c r="N4772" s="2">
        <f t="shared" si="2283"/>
        <v>0.93543047502026333</v>
      </c>
    </row>
    <row r="4773" spans="1:14" x14ac:dyDescent="0.35">
      <c r="A4773" t="s">
        <v>37</v>
      </c>
      <c r="B4773" t="s">
        <v>25</v>
      </c>
      <c r="C4773">
        <v>2015</v>
      </c>
      <c r="D4773" t="s">
        <v>33</v>
      </c>
      <c r="E4773" s="1">
        <f t="shared" ref="E4773:F4773" si="2350">SUM(E4005+E4197+E4389+E4581)</f>
        <v>39125</v>
      </c>
      <c r="F4773" s="1">
        <f t="shared" si="2350"/>
        <v>203944</v>
      </c>
      <c r="G4773" s="1">
        <f t="shared" si="2253"/>
        <v>243069</v>
      </c>
      <c r="H4773" s="2">
        <f t="shared" si="2254"/>
        <v>0.16096252504432898</v>
      </c>
      <c r="I4773" s="2">
        <f t="shared" si="2255"/>
        <v>0.83903747495567105</v>
      </c>
      <c r="J4773" s="1">
        <f t="shared" ref="J4773:K4773" si="2351">SUM(J4005+J4197+J4389+J4581)</f>
        <v>58903.83</v>
      </c>
      <c r="K4773" s="1">
        <f t="shared" si="2351"/>
        <v>824297.2699999999</v>
      </c>
      <c r="L4773" s="1">
        <f t="shared" si="2281"/>
        <v>883201.09999999986</v>
      </c>
      <c r="M4773" s="2">
        <f t="shared" si="2282"/>
        <v>6.6693565032923993E-2</v>
      </c>
      <c r="N4773" s="2">
        <f t="shared" si="2283"/>
        <v>0.9333064349670761</v>
      </c>
    </row>
    <row r="4774" spans="1:14" x14ac:dyDescent="0.35">
      <c r="A4774" t="s">
        <v>37</v>
      </c>
      <c r="B4774" t="s">
        <v>26</v>
      </c>
      <c r="C4774">
        <v>2015</v>
      </c>
      <c r="D4774" t="s">
        <v>33</v>
      </c>
      <c r="E4774" s="1">
        <f t="shared" ref="E4774:F4774" si="2352">SUM(E4006+E4198+E4390+E4582)</f>
        <v>38766</v>
      </c>
      <c r="F4774" s="1">
        <f t="shared" si="2352"/>
        <v>204539</v>
      </c>
      <c r="G4774" s="1">
        <f t="shared" si="2253"/>
        <v>243305</v>
      </c>
      <c r="H4774" s="2">
        <f t="shared" si="2254"/>
        <v>0.15933088099299234</v>
      </c>
      <c r="I4774" s="2">
        <f t="shared" si="2255"/>
        <v>0.84066911900700769</v>
      </c>
      <c r="J4774" s="1">
        <f t="shared" ref="J4774:K4774" si="2353">SUM(J4006+J4198+J4390+J4582)</f>
        <v>49012.340000000004</v>
      </c>
      <c r="K4774" s="1">
        <f t="shared" si="2353"/>
        <v>751574.7</v>
      </c>
      <c r="L4774" s="1">
        <f t="shared" si="2281"/>
        <v>800587.03999999992</v>
      </c>
      <c r="M4774" s="2">
        <f t="shared" si="2282"/>
        <v>6.1220501396075572E-2</v>
      </c>
      <c r="N4774" s="2">
        <f t="shared" si="2283"/>
        <v>0.93877949860392451</v>
      </c>
    </row>
    <row r="4775" spans="1:14" x14ac:dyDescent="0.35">
      <c r="A4775" t="s">
        <v>37</v>
      </c>
      <c r="B4775" t="s">
        <v>27</v>
      </c>
      <c r="C4775">
        <v>2015</v>
      </c>
      <c r="D4775" t="s">
        <v>33</v>
      </c>
      <c r="E4775" s="1">
        <f t="shared" ref="E4775:F4775" si="2354">SUM(E4007+E4199+E4391+E4583)</f>
        <v>38375</v>
      </c>
      <c r="F4775" s="1">
        <f t="shared" si="2354"/>
        <v>205295</v>
      </c>
      <c r="G4775" s="1">
        <f t="shared" si="2253"/>
        <v>243670</v>
      </c>
      <c r="H4775" s="2">
        <f t="shared" si="2254"/>
        <v>0.1574875856691427</v>
      </c>
      <c r="I4775" s="2">
        <f t="shared" si="2255"/>
        <v>0.84251241433085733</v>
      </c>
      <c r="J4775" s="1">
        <f t="shared" ref="J4775:K4775" si="2355">SUM(J4007+J4199+J4391+J4583)</f>
        <v>38206.249999999993</v>
      </c>
      <c r="K4775" s="1">
        <f t="shared" si="2355"/>
        <v>680322.42</v>
      </c>
      <c r="L4775" s="1">
        <f t="shared" si="2281"/>
        <v>718528.67</v>
      </c>
      <c r="M4775" s="2">
        <f t="shared" si="2282"/>
        <v>5.3172895661908651E-2</v>
      </c>
      <c r="N4775" s="2">
        <f t="shared" si="2283"/>
        <v>0.94682710433809136</v>
      </c>
    </row>
    <row r="4776" spans="1:14" x14ac:dyDescent="0.35">
      <c r="A4776" t="s">
        <v>37</v>
      </c>
      <c r="B4776" t="s">
        <v>28</v>
      </c>
      <c r="C4776">
        <v>2015</v>
      </c>
      <c r="D4776" t="s">
        <v>33</v>
      </c>
      <c r="E4776" s="1">
        <f t="shared" ref="E4776:F4776" si="2356">SUM(E4008+E4200+E4392+E4584)</f>
        <v>38082</v>
      </c>
      <c r="F4776" s="1">
        <f t="shared" si="2356"/>
        <v>205797</v>
      </c>
      <c r="G4776" s="1">
        <f t="shared" si="2253"/>
        <v>243879</v>
      </c>
      <c r="H4776" s="2">
        <f t="shared" si="2254"/>
        <v>0.15615120613090919</v>
      </c>
      <c r="I4776" s="2">
        <f t="shared" si="2255"/>
        <v>0.84384879386909084</v>
      </c>
      <c r="J4776" s="1">
        <f t="shared" ref="J4776:K4776" si="2357">SUM(J4008+J4200+J4392+J4584)</f>
        <v>27073.15</v>
      </c>
      <c r="K4776" s="1">
        <f t="shared" si="2357"/>
        <v>636964.29</v>
      </c>
      <c r="L4776" s="1">
        <f t="shared" si="2281"/>
        <v>664037.44000000006</v>
      </c>
      <c r="M4776" s="2">
        <f t="shared" si="2282"/>
        <v>4.0770517397332291E-2</v>
      </c>
      <c r="N4776" s="2">
        <f t="shared" si="2283"/>
        <v>0.95922948260266772</v>
      </c>
    </row>
    <row r="4777" spans="1:14" x14ac:dyDescent="0.35">
      <c r="A4777" t="s">
        <v>37</v>
      </c>
      <c r="B4777" t="s">
        <v>29</v>
      </c>
      <c r="C4777">
        <v>2015</v>
      </c>
      <c r="D4777" t="s">
        <v>33</v>
      </c>
      <c r="E4777" s="1">
        <f t="shared" ref="E4777:F4777" si="2358">SUM(E4009+E4201+E4393+E4585)</f>
        <v>37786</v>
      </c>
      <c r="F4777" s="1">
        <f t="shared" si="2358"/>
        <v>206205</v>
      </c>
      <c r="G4777" s="1">
        <f t="shared" si="2253"/>
        <v>243991</v>
      </c>
      <c r="H4777" s="2">
        <f t="shared" si="2254"/>
        <v>0.15486636802177128</v>
      </c>
      <c r="I4777" s="2">
        <f t="shared" si="2255"/>
        <v>0.84513363197822866</v>
      </c>
      <c r="J4777" s="1">
        <f t="shared" ref="J4777:K4777" si="2359">SUM(J4009+J4201+J4393+J4585)</f>
        <v>28181.81</v>
      </c>
      <c r="K4777" s="1">
        <f t="shared" si="2359"/>
        <v>613298.77</v>
      </c>
      <c r="L4777" s="1">
        <f t="shared" si="2281"/>
        <v>641480.58000000007</v>
      </c>
      <c r="M4777" s="2">
        <f t="shared" si="2282"/>
        <v>4.3932444533239023E-2</v>
      </c>
      <c r="N4777" s="2">
        <f t="shared" si="2283"/>
        <v>0.95606755546676092</v>
      </c>
    </row>
    <row r="4778" spans="1:14" x14ac:dyDescent="0.35">
      <c r="A4778" t="s">
        <v>37</v>
      </c>
      <c r="B4778" t="s">
        <v>17</v>
      </c>
      <c r="C4778">
        <v>2016</v>
      </c>
      <c r="D4778" t="s">
        <v>33</v>
      </c>
      <c r="E4778" s="1">
        <f t="shared" ref="E4778:F4778" si="2360">SUM(E4010+E4202+E4394+E4586)</f>
        <v>37576</v>
      </c>
      <c r="F4778" s="1">
        <f t="shared" si="2360"/>
        <v>206708</v>
      </c>
      <c r="G4778" s="1">
        <f t="shared" si="2253"/>
        <v>244284</v>
      </c>
      <c r="H4778" s="2">
        <f t="shared" si="2254"/>
        <v>0.15382096248628646</v>
      </c>
      <c r="I4778" s="2">
        <f t="shared" si="2255"/>
        <v>0.84617903751371359</v>
      </c>
      <c r="J4778" s="1">
        <f t="shared" ref="J4778:K4778" si="2361">SUM(J4010+J4202+J4394+J4586)</f>
        <v>35475.529999999992</v>
      </c>
      <c r="K4778" s="1">
        <f t="shared" si="2361"/>
        <v>635366.29</v>
      </c>
      <c r="L4778" s="1">
        <f t="shared" si="2281"/>
        <v>670841.82000000007</v>
      </c>
      <c r="M4778" s="2">
        <f t="shared" si="2282"/>
        <v>5.2882108631808297E-2</v>
      </c>
      <c r="N4778" s="2">
        <f t="shared" si="2283"/>
        <v>0.94711789136819169</v>
      </c>
    </row>
    <row r="4779" spans="1:14" x14ac:dyDescent="0.35">
      <c r="A4779" t="s">
        <v>37</v>
      </c>
      <c r="B4779" t="s">
        <v>19</v>
      </c>
      <c r="C4779">
        <v>2016</v>
      </c>
      <c r="D4779" t="s">
        <v>33</v>
      </c>
      <c r="E4779" s="1">
        <f t="shared" ref="E4779:F4779" si="2362">SUM(E4011+E4203+E4395+E4587)</f>
        <v>37380</v>
      </c>
      <c r="F4779" s="1">
        <f t="shared" si="2362"/>
        <v>207177</v>
      </c>
      <c r="G4779" s="1">
        <f t="shared" si="2253"/>
        <v>244557</v>
      </c>
      <c r="H4779" s="2">
        <f t="shared" si="2254"/>
        <v>0.15284780235282572</v>
      </c>
      <c r="I4779" s="2">
        <f t="shared" si="2255"/>
        <v>0.84715219764717431</v>
      </c>
      <c r="J4779" s="1">
        <f t="shared" ref="J4779:K4779" si="2363">SUM(J4011+J4203+J4395+J4587)</f>
        <v>31625.480000000003</v>
      </c>
      <c r="K4779" s="1">
        <f t="shared" si="2363"/>
        <v>567088.14</v>
      </c>
      <c r="L4779" s="1">
        <f t="shared" si="2281"/>
        <v>598713.62</v>
      </c>
      <c r="M4779" s="2">
        <f t="shared" si="2282"/>
        <v>5.2822382761227318E-2</v>
      </c>
      <c r="N4779" s="2">
        <f t="shared" si="2283"/>
        <v>0.9471776172387727</v>
      </c>
    </row>
    <row r="4780" spans="1:14" x14ac:dyDescent="0.35">
      <c r="A4780" t="s">
        <v>37</v>
      </c>
      <c r="B4780" t="s">
        <v>20</v>
      </c>
      <c r="C4780">
        <v>2016</v>
      </c>
      <c r="D4780" t="s">
        <v>33</v>
      </c>
      <c r="E4780" s="1">
        <f t="shared" ref="E4780:F4780" si="2364">SUM(E4012+E4204+E4396+E4588)</f>
        <v>37194</v>
      </c>
      <c r="F4780" s="1">
        <f t="shared" si="2364"/>
        <v>207722</v>
      </c>
      <c r="G4780" s="1">
        <f t="shared" si="2253"/>
        <v>244916</v>
      </c>
      <c r="H4780" s="2">
        <f t="shared" si="2254"/>
        <v>0.15186431266230055</v>
      </c>
      <c r="I4780" s="2">
        <f t="shared" si="2255"/>
        <v>0.84813568733769951</v>
      </c>
      <c r="J4780" s="1">
        <f t="shared" ref="J4780:K4780" si="2365">SUM(J4012+J4204+J4396+J4588)</f>
        <v>25392.530000000002</v>
      </c>
      <c r="K4780" s="1">
        <f t="shared" si="2365"/>
        <v>590393.01</v>
      </c>
      <c r="L4780" s="1">
        <f t="shared" si="2281"/>
        <v>615785.54</v>
      </c>
      <c r="M4780" s="2">
        <f t="shared" si="2282"/>
        <v>4.1235995895584042E-2</v>
      </c>
      <c r="N4780" s="2">
        <f t="shared" si="2283"/>
        <v>0.95876400410441587</v>
      </c>
    </row>
    <row r="4781" spans="1:14" x14ac:dyDescent="0.35">
      <c r="A4781" t="s">
        <v>37</v>
      </c>
      <c r="B4781" t="s">
        <v>21</v>
      </c>
      <c r="C4781">
        <v>2016</v>
      </c>
      <c r="D4781" t="s">
        <v>33</v>
      </c>
      <c r="E4781" s="1">
        <f t="shared" ref="E4781:F4781" si="2366">SUM(E4013+E4205+E4397+E4589)</f>
        <v>37030</v>
      </c>
      <c r="F4781" s="1">
        <f t="shared" si="2366"/>
        <v>208184</v>
      </c>
      <c r="G4781" s="1">
        <f t="shared" si="2253"/>
        <v>245214</v>
      </c>
      <c r="H4781" s="2">
        <f t="shared" si="2254"/>
        <v>0.1510109536975866</v>
      </c>
      <c r="I4781" s="2">
        <f t="shared" si="2255"/>
        <v>0.84898904630241345</v>
      </c>
      <c r="J4781" s="1">
        <f t="shared" ref="J4781:K4781" si="2367">SUM(J4013+J4205+J4397+J4589)</f>
        <v>24856.5</v>
      </c>
      <c r="K4781" s="1">
        <f t="shared" si="2367"/>
        <v>601085.98</v>
      </c>
      <c r="L4781" s="1">
        <f t="shared" si="2281"/>
        <v>625942.48</v>
      </c>
      <c r="M4781" s="2">
        <f t="shared" si="2282"/>
        <v>3.9710517809879275E-2</v>
      </c>
      <c r="N4781" s="2">
        <f t="shared" si="2283"/>
        <v>0.96028948219012078</v>
      </c>
    </row>
    <row r="4782" spans="1:14" x14ac:dyDescent="0.35">
      <c r="A4782" t="s">
        <v>37</v>
      </c>
      <c r="B4782" t="s">
        <v>22</v>
      </c>
      <c r="C4782">
        <v>2016</v>
      </c>
      <c r="D4782" t="s">
        <v>33</v>
      </c>
      <c r="E4782" s="1">
        <f t="shared" ref="E4782:F4782" si="2368">SUM(E4014+E4206+E4398+E4590)</f>
        <v>36802</v>
      </c>
      <c r="F4782" s="1">
        <f t="shared" si="2368"/>
        <v>208847</v>
      </c>
      <c r="G4782" s="1">
        <f t="shared" si="2253"/>
        <v>245649</v>
      </c>
      <c r="H4782" s="2">
        <f t="shared" si="2254"/>
        <v>0.14981538699526561</v>
      </c>
      <c r="I4782" s="2">
        <f t="shared" si="2255"/>
        <v>0.85018461300473436</v>
      </c>
      <c r="J4782" s="1">
        <f t="shared" ref="J4782:K4782" si="2369">SUM(J4014+J4206+J4398+J4590)</f>
        <v>29211.859999999997</v>
      </c>
      <c r="K4782" s="1">
        <f t="shared" si="2369"/>
        <v>616064.53999999992</v>
      </c>
      <c r="L4782" s="1">
        <f t="shared" si="2281"/>
        <v>645276.39999999991</v>
      </c>
      <c r="M4782" s="2">
        <f t="shared" si="2282"/>
        <v>4.5270305872026316E-2</v>
      </c>
      <c r="N4782" s="2">
        <f t="shared" si="2283"/>
        <v>0.9547296941279737</v>
      </c>
    </row>
    <row r="4783" spans="1:14" x14ac:dyDescent="0.35">
      <c r="A4783" t="s">
        <v>37</v>
      </c>
      <c r="B4783" t="s">
        <v>23</v>
      </c>
      <c r="C4783">
        <v>2016</v>
      </c>
      <c r="D4783" t="s">
        <v>33</v>
      </c>
      <c r="E4783" s="1">
        <f t="shared" ref="E4783:F4783" si="2370">SUM(E4015+E4207+E4399+E4591)</f>
        <v>36565</v>
      </c>
      <c r="F4783" s="1">
        <f t="shared" si="2370"/>
        <v>209373</v>
      </c>
      <c r="G4783" s="1">
        <f t="shared" si="2253"/>
        <v>245938</v>
      </c>
      <c r="H4783" s="2">
        <f t="shared" si="2254"/>
        <v>0.14867568248908261</v>
      </c>
      <c r="I4783" s="2">
        <f t="shared" si="2255"/>
        <v>0.85132431751091742</v>
      </c>
      <c r="J4783" s="1">
        <f t="shared" ref="J4783:K4783" si="2371">SUM(J4015+J4207+J4399+J4591)</f>
        <v>37270.870000000003</v>
      </c>
      <c r="K4783" s="1">
        <f t="shared" si="2371"/>
        <v>716069.37</v>
      </c>
      <c r="L4783" s="1">
        <f t="shared" si="2281"/>
        <v>753340.24</v>
      </c>
      <c r="M4783" s="2">
        <f t="shared" si="2282"/>
        <v>4.9474152608653961E-2</v>
      </c>
      <c r="N4783" s="2">
        <f t="shared" si="2283"/>
        <v>0.95052584739134605</v>
      </c>
    </row>
    <row r="4784" spans="1:14" x14ac:dyDescent="0.35">
      <c r="A4784" t="s">
        <v>37</v>
      </c>
      <c r="B4784" t="s">
        <v>24</v>
      </c>
      <c r="C4784">
        <v>2016</v>
      </c>
      <c r="D4784" t="s">
        <v>33</v>
      </c>
      <c r="E4784" s="1">
        <f t="shared" ref="E4784:F4784" si="2372">SUM(E4016+E4208+E4400+E4592)</f>
        <v>36332</v>
      </c>
      <c r="F4784" s="1">
        <f t="shared" si="2372"/>
        <v>209948</v>
      </c>
      <c r="G4784" s="1">
        <f t="shared" si="2253"/>
        <v>246280</v>
      </c>
      <c r="H4784" s="2">
        <f t="shared" si="2254"/>
        <v>0.14752314438850089</v>
      </c>
      <c r="I4784" s="2">
        <f t="shared" si="2255"/>
        <v>0.85247685561149911</v>
      </c>
      <c r="J4784" s="1">
        <f t="shared" ref="J4784:K4784" si="2373">SUM(J4016+J4208+J4400+J4592)</f>
        <v>53359.49</v>
      </c>
      <c r="K4784" s="1">
        <f t="shared" si="2373"/>
        <v>816761.91</v>
      </c>
      <c r="L4784" s="1">
        <f t="shared" si="2281"/>
        <v>870121.4</v>
      </c>
      <c r="M4784" s="2">
        <f t="shared" si="2282"/>
        <v>6.1324189934875747E-2</v>
      </c>
      <c r="N4784" s="2">
        <f t="shared" si="2283"/>
        <v>0.93867581006512424</v>
      </c>
    </row>
    <row r="4785" spans="1:14" x14ac:dyDescent="0.35">
      <c r="A4785" t="s">
        <v>37</v>
      </c>
      <c r="B4785" t="s">
        <v>25</v>
      </c>
      <c r="C4785">
        <v>2016</v>
      </c>
      <c r="D4785" t="s">
        <v>33</v>
      </c>
      <c r="E4785" s="1">
        <f t="shared" ref="E4785:F4785" si="2374">SUM(E4017+E4209+E4401+E4593)</f>
        <v>36017</v>
      </c>
      <c r="F4785" s="1">
        <f t="shared" si="2374"/>
        <v>210541</v>
      </c>
      <c r="G4785" s="1">
        <f t="shared" si="2253"/>
        <v>246558</v>
      </c>
      <c r="H4785" s="2">
        <f t="shared" si="2254"/>
        <v>0.14607921868282514</v>
      </c>
      <c r="I4785" s="2">
        <f t="shared" si="2255"/>
        <v>0.85392078131717486</v>
      </c>
      <c r="J4785" s="1">
        <f t="shared" ref="J4785:K4785" si="2375">SUM(J4017+J4209+J4401+J4593)</f>
        <v>53054.510000000009</v>
      </c>
      <c r="K4785" s="1">
        <f t="shared" si="2375"/>
        <v>865393.99000000011</v>
      </c>
      <c r="L4785" s="1">
        <f t="shared" si="2281"/>
        <v>918448.50000000012</v>
      </c>
      <c r="M4785" s="2">
        <f t="shared" si="2282"/>
        <v>5.7765361911963492E-2</v>
      </c>
      <c r="N4785" s="2">
        <f t="shared" si="2283"/>
        <v>0.94223463808803654</v>
      </c>
    </row>
    <row r="4786" spans="1:14" x14ac:dyDescent="0.35">
      <c r="A4786" t="s">
        <v>37</v>
      </c>
      <c r="B4786" t="s">
        <v>26</v>
      </c>
      <c r="C4786">
        <v>2016</v>
      </c>
      <c r="D4786" t="s">
        <v>33</v>
      </c>
      <c r="E4786" s="1">
        <f t="shared" ref="E4786:F4786" si="2376">SUM(E4018+E4210+E4402+E4594)</f>
        <v>35639</v>
      </c>
      <c r="F4786" s="1">
        <f t="shared" si="2376"/>
        <v>211072</v>
      </c>
      <c r="G4786" s="1">
        <f t="shared" si="2253"/>
        <v>246711</v>
      </c>
      <c r="H4786" s="2">
        <f t="shared" si="2254"/>
        <v>0.14445646931024558</v>
      </c>
      <c r="I4786" s="2">
        <f t="shared" si="2255"/>
        <v>0.85554353068975442</v>
      </c>
      <c r="J4786" s="1">
        <f t="shared" ref="J4786:K4786" si="2377">SUM(J4018+J4210+J4402+J4594)</f>
        <v>46894.44</v>
      </c>
      <c r="K4786" s="1">
        <f t="shared" si="2377"/>
        <v>788112.08</v>
      </c>
      <c r="L4786" s="1">
        <f t="shared" si="2281"/>
        <v>835006.52</v>
      </c>
      <c r="M4786" s="2">
        <f t="shared" si="2282"/>
        <v>5.6160567464790576E-2</v>
      </c>
      <c r="N4786" s="2">
        <f t="shared" si="2283"/>
        <v>0.9438394325352093</v>
      </c>
    </row>
    <row r="4787" spans="1:14" x14ac:dyDescent="0.35">
      <c r="A4787" t="s">
        <v>37</v>
      </c>
      <c r="B4787" t="s">
        <v>27</v>
      </c>
      <c r="C4787">
        <v>2016</v>
      </c>
      <c r="D4787" t="s">
        <v>33</v>
      </c>
      <c r="E4787" s="1">
        <f t="shared" ref="E4787:F4787" si="2378">SUM(E4019+E4211+E4403+E4595)</f>
        <v>35240</v>
      </c>
      <c r="F4787" s="1">
        <f t="shared" si="2378"/>
        <v>211359</v>
      </c>
      <c r="G4787" s="1">
        <f t="shared" si="2253"/>
        <v>246599</v>
      </c>
      <c r="H4787" s="2">
        <f t="shared" si="2254"/>
        <v>0.14290406692646768</v>
      </c>
      <c r="I4787" s="2">
        <f t="shared" si="2255"/>
        <v>0.85709593307353238</v>
      </c>
      <c r="J4787" s="1">
        <f t="shared" ref="J4787:K4787" si="2379">SUM(J4019+J4211+J4403+J4595)</f>
        <v>36582.200000000004</v>
      </c>
      <c r="K4787" s="1">
        <f t="shared" si="2379"/>
        <v>733638.99000000011</v>
      </c>
      <c r="L4787" s="1">
        <f t="shared" si="2281"/>
        <v>770221.19000000006</v>
      </c>
      <c r="M4787" s="2">
        <f t="shared" si="2282"/>
        <v>4.7495707044881486E-2</v>
      </c>
      <c r="N4787" s="2">
        <f t="shared" si="2283"/>
        <v>0.95250429295511863</v>
      </c>
    </row>
    <row r="4788" spans="1:14" x14ac:dyDescent="0.35">
      <c r="A4788" t="s">
        <v>37</v>
      </c>
      <c r="B4788" t="s">
        <v>28</v>
      </c>
      <c r="C4788">
        <v>2016</v>
      </c>
      <c r="D4788" t="s">
        <v>33</v>
      </c>
      <c r="E4788" s="1">
        <f t="shared" ref="E4788:F4788" si="2380">SUM(E4020+E4212+E4404+E4596)</f>
        <v>34977</v>
      </c>
      <c r="F4788" s="1">
        <f t="shared" si="2380"/>
        <v>211726</v>
      </c>
      <c r="G4788" s="1">
        <f t="shared" si="2253"/>
        <v>246703</v>
      </c>
      <c r="H4788" s="2">
        <f t="shared" si="2254"/>
        <v>0.1417777651670227</v>
      </c>
      <c r="I4788" s="2">
        <f t="shared" si="2255"/>
        <v>0.85822223483297733</v>
      </c>
      <c r="J4788" s="1">
        <f t="shared" ref="J4788:K4788" si="2381">SUM(J4020+J4212+J4404+J4596)</f>
        <v>27787.339999999997</v>
      </c>
      <c r="K4788" s="1">
        <f t="shared" si="2381"/>
        <v>713347.41</v>
      </c>
      <c r="L4788" s="1">
        <f t="shared" si="2281"/>
        <v>741134.75</v>
      </c>
      <c r="M4788" s="2">
        <f t="shared" si="2282"/>
        <v>3.749296602271044E-2</v>
      </c>
      <c r="N4788" s="2">
        <f t="shared" si="2283"/>
        <v>0.96250703397728965</v>
      </c>
    </row>
    <row r="4789" spans="1:14" x14ac:dyDescent="0.35">
      <c r="A4789" t="s">
        <v>37</v>
      </c>
      <c r="B4789" t="s">
        <v>29</v>
      </c>
      <c r="C4789">
        <v>2016</v>
      </c>
      <c r="D4789" t="s">
        <v>33</v>
      </c>
      <c r="E4789" s="1">
        <f t="shared" ref="E4789:F4789" si="2382">SUM(E4021+E4213+E4405+E4597)</f>
        <v>34819</v>
      </c>
      <c r="F4789" s="1">
        <f t="shared" si="2382"/>
        <v>211991</v>
      </c>
      <c r="G4789" s="1">
        <f t="shared" si="2253"/>
        <v>246810</v>
      </c>
      <c r="H4789" s="2">
        <f t="shared" si="2254"/>
        <v>0.14107613143713787</v>
      </c>
      <c r="I4789" s="2">
        <f t="shared" si="2255"/>
        <v>0.85892386856286207</v>
      </c>
      <c r="J4789" s="1">
        <f t="shared" ref="J4789:K4789" si="2383">SUM(J4021+J4213+J4405+J4597)</f>
        <v>26782.799999999999</v>
      </c>
      <c r="K4789" s="1">
        <f t="shared" si="2383"/>
        <v>610956.04</v>
      </c>
      <c r="L4789" s="1">
        <f t="shared" si="2281"/>
        <v>637738.84000000008</v>
      </c>
      <c r="M4789" s="2">
        <f t="shared" si="2282"/>
        <v>4.1996501263746135E-2</v>
      </c>
      <c r="N4789" s="2">
        <f t="shared" si="2283"/>
        <v>0.95800349873625379</v>
      </c>
    </row>
    <row r="4790" spans="1:14" x14ac:dyDescent="0.35">
      <c r="A4790" t="s">
        <v>37</v>
      </c>
      <c r="B4790" t="s">
        <v>17</v>
      </c>
      <c r="C4790">
        <v>2017</v>
      </c>
      <c r="D4790" t="s">
        <v>33</v>
      </c>
      <c r="E4790" s="1">
        <f t="shared" ref="E4790:F4790" si="2384">SUM(E4022+E4214+E4406+E4598)</f>
        <v>34537</v>
      </c>
      <c r="F4790" s="1">
        <f t="shared" si="2384"/>
        <v>212481</v>
      </c>
      <c r="G4790" s="1">
        <f t="shared" si="2253"/>
        <v>247018</v>
      </c>
      <c r="H4790" s="2">
        <f t="shared" si="2254"/>
        <v>0.13981572193119529</v>
      </c>
      <c r="I4790" s="2">
        <f t="shared" si="2255"/>
        <v>0.86018427806880471</v>
      </c>
      <c r="J4790" s="1">
        <f t="shared" ref="J4790:K4790" si="2385">SUM(J4022+J4214+J4406+J4598)</f>
        <v>32559.470000000005</v>
      </c>
      <c r="K4790" s="1">
        <f t="shared" si="2385"/>
        <v>658333.68000000005</v>
      </c>
      <c r="L4790" s="1">
        <f t="shared" si="2281"/>
        <v>690893.15</v>
      </c>
      <c r="M4790" s="2">
        <f t="shared" si="2282"/>
        <v>4.7126636007318937E-2</v>
      </c>
      <c r="N4790" s="2">
        <f t="shared" si="2283"/>
        <v>0.95287336399268108</v>
      </c>
    </row>
    <row r="4791" spans="1:14" x14ac:dyDescent="0.35">
      <c r="A4791" t="s">
        <v>37</v>
      </c>
      <c r="B4791" t="s">
        <v>19</v>
      </c>
      <c r="C4791">
        <v>2017</v>
      </c>
      <c r="D4791" t="s">
        <v>33</v>
      </c>
      <c r="E4791" s="1">
        <f t="shared" ref="E4791:F4791" si="2386">SUM(E4023+E4215+E4407+E4599)</f>
        <v>34264</v>
      </c>
      <c r="F4791" s="1">
        <f t="shared" si="2386"/>
        <v>212985</v>
      </c>
      <c r="G4791" s="1">
        <f t="shared" ref="G4791:G4801" si="2387">SUM(E4791:F4791)</f>
        <v>247249</v>
      </c>
      <c r="H4791" s="2">
        <f t="shared" ref="H4791:H4801" si="2388">SUM(E4791)/G4791</f>
        <v>0.13858094471565102</v>
      </c>
      <c r="I4791" s="2">
        <f t="shared" ref="I4791:I4801" si="2389">SUM(F4791/G4791)</f>
        <v>0.86141905528434892</v>
      </c>
      <c r="J4791" s="1">
        <f t="shared" ref="J4791:K4791" si="2390">SUM(J4023+J4215+J4407+J4599)</f>
        <v>27124.848999999998</v>
      </c>
      <c r="K4791" s="1">
        <f t="shared" si="2390"/>
        <v>615527.80999999994</v>
      </c>
      <c r="L4791" s="1">
        <f t="shared" si="2281"/>
        <v>642652.65899999999</v>
      </c>
      <c r="M4791" s="2">
        <f t="shared" si="2282"/>
        <v>4.2207635213410047E-2</v>
      </c>
      <c r="N4791" s="2">
        <f t="shared" si="2283"/>
        <v>0.95779236478658991</v>
      </c>
    </row>
    <row r="4792" spans="1:14" x14ac:dyDescent="0.35">
      <c r="A4792" t="s">
        <v>37</v>
      </c>
      <c r="B4792" t="s">
        <v>20</v>
      </c>
      <c r="C4792">
        <v>2017</v>
      </c>
      <c r="D4792" t="s">
        <v>33</v>
      </c>
      <c r="E4792" s="1">
        <f t="shared" ref="E4792:F4792" si="2391">SUM(E4024+E4216+E4408+E4600)</f>
        <v>34069</v>
      </c>
      <c r="F4792" s="1">
        <f t="shared" si="2391"/>
        <v>213674</v>
      </c>
      <c r="G4792" s="1">
        <f t="shared" si="2387"/>
        <v>247743</v>
      </c>
      <c r="H4792" s="2">
        <f t="shared" si="2388"/>
        <v>0.13751750806279087</v>
      </c>
      <c r="I4792" s="2">
        <f t="shared" si="2389"/>
        <v>0.86248249193720916</v>
      </c>
      <c r="J4792" s="1">
        <f t="shared" ref="J4792:K4792" si="2392">SUM(J4024+J4216+J4408+J4600)</f>
        <v>23668.550000000003</v>
      </c>
      <c r="K4792" s="1">
        <f t="shared" si="2392"/>
        <v>598597.53000000014</v>
      </c>
      <c r="L4792" s="1">
        <f t="shared" si="2281"/>
        <v>622266.08000000019</v>
      </c>
      <c r="M4792" s="2">
        <f t="shared" si="2282"/>
        <v>3.8036060072565735E-2</v>
      </c>
      <c r="N4792" s="2">
        <f t="shared" si="2283"/>
        <v>0.96196393992743423</v>
      </c>
    </row>
    <row r="4793" spans="1:14" x14ac:dyDescent="0.35">
      <c r="A4793" t="s">
        <v>37</v>
      </c>
      <c r="B4793" t="s">
        <v>21</v>
      </c>
      <c r="C4793">
        <v>2017</v>
      </c>
      <c r="D4793" t="s">
        <v>33</v>
      </c>
      <c r="E4793" s="1">
        <f t="shared" ref="E4793:F4793" si="2393">SUM(E4025+E4217+E4409+E4601)</f>
        <v>33799</v>
      </c>
      <c r="F4793" s="1">
        <f t="shared" si="2393"/>
        <v>214203</v>
      </c>
      <c r="G4793" s="1">
        <f t="shared" si="2387"/>
        <v>248002</v>
      </c>
      <c r="H4793" s="2">
        <f t="shared" si="2388"/>
        <v>0.13628519124845767</v>
      </c>
      <c r="I4793" s="2">
        <f t="shared" si="2389"/>
        <v>0.86371480875154227</v>
      </c>
      <c r="J4793" s="1">
        <f t="shared" ref="J4793:K4793" si="2394">SUM(J4025+J4217+J4409+J4601)</f>
        <v>23998.5</v>
      </c>
      <c r="K4793" s="1">
        <f t="shared" si="2394"/>
        <v>629241.21</v>
      </c>
      <c r="L4793" s="1">
        <f t="shared" si="2281"/>
        <v>653239.71</v>
      </c>
      <c r="M4793" s="2">
        <f t="shared" si="2282"/>
        <v>3.6737662503707864E-2</v>
      </c>
      <c r="N4793" s="2">
        <f t="shared" si="2283"/>
        <v>0.96326233749629209</v>
      </c>
    </row>
    <row r="4794" spans="1:14" x14ac:dyDescent="0.35">
      <c r="A4794" t="s">
        <v>37</v>
      </c>
      <c r="B4794" t="s">
        <v>22</v>
      </c>
      <c r="C4794">
        <v>2017</v>
      </c>
      <c r="D4794" t="s">
        <v>33</v>
      </c>
      <c r="E4794" s="1">
        <f t="shared" ref="E4794:F4794" si="2395">SUM(E4026+E4218+E4410+E4602)</f>
        <v>33569</v>
      </c>
      <c r="F4794" s="1">
        <f t="shared" si="2395"/>
        <v>214936</v>
      </c>
      <c r="G4794" s="1">
        <f t="shared" si="2387"/>
        <v>248505</v>
      </c>
      <c r="H4794" s="2">
        <f t="shared" si="2388"/>
        <v>0.13508380113076196</v>
      </c>
      <c r="I4794" s="2">
        <f t="shared" si="2389"/>
        <v>0.8649161988692381</v>
      </c>
      <c r="J4794" s="1">
        <f t="shared" ref="J4794:K4794" si="2396">SUM(J4026+J4218+J4410+J4602)</f>
        <v>27278.560000000001</v>
      </c>
      <c r="K4794" s="1">
        <f t="shared" si="2396"/>
        <v>701585.17</v>
      </c>
      <c r="L4794" s="1">
        <f t="shared" si="2281"/>
        <v>728863.7300000001</v>
      </c>
      <c r="M4794" s="2">
        <f t="shared" si="2282"/>
        <v>3.7426145488128483E-2</v>
      </c>
      <c r="N4794" s="2">
        <f t="shared" si="2283"/>
        <v>0.9625738545118715</v>
      </c>
    </row>
    <row r="4795" spans="1:14" x14ac:dyDescent="0.35">
      <c r="A4795" t="s">
        <v>37</v>
      </c>
      <c r="B4795" t="s">
        <v>23</v>
      </c>
      <c r="C4795">
        <v>2017</v>
      </c>
      <c r="D4795" t="s">
        <v>33</v>
      </c>
      <c r="E4795" s="1">
        <f t="shared" ref="E4795:F4795" si="2397">SUM(E4027+E4219+E4411+E4603)</f>
        <v>33280</v>
      </c>
      <c r="F4795" s="1">
        <f t="shared" si="2397"/>
        <v>215593</v>
      </c>
      <c r="G4795" s="1">
        <f t="shared" si="2387"/>
        <v>248873</v>
      </c>
      <c r="H4795" s="2">
        <f t="shared" si="2388"/>
        <v>0.13372282248375678</v>
      </c>
      <c r="I4795" s="2">
        <f t="shared" si="2389"/>
        <v>0.86627717751624322</v>
      </c>
      <c r="J4795" s="1">
        <f t="shared" ref="J4795:K4795" si="2398">SUM(J4027+J4219+J4411+J4603)</f>
        <v>34528.409999999996</v>
      </c>
      <c r="K4795" s="1">
        <f t="shared" si="2398"/>
        <v>766114.29999999993</v>
      </c>
      <c r="L4795" s="1">
        <f t="shared" si="2281"/>
        <v>800642.71</v>
      </c>
      <c r="M4795" s="2">
        <f t="shared" si="2282"/>
        <v>4.3125865718555034E-2</v>
      </c>
      <c r="N4795" s="2">
        <f t="shared" si="2283"/>
        <v>0.95687413428144497</v>
      </c>
    </row>
    <row r="4796" spans="1:14" x14ac:dyDescent="0.35">
      <c r="A4796" t="s">
        <v>37</v>
      </c>
      <c r="B4796" t="s">
        <v>24</v>
      </c>
      <c r="C4796">
        <v>2017</v>
      </c>
      <c r="D4796" t="s">
        <v>33</v>
      </c>
      <c r="E4796" s="1">
        <f t="shared" ref="E4796:F4796" si="2399">SUM(E4028+E4220+E4412+E4604)</f>
        <v>33039</v>
      </c>
      <c r="F4796" s="1">
        <f t="shared" si="2399"/>
        <v>216221</v>
      </c>
      <c r="G4796" s="1">
        <f t="shared" si="2387"/>
        <v>249260</v>
      </c>
      <c r="H4796" s="2">
        <f t="shared" si="2388"/>
        <v>0.13254834309556288</v>
      </c>
      <c r="I4796" s="2">
        <f t="shared" si="2389"/>
        <v>0.86745165690443715</v>
      </c>
      <c r="J4796" s="1">
        <f t="shared" ref="J4796:K4796" si="2400">SUM(J4028+J4220+J4412+J4604)</f>
        <v>44368.68</v>
      </c>
      <c r="K4796" s="1">
        <f t="shared" si="2400"/>
        <v>863059.79</v>
      </c>
      <c r="L4796" s="1">
        <f t="shared" si="2281"/>
        <v>907428.47000000009</v>
      </c>
      <c r="M4796" s="2">
        <f t="shared" si="2282"/>
        <v>4.8894961384669797E-2</v>
      </c>
      <c r="N4796" s="2">
        <f t="shared" si="2283"/>
        <v>0.95110503861533013</v>
      </c>
    </row>
    <row r="4797" spans="1:14" x14ac:dyDescent="0.35">
      <c r="A4797" t="s">
        <v>37</v>
      </c>
      <c r="B4797" t="s">
        <v>25</v>
      </c>
      <c r="C4797">
        <v>2017</v>
      </c>
      <c r="D4797" t="s">
        <v>33</v>
      </c>
      <c r="E4797" s="1">
        <f t="shared" ref="E4797:F4797" si="2401">SUM(E4029+E4221+E4413+E4605)</f>
        <v>32826</v>
      </c>
      <c r="F4797" s="1">
        <f t="shared" si="2401"/>
        <v>216876</v>
      </c>
      <c r="G4797" s="1">
        <f t="shared" si="2387"/>
        <v>249702</v>
      </c>
      <c r="H4797" s="2">
        <f t="shared" si="2388"/>
        <v>0.13146070115577768</v>
      </c>
      <c r="I4797" s="2">
        <f t="shared" si="2389"/>
        <v>0.86853929884422232</v>
      </c>
      <c r="J4797" s="1">
        <f t="shared" ref="J4797:K4797" si="2402">SUM(J4029+J4221+J4413+J4605)</f>
        <v>46366.55</v>
      </c>
      <c r="K4797" s="1">
        <f t="shared" si="2402"/>
        <v>882030.03000000014</v>
      </c>
      <c r="L4797" s="1">
        <f t="shared" si="2281"/>
        <v>928396.58000000019</v>
      </c>
      <c r="M4797" s="2">
        <f t="shared" si="2282"/>
        <v>4.9942611809276581E-2</v>
      </c>
      <c r="N4797" s="2">
        <f t="shared" si="2283"/>
        <v>0.95005738819072338</v>
      </c>
    </row>
    <row r="4798" spans="1:14" x14ac:dyDescent="0.35">
      <c r="A4798" t="s">
        <v>37</v>
      </c>
      <c r="B4798" t="s">
        <v>26</v>
      </c>
      <c r="C4798">
        <v>2017</v>
      </c>
      <c r="D4798" t="s">
        <v>33</v>
      </c>
      <c r="E4798" s="1">
        <f t="shared" ref="E4798:F4798" si="2403">SUM(E4030+E4222+E4414+E4606)</f>
        <v>32567</v>
      </c>
      <c r="F4798" s="1">
        <f t="shared" si="2403"/>
        <v>217462</v>
      </c>
      <c r="G4798" s="1">
        <f t="shared" si="2387"/>
        <v>250029</v>
      </c>
      <c r="H4798" s="2">
        <f t="shared" si="2388"/>
        <v>0.1302528906646829</v>
      </c>
      <c r="I4798" s="2">
        <f t="shared" si="2389"/>
        <v>0.86974710933531707</v>
      </c>
      <c r="J4798" s="1">
        <f t="shared" ref="J4798:K4798" si="2404">SUM(J4030+J4222+J4414+J4606)</f>
        <v>39660.130000000005</v>
      </c>
      <c r="K4798" s="1">
        <f t="shared" si="2404"/>
        <v>828564.23</v>
      </c>
      <c r="L4798" s="1">
        <f t="shared" si="2281"/>
        <v>868224.36</v>
      </c>
      <c r="M4798" s="2">
        <f t="shared" si="2282"/>
        <v>4.5679586783305651E-2</v>
      </c>
      <c r="N4798" s="2">
        <f t="shared" si="2283"/>
        <v>0.95432041321669436</v>
      </c>
    </row>
    <row r="4799" spans="1:14" x14ac:dyDescent="0.35">
      <c r="A4799" t="s">
        <v>37</v>
      </c>
      <c r="B4799" t="s">
        <v>27</v>
      </c>
      <c r="C4799">
        <v>2017</v>
      </c>
      <c r="D4799" t="s">
        <v>33</v>
      </c>
      <c r="E4799" s="1">
        <f t="shared" ref="E4799:F4799" si="2405">SUM(E4031+E4223+E4415+E4607)</f>
        <v>32302</v>
      </c>
      <c r="F4799" s="1">
        <f t="shared" si="2405"/>
        <v>217809</v>
      </c>
      <c r="G4799" s="1">
        <f t="shared" si="2387"/>
        <v>250111</v>
      </c>
      <c r="H4799" s="2">
        <f t="shared" si="2388"/>
        <v>0.12915065710824394</v>
      </c>
      <c r="I4799" s="2">
        <f t="shared" si="2389"/>
        <v>0.87084934289175608</v>
      </c>
      <c r="J4799" s="1">
        <f t="shared" ref="J4799:K4799" si="2406">SUM(J4031+J4223+J4415+J4607)</f>
        <v>34993.820000000007</v>
      </c>
      <c r="K4799" s="1">
        <f t="shared" si="2406"/>
        <v>808737.6</v>
      </c>
      <c r="L4799" s="1">
        <f t="shared" si="2281"/>
        <v>843731.41999999993</v>
      </c>
      <c r="M4799" s="2">
        <f t="shared" si="2282"/>
        <v>4.1475070348808402E-2</v>
      </c>
      <c r="N4799" s="2">
        <f t="shared" si="2283"/>
        <v>0.95852492965119163</v>
      </c>
    </row>
    <row r="4800" spans="1:14" x14ac:dyDescent="0.35">
      <c r="A4800" t="s">
        <v>37</v>
      </c>
      <c r="B4800" t="s">
        <v>28</v>
      </c>
      <c r="C4800">
        <v>2017</v>
      </c>
      <c r="D4800" t="s">
        <v>33</v>
      </c>
      <c r="E4800" s="1">
        <f t="shared" ref="E4800:F4800" si="2407">SUM(E4032+E4224+E4416+E4608)</f>
        <v>32074</v>
      </c>
      <c r="F4800" s="1">
        <f t="shared" si="2407"/>
        <v>218011</v>
      </c>
      <c r="G4800" s="1">
        <f t="shared" si="2387"/>
        <v>250085</v>
      </c>
      <c r="H4800" s="2">
        <f t="shared" si="2388"/>
        <v>0.12825239418597678</v>
      </c>
      <c r="I4800" s="2">
        <f t="shared" si="2389"/>
        <v>0.87174760581402322</v>
      </c>
      <c r="J4800" s="1">
        <f t="shared" ref="J4800:K4800" si="2408">SUM(J4032+J4224+J4416+J4608)</f>
        <v>24522.82</v>
      </c>
      <c r="K4800" s="1">
        <f t="shared" si="2408"/>
        <v>714385.72</v>
      </c>
      <c r="L4800" s="1">
        <f t="shared" si="2281"/>
        <v>738908.53999999992</v>
      </c>
      <c r="M4800" s="2">
        <f t="shared" si="2282"/>
        <v>3.3187896299046706E-2</v>
      </c>
      <c r="N4800" s="2">
        <f t="shared" si="2283"/>
        <v>0.96681210370095338</v>
      </c>
    </row>
    <row r="4801" spans="1:15" x14ac:dyDescent="0.35">
      <c r="A4801" t="s">
        <v>37</v>
      </c>
      <c r="B4801" t="s">
        <v>29</v>
      </c>
      <c r="C4801">
        <v>2017</v>
      </c>
      <c r="D4801" t="s">
        <v>33</v>
      </c>
      <c r="E4801" s="1">
        <f t="shared" ref="E4801:F4801" si="2409">SUM(E4033+E4225+E4417+E4609)</f>
        <v>31884</v>
      </c>
      <c r="F4801" s="1">
        <f t="shared" si="2409"/>
        <v>218280</v>
      </c>
      <c r="G4801" s="1">
        <f t="shared" si="2387"/>
        <v>250164</v>
      </c>
      <c r="H4801" s="2">
        <f t="shared" si="2388"/>
        <v>0.12745239123135224</v>
      </c>
      <c r="I4801" s="2">
        <f t="shared" si="2389"/>
        <v>0.87254760876864779</v>
      </c>
      <c r="J4801" s="1">
        <f t="shared" ref="J4801:K4801" si="2410">SUM(J4033+J4225+J4417+J4609)</f>
        <v>25192.42</v>
      </c>
      <c r="K4801" s="1">
        <f t="shared" si="2410"/>
        <v>700075.98</v>
      </c>
      <c r="L4801" s="1">
        <f t="shared" si="2281"/>
        <v>725268.4</v>
      </c>
      <c r="M4801" s="2">
        <f t="shared" si="2282"/>
        <v>3.4735306267307385E-2</v>
      </c>
      <c r="N4801" s="2">
        <f t="shared" si="2283"/>
        <v>0.96526469373269252</v>
      </c>
    </row>
    <row r="4802" spans="1:15" x14ac:dyDescent="0.35">
      <c r="A4802" t="s">
        <v>38</v>
      </c>
      <c r="B4802" t="s">
        <v>17</v>
      </c>
      <c r="C4802">
        <v>2002</v>
      </c>
      <c r="D4802" t="s">
        <v>18</v>
      </c>
      <c r="E4802" s="3">
        <f>SUM(E2+E962+E1922+E2882+E3842)</f>
        <v>3966894</v>
      </c>
      <c r="F4802" s="3">
        <f>SUM(F2+F962+F1922+F2882+F3842)</f>
        <v>69762</v>
      </c>
      <c r="G4802" s="1">
        <f>SUM(E4802:F4802)</f>
        <v>4036656</v>
      </c>
      <c r="H4802" s="2">
        <f>SUM(E4802)/G4802</f>
        <v>0.98271787340808825</v>
      </c>
      <c r="I4802" s="2">
        <f>SUM(F4802/G4802)</f>
        <v>1.7282126591911719E-2</v>
      </c>
      <c r="J4802" s="3">
        <f>SUM(J2+J962+J1922+J2882+J3842)</f>
        <v>4341889.693</v>
      </c>
      <c r="K4802" s="3">
        <f>SUM(K2+K962+K1922+K2882+K3842)</f>
        <v>54138.953999999998</v>
      </c>
      <c r="L4802" s="1">
        <f>SUM(J4802:K4802)</f>
        <v>4396028.6469999999</v>
      </c>
      <c r="M4802" s="2">
        <f>SUM(J4802)/L4802</f>
        <v>0.98768457661508957</v>
      </c>
      <c r="N4802" s="2">
        <f>SUM(K4802/L4802)</f>
        <v>1.2315423384910439E-2</v>
      </c>
      <c r="O4802" s="5">
        <f>SUM(1000*L4802)/G4802</f>
        <v>1089.0273154313868</v>
      </c>
    </row>
    <row r="4803" spans="1:15" x14ac:dyDescent="0.35">
      <c r="A4803" t="s">
        <v>38</v>
      </c>
      <c r="B4803" t="s">
        <v>19</v>
      </c>
      <c r="C4803">
        <v>2002</v>
      </c>
      <c r="D4803" t="s">
        <v>18</v>
      </c>
      <c r="E4803" s="3">
        <f>SUM(E3+E963+E1923+E2883+E3843)</f>
        <v>3974341</v>
      </c>
      <c r="F4803" s="3">
        <f>SUM(F3+F963+F1923+F2883+F3843)</f>
        <v>94416</v>
      </c>
      <c r="G4803" s="1">
        <f t="shared" ref="G4803:G4813" si="2411">SUM(E4803:F4803)</f>
        <v>4068757</v>
      </c>
      <c r="H4803" s="2">
        <f t="shared" ref="H4803:H4813" si="2412">SUM(E4803)/G4803</f>
        <v>0.97679487863246683</v>
      </c>
      <c r="I4803" s="2">
        <f t="shared" ref="I4803:I4813" si="2413">SUM(F4803/G4803)</f>
        <v>2.3205121367533131E-2</v>
      </c>
      <c r="J4803" s="3">
        <f>SUM(J3+J963+J1923+J2883+J3843)</f>
        <v>4322851.4000000004</v>
      </c>
      <c r="K4803" s="3">
        <f>SUM(K3+K963+K1923+K2883+K3843)</f>
        <v>111070.22200000005</v>
      </c>
      <c r="L4803" s="1">
        <f t="shared" ref="L4803:L4866" si="2414">SUM(J4803:K4803)</f>
        <v>4433921.6220000004</v>
      </c>
      <c r="M4803" s="2">
        <f t="shared" ref="M4803:M4866" si="2415">SUM(J4803)/L4803</f>
        <v>0.97494989053281911</v>
      </c>
      <c r="N4803" s="2">
        <f t="shared" ref="N4803:N4866" si="2416">SUM(K4803/L4803)</f>
        <v>2.5050109467180844E-2</v>
      </c>
      <c r="O4803" s="5">
        <f t="shared" ref="O4803:O4866" si="2417">SUM(1000*L4803)/G4803</f>
        <v>1089.7484470072802</v>
      </c>
    </row>
    <row r="4804" spans="1:15" x14ac:dyDescent="0.35">
      <c r="A4804" t="s">
        <v>38</v>
      </c>
      <c r="B4804" t="s">
        <v>20</v>
      </c>
      <c r="C4804">
        <v>2002</v>
      </c>
      <c r="D4804" t="s">
        <v>18</v>
      </c>
      <c r="E4804" s="3">
        <f t="shared" ref="E4804:F4804" si="2418">SUM(E4+E964+E1924+E2884+E3844)</f>
        <v>4646688</v>
      </c>
      <c r="F4804" s="3">
        <f t="shared" si="2418"/>
        <v>103494</v>
      </c>
      <c r="G4804" s="1">
        <f t="shared" si="2411"/>
        <v>4750182</v>
      </c>
      <c r="H4804" s="2">
        <f t="shared" si="2412"/>
        <v>0.97821262427418576</v>
      </c>
      <c r="I4804" s="2">
        <f t="shared" si="2413"/>
        <v>2.1787375725814295E-2</v>
      </c>
      <c r="J4804" s="3">
        <f t="shared" ref="J4804:K4804" si="2419">SUM(J4+J964+J1924+J2884+J3844)</f>
        <v>4854016.5070000011</v>
      </c>
      <c r="K4804" s="3">
        <f t="shared" si="2419"/>
        <v>127555.26000000002</v>
      </c>
      <c r="L4804" s="1">
        <f t="shared" si="2414"/>
        <v>4981571.7670000009</v>
      </c>
      <c r="M4804" s="2">
        <f t="shared" si="2415"/>
        <v>0.97439457545408081</v>
      </c>
      <c r="N4804" s="2">
        <f t="shared" si="2416"/>
        <v>2.5605424545919225E-2</v>
      </c>
      <c r="O4804" s="5">
        <f t="shared" si="2417"/>
        <v>1048.7117687280195</v>
      </c>
    </row>
    <row r="4805" spans="1:15" x14ac:dyDescent="0.35">
      <c r="A4805" t="s">
        <v>38</v>
      </c>
      <c r="B4805" t="s">
        <v>21</v>
      </c>
      <c r="C4805">
        <v>2002</v>
      </c>
      <c r="D4805" t="s">
        <v>18</v>
      </c>
      <c r="E4805" s="3">
        <f t="shared" ref="E4805:F4805" si="2420">SUM(E5+E965+E1925+E2885+E3845)</f>
        <v>4652355</v>
      </c>
      <c r="F4805" s="3">
        <f t="shared" si="2420"/>
        <v>110186</v>
      </c>
      <c r="G4805" s="1">
        <f t="shared" si="2411"/>
        <v>4762541</v>
      </c>
      <c r="H4805" s="2">
        <f t="shared" si="2412"/>
        <v>0.97686403119679177</v>
      </c>
      <c r="I4805" s="2">
        <f t="shared" si="2413"/>
        <v>2.3135968803208205E-2</v>
      </c>
      <c r="J4805" s="3">
        <f t="shared" ref="J4805:K4805" si="2421">SUM(J5+J965+J1925+J2885+J3845)</f>
        <v>4256799.0850000009</v>
      </c>
      <c r="K4805" s="3">
        <f t="shared" si="2421"/>
        <v>121293.64300000003</v>
      </c>
      <c r="L4805" s="1">
        <f t="shared" si="2414"/>
        <v>4378092.7280000011</v>
      </c>
      <c r="M4805" s="2">
        <f t="shared" si="2415"/>
        <v>0.97229532343518688</v>
      </c>
      <c r="N4805" s="2">
        <f t="shared" si="2416"/>
        <v>2.7704676564813041E-2</v>
      </c>
      <c r="O4805" s="5">
        <f t="shared" si="2417"/>
        <v>919.27664832701726</v>
      </c>
    </row>
    <row r="4806" spans="1:15" x14ac:dyDescent="0.35">
      <c r="A4806" t="s">
        <v>38</v>
      </c>
      <c r="B4806" t="s">
        <v>22</v>
      </c>
      <c r="C4806">
        <v>2002</v>
      </c>
      <c r="D4806" t="s">
        <v>18</v>
      </c>
      <c r="E4806" s="3">
        <f t="shared" ref="E4806:F4806" si="2422">SUM(E6+E966+E1926+E2886+E3846)</f>
        <v>4619736</v>
      </c>
      <c r="F4806" s="3">
        <f t="shared" si="2422"/>
        <v>139589</v>
      </c>
      <c r="G4806" s="1">
        <f t="shared" si="2411"/>
        <v>4759325</v>
      </c>
      <c r="H4806" s="2">
        <f t="shared" si="2412"/>
        <v>0.97067042070041443</v>
      </c>
      <c r="I4806" s="2">
        <f t="shared" si="2413"/>
        <v>2.9329579299585549E-2</v>
      </c>
      <c r="J4806" s="3">
        <f t="shared" ref="J4806:K4806" si="2423">SUM(J6+J966+J1926+J2886+J3846)</f>
        <v>5140654.4419999998</v>
      </c>
      <c r="K4806" s="3">
        <f t="shared" si="2423"/>
        <v>169922.61000000013</v>
      </c>
      <c r="L4806" s="1">
        <f t="shared" si="2414"/>
        <v>5310577.0520000001</v>
      </c>
      <c r="M4806" s="2">
        <f t="shared" si="2415"/>
        <v>0.96800298567629173</v>
      </c>
      <c r="N4806" s="2">
        <f t="shared" si="2416"/>
        <v>3.199701432370821E-2</v>
      </c>
      <c r="O4806" s="5">
        <f t="shared" si="2417"/>
        <v>1115.8256794818592</v>
      </c>
    </row>
    <row r="4807" spans="1:15" x14ac:dyDescent="0.35">
      <c r="A4807" t="s">
        <v>38</v>
      </c>
      <c r="B4807" t="s">
        <v>23</v>
      </c>
      <c r="C4807">
        <v>2002</v>
      </c>
      <c r="D4807" t="s">
        <v>18</v>
      </c>
      <c r="E4807" s="3">
        <f t="shared" ref="E4807:F4807" si="2424">SUM(E7+E967+E1927+E2887+E3847)</f>
        <v>4639820</v>
      </c>
      <c r="F4807" s="3">
        <f t="shared" si="2424"/>
        <v>178906</v>
      </c>
      <c r="G4807" s="1">
        <f t="shared" si="2411"/>
        <v>4818726</v>
      </c>
      <c r="H4807" s="2">
        <f t="shared" si="2412"/>
        <v>0.96287275931439142</v>
      </c>
      <c r="I4807" s="2">
        <f t="shared" si="2413"/>
        <v>3.7127240685608603E-2</v>
      </c>
      <c r="J4807" s="3">
        <f t="shared" ref="J4807:K4807" si="2425">SUM(J7+J967+J1927+J2887+J3847)</f>
        <v>6195760.0130000003</v>
      </c>
      <c r="K4807" s="3">
        <f t="shared" si="2425"/>
        <v>257556.78999999995</v>
      </c>
      <c r="L4807" s="1">
        <f t="shared" si="2414"/>
        <v>6453316.8030000003</v>
      </c>
      <c r="M4807" s="2">
        <f t="shared" si="2415"/>
        <v>0.96008923816040337</v>
      </c>
      <c r="N4807" s="2">
        <f t="shared" si="2416"/>
        <v>3.9910761839596604E-2</v>
      </c>
      <c r="O4807" s="5">
        <f t="shared" si="2417"/>
        <v>1339.216382711945</v>
      </c>
    </row>
    <row r="4808" spans="1:15" x14ac:dyDescent="0.35">
      <c r="A4808" t="s">
        <v>38</v>
      </c>
      <c r="B4808" t="s">
        <v>24</v>
      </c>
      <c r="C4808">
        <v>2002</v>
      </c>
      <c r="D4808" t="s">
        <v>18</v>
      </c>
      <c r="E4808" s="3">
        <f t="shared" ref="E4808:F4808" si="2426">SUM(E8+E968+E1928+E2888+E3848)</f>
        <v>4630714</v>
      </c>
      <c r="F4808" s="3">
        <f t="shared" si="2426"/>
        <v>161062</v>
      </c>
      <c r="G4808" s="1">
        <f t="shared" si="2411"/>
        <v>4791776</v>
      </c>
      <c r="H4808" s="2">
        <f t="shared" si="2412"/>
        <v>0.96638782781165067</v>
      </c>
      <c r="I4808" s="2">
        <f t="shared" si="2413"/>
        <v>3.3612172188349373E-2</v>
      </c>
      <c r="J4808" s="3">
        <f t="shared" ref="J4808:K4808" si="2427">SUM(J8+J968+J1928+J2888+J3848)</f>
        <v>7348073.5270000007</v>
      </c>
      <c r="K4808" s="3">
        <f t="shared" si="2427"/>
        <v>369709.4839999993</v>
      </c>
      <c r="L4808" s="1">
        <f t="shared" si="2414"/>
        <v>7717783.0109999999</v>
      </c>
      <c r="M4808" s="2">
        <f t="shared" si="2415"/>
        <v>0.9520964137663549</v>
      </c>
      <c r="N4808" s="2">
        <f t="shared" si="2416"/>
        <v>4.790358623364506E-2</v>
      </c>
      <c r="O4808" s="5">
        <f t="shared" si="2417"/>
        <v>1610.6310084194254</v>
      </c>
    </row>
    <row r="4809" spans="1:15" x14ac:dyDescent="0.35">
      <c r="A4809" t="s">
        <v>38</v>
      </c>
      <c r="B4809" t="s">
        <v>25</v>
      </c>
      <c r="C4809">
        <v>2002</v>
      </c>
      <c r="D4809" t="s">
        <v>18</v>
      </c>
      <c r="E4809" s="3">
        <f t="shared" ref="E4809:F4809" si="2428">SUM(E9+E969+E1929+E2889+E3849)</f>
        <v>4569501</v>
      </c>
      <c r="F4809" s="3">
        <f t="shared" si="2428"/>
        <v>299572</v>
      </c>
      <c r="G4809" s="1">
        <f t="shared" si="2411"/>
        <v>4869073</v>
      </c>
      <c r="H4809" s="2">
        <f t="shared" si="2412"/>
        <v>0.93847453098361844</v>
      </c>
      <c r="I4809" s="2">
        <f t="shared" si="2413"/>
        <v>6.1525469016381555E-2</v>
      </c>
      <c r="J4809" s="3">
        <f t="shared" ref="J4809:K4809" si="2429">SUM(J9+J969+J1929+J2889+J3849)</f>
        <v>8023047.442999999</v>
      </c>
      <c r="K4809" s="3">
        <f t="shared" si="2429"/>
        <v>463527.08000000031</v>
      </c>
      <c r="L4809" s="1">
        <f t="shared" si="2414"/>
        <v>8486574.523</v>
      </c>
      <c r="M4809" s="2">
        <f t="shared" si="2415"/>
        <v>0.94538113360770393</v>
      </c>
      <c r="N4809" s="2">
        <f t="shared" si="2416"/>
        <v>5.4618866392296017E-2</v>
      </c>
      <c r="O4809" s="5">
        <f t="shared" si="2417"/>
        <v>1742.954875188768</v>
      </c>
    </row>
    <row r="4810" spans="1:15" x14ac:dyDescent="0.35">
      <c r="A4810" t="s">
        <v>38</v>
      </c>
      <c r="B4810" t="s">
        <v>26</v>
      </c>
      <c r="C4810">
        <v>2002</v>
      </c>
      <c r="D4810" t="s">
        <v>18</v>
      </c>
      <c r="E4810" s="3">
        <f t="shared" ref="E4810:F4810" si="2430">SUM(E10+E970+E1930+E2890+E3850)</f>
        <v>4553111</v>
      </c>
      <c r="F4810" s="3">
        <f t="shared" si="2430"/>
        <v>319297</v>
      </c>
      <c r="G4810" s="1">
        <f t="shared" si="2411"/>
        <v>4872408</v>
      </c>
      <c r="H4810" s="2">
        <f t="shared" si="2412"/>
        <v>0.93446833680594887</v>
      </c>
      <c r="I4810" s="2">
        <f t="shared" si="2413"/>
        <v>6.5531663194051071E-2</v>
      </c>
      <c r="J4810" s="3">
        <f t="shared" ref="J4810:K4810" si="2431">SUM(J10+J970+J1930+J2890+J3850)</f>
        <v>8064125.976999999</v>
      </c>
      <c r="K4810" s="3">
        <f t="shared" si="2431"/>
        <v>542707.07299999928</v>
      </c>
      <c r="L4810" s="1">
        <f t="shared" si="2414"/>
        <v>8606833.0499999989</v>
      </c>
      <c r="M4810" s="2">
        <f t="shared" si="2415"/>
        <v>0.93694462645583676</v>
      </c>
      <c r="N4810" s="2">
        <f t="shared" si="2416"/>
        <v>6.3055373544163185E-2</v>
      </c>
      <c r="O4810" s="5">
        <f t="shared" si="2417"/>
        <v>1766.4434197628766</v>
      </c>
    </row>
    <row r="4811" spans="1:15" x14ac:dyDescent="0.35">
      <c r="A4811" t="s">
        <v>38</v>
      </c>
      <c r="B4811" t="s">
        <v>27</v>
      </c>
      <c r="C4811">
        <v>2002</v>
      </c>
      <c r="D4811" t="s">
        <v>18</v>
      </c>
      <c r="E4811" s="3">
        <f t="shared" ref="E4811:F4811" si="2432">SUM(E11+E971+E1931+E2891+E3851)</f>
        <v>4556601</v>
      </c>
      <c r="F4811" s="3">
        <f t="shared" si="2432"/>
        <v>334661</v>
      </c>
      <c r="G4811" s="1">
        <f t="shared" si="2411"/>
        <v>4891262</v>
      </c>
      <c r="H4811" s="2">
        <f t="shared" si="2412"/>
        <v>0.93157982541111062</v>
      </c>
      <c r="I4811" s="2">
        <f t="shared" si="2413"/>
        <v>6.8420174588889326E-2</v>
      </c>
      <c r="J4811" s="3">
        <f t="shared" ref="J4811:K4811" si="2433">SUM(J11+J971+J1931+J2891+J3851)</f>
        <v>6063860.6649999991</v>
      </c>
      <c r="K4811" s="3">
        <f t="shared" si="2433"/>
        <v>454447.18700000027</v>
      </c>
      <c r="L4811" s="1">
        <f t="shared" si="2414"/>
        <v>6518307.851999999</v>
      </c>
      <c r="M4811" s="2">
        <f t="shared" si="2415"/>
        <v>0.93028141699987943</v>
      </c>
      <c r="N4811" s="2">
        <f t="shared" si="2416"/>
        <v>6.9718583000120682E-2</v>
      </c>
      <c r="O4811" s="5">
        <f t="shared" si="2417"/>
        <v>1332.6433652501132</v>
      </c>
    </row>
    <row r="4812" spans="1:15" x14ac:dyDescent="0.35">
      <c r="A4812" t="s">
        <v>38</v>
      </c>
      <c r="B4812" t="s">
        <v>28</v>
      </c>
      <c r="C4812">
        <v>2002</v>
      </c>
      <c r="D4812" t="s">
        <v>18</v>
      </c>
      <c r="E4812" s="3">
        <f t="shared" ref="E4812:F4812" si="2434">SUM(E12+E972+E1932+E2892+E3852)</f>
        <v>4548868</v>
      </c>
      <c r="F4812" s="3">
        <f t="shared" si="2434"/>
        <v>345408</v>
      </c>
      <c r="G4812" s="1">
        <f t="shared" si="2411"/>
        <v>4894276</v>
      </c>
      <c r="H4812" s="2">
        <f t="shared" si="2412"/>
        <v>0.9294261296257097</v>
      </c>
      <c r="I4812" s="2">
        <f t="shared" si="2413"/>
        <v>7.057387037429029E-2</v>
      </c>
      <c r="J4812" s="3">
        <f t="shared" ref="J4812:K4812" si="2435">SUM(J12+J972+J1932+J2892+J3852)</f>
        <v>4198698.7700000005</v>
      </c>
      <c r="K4812" s="3">
        <f t="shared" si="2435"/>
        <v>331156.95100000035</v>
      </c>
      <c r="L4812" s="1">
        <f t="shared" si="2414"/>
        <v>4529855.7210000008</v>
      </c>
      <c r="M4812" s="2">
        <f t="shared" si="2415"/>
        <v>0.92689459192601065</v>
      </c>
      <c r="N4812" s="2">
        <f t="shared" si="2416"/>
        <v>7.3105408073989353E-2</v>
      </c>
      <c r="O4812" s="5">
        <f t="shared" si="2417"/>
        <v>925.54153484601215</v>
      </c>
    </row>
    <row r="4813" spans="1:15" x14ac:dyDescent="0.35">
      <c r="A4813" t="s">
        <v>38</v>
      </c>
      <c r="B4813" t="s">
        <v>29</v>
      </c>
      <c r="C4813">
        <v>2002</v>
      </c>
      <c r="D4813" t="s">
        <v>18</v>
      </c>
      <c r="E4813" s="3">
        <f t="shared" ref="E4813:F4813" si="2436">SUM(E13+E973+E1933+E2893+E3853)</f>
        <v>4546949</v>
      </c>
      <c r="F4813" s="3">
        <f t="shared" si="2436"/>
        <v>360861</v>
      </c>
      <c r="G4813" s="1">
        <f t="shared" si="2411"/>
        <v>4907810</v>
      </c>
      <c r="H4813" s="2">
        <f t="shared" si="2412"/>
        <v>0.92647209244041639</v>
      </c>
      <c r="I4813" s="2">
        <f t="shared" si="2413"/>
        <v>7.3527907559583605E-2</v>
      </c>
      <c r="J4813" s="3">
        <f t="shared" ref="J4813:K4813" si="2437">SUM(J13+J973+J1933+J2893+J3853)</f>
        <v>4556549.8749999991</v>
      </c>
      <c r="K4813" s="3">
        <f t="shared" si="2437"/>
        <v>360360.57600000023</v>
      </c>
      <c r="L4813" s="1">
        <f t="shared" si="2414"/>
        <v>4916910.4509999994</v>
      </c>
      <c r="M4813" s="2">
        <f t="shared" si="2415"/>
        <v>0.92670995748423479</v>
      </c>
      <c r="N4813" s="2">
        <f t="shared" si="2416"/>
        <v>7.3290042515765208E-2</v>
      </c>
      <c r="O4813" s="5">
        <f t="shared" si="2417"/>
        <v>1001.8542794036442</v>
      </c>
    </row>
    <row r="4814" spans="1:15" x14ac:dyDescent="0.35">
      <c r="A4814" t="s">
        <v>38</v>
      </c>
      <c r="B4814" t="s">
        <v>17</v>
      </c>
      <c r="C4814">
        <v>2003</v>
      </c>
      <c r="D4814" t="s">
        <v>18</v>
      </c>
      <c r="E4814" s="3">
        <f t="shared" ref="E4814:F4814" si="2438">SUM(E14+E974+E1934+E2894+E3854)</f>
        <v>4571073</v>
      </c>
      <c r="F4814" s="3">
        <f t="shared" si="2438"/>
        <v>375538</v>
      </c>
      <c r="G4814" s="1">
        <f>SUM(E4814:F4814)</f>
        <v>4946611</v>
      </c>
      <c r="H4814" s="2">
        <f>SUM(E4814)/G4814</f>
        <v>0.92408176021926935</v>
      </c>
      <c r="I4814" s="2">
        <f>SUM(F4814/G4814)</f>
        <v>7.5918239780730687E-2</v>
      </c>
      <c r="J4814" s="3">
        <f t="shared" ref="J4814:K4814" si="2439">SUM(J14+J974+J1934+J2894+J3854)</f>
        <v>5380554</v>
      </c>
      <c r="K4814" s="3">
        <f t="shared" si="2439"/>
        <v>462822</v>
      </c>
      <c r="L4814" s="1">
        <f t="shared" si="2414"/>
        <v>5843376</v>
      </c>
      <c r="M4814" s="2">
        <f t="shared" si="2415"/>
        <v>0.92079544427741766</v>
      </c>
      <c r="N4814" s="2">
        <f t="shared" si="2416"/>
        <v>7.9204555722582282E-2</v>
      </c>
      <c r="O4814" s="5">
        <f t="shared" si="2417"/>
        <v>1181.2887651768049</v>
      </c>
    </row>
    <row r="4815" spans="1:15" x14ac:dyDescent="0.35">
      <c r="A4815" t="s">
        <v>38</v>
      </c>
      <c r="B4815" t="s">
        <v>19</v>
      </c>
      <c r="C4815">
        <v>2003</v>
      </c>
      <c r="D4815" t="s">
        <v>18</v>
      </c>
      <c r="E4815" s="3">
        <f t="shared" ref="E4815:F4815" si="2440">SUM(E15+E975+E1935+E2895+E3855)</f>
        <v>4500262</v>
      </c>
      <c r="F4815" s="3">
        <f t="shared" si="2440"/>
        <v>390110</v>
      </c>
      <c r="G4815" s="1">
        <f t="shared" ref="G4815:G4825" si="2441">SUM(E4815:F4815)</f>
        <v>4890372</v>
      </c>
      <c r="H4815" s="2">
        <f t="shared" ref="H4815:H4825" si="2442">SUM(E4815)/G4815</f>
        <v>0.92022897235629519</v>
      </c>
      <c r="I4815" s="2">
        <f t="shared" ref="I4815:I4825" si="2443">SUM(F4815/G4815)</f>
        <v>7.977102764370482E-2</v>
      </c>
      <c r="J4815" s="3">
        <f t="shared" ref="J4815:K4815" si="2444">SUM(J15+J975+J1935+J2895+J3855)</f>
        <v>5329144</v>
      </c>
      <c r="K4815" s="3">
        <f t="shared" si="2444"/>
        <v>470339</v>
      </c>
      <c r="L4815" s="1">
        <f t="shared" si="2414"/>
        <v>5799483</v>
      </c>
      <c r="M4815" s="2">
        <f t="shared" si="2415"/>
        <v>0.91889983986503621</v>
      </c>
      <c r="N4815" s="2">
        <f t="shared" si="2416"/>
        <v>8.1100160134963753E-2</v>
      </c>
      <c r="O4815" s="5">
        <f t="shared" si="2417"/>
        <v>1185.8981279951709</v>
      </c>
    </row>
    <row r="4816" spans="1:15" x14ac:dyDescent="0.35">
      <c r="A4816" t="s">
        <v>38</v>
      </c>
      <c r="B4816" t="s">
        <v>20</v>
      </c>
      <c r="C4816">
        <v>2003</v>
      </c>
      <c r="D4816" t="s">
        <v>18</v>
      </c>
      <c r="E4816" s="3">
        <f t="shared" ref="E4816:F4816" si="2445">SUM(E16+E976+E1936+E2896+E3856)</f>
        <v>4558578</v>
      </c>
      <c r="F4816" s="3">
        <f t="shared" si="2445"/>
        <v>417983</v>
      </c>
      <c r="G4816" s="1">
        <f t="shared" si="2441"/>
        <v>4976561</v>
      </c>
      <c r="H4816" s="2">
        <f t="shared" si="2442"/>
        <v>0.91600967013164314</v>
      </c>
      <c r="I4816" s="2">
        <f t="shared" si="2443"/>
        <v>8.3990329868356889E-2</v>
      </c>
      <c r="J4816" s="3">
        <f t="shared" ref="J4816:K4816" si="2446">SUM(J16+J976+J1936+J2896+J3856)</f>
        <v>4735017</v>
      </c>
      <c r="K4816" s="3">
        <f t="shared" si="2446"/>
        <v>440867</v>
      </c>
      <c r="L4816" s="1">
        <f t="shared" si="2414"/>
        <v>5175884</v>
      </c>
      <c r="M4816" s="2">
        <f t="shared" si="2415"/>
        <v>0.91482285924491358</v>
      </c>
      <c r="N4816" s="2">
        <f t="shared" si="2416"/>
        <v>8.5177140755086478E-2</v>
      </c>
      <c r="O4816" s="5">
        <f t="shared" si="2417"/>
        <v>1040.052357441213</v>
      </c>
    </row>
    <row r="4817" spans="1:15" x14ac:dyDescent="0.35">
      <c r="A4817" t="s">
        <v>38</v>
      </c>
      <c r="B4817" t="s">
        <v>21</v>
      </c>
      <c r="C4817">
        <v>2003</v>
      </c>
      <c r="D4817" t="s">
        <v>18</v>
      </c>
      <c r="E4817" s="3">
        <f t="shared" ref="E4817:F4817" si="2447">SUM(E17+E977+E1937+E2897+E3857)</f>
        <v>4486880</v>
      </c>
      <c r="F4817" s="3">
        <f t="shared" si="2447"/>
        <v>443237</v>
      </c>
      <c r="G4817" s="1">
        <f t="shared" si="2441"/>
        <v>4930117</v>
      </c>
      <c r="H4817" s="2">
        <f t="shared" si="2442"/>
        <v>0.91009604843049363</v>
      </c>
      <c r="I4817" s="2">
        <f t="shared" si="2443"/>
        <v>8.9903951569506368E-2</v>
      </c>
      <c r="J4817" s="3">
        <f t="shared" ref="J4817:K4817" si="2448">SUM(J17+J977+J1937+J2897+J3857)</f>
        <v>3671749.696</v>
      </c>
      <c r="K4817" s="3">
        <f t="shared" si="2448"/>
        <v>363787.81</v>
      </c>
      <c r="L4817" s="1">
        <f t="shared" si="2414"/>
        <v>4035537.5060000001</v>
      </c>
      <c r="M4817" s="2">
        <f t="shared" si="2415"/>
        <v>0.90985393904551159</v>
      </c>
      <c r="N4817" s="2">
        <f t="shared" si="2416"/>
        <v>9.0146060954488377E-2</v>
      </c>
      <c r="O4817" s="5">
        <f t="shared" si="2417"/>
        <v>818.54801944862561</v>
      </c>
    </row>
    <row r="4818" spans="1:15" x14ac:dyDescent="0.35">
      <c r="A4818" t="s">
        <v>38</v>
      </c>
      <c r="B4818" t="s">
        <v>22</v>
      </c>
      <c r="C4818">
        <v>2003</v>
      </c>
      <c r="D4818" t="s">
        <v>18</v>
      </c>
      <c r="E4818" s="3">
        <f t="shared" ref="E4818:F4818" si="2449">SUM(E18+E978+E1938+E2898+E3858)</f>
        <v>4473921</v>
      </c>
      <c r="F4818" s="3">
        <f t="shared" si="2449"/>
        <v>466720</v>
      </c>
      <c r="G4818" s="1">
        <f t="shared" si="2441"/>
        <v>4940641</v>
      </c>
      <c r="H4818" s="2">
        <f t="shared" si="2442"/>
        <v>0.90553452477117846</v>
      </c>
      <c r="I4818" s="2">
        <f t="shared" si="2443"/>
        <v>9.4465475228821524E-2</v>
      </c>
      <c r="J4818" s="3">
        <f t="shared" ref="J4818:K4818" si="2450">SUM(J18+J978+J1938+J2898+J3858)</f>
        <v>4677487.2079999996</v>
      </c>
      <c r="K4818" s="3">
        <f t="shared" si="2450"/>
        <v>503762.72899999988</v>
      </c>
      <c r="L4818" s="1">
        <f t="shared" si="2414"/>
        <v>5181249.9369999999</v>
      </c>
      <c r="M4818" s="2">
        <f t="shared" si="2415"/>
        <v>0.90277196909522484</v>
      </c>
      <c r="N4818" s="2">
        <f t="shared" si="2416"/>
        <v>9.7228030904775067E-2</v>
      </c>
      <c r="O4818" s="5">
        <f t="shared" si="2417"/>
        <v>1048.6999433879125</v>
      </c>
    </row>
    <row r="4819" spans="1:15" x14ac:dyDescent="0.35">
      <c r="A4819" t="s">
        <v>38</v>
      </c>
      <c r="B4819" t="s">
        <v>23</v>
      </c>
      <c r="C4819">
        <v>2003</v>
      </c>
      <c r="D4819" t="s">
        <v>18</v>
      </c>
      <c r="E4819" s="3">
        <f t="shared" ref="E4819:F4819" si="2451">SUM(E19+E979+E1939+E2899+E3859)</f>
        <v>4447999</v>
      </c>
      <c r="F4819" s="3">
        <f t="shared" si="2451"/>
        <v>494292</v>
      </c>
      <c r="G4819" s="1">
        <f t="shared" si="2441"/>
        <v>4942291</v>
      </c>
      <c r="H4819" s="2">
        <f t="shared" si="2442"/>
        <v>0.89998727310876681</v>
      </c>
      <c r="I4819" s="2">
        <f t="shared" si="2443"/>
        <v>0.10001272689123324</v>
      </c>
      <c r="J4819" s="3">
        <f t="shared" ref="J4819:K4819" si="2452">SUM(J19+J979+J1939+J2899+J3859)</f>
        <v>6261021.3700000001</v>
      </c>
      <c r="K4819" s="3">
        <f t="shared" si="2452"/>
        <v>713543.38600000017</v>
      </c>
      <c r="L4819" s="1">
        <f t="shared" si="2414"/>
        <v>6974564.7560000001</v>
      </c>
      <c r="M4819" s="2">
        <f t="shared" si="2415"/>
        <v>0.89769348898995294</v>
      </c>
      <c r="N4819" s="2">
        <f t="shared" si="2416"/>
        <v>0.10230651101004706</v>
      </c>
      <c r="O4819" s="5">
        <f t="shared" si="2417"/>
        <v>1411.2007479931879</v>
      </c>
    </row>
    <row r="4820" spans="1:15" x14ac:dyDescent="0.35">
      <c r="A4820" t="s">
        <v>38</v>
      </c>
      <c r="B4820" t="s">
        <v>24</v>
      </c>
      <c r="C4820">
        <v>2003</v>
      </c>
      <c r="D4820" t="s">
        <v>18</v>
      </c>
      <c r="E4820" s="3">
        <f t="shared" ref="E4820:F4820" si="2453">SUM(E20+E980+E1940+E2900+E3860)</f>
        <v>4458220</v>
      </c>
      <c r="F4820" s="3">
        <f t="shared" si="2453"/>
        <v>531082</v>
      </c>
      <c r="G4820" s="1">
        <f t="shared" si="2441"/>
        <v>4989302</v>
      </c>
      <c r="H4820" s="2">
        <f t="shared" si="2442"/>
        <v>0.89355585210115562</v>
      </c>
      <c r="I4820" s="2">
        <f t="shared" si="2443"/>
        <v>0.10644414789884436</v>
      </c>
      <c r="J4820" s="3">
        <f t="shared" ref="J4820:K4820" si="2454">SUM(J20+J980+J1940+J2900+J3860)</f>
        <v>7355560.5300000003</v>
      </c>
      <c r="K4820" s="3">
        <f t="shared" si="2454"/>
        <v>906489.74600000004</v>
      </c>
      <c r="L4820" s="1">
        <f t="shared" si="2414"/>
        <v>8262050.2760000005</v>
      </c>
      <c r="M4820" s="2">
        <f t="shared" si="2415"/>
        <v>0.8902827124360142</v>
      </c>
      <c r="N4820" s="2">
        <f t="shared" si="2416"/>
        <v>0.10971728756398577</v>
      </c>
      <c r="O4820" s="5">
        <f t="shared" si="2417"/>
        <v>1655.953132522345</v>
      </c>
    </row>
    <row r="4821" spans="1:15" x14ac:dyDescent="0.35">
      <c r="A4821" t="s">
        <v>38</v>
      </c>
      <c r="B4821" t="s">
        <v>25</v>
      </c>
      <c r="C4821">
        <v>2003</v>
      </c>
      <c r="D4821" t="s">
        <v>18</v>
      </c>
      <c r="E4821" s="3">
        <f t="shared" ref="E4821:F4821" si="2455">SUM(E21+E981+E1941+E2901+E3861)</f>
        <v>4407928</v>
      </c>
      <c r="F4821" s="3">
        <f t="shared" si="2455"/>
        <v>559768</v>
      </c>
      <c r="G4821" s="1">
        <f t="shared" si="2441"/>
        <v>4967696</v>
      </c>
      <c r="H4821" s="2">
        <f t="shared" si="2442"/>
        <v>0.88731838663235429</v>
      </c>
      <c r="I4821" s="2">
        <f t="shared" si="2443"/>
        <v>0.11268161336764569</v>
      </c>
      <c r="J4821" s="3">
        <f t="shared" ref="J4821:K4821" si="2456">SUM(J21+J981+J1941+J2901+J3861)</f>
        <v>7990757.7750000004</v>
      </c>
      <c r="K4821" s="3">
        <f t="shared" si="2456"/>
        <v>1059400.3829999999</v>
      </c>
      <c r="L4821" s="1">
        <f t="shared" si="2414"/>
        <v>9050158.1579999998</v>
      </c>
      <c r="M4821" s="2">
        <f t="shared" si="2415"/>
        <v>0.88294122992054791</v>
      </c>
      <c r="N4821" s="2">
        <f t="shared" si="2416"/>
        <v>0.11705877007945212</v>
      </c>
      <c r="O4821" s="5">
        <f t="shared" si="2417"/>
        <v>1821.8019295061533</v>
      </c>
    </row>
    <row r="4822" spans="1:15" x14ac:dyDescent="0.35">
      <c r="A4822" t="s">
        <v>38</v>
      </c>
      <c r="B4822" t="s">
        <v>26</v>
      </c>
      <c r="C4822">
        <v>2003</v>
      </c>
      <c r="D4822" t="s">
        <v>18</v>
      </c>
      <c r="E4822" s="3">
        <f t="shared" ref="E4822:F4822" si="2457">SUM(E22+E982+E1942+E2902+E3862)</f>
        <v>4375658</v>
      </c>
      <c r="F4822" s="3">
        <f t="shared" si="2457"/>
        <v>601701</v>
      </c>
      <c r="G4822" s="1">
        <f t="shared" si="2441"/>
        <v>4977359</v>
      </c>
      <c r="H4822" s="2">
        <f t="shared" si="2442"/>
        <v>0.87911239675498598</v>
      </c>
      <c r="I4822" s="2">
        <f t="shared" si="2443"/>
        <v>0.12088760324501407</v>
      </c>
      <c r="J4822" s="3">
        <f t="shared" ref="J4822:K4822" si="2458">SUM(J22+J982+J1942+J2902+J3862)</f>
        <v>7103907.318</v>
      </c>
      <c r="K4822" s="3">
        <f t="shared" si="2458"/>
        <v>1008586.226</v>
      </c>
      <c r="L4822" s="1">
        <f t="shared" si="2414"/>
        <v>8112493.5439999998</v>
      </c>
      <c r="M4822" s="2">
        <f t="shared" si="2415"/>
        <v>0.87567494254020695</v>
      </c>
      <c r="N4822" s="2">
        <f t="shared" si="2416"/>
        <v>0.12432505745979304</v>
      </c>
      <c r="O4822" s="5">
        <f t="shared" si="2417"/>
        <v>1629.8791274649871</v>
      </c>
    </row>
    <row r="4823" spans="1:15" x14ac:dyDescent="0.35">
      <c r="A4823" t="s">
        <v>38</v>
      </c>
      <c r="B4823" t="s">
        <v>27</v>
      </c>
      <c r="C4823">
        <v>2003</v>
      </c>
      <c r="D4823" t="s">
        <v>18</v>
      </c>
      <c r="E4823" s="3">
        <f t="shared" ref="E4823:F4823" si="2459">SUM(E23+E983+E1943+E2903+E3863)</f>
        <v>4384989</v>
      </c>
      <c r="F4823" s="3">
        <f t="shared" si="2459"/>
        <v>654009</v>
      </c>
      <c r="G4823" s="1">
        <f t="shared" si="2441"/>
        <v>5038998</v>
      </c>
      <c r="H4823" s="2">
        <f t="shared" si="2442"/>
        <v>0.87021050613633899</v>
      </c>
      <c r="I4823" s="2">
        <f t="shared" si="2443"/>
        <v>0.12978949386366098</v>
      </c>
      <c r="J4823" s="3">
        <f t="shared" ref="J4823:K4823" si="2460">SUM(J23+J983+J1943+J2903+J3863)</f>
        <v>5061988.46</v>
      </c>
      <c r="K4823" s="3">
        <f t="shared" si="2460"/>
        <v>790392.3899999999</v>
      </c>
      <c r="L4823" s="1">
        <f t="shared" si="2414"/>
        <v>5852380.8499999996</v>
      </c>
      <c r="M4823" s="2">
        <f t="shared" si="2415"/>
        <v>0.86494515475697387</v>
      </c>
      <c r="N4823" s="2">
        <f t="shared" si="2416"/>
        <v>0.13505484524302616</v>
      </c>
      <c r="O4823" s="5">
        <f t="shared" si="2417"/>
        <v>1161.4175774628209</v>
      </c>
    </row>
    <row r="4824" spans="1:15" x14ac:dyDescent="0.35">
      <c r="A4824" t="s">
        <v>38</v>
      </c>
      <c r="B4824" t="s">
        <v>28</v>
      </c>
      <c r="C4824">
        <v>2003</v>
      </c>
      <c r="D4824" t="s">
        <v>18</v>
      </c>
      <c r="E4824" s="3">
        <f t="shared" ref="E4824:F4824" si="2461">SUM(E24+E984+E1944+E2904+E3864)</f>
        <v>4196606</v>
      </c>
      <c r="F4824" s="3">
        <f t="shared" si="2461"/>
        <v>653111</v>
      </c>
      <c r="G4824" s="1">
        <f t="shared" si="2441"/>
        <v>4849717</v>
      </c>
      <c r="H4824" s="2">
        <f t="shared" si="2442"/>
        <v>0.86533008008508538</v>
      </c>
      <c r="I4824" s="2">
        <f t="shared" si="2443"/>
        <v>0.13466991991491462</v>
      </c>
      <c r="J4824" s="3">
        <f t="shared" ref="J4824:K4824" si="2462">SUM(J24+J984+J1944+J2904+J3864)</f>
        <v>3932049.96</v>
      </c>
      <c r="K4824" s="3">
        <f t="shared" si="2462"/>
        <v>655873.65</v>
      </c>
      <c r="L4824" s="1">
        <f t="shared" si="2414"/>
        <v>4587923.6100000003</v>
      </c>
      <c r="M4824" s="2">
        <f t="shared" si="2415"/>
        <v>0.857043467643961</v>
      </c>
      <c r="N4824" s="2">
        <f t="shared" si="2416"/>
        <v>0.14295653235603895</v>
      </c>
      <c r="O4824" s="5">
        <f t="shared" si="2417"/>
        <v>946.01883161429828</v>
      </c>
    </row>
    <row r="4825" spans="1:15" x14ac:dyDescent="0.35">
      <c r="A4825" t="s">
        <v>38</v>
      </c>
      <c r="B4825" t="s">
        <v>29</v>
      </c>
      <c r="C4825">
        <v>2003</v>
      </c>
      <c r="D4825" t="s">
        <v>18</v>
      </c>
      <c r="E4825" s="3">
        <f t="shared" ref="E4825:F4825" si="2463">SUM(E25+E985+E1945+E2905+E3865)</f>
        <v>4283640</v>
      </c>
      <c r="F4825" s="3">
        <f t="shared" si="2463"/>
        <v>701696</v>
      </c>
      <c r="G4825" s="1">
        <f t="shared" si="2441"/>
        <v>4985336</v>
      </c>
      <c r="H4825" s="2">
        <f t="shared" si="2442"/>
        <v>0.85924800254185474</v>
      </c>
      <c r="I4825" s="2">
        <f t="shared" si="2443"/>
        <v>0.14075199745814526</v>
      </c>
      <c r="J4825" s="3">
        <f t="shared" ref="J4825:K4825" si="2464">SUM(J25+J985+J1945+J2905+J3865)</f>
        <v>4218056.6900000004</v>
      </c>
      <c r="K4825" s="3">
        <f t="shared" si="2464"/>
        <v>744437.44000000006</v>
      </c>
      <c r="L4825" s="1">
        <f t="shared" si="2414"/>
        <v>4962494.1300000008</v>
      </c>
      <c r="M4825" s="2">
        <f t="shared" si="2415"/>
        <v>0.84998724018641802</v>
      </c>
      <c r="N4825" s="2">
        <f t="shared" si="2416"/>
        <v>0.15001275981358186</v>
      </c>
      <c r="O4825" s="5">
        <f t="shared" si="2417"/>
        <v>995.41818846312481</v>
      </c>
    </row>
    <row r="4826" spans="1:15" x14ac:dyDescent="0.35">
      <c r="A4826" t="s">
        <v>38</v>
      </c>
      <c r="B4826" t="s">
        <v>17</v>
      </c>
      <c r="C4826">
        <v>2004</v>
      </c>
      <c r="D4826" t="s">
        <v>18</v>
      </c>
      <c r="E4826" s="3">
        <f t="shared" ref="E4826:F4826" si="2465">SUM(E26+E986+E1946+E2906+E3866)</f>
        <v>4304352</v>
      </c>
      <c r="F4826" s="3">
        <f t="shared" si="2465"/>
        <v>715857</v>
      </c>
      <c r="G4826" s="1">
        <f>SUM(E4826:F4826)</f>
        <v>5020209</v>
      </c>
      <c r="H4826" s="2">
        <f>SUM(E4826)/G4826</f>
        <v>0.85740494071063578</v>
      </c>
      <c r="I4826" s="2">
        <f>SUM(F4826/G4826)</f>
        <v>0.14259505928936425</v>
      </c>
      <c r="J4826" s="3">
        <f t="shared" ref="J4826:K4826" si="2466">SUM(J26+J986+J1946+J2906+J3866)</f>
        <v>4834347.24</v>
      </c>
      <c r="K4826" s="3">
        <f t="shared" si="2466"/>
        <v>857797.92</v>
      </c>
      <c r="L4826" s="1">
        <f t="shared" si="2414"/>
        <v>5692145.1600000001</v>
      </c>
      <c r="M4826" s="2">
        <f t="shared" si="2415"/>
        <v>0.84930146791969729</v>
      </c>
      <c r="N4826" s="2">
        <f t="shared" si="2416"/>
        <v>0.15069853208030276</v>
      </c>
      <c r="O4826" s="5">
        <f t="shared" si="2417"/>
        <v>1133.8462522177861</v>
      </c>
    </row>
    <row r="4827" spans="1:15" x14ac:dyDescent="0.35">
      <c r="A4827" t="s">
        <v>38</v>
      </c>
      <c r="B4827" t="s">
        <v>19</v>
      </c>
      <c r="C4827">
        <v>2004</v>
      </c>
      <c r="D4827" t="s">
        <v>18</v>
      </c>
      <c r="E4827" s="3">
        <f t="shared" ref="E4827:F4827" si="2467">SUM(E27+E987+E1947+E2907+E3867)</f>
        <v>4273548</v>
      </c>
      <c r="F4827" s="3">
        <f t="shared" si="2467"/>
        <v>720393</v>
      </c>
      <c r="G4827" s="1">
        <f t="shared" ref="G4827:G4837" si="2468">SUM(E4827:F4827)</f>
        <v>4993941</v>
      </c>
      <c r="H4827" s="2">
        <f t="shared" ref="H4827:H4837" si="2469">SUM(E4827)/G4827</f>
        <v>0.85574659372227269</v>
      </c>
      <c r="I4827" s="2">
        <f t="shared" ref="I4827:I4837" si="2470">SUM(F4827/G4827)</f>
        <v>0.14425340627772734</v>
      </c>
      <c r="J4827" s="3">
        <f t="shared" ref="J4827:K4827" si="2471">SUM(J27+J987+J1947+J2907+J3867)</f>
        <v>4649860.21</v>
      </c>
      <c r="K4827" s="3">
        <f t="shared" si="2471"/>
        <v>835232.42</v>
      </c>
      <c r="L4827" s="1">
        <f t="shared" si="2414"/>
        <v>5485092.6299999999</v>
      </c>
      <c r="M4827" s="2">
        <f t="shared" si="2415"/>
        <v>0.84772683410453176</v>
      </c>
      <c r="N4827" s="2">
        <f t="shared" si="2416"/>
        <v>0.15227316589546822</v>
      </c>
      <c r="O4827" s="5">
        <f t="shared" si="2417"/>
        <v>1098.3495059312875</v>
      </c>
    </row>
    <row r="4828" spans="1:15" x14ac:dyDescent="0.35">
      <c r="A4828" t="s">
        <v>38</v>
      </c>
      <c r="B4828" t="s">
        <v>20</v>
      </c>
      <c r="C4828">
        <v>2004</v>
      </c>
      <c r="D4828" t="s">
        <v>18</v>
      </c>
      <c r="E4828" s="3">
        <f t="shared" ref="E4828:F4828" si="2472">SUM(E28+E988+E1948+E2908+E3868)</f>
        <v>4351517</v>
      </c>
      <c r="F4828" s="3">
        <f t="shared" si="2472"/>
        <v>755819</v>
      </c>
      <c r="G4828" s="1">
        <f t="shared" si="2468"/>
        <v>5107336</v>
      </c>
      <c r="H4828" s="2">
        <f t="shared" si="2469"/>
        <v>0.85201306512827824</v>
      </c>
      <c r="I4828" s="2">
        <f t="shared" si="2470"/>
        <v>0.14798693487172176</v>
      </c>
      <c r="J4828" s="3">
        <f t="shared" ref="J4828:K4828" si="2473">SUM(J28+J988+J1948+J2908+J3868)</f>
        <v>4084818.93</v>
      </c>
      <c r="K4828" s="3">
        <f t="shared" si="2473"/>
        <v>756523.46000000008</v>
      </c>
      <c r="L4828" s="1">
        <f t="shared" si="2414"/>
        <v>4841342.3900000006</v>
      </c>
      <c r="M4828" s="2">
        <f t="shared" si="2415"/>
        <v>0.84373684010396954</v>
      </c>
      <c r="N4828" s="2">
        <f t="shared" si="2416"/>
        <v>0.1562631598960304</v>
      </c>
      <c r="O4828" s="5">
        <f t="shared" si="2417"/>
        <v>947.91930470209934</v>
      </c>
    </row>
    <row r="4829" spans="1:15" x14ac:dyDescent="0.35">
      <c r="A4829" t="s">
        <v>38</v>
      </c>
      <c r="B4829" t="s">
        <v>21</v>
      </c>
      <c r="C4829">
        <v>2004</v>
      </c>
      <c r="D4829" t="s">
        <v>18</v>
      </c>
      <c r="E4829" s="3">
        <f t="shared" ref="E4829:F4829" si="2474">SUM(E29+E989+E1949+E2909+E3869)</f>
        <v>4280716</v>
      </c>
      <c r="F4829" s="3">
        <f t="shared" si="2474"/>
        <v>756732</v>
      </c>
      <c r="G4829" s="1">
        <f t="shared" si="2468"/>
        <v>5037448</v>
      </c>
      <c r="H4829" s="2">
        <f t="shared" si="2469"/>
        <v>0.84977869746744783</v>
      </c>
      <c r="I4829" s="2">
        <f t="shared" si="2470"/>
        <v>0.1502213025325522</v>
      </c>
      <c r="J4829" s="3">
        <f t="shared" ref="J4829:K4829" si="2475">SUM(J29+J989+J1949+J2909+J3869)</f>
        <v>3492964.67</v>
      </c>
      <c r="K4829" s="3">
        <f t="shared" si="2475"/>
        <v>668193.75</v>
      </c>
      <c r="L4829" s="1">
        <f t="shared" si="2414"/>
        <v>4161158.42</v>
      </c>
      <c r="M4829" s="2">
        <f t="shared" si="2415"/>
        <v>0.83942121819048643</v>
      </c>
      <c r="N4829" s="2">
        <f t="shared" si="2416"/>
        <v>0.16057878180951352</v>
      </c>
      <c r="O4829" s="5">
        <f t="shared" si="2417"/>
        <v>826.04493783360147</v>
      </c>
    </row>
    <row r="4830" spans="1:15" x14ac:dyDescent="0.35">
      <c r="A4830" t="s">
        <v>38</v>
      </c>
      <c r="B4830" t="s">
        <v>22</v>
      </c>
      <c r="C4830">
        <v>2004</v>
      </c>
      <c r="D4830" t="s">
        <v>18</v>
      </c>
      <c r="E4830" s="3">
        <f t="shared" ref="E4830:F4830" si="2476">SUM(E30+E990+E1950+E2910+E3870)</f>
        <v>4234715</v>
      </c>
      <c r="F4830" s="3">
        <f t="shared" si="2476"/>
        <v>769267</v>
      </c>
      <c r="G4830" s="1">
        <f t="shared" si="2468"/>
        <v>5003982</v>
      </c>
      <c r="H4830" s="2">
        <f t="shared" si="2469"/>
        <v>0.84626903134343812</v>
      </c>
      <c r="I4830" s="2">
        <f t="shared" si="2470"/>
        <v>0.15373096865656191</v>
      </c>
      <c r="J4830" s="3">
        <f t="shared" ref="J4830:K4830" si="2477">SUM(J30+J990+J1950+J2910+J3870)</f>
        <v>3930306.95</v>
      </c>
      <c r="K4830" s="3">
        <f t="shared" si="2477"/>
        <v>770450.11</v>
      </c>
      <c r="L4830" s="1">
        <f t="shared" si="2414"/>
        <v>4700757.0600000005</v>
      </c>
      <c r="M4830" s="2">
        <f t="shared" si="2415"/>
        <v>0.83610084499878401</v>
      </c>
      <c r="N4830" s="2">
        <f t="shared" si="2416"/>
        <v>0.16389915500121588</v>
      </c>
      <c r="O4830" s="5">
        <f t="shared" si="2417"/>
        <v>939.4032712347888</v>
      </c>
    </row>
    <row r="4831" spans="1:15" x14ac:dyDescent="0.35">
      <c r="A4831" t="s">
        <v>38</v>
      </c>
      <c r="B4831" t="s">
        <v>23</v>
      </c>
      <c r="C4831">
        <v>2004</v>
      </c>
      <c r="D4831" t="s">
        <v>18</v>
      </c>
      <c r="E4831" s="3">
        <f t="shared" ref="E4831:F4831" si="2478">SUM(E31+E991+E1951+E2911+E3871)</f>
        <v>4269488</v>
      </c>
      <c r="F4831" s="3">
        <f t="shared" si="2478"/>
        <v>807483</v>
      </c>
      <c r="G4831" s="1">
        <f t="shared" si="2468"/>
        <v>5076971</v>
      </c>
      <c r="H4831" s="2">
        <f t="shared" si="2469"/>
        <v>0.84095181950024922</v>
      </c>
      <c r="I4831" s="2">
        <f t="shared" si="2470"/>
        <v>0.15904818049975072</v>
      </c>
      <c r="J4831" s="3">
        <f t="shared" ref="J4831:K4831" si="2479">SUM(J31+J991+J1951+J2911+J3871)</f>
        <v>5661008.8500000006</v>
      </c>
      <c r="K4831" s="3">
        <f t="shared" si="2479"/>
        <v>1156509.8899999999</v>
      </c>
      <c r="L4831" s="1">
        <f t="shared" si="2414"/>
        <v>6817518.7400000002</v>
      </c>
      <c r="M4831" s="2">
        <f t="shared" si="2415"/>
        <v>0.8303620519274143</v>
      </c>
      <c r="N4831" s="2">
        <f t="shared" si="2416"/>
        <v>0.1696379480725857</v>
      </c>
      <c r="O4831" s="5">
        <f t="shared" si="2417"/>
        <v>1342.8319247834979</v>
      </c>
    </row>
    <row r="4832" spans="1:15" x14ac:dyDescent="0.35">
      <c r="A4832" t="s">
        <v>38</v>
      </c>
      <c r="B4832" t="s">
        <v>24</v>
      </c>
      <c r="C4832">
        <v>2004</v>
      </c>
      <c r="D4832" t="s">
        <v>18</v>
      </c>
      <c r="E4832" s="3">
        <f t="shared" ref="E4832:F4832" si="2480">SUM(E32+E992+E1952+E2912+E3872)</f>
        <v>4224098</v>
      </c>
      <c r="F4832" s="3">
        <f t="shared" si="2480"/>
        <v>836160</v>
      </c>
      <c r="G4832" s="1">
        <f t="shared" si="2468"/>
        <v>5060258</v>
      </c>
      <c r="H4832" s="2">
        <f t="shared" si="2469"/>
        <v>0.83475941345283189</v>
      </c>
      <c r="I4832" s="2">
        <f t="shared" si="2470"/>
        <v>0.16524058654716814</v>
      </c>
      <c r="J4832" s="3">
        <f t="shared" ref="J4832:K4832" si="2481">SUM(J32+J992+J1952+J2912+J3872)</f>
        <v>6527044.1600000001</v>
      </c>
      <c r="K4832" s="3">
        <f t="shared" si="2481"/>
        <v>1367673.3599999999</v>
      </c>
      <c r="L4832" s="1">
        <f t="shared" si="2414"/>
        <v>7894717.5199999996</v>
      </c>
      <c r="M4832" s="2">
        <f t="shared" si="2415"/>
        <v>0.82676095040320086</v>
      </c>
      <c r="N4832" s="2">
        <f t="shared" si="2416"/>
        <v>0.17323904959679925</v>
      </c>
      <c r="O4832" s="5">
        <f t="shared" si="2417"/>
        <v>1560.1413050480826</v>
      </c>
    </row>
    <row r="4833" spans="1:15" x14ac:dyDescent="0.35">
      <c r="A4833" t="s">
        <v>38</v>
      </c>
      <c r="B4833" t="s">
        <v>25</v>
      </c>
      <c r="C4833">
        <v>2004</v>
      </c>
      <c r="D4833" t="s">
        <v>18</v>
      </c>
      <c r="E4833" s="3">
        <f t="shared" ref="E4833:F4833" si="2482">SUM(E33+E993+E1953+E2913+E3873)</f>
        <v>4227646</v>
      </c>
      <c r="F4833" s="3">
        <f t="shared" si="2482"/>
        <v>883194</v>
      </c>
      <c r="G4833" s="1">
        <f t="shared" si="2468"/>
        <v>5110840</v>
      </c>
      <c r="H4833" s="2">
        <f t="shared" si="2469"/>
        <v>0.82719200757605404</v>
      </c>
      <c r="I4833" s="2">
        <f t="shared" si="2470"/>
        <v>0.17280799242394596</v>
      </c>
      <c r="J4833" s="3">
        <f t="shared" ref="J4833:K4833" si="2483">SUM(J33+J993+J1953+J2913+J3873)</f>
        <v>6881012.2000000002</v>
      </c>
      <c r="K4833" s="3">
        <f t="shared" si="2483"/>
        <v>1515278.1700000002</v>
      </c>
      <c r="L4833" s="1">
        <f t="shared" si="2414"/>
        <v>8396290.370000001</v>
      </c>
      <c r="M4833" s="2">
        <f t="shared" si="2415"/>
        <v>0.81953004205117785</v>
      </c>
      <c r="N4833" s="2">
        <f t="shared" si="2416"/>
        <v>0.18046995794882209</v>
      </c>
      <c r="O4833" s="5">
        <f t="shared" si="2417"/>
        <v>1642.8396056225592</v>
      </c>
    </row>
    <row r="4834" spans="1:15" x14ac:dyDescent="0.35">
      <c r="A4834" t="s">
        <v>38</v>
      </c>
      <c r="B4834" t="s">
        <v>26</v>
      </c>
      <c r="C4834">
        <v>2004</v>
      </c>
      <c r="D4834" t="s">
        <v>18</v>
      </c>
      <c r="E4834" s="3">
        <f t="shared" ref="E4834:F4834" si="2484">SUM(E34+E994+E1954+E2914+E3874)</f>
        <v>4152570</v>
      </c>
      <c r="F4834" s="3">
        <f t="shared" si="2484"/>
        <v>913132</v>
      </c>
      <c r="G4834" s="1">
        <f t="shared" si="2468"/>
        <v>5065702</v>
      </c>
      <c r="H4834" s="2">
        <f t="shared" si="2469"/>
        <v>0.81974225882217311</v>
      </c>
      <c r="I4834" s="2">
        <f t="shared" si="2470"/>
        <v>0.18025774117782689</v>
      </c>
      <c r="J4834" s="3">
        <f t="shared" ref="J4834:K4834" si="2485">SUM(J34+J994+J1954+J2914+J3874)</f>
        <v>6285735.2200000007</v>
      </c>
      <c r="K4834" s="3">
        <f t="shared" si="2485"/>
        <v>1466711.8499999999</v>
      </c>
      <c r="L4834" s="1">
        <f t="shared" si="2414"/>
        <v>7752447.0700000003</v>
      </c>
      <c r="M4834" s="2">
        <f t="shared" si="2415"/>
        <v>0.81080659606489913</v>
      </c>
      <c r="N4834" s="2">
        <f t="shared" si="2416"/>
        <v>0.18919340393510095</v>
      </c>
      <c r="O4834" s="5">
        <f t="shared" si="2417"/>
        <v>1530.3796137238235</v>
      </c>
    </row>
    <row r="4835" spans="1:15" x14ac:dyDescent="0.35">
      <c r="A4835" t="s">
        <v>38</v>
      </c>
      <c r="B4835" t="s">
        <v>27</v>
      </c>
      <c r="C4835">
        <v>2004</v>
      </c>
      <c r="D4835" t="s">
        <v>18</v>
      </c>
      <c r="E4835" s="3">
        <f t="shared" ref="E4835:F4835" si="2486">SUM(E35+E995+E1955+E2915+E3875)</f>
        <v>4122990</v>
      </c>
      <c r="F4835" s="3">
        <f t="shared" si="2486"/>
        <v>949436</v>
      </c>
      <c r="G4835" s="1">
        <f t="shared" si="2468"/>
        <v>5072426</v>
      </c>
      <c r="H4835" s="2">
        <f t="shared" si="2469"/>
        <v>0.8128240806272975</v>
      </c>
      <c r="I4835" s="2">
        <f t="shared" si="2470"/>
        <v>0.18717591937270253</v>
      </c>
      <c r="J4835" s="3">
        <f t="shared" ref="J4835:K4835" si="2487">SUM(J35+J995+J1955+J2915+J3875)</f>
        <v>5272225.7919999994</v>
      </c>
      <c r="K4835" s="3">
        <f t="shared" si="2487"/>
        <v>1295186.267</v>
      </c>
      <c r="L4835" s="1">
        <f t="shared" si="2414"/>
        <v>6567412.0589999994</v>
      </c>
      <c r="M4835" s="2">
        <f t="shared" si="2415"/>
        <v>0.80278589871255712</v>
      </c>
      <c r="N4835" s="2">
        <f t="shared" si="2416"/>
        <v>0.19721410128744293</v>
      </c>
      <c r="O4835" s="5">
        <f t="shared" si="2417"/>
        <v>1294.7280175206104</v>
      </c>
    </row>
    <row r="4836" spans="1:15" x14ac:dyDescent="0.35">
      <c r="A4836" t="s">
        <v>38</v>
      </c>
      <c r="B4836" t="s">
        <v>28</v>
      </c>
      <c r="C4836">
        <v>2004</v>
      </c>
      <c r="D4836" t="s">
        <v>18</v>
      </c>
      <c r="E4836" s="3">
        <f t="shared" ref="E4836:F4836" si="2488">SUM(E36+E996+E1956+E2916+E3876)</f>
        <v>4073036</v>
      </c>
      <c r="F4836" s="3">
        <f t="shared" si="2488"/>
        <v>976493</v>
      </c>
      <c r="G4836" s="1">
        <f t="shared" si="2468"/>
        <v>5049529</v>
      </c>
      <c r="H4836" s="2">
        <f t="shared" si="2469"/>
        <v>0.8066170131907352</v>
      </c>
      <c r="I4836" s="2">
        <f t="shared" si="2470"/>
        <v>0.19338298680926477</v>
      </c>
      <c r="J4836" s="3">
        <f t="shared" ref="J4836:K4836" si="2489">SUM(J36+J996+J1956+J2916+J3876)</f>
        <v>4137234.0409999997</v>
      </c>
      <c r="K4836" s="3">
        <f t="shared" si="2489"/>
        <v>1061510.656</v>
      </c>
      <c r="L4836" s="1">
        <f t="shared" si="2414"/>
        <v>5198744.6969999997</v>
      </c>
      <c r="M4836" s="2">
        <f t="shared" si="2415"/>
        <v>0.79581404399170474</v>
      </c>
      <c r="N4836" s="2">
        <f t="shared" si="2416"/>
        <v>0.2041859560082952</v>
      </c>
      <c r="O4836" s="5">
        <f t="shared" si="2417"/>
        <v>1029.5504188608481</v>
      </c>
    </row>
    <row r="4837" spans="1:15" x14ac:dyDescent="0.35">
      <c r="A4837" t="s">
        <v>38</v>
      </c>
      <c r="B4837" t="s">
        <v>29</v>
      </c>
      <c r="C4837">
        <v>2004</v>
      </c>
      <c r="D4837" t="s">
        <v>18</v>
      </c>
      <c r="E4837" s="3">
        <f t="shared" ref="E4837:F4837" si="2490">SUM(E37+E997+E1957+E2917+E3877)</f>
        <v>4037397</v>
      </c>
      <c r="F4837" s="3">
        <f t="shared" si="2490"/>
        <v>1004248</v>
      </c>
      <c r="G4837" s="1">
        <f t="shared" si="2468"/>
        <v>5041645</v>
      </c>
      <c r="H4837" s="2">
        <f t="shared" si="2469"/>
        <v>0.80080945802411718</v>
      </c>
      <c r="I4837" s="2">
        <f t="shared" si="2470"/>
        <v>0.19919054197588287</v>
      </c>
      <c r="J4837" s="3">
        <f t="shared" ref="J4837:K4837" si="2491">SUM(J37+J997+J1957+J2917+J3877)</f>
        <v>3878393.5449999999</v>
      </c>
      <c r="K4837" s="3">
        <f t="shared" si="2491"/>
        <v>1033330.0410000001</v>
      </c>
      <c r="L4837" s="1">
        <f t="shared" si="2414"/>
        <v>4911723.5860000001</v>
      </c>
      <c r="M4837" s="2">
        <f t="shared" si="2415"/>
        <v>0.78961966753476831</v>
      </c>
      <c r="N4837" s="2">
        <f t="shared" si="2416"/>
        <v>0.21038033246523169</v>
      </c>
      <c r="O4837" s="5">
        <f t="shared" si="2417"/>
        <v>974.23035259325081</v>
      </c>
    </row>
    <row r="4838" spans="1:15" x14ac:dyDescent="0.35">
      <c r="A4838" t="s">
        <v>38</v>
      </c>
      <c r="B4838" t="s">
        <v>17</v>
      </c>
      <c r="C4838">
        <v>2005</v>
      </c>
      <c r="D4838" t="s">
        <v>18</v>
      </c>
      <c r="E4838" s="3">
        <f t="shared" ref="E4838:F4838" si="2492">SUM(E38+E998+E1958+E2918+E3878)</f>
        <v>4062573</v>
      </c>
      <c r="F4838" s="3">
        <f t="shared" si="2492"/>
        <v>1046637</v>
      </c>
      <c r="G4838" s="1">
        <f>SUM(E4838:F4838)</f>
        <v>5109210</v>
      </c>
      <c r="H4838" s="2">
        <f>SUM(E4838)/G4838</f>
        <v>0.79514699924254439</v>
      </c>
      <c r="I4838" s="2">
        <f>SUM(F4838/G4838)</f>
        <v>0.20485300075745566</v>
      </c>
      <c r="J4838" s="3">
        <f t="shared" ref="J4838:K4838" si="2493">SUM(J38+J998+J1958+J2918+J3878)</f>
        <v>4716279.4400000004</v>
      </c>
      <c r="K4838" s="3">
        <f t="shared" si="2493"/>
        <v>1294274.77</v>
      </c>
      <c r="L4838" s="1">
        <f t="shared" si="2414"/>
        <v>6010554.2100000009</v>
      </c>
      <c r="M4838" s="2">
        <f t="shared" si="2415"/>
        <v>0.78466631781697216</v>
      </c>
      <c r="N4838" s="2">
        <f t="shared" si="2416"/>
        <v>0.21533368218302781</v>
      </c>
      <c r="O4838" s="5">
        <f t="shared" si="2417"/>
        <v>1176.4155730533685</v>
      </c>
    </row>
    <row r="4839" spans="1:15" x14ac:dyDescent="0.35">
      <c r="A4839" t="s">
        <v>38</v>
      </c>
      <c r="B4839" t="s">
        <v>19</v>
      </c>
      <c r="C4839">
        <v>2005</v>
      </c>
      <c r="D4839" t="s">
        <v>18</v>
      </c>
      <c r="E4839" s="3">
        <f t="shared" ref="E4839:F4839" si="2494">SUM(E39+E999+E1959+E2919+E3879)</f>
        <v>3987172</v>
      </c>
      <c r="F4839" s="3">
        <f t="shared" si="2494"/>
        <v>1059424</v>
      </c>
      <c r="G4839" s="1">
        <f t="shared" ref="G4839:G4849" si="2495">SUM(E4839:F4839)</f>
        <v>5046596</v>
      </c>
      <c r="H4839" s="2">
        <f t="shared" ref="H4839:H4849" si="2496">SUM(E4839)/G4839</f>
        <v>0.79007156507079224</v>
      </c>
      <c r="I4839" s="2">
        <f t="shared" ref="I4839:I4849" si="2497">SUM(F4839/G4839)</f>
        <v>0.20992843492920774</v>
      </c>
      <c r="J4839" s="3">
        <f t="shared" ref="J4839:K4839" si="2498">SUM(J39+J999+J1959+J2919+J3879)</f>
        <v>4130351.4499999997</v>
      </c>
      <c r="K4839" s="3">
        <f t="shared" si="2498"/>
        <v>1162809.57</v>
      </c>
      <c r="L4839" s="1">
        <f t="shared" si="2414"/>
        <v>5293161.0199999996</v>
      </c>
      <c r="M4839" s="2">
        <f t="shared" si="2415"/>
        <v>0.78031849671559772</v>
      </c>
      <c r="N4839" s="2">
        <f t="shared" si="2416"/>
        <v>0.21968150328440228</v>
      </c>
      <c r="O4839" s="5">
        <f t="shared" si="2417"/>
        <v>1048.8576894207501</v>
      </c>
    </row>
    <row r="4840" spans="1:15" x14ac:dyDescent="0.35">
      <c r="A4840" t="s">
        <v>38</v>
      </c>
      <c r="B4840" t="s">
        <v>20</v>
      </c>
      <c r="C4840">
        <v>2005</v>
      </c>
      <c r="D4840" t="s">
        <v>18</v>
      </c>
      <c r="E4840" s="3">
        <f t="shared" ref="E4840:F4840" si="2499">SUM(E40+E1000+E1960+E2920+E3880)</f>
        <v>4015412</v>
      </c>
      <c r="F4840" s="3">
        <f t="shared" si="2499"/>
        <v>1107457</v>
      </c>
      <c r="G4840" s="1">
        <f t="shared" si="2495"/>
        <v>5122869</v>
      </c>
      <c r="H4840" s="2">
        <f t="shared" si="2496"/>
        <v>0.78382094096101229</v>
      </c>
      <c r="I4840" s="2">
        <f t="shared" si="2497"/>
        <v>0.21617905903898774</v>
      </c>
      <c r="J4840" s="3">
        <f t="shared" ref="J4840:K4840" si="2500">SUM(J40+J1000+J1960+J2920+J3880)</f>
        <v>3580160.2600000002</v>
      </c>
      <c r="K4840" s="3">
        <f t="shared" si="2500"/>
        <v>1038595.0599999999</v>
      </c>
      <c r="L4840" s="1">
        <f t="shared" si="2414"/>
        <v>4618755.32</v>
      </c>
      <c r="M4840" s="2">
        <f t="shared" si="2415"/>
        <v>0.77513529337596521</v>
      </c>
      <c r="N4840" s="2">
        <f t="shared" si="2416"/>
        <v>0.22486470662403477</v>
      </c>
      <c r="O4840" s="5">
        <f t="shared" si="2417"/>
        <v>901.59543802505982</v>
      </c>
    </row>
    <row r="4841" spans="1:15" x14ac:dyDescent="0.35">
      <c r="A4841" t="s">
        <v>38</v>
      </c>
      <c r="B4841" t="s">
        <v>21</v>
      </c>
      <c r="C4841">
        <v>2005</v>
      </c>
      <c r="D4841" t="s">
        <v>18</v>
      </c>
      <c r="E4841" s="3">
        <f t="shared" ref="E4841:F4841" si="2501">SUM(E41+E1001+E1961+E2921+E3881)</f>
        <v>3965132</v>
      </c>
      <c r="F4841" s="3">
        <f t="shared" si="2501"/>
        <v>1131030</v>
      </c>
      <c r="G4841" s="1">
        <f t="shared" si="2495"/>
        <v>5096162</v>
      </c>
      <c r="H4841" s="2">
        <f t="shared" si="2496"/>
        <v>0.77806239283602052</v>
      </c>
      <c r="I4841" s="2">
        <f t="shared" si="2497"/>
        <v>0.22193760716397948</v>
      </c>
      <c r="J4841" s="3">
        <f t="shared" ref="J4841:K4841" si="2502">SUM(J41+J1001+J1961+J2921+J3881)</f>
        <v>3270790.3499999996</v>
      </c>
      <c r="K4841" s="3">
        <f t="shared" si="2502"/>
        <v>989436.22000000009</v>
      </c>
      <c r="L4841" s="1">
        <f t="shared" si="2414"/>
        <v>4260226.5699999994</v>
      </c>
      <c r="M4841" s="2">
        <f t="shared" si="2415"/>
        <v>0.7677503288281684</v>
      </c>
      <c r="N4841" s="2">
        <f t="shared" si="2416"/>
        <v>0.23224967117183165</v>
      </c>
      <c r="O4841" s="5">
        <f t="shared" si="2417"/>
        <v>835.96764977251496</v>
      </c>
    </row>
    <row r="4842" spans="1:15" x14ac:dyDescent="0.35">
      <c r="A4842" t="s">
        <v>38</v>
      </c>
      <c r="B4842" t="s">
        <v>22</v>
      </c>
      <c r="C4842">
        <v>2005</v>
      </c>
      <c r="D4842" t="s">
        <v>18</v>
      </c>
      <c r="E4842" s="3">
        <f t="shared" ref="E4842:F4842" si="2503">SUM(E42+E1002+E1962+E2922+E3882)</f>
        <v>3941488</v>
      </c>
      <c r="F4842" s="3">
        <f t="shared" si="2503"/>
        <v>1174315</v>
      </c>
      <c r="G4842" s="1">
        <f t="shared" si="2495"/>
        <v>5115803</v>
      </c>
      <c r="H4842" s="2">
        <f t="shared" si="2496"/>
        <v>0.77045343614677886</v>
      </c>
      <c r="I4842" s="2">
        <f t="shared" si="2497"/>
        <v>0.22954656385322109</v>
      </c>
      <c r="J4842" s="3">
        <f t="shared" ref="J4842:K4842" si="2504">SUM(J42+J1002+J1962+J2922+J3882)</f>
        <v>3414396.44</v>
      </c>
      <c r="K4842" s="3">
        <f t="shared" si="2504"/>
        <v>1077538.81</v>
      </c>
      <c r="L4842" s="1">
        <f t="shared" si="2414"/>
        <v>4491935.25</v>
      </c>
      <c r="M4842" s="2">
        <f t="shared" si="2415"/>
        <v>0.76011702083194543</v>
      </c>
      <c r="N4842" s="2">
        <f t="shared" si="2416"/>
        <v>0.23988297916805459</v>
      </c>
      <c r="O4842" s="5">
        <f t="shared" si="2417"/>
        <v>878.05086513300057</v>
      </c>
    </row>
    <row r="4843" spans="1:15" x14ac:dyDescent="0.35">
      <c r="A4843" t="s">
        <v>38</v>
      </c>
      <c r="B4843" t="s">
        <v>23</v>
      </c>
      <c r="C4843">
        <v>2005</v>
      </c>
      <c r="D4843" t="s">
        <v>18</v>
      </c>
      <c r="E4843" s="3">
        <f t="shared" ref="E4843:F4843" si="2505">SUM(E43+E1003+E1963+E2923+E3883)</f>
        <v>3920002</v>
      </c>
      <c r="F4843" s="3">
        <f t="shared" si="2505"/>
        <v>1228790</v>
      </c>
      <c r="G4843" s="1">
        <f t="shared" si="2495"/>
        <v>5148792</v>
      </c>
      <c r="H4843" s="2">
        <f t="shared" si="2496"/>
        <v>0.76134402011190194</v>
      </c>
      <c r="I4843" s="2">
        <f t="shared" si="2497"/>
        <v>0.23865597988809803</v>
      </c>
      <c r="J4843" s="3">
        <f t="shared" ref="J4843:K4843" si="2506">SUM(J43+J1003+J1963+J2923+J3883)</f>
        <v>5356794.1499999994</v>
      </c>
      <c r="K4843" s="3">
        <f t="shared" si="2506"/>
        <v>1751355.01</v>
      </c>
      <c r="L4843" s="1">
        <f t="shared" si="2414"/>
        <v>7108149.1599999992</v>
      </c>
      <c r="M4843" s="2">
        <f t="shared" si="2415"/>
        <v>0.75361307555903911</v>
      </c>
      <c r="N4843" s="2">
        <f t="shared" si="2416"/>
        <v>0.24638692444096097</v>
      </c>
      <c r="O4843" s="5">
        <f t="shared" si="2417"/>
        <v>1380.546963248855</v>
      </c>
    </row>
    <row r="4844" spans="1:15" x14ac:dyDescent="0.35">
      <c r="A4844" t="s">
        <v>38</v>
      </c>
      <c r="B4844" t="s">
        <v>24</v>
      </c>
      <c r="C4844">
        <v>2005</v>
      </c>
      <c r="D4844" t="s">
        <v>18</v>
      </c>
      <c r="E4844" s="3">
        <f t="shared" ref="E4844:F4844" si="2507">SUM(E44+E1004+E1964+E2924+E3884)</f>
        <v>3867433</v>
      </c>
      <c r="F4844" s="3">
        <f t="shared" si="2507"/>
        <v>1271837</v>
      </c>
      <c r="G4844" s="1">
        <f t="shared" si="2495"/>
        <v>5139270</v>
      </c>
      <c r="H4844" s="2">
        <f t="shared" si="2496"/>
        <v>0.75252574782021575</v>
      </c>
      <c r="I4844" s="2">
        <f t="shared" si="2497"/>
        <v>0.24747425217978428</v>
      </c>
      <c r="J4844" s="3">
        <f t="shared" ref="J4844:K4844" si="2508">SUM(J44+J1004+J1964+J2924+J3884)</f>
        <v>6738550.25</v>
      </c>
      <c r="K4844" s="3">
        <f t="shared" si="2508"/>
        <v>2291097.5099999998</v>
      </c>
      <c r="L4844" s="1">
        <f t="shared" si="2414"/>
        <v>9029647.7599999998</v>
      </c>
      <c r="M4844" s="2">
        <f t="shared" si="2415"/>
        <v>0.74626944805652085</v>
      </c>
      <c r="N4844" s="2">
        <f t="shared" si="2416"/>
        <v>0.2537305519434791</v>
      </c>
      <c r="O4844" s="5">
        <f t="shared" si="2417"/>
        <v>1756.9903429864553</v>
      </c>
    </row>
    <row r="4845" spans="1:15" x14ac:dyDescent="0.35">
      <c r="A4845" t="s">
        <v>38</v>
      </c>
      <c r="B4845" t="s">
        <v>25</v>
      </c>
      <c r="C4845">
        <v>2005</v>
      </c>
      <c r="D4845" t="s">
        <v>18</v>
      </c>
      <c r="E4845" s="3">
        <f t="shared" ref="E4845:F4845" si="2509">SUM(E45+E1005+E1965+E2925+E3885)</f>
        <v>3898351</v>
      </c>
      <c r="F4845" s="3">
        <f t="shared" si="2509"/>
        <v>1350632</v>
      </c>
      <c r="G4845" s="1">
        <f t="shared" si="2495"/>
        <v>5248983</v>
      </c>
      <c r="H4845" s="2">
        <f t="shared" si="2496"/>
        <v>0.7426869166846225</v>
      </c>
      <c r="I4845" s="2">
        <f t="shared" si="2497"/>
        <v>0.2573130833153775</v>
      </c>
      <c r="J4845" s="3">
        <f t="shared" ref="J4845:K4845" si="2510">SUM(J45+J1005+J1965+J2925+J3885)</f>
        <v>6439244.4100000001</v>
      </c>
      <c r="K4845" s="3">
        <f t="shared" si="2510"/>
        <v>2320067.2600000002</v>
      </c>
      <c r="L4845" s="1">
        <f t="shared" si="2414"/>
        <v>8759311.6699999999</v>
      </c>
      <c r="M4845" s="2">
        <f t="shared" si="2415"/>
        <v>0.73513132682034132</v>
      </c>
      <c r="N4845" s="2">
        <f t="shared" si="2416"/>
        <v>0.26486867317965868</v>
      </c>
      <c r="O4845" s="5">
        <f t="shared" si="2417"/>
        <v>1668.7635814404427</v>
      </c>
    </row>
    <row r="4846" spans="1:15" x14ac:dyDescent="0.35">
      <c r="A4846" t="s">
        <v>38</v>
      </c>
      <c r="B4846" t="s">
        <v>26</v>
      </c>
      <c r="C4846">
        <v>2005</v>
      </c>
      <c r="D4846" t="s">
        <v>18</v>
      </c>
      <c r="E4846" s="3">
        <f t="shared" ref="E4846:F4846" si="2511">SUM(E46+E1006+E1966+E2926+E3886)</f>
        <v>3806400</v>
      </c>
      <c r="F4846" s="3">
        <f t="shared" si="2511"/>
        <v>1387455</v>
      </c>
      <c r="G4846" s="1">
        <f t="shared" si="2495"/>
        <v>5193855</v>
      </c>
      <c r="H4846" s="2">
        <f t="shared" si="2496"/>
        <v>0.7328660503614367</v>
      </c>
      <c r="I4846" s="2">
        <f t="shared" si="2497"/>
        <v>0.26713394963856324</v>
      </c>
      <c r="J4846" s="3">
        <f t="shared" ref="J4846:K4846" si="2512">SUM(J46+J1006+J1966+J2926+J3886)</f>
        <v>6593360.4699999997</v>
      </c>
      <c r="K4846" s="3">
        <f t="shared" si="2512"/>
        <v>2495028.6</v>
      </c>
      <c r="L4846" s="1">
        <f t="shared" si="2414"/>
        <v>9088389.0700000003</v>
      </c>
      <c r="M4846" s="2">
        <f t="shared" si="2415"/>
        <v>0.72547075386155313</v>
      </c>
      <c r="N4846" s="2">
        <f t="shared" si="2416"/>
        <v>0.27452924613844687</v>
      </c>
      <c r="O4846" s="5">
        <f t="shared" si="2417"/>
        <v>1749.8349626626079</v>
      </c>
    </row>
    <row r="4847" spans="1:15" x14ac:dyDescent="0.35">
      <c r="A4847" t="s">
        <v>38</v>
      </c>
      <c r="B4847" t="s">
        <v>27</v>
      </c>
      <c r="C4847">
        <v>2005</v>
      </c>
      <c r="D4847" t="s">
        <v>18</v>
      </c>
      <c r="E4847" s="3">
        <f t="shared" ref="E4847:F4847" si="2513">SUM(E47+E1007+E1967+E2927+E3887)</f>
        <v>3760724</v>
      </c>
      <c r="F4847" s="3">
        <f t="shared" si="2513"/>
        <v>1428267</v>
      </c>
      <c r="G4847" s="1">
        <f t="shared" si="2495"/>
        <v>5188991</v>
      </c>
      <c r="H4847" s="2">
        <f t="shared" si="2496"/>
        <v>0.72475053435243963</v>
      </c>
      <c r="I4847" s="2">
        <f t="shared" si="2497"/>
        <v>0.27524946564756037</v>
      </c>
      <c r="J4847" s="3">
        <f t="shared" ref="J4847:K4847" si="2514">SUM(J47+J1007+J1967+J2927+J3887)</f>
        <v>5421419.5</v>
      </c>
      <c r="K4847" s="3">
        <f t="shared" si="2514"/>
        <v>2178528.14</v>
      </c>
      <c r="L4847" s="1">
        <f t="shared" si="2414"/>
        <v>7599947.6400000006</v>
      </c>
      <c r="M4847" s="2">
        <f t="shared" si="2415"/>
        <v>0.71334958565582951</v>
      </c>
      <c r="N4847" s="2">
        <f t="shared" si="2416"/>
        <v>0.28665041434417038</v>
      </c>
      <c r="O4847" s="5">
        <f t="shared" si="2417"/>
        <v>1464.6291812801373</v>
      </c>
    </row>
    <row r="4848" spans="1:15" x14ac:dyDescent="0.35">
      <c r="A4848" t="s">
        <v>38</v>
      </c>
      <c r="B4848" t="s">
        <v>28</v>
      </c>
      <c r="C4848">
        <v>2005</v>
      </c>
      <c r="D4848" t="s">
        <v>18</v>
      </c>
      <c r="E4848" s="3">
        <f t="shared" ref="E4848:F4848" si="2515">SUM(E48+E1008+E1968+E2928+E3888)</f>
        <v>3703405</v>
      </c>
      <c r="F4848" s="3">
        <f t="shared" si="2515"/>
        <v>1451151</v>
      </c>
      <c r="G4848" s="1">
        <f t="shared" si="2495"/>
        <v>5154556</v>
      </c>
      <c r="H4848" s="2">
        <f t="shared" si="2496"/>
        <v>0.7184721632668265</v>
      </c>
      <c r="I4848" s="2">
        <f t="shared" si="2497"/>
        <v>0.28152783673317355</v>
      </c>
      <c r="J4848" s="3">
        <f t="shared" ref="J4848:K4848" si="2516">SUM(J48+J1008+J1968+J2928+J3888)</f>
        <v>3411861.9999999995</v>
      </c>
      <c r="K4848" s="3">
        <f t="shared" si="2516"/>
        <v>1438330.39</v>
      </c>
      <c r="L4848" s="1">
        <f t="shared" si="2414"/>
        <v>4850192.3899999997</v>
      </c>
      <c r="M4848" s="2">
        <f t="shared" si="2415"/>
        <v>0.70344879659505621</v>
      </c>
      <c r="N4848" s="2">
        <f t="shared" si="2416"/>
        <v>0.29655120340494368</v>
      </c>
      <c r="O4848" s="5">
        <f t="shared" si="2417"/>
        <v>940.95250686965085</v>
      </c>
    </row>
    <row r="4849" spans="1:15" x14ac:dyDescent="0.35">
      <c r="A4849" t="s">
        <v>38</v>
      </c>
      <c r="B4849" t="s">
        <v>29</v>
      </c>
      <c r="C4849">
        <v>2005</v>
      </c>
      <c r="D4849" t="s">
        <v>18</v>
      </c>
      <c r="E4849" s="3">
        <f t="shared" ref="E4849:F4849" si="2517">SUM(E49+E1009+E1969+E2929+E3889)</f>
        <v>3692025</v>
      </c>
      <c r="F4849" s="3">
        <f t="shared" si="2517"/>
        <v>1477491</v>
      </c>
      <c r="G4849" s="1">
        <f t="shared" si="2495"/>
        <v>5169516</v>
      </c>
      <c r="H4849" s="2">
        <f t="shared" si="2496"/>
        <v>0.7141916187124675</v>
      </c>
      <c r="I4849" s="2">
        <f t="shared" si="2497"/>
        <v>0.28580838128753255</v>
      </c>
      <c r="J4849" s="3">
        <f t="shared" ref="J4849:K4849" si="2518">SUM(J49+J1009+J1969+J2929+J3889)</f>
        <v>3711282.4600000004</v>
      </c>
      <c r="K4849" s="3">
        <f t="shared" si="2518"/>
        <v>1598556.8199999998</v>
      </c>
      <c r="L4849" s="1">
        <f t="shared" si="2414"/>
        <v>5309839.28</v>
      </c>
      <c r="M4849" s="2">
        <f t="shared" si="2415"/>
        <v>0.69894440571466798</v>
      </c>
      <c r="N4849" s="2">
        <f t="shared" si="2416"/>
        <v>0.30105559428533207</v>
      </c>
      <c r="O4849" s="5">
        <f t="shared" si="2417"/>
        <v>1027.1443748312222</v>
      </c>
    </row>
    <row r="4850" spans="1:15" x14ac:dyDescent="0.35">
      <c r="A4850" t="s">
        <v>38</v>
      </c>
      <c r="B4850" t="s">
        <v>17</v>
      </c>
      <c r="C4850">
        <v>2006</v>
      </c>
      <c r="D4850" t="s">
        <v>18</v>
      </c>
      <c r="E4850" s="3">
        <f t="shared" ref="E4850:F4850" si="2519">SUM(E50+E1010+E1970+E2930+E3890)</f>
        <v>3707701</v>
      </c>
      <c r="F4850" s="3">
        <f t="shared" si="2519"/>
        <v>1510874</v>
      </c>
      <c r="G4850" s="1">
        <f>SUM(E4850:F4850)</f>
        <v>5218575</v>
      </c>
      <c r="H4850" s="2">
        <f>SUM(E4850)/G4850</f>
        <v>0.71048150117608733</v>
      </c>
      <c r="I4850" s="2">
        <f>SUM(F4850/G4850)</f>
        <v>0.28951849882391267</v>
      </c>
      <c r="J4850" s="3">
        <f t="shared" ref="J4850:K4850" si="2520">SUM(J50+J1010+J1970+J2930+J3890)</f>
        <v>3900795.3899999997</v>
      </c>
      <c r="K4850" s="3">
        <f t="shared" si="2520"/>
        <v>1706495.52</v>
      </c>
      <c r="L4850" s="1">
        <f t="shared" si="2414"/>
        <v>5607290.9100000001</v>
      </c>
      <c r="M4850" s="2">
        <f t="shared" si="2415"/>
        <v>0.69566488570146245</v>
      </c>
      <c r="N4850" s="2">
        <f t="shared" si="2416"/>
        <v>0.30433511429853743</v>
      </c>
      <c r="O4850" s="5">
        <f t="shared" si="2417"/>
        <v>1074.4869835156148</v>
      </c>
    </row>
    <row r="4851" spans="1:15" x14ac:dyDescent="0.35">
      <c r="A4851" t="s">
        <v>38</v>
      </c>
      <c r="B4851" t="s">
        <v>19</v>
      </c>
      <c r="C4851">
        <v>2006</v>
      </c>
      <c r="D4851" t="s">
        <v>18</v>
      </c>
      <c r="E4851" s="3">
        <f t="shared" ref="E4851:F4851" si="2521">SUM(E51+E1011+E1971+E2931+E3891)</f>
        <v>3670093</v>
      </c>
      <c r="F4851" s="3">
        <f t="shared" si="2521"/>
        <v>1520204</v>
      </c>
      <c r="G4851" s="1">
        <f t="shared" ref="G4851:G4861" si="2522">SUM(E4851:F4851)</f>
        <v>5190297</v>
      </c>
      <c r="H4851" s="2">
        <f t="shared" ref="H4851:H4861" si="2523">SUM(E4851)/G4851</f>
        <v>0.70710654900865977</v>
      </c>
      <c r="I4851" s="2">
        <f t="shared" ref="I4851:I4861" si="2524">SUM(F4851/G4851)</f>
        <v>0.29289345099134018</v>
      </c>
      <c r="J4851" s="3">
        <f t="shared" ref="J4851:K4851" si="2525">SUM(J51+J1011+J1971+J2931+J3891)</f>
        <v>3137729.55</v>
      </c>
      <c r="K4851" s="3">
        <f t="shared" si="2525"/>
        <v>1390974.9700000002</v>
      </c>
      <c r="L4851" s="1">
        <f t="shared" si="2414"/>
        <v>4528704.5199999996</v>
      </c>
      <c r="M4851" s="2">
        <f t="shared" si="2415"/>
        <v>0.69285367065634917</v>
      </c>
      <c r="N4851" s="2">
        <f t="shared" si="2416"/>
        <v>0.30714632934365088</v>
      </c>
      <c r="O4851" s="5">
        <f t="shared" si="2417"/>
        <v>872.53282808286303</v>
      </c>
    </row>
    <row r="4852" spans="1:15" x14ac:dyDescent="0.35">
      <c r="A4852" t="s">
        <v>38</v>
      </c>
      <c r="B4852" t="s">
        <v>20</v>
      </c>
      <c r="C4852">
        <v>2006</v>
      </c>
      <c r="D4852" t="s">
        <v>18</v>
      </c>
      <c r="E4852" s="3">
        <f t="shared" ref="E4852:F4852" si="2526">SUM(E52+E1012+E1972+E2932+E3892)</f>
        <v>3736894</v>
      </c>
      <c r="F4852" s="3">
        <f t="shared" si="2526"/>
        <v>1573146</v>
      </c>
      <c r="G4852" s="1">
        <f t="shared" si="2522"/>
        <v>5310040</v>
      </c>
      <c r="H4852" s="2">
        <f t="shared" si="2523"/>
        <v>0.70374121475544438</v>
      </c>
      <c r="I4852" s="2">
        <f t="shared" si="2524"/>
        <v>0.29625878524455562</v>
      </c>
      <c r="J4852" s="3">
        <f t="shared" ref="J4852:K4852" si="2527">SUM(J52+J1012+J1972+J2932+J3892)</f>
        <v>3332142.3</v>
      </c>
      <c r="K4852" s="3">
        <f t="shared" si="2527"/>
        <v>1509976.17</v>
      </c>
      <c r="L4852" s="1">
        <f t="shared" si="2414"/>
        <v>4842118.47</v>
      </c>
      <c r="M4852" s="2">
        <f t="shared" si="2415"/>
        <v>0.68815794587528956</v>
      </c>
      <c r="N4852" s="2">
        <f t="shared" si="2416"/>
        <v>0.31184205412471044</v>
      </c>
      <c r="O4852" s="5">
        <f t="shared" si="2417"/>
        <v>911.87984836272415</v>
      </c>
    </row>
    <row r="4853" spans="1:15" x14ac:dyDescent="0.35">
      <c r="A4853" t="s">
        <v>38</v>
      </c>
      <c r="B4853" t="s">
        <v>21</v>
      </c>
      <c r="C4853">
        <v>2006</v>
      </c>
      <c r="D4853" t="s">
        <v>18</v>
      </c>
      <c r="E4853" s="3">
        <f t="shared" ref="E4853:F4853" si="2528">SUM(E53+E1013+E1973+E2933+E3893)</f>
        <v>3638385</v>
      </c>
      <c r="F4853" s="3">
        <f t="shared" si="2528"/>
        <v>1565287</v>
      </c>
      <c r="G4853" s="1">
        <f t="shared" si="2522"/>
        <v>5203672</v>
      </c>
      <c r="H4853" s="2">
        <f t="shared" si="2523"/>
        <v>0.69919568335590709</v>
      </c>
      <c r="I4853" s="2">
        <f t="shared" si="2524"/>
        <v>0.30080431664409285</v>
      </c>
      <c r="J4853" s="3">
        <f t="shared" ref="J4853:K4853" si="2529">SUM(J53+J1013+J1973+J2933+J3893)</f>
        <v>3177027.57</v>
      </c>
      <c r="K4853" s="3">
        <f t="shared" si="2529"/>
        <v>1471548.29</v>
      </c>
      <c r="L4853" s="1">
        <f t="shared" si="2414"/>
        <v>4648575.8599999994</v>
      </c>
      <c r="M4853" s="2">
        <f t="shared" si="2415"/>
        <v>0.68344105069633099</v>
      </c>
      <c r="N4853" s="2">
        <f t="shared" si="2416"/>
        <v>0.31655894930366912</v>
      </c>
      <c r="O4853" s="5">
        <f t="shared" si="2417"/>
        <v>893.32607051328353</v>
      </c>
    </row>
    <row r="4854" spans="1:15" x14ac:dyDescent="0.35">
      <c r="A4854" t="s">
        <v>38</v>
      </c>
      <c r="B4854" t="s">
        <v>22</v>
      </c>
      <c r="C4854">
        <v>2006</v>
      </c>
      <c r="D4854" t="s">
        <v>18</v>
      </c>
      <c r="E4854" s="3">
        <f t="shared" ref="E4854:F4854" si="2530">SUM(E54+E1014+E1974+E2934+E3894)</f>
        <v>3670387</v>
      </c>
      <c r="F4854" s="3">
        <f t="shared" si="2530"/>
        <v>1622423</v>
      </c>
      <c r="G4854" s="1">
        <f t="shared" si="2522"/>
        <v>5292810</v>
      </c>
      <c r="H4854" s="2">
        <f t="shared" si="2523"/>
        <v>0.69346660847451547</v>
      </c>
      <c r="I4854" s="2">
        <f t="shared" si="2524"/>
        <v>0.30653339152548459</v>
      </c>
      <c r="J4854" s="3">
        <f t="shared" ref="J4854:K4854" si="2531">SUM(J54+J1014+J1974+J2934+J3894)</f>
        <v>3814898.86</v>
      </c>
      <c r="K4854" s="3">
        <f t="shared" si="2531"/>
        <v>1821410.48</v>
      </c>
      <c r="L4854" s="1">
        <f t="shared" si="2414"/>
        <v>5636309.3399999999</v>
      </c>
      <c r="M4854" s="2">
        <f t="shared" si="2415"/>
        <v>0.67684341470157849</v>
      </c>
      <c r="N4854" s="2">
        <f t="shared" si="2416"/>
        <v>0.32315658529842156</v>
      </c>
      <c r="O4854" s="5">
        <f t="shared" si="2417"/>
        <v>1064.899238778645</v>
      </c>
    </row>
    <row r="4855" spans="1:15" x14ac:dyDescent="0.35">
      <c r="A4855" t="s">
        <v>38</v>
      </c>
      <c r="B4855" t="s">
        <v>23</v>
      </c>
      <c r="C4855">
        <v>2006</v>
      </c>
      <c r="D4855" t="s">
        <v>18</v>
      </c>
      <c r="E4855" s="3">
        <f t="shared" ref="E4855:F4855" si="2532">SUM(E55+E1015+E1975+E2935+E3895)</f>
        <v>3637032</v>
      </c>
      <c r="F4855" s="3">
        <f t="shared" si="2532"/>
        <v>1667423</v>
      </c>
      <c r="G4855" s="1">
        <f t="shared" si="2522"/>
        <v>5304455</v>
      </c>
      <c r="H4855" s="2">
        <f t="shared" si="2523"/>
        <v>0.68565611358754108</v>
      </c>
      <c r="I4855" s="2">
        <f t="shared" si="2524"/>
        <v>0.31434388641245897</v>
      </c>
      <c r="J4855" s="3">
        <f t="shared" ref="J4855:K4855" si="2533">SUM(J55+J1015+J1975+J2935+J3895)</f>
        <v>4975529.5600000005</v>
      </c>
      <c r="K4855" s="3">
        <f t="shared" si="2533"/>
        <v>2430206.4900000002</v>
      </c>
      <c r="L4855" s="1">
        <f t="shared" si="2414"/>
        <v>7405736.0500000007</v>
      </c>
      <c r="M4855" s="2">
        <f t="shared" si="2415"/>
        <v>0.67184808186621769</v>
      </c>
      <c r="N4855" s="2">
        <f t="shared" si="2416"/>
        <v>0.32815191813378225</v>
      </c>
      <c r="O4855" s="5">
        <f t="shared" si="2417"/>
        <v>1396.1351448923594</v>
      </c>
    </row>
    <row r="4856" spans="1:15" x14ac:dyDescent="0.35">
      <c r="A4856" t="s">
        <v>38</v>
      </c>
      <c r="B4856" t="s">
        <v>24</v>
      </c>
      <c r="C4856">
        <v>2006</v>
      </c>
      <c r="D4856" t="s">
        <v>18</v>
      </c>
      <c r="E4856" s="3">
        <f t="shared" ref="E4856:F4856" si="2534">SUM(E56+E1016+E1976+E2936+E3896)</f>
        <v>3549391</v>
      </c>
      <c r="F4856" s="3">
        <f t="shared" si="2534"/>
        <v>1690606</v>
      </c>
      <c r="G4856" s="1">
        <f t="shared" si="2522"/>
        <v>5239997</v>
      </c>
      <c r="H4856" s="2">
        <f t="shared" si="2523"/>
        <v>0.67736508246092508</v>
      </c>
      <c r="I4856" s="2">
        <f t="shared" si="2524"/>
        <v>0.32263491753907492</v>
      </c>
      <c r="J4856" s="3">
        <f t="shared" ref="J4856:K4856" si="2535">SUM(J56+J1016+J1976+J2936+J3896)</f>
        <v>5586346</v>
      </c>
      <c r="K4856" s="3">
        <f t="shared" si="2535"/>
        <v>2819893.44</v>
      </c>
      <c r="L4856" s="1">
        <f t="shared" si="2414"/>
        <v>8406239.4399999995</v>
      </c>
      <c r="M4856" s="2">
        <f t="shared" si="2415"/>
        <v>0.66454757086957306</v>
      </c>
      <c r="N4856" s="2">
        <f t="shared" si="2416"/>
        <v>0.335452429130427</v>
      </c>
      <c r="O4856" s="5">
        <f t="shared" si="2417"/>
        <v>1604.2450863998583</v>
      </c>
    </row>
    <row r="4857" spans="1:15" x14ac:dyDescent="0.35">
      <c r="A4857" t="s">
        <v>38</v>
      </c>
      <c r="B4857" t="s">
        <v>25</v>
      </c>
      <c r="C4857">
        <v>2006</v>
      </c>
      <c r="D4857" t="s">
        <v>18</v>
      </c>
      <c r="E4857" s="3">
        <f t="shared" ref="E4857:F4857" si="2536">SUM(E57+E1017+E1977+E2937+E3897)</f>
        <v>3583323</v>
      </c>
      <c r="F4857" s="3">
        <f t="shared" si="2536"/>
        <v>1776686</v>
      </c>
      <c r="G4857" s="1">
        <f t="shared" si="2522"/>
        <v>5360009</v>
      </c>
      <c r="H4857" s="2">
        <f t="shared" si="2523"/>
        <v>0.66852928791724042</v>
      </c>
      <c r="I4857" s="2">
        <f t="shared" si="2524"/>
        <v>0.33147071208275958</v>
      </c>
      <c r="J4857" s="3">
        <f t="shared" ref="J4857:K4857" si="2537">SUM(J57+J1017+J1977+J2937+J3897)</f>
        <v>6176736.0200000005</v>
      </c>
      <c r="K4857" s="3">
        <f t="shared" si="2537"/>
        <v>3219017.38</v>
      </c>
      <c r="L4857" s="1">
        <f t="shared" si="2414"/>
        <v>9395753.4000000004</v>
      </c>
      <c r="M4857" s="2">
        <f t="shared" si="2415"/>
        <v>0.65739656598479912</v>
      </c>
      <c r="N4857" s="2">
        <f t="shared" si="2416"/>
        <v>0.34260343401520094</v>
      </c>
      <c r="O4857" s="5">
        <f t="shared" si="2417"/>
        <v>1752.9361238012846</v>
      </c>
    </row>
    <row r="4858" spans="1:15" x14ac:dyDescent="0.35">
      <c r="A4858" t="s">
        <v>38</v>
      </c>
      <c r="B4858" t="s">
        <v>26</v>
      </c>
      <c r="C4858">
        <v>2006</v>
      </c>
      <c r="D4858" t="s">
        <v>18</v>
      </c>
      <c r="E4858" s="3">
        <f t="shared" ref="E4858:F4858" si="2538">SUM(E58+E1018+E1978+E2938+E3898)</f>
        <v>3473116</v>
      </c>
      <c r="F4858" s="3">
        <f t="shared" si="2538"/>
        <v>1784686</v>
      </c>
      <c r="G4858" s="1">
        <f t="shared" si="2522"/>
        <v>5257802</v>
      </c>
      <c r="H4858" s="2">
        <f t="shared" si="2523"/>
        <v>0.6605642433853538</v>
      </c>
      <c r="I4858" s="2">
        <f t="shared" si="2524"/>
        <v>0.3394357566146462</v>
      </c>
      <c r="J4858" s="3">
        <f t="shared" ref="J4858:K4858" si="2539">SUM(J58+J1018+J1978+J2938+J3898)</f>
        <v>5728085.1100000003</v>
      </c>
      <c r="K4858" s="3">
        <f t="shared" si="2539"/>
        <v>3086575.6</v>
      </c>
      <c r="L4858" s="1">
        <f t="shared" si="2414"/>
        <v>8814660.7100000009</v>
      </c>
      <c r="M4858" s="2">
        <f t="shared" si="2415"/>
        <v>0.64983614213325747</v>
      </c>
      <c r="N4858" s="2">
        <f t="shared" si="2416"/>
        <v>0.35016385786674253</v>
      </c>
      <c r="O4858" s="5">
        <f t="shared" si="2417"/>
        <v>1676.4915662476449</v>
      </c>
    </row>
    <row r="4859" spans="1:15" x14ac:dyDescent="0.35">
      <c r="A4859" t="s">
        <v>38</v>
      </c>
      <c r="B4859" t="s">
        <v>27</v>
      </c>
      <c r="C4859">
        <v>2006</v>
      </c>
      <c r="D4859" t="s">
        <v>18</v>
      </c>
      <c r="E4859" s="3">
        <f t="shared" ref="E4859:F4859" si="2540">SUM(E59+E1019+E1979+E2939+E3899)</f>
        <v>3476664</v>
      </c>
      <c r="F4859" s="3">
        <f t="shared" si="2540"/>
        <v>1853740</v>
      </c>
      <c r="G4859" s="1">
        <f t="shared" si="2522"/>
        <v>5330404</v>
      </c>
      <c r="H4859" s="2">
        <f t="shared" si="2523"/>
        <v>0.65223273883180333</v>
      </c>
      <c r="I4859" s="2">
        <f t="shared" si="2524"/>
        <v>0.34776726116819662</v>
      </c>
      <c r="J4859" s="3">
        <f t="shared" ref="J4859:K4859" si="2541">SUM(J59+J1019+J1979+J2939+J3899)</f>
        <v>4105891.5</v>
      </c>
      <c r="K4859" s="3">
        <f t="shared" si="2541"/>
        <v>2340835.6599999997</v>
      </c>
      <c r="L4859" s="1">
        <f t="shared" si="2414"/>
        <v>6446727.1600000001</v>
      </c>
      <c r="M4859" s="2">
        <f t="shared" si="2415"/>
        <v>0.63689549721846761</v>
      </c>
      <c r="N4859" s="2">
        <f t="shared" si="2416"/>
        <v>0.36310450278153228</v>
      </c>
      <c r="O4859" s="5">
        <f t="shared" si="2417"/>
        <v>1209.4256195215221</v>
      </c>
    </row>
    <row r="4860" spans="1:15" x14ac:dyDescent="0.35">
      <c r="A4860" t="s">
        <v>38</v>
      </c>
      <c r="B4860" t="s">
        <v>28</v>
      </c>
      <c r="C4860">
        <v>2006</v>
      </c>
      <c r="D4860" t="s">
        <v>18</v>
      </c>
      <c r="E4860" s="3">
        <f t="shared" ref="E4860:F4860" si="2542">SUM(E60+E1020+E1980+E2940+E3900)</f>
        <v>3393802</v>
      </c>
      <c r="F4860" s="3">
        <f t="shared" si="2542"/>
        <v>1861974</v>
      </c>
      <c r="G4860" s="1">
        <f t="shared" si="2522"/>
        <v>5255776</v>
      </c>
      <c r="H4860" s="2">
        <f t="shared" si="2523"/>
        <v>0.64572805233708586</v>
      </c>
      <c r="I4860" s="2">
        <f t="shared" si="2524"/>
        <v>0.35427194766291409</v>
      </c>
      <c r="J4860" s="3">
        <f t="shared" ref="J4860:K4860" si="2543">SUM(J60+J1020+J1980+J2940+J3900)</f>
        <v>2865485.74</v>
      </c>
      <c r="K4860" s="3">
        <f t="shared" si="2543"/>
        <v>1691527.62</v>
      </c>
      <c r="L4860" s="1">
        <f t="shared" si="2414"/>
        <v>4557013.3600000003</v>
      </c>
      <c r="M4860" s="2">
        <f t="shared" si="2415"/>
        <v>0.6288078426875624</v>
      </c>
      <c r="N4860" s="2">
        <f t="shared" si="2416"/>
        <v>0.37119215731243765</v>
      </c>
      <c r="O4860" s="5">
        <f t="shared" si="2417"/>
        <v>867.04862612105239</v>
      </c>
    </row>
    <row r="4861" spans="1:15" x14ac:dyDescent="0.35">
      <c r="A4861" t="s">
        <v>38</v>
      </c>
      <c r="B4861" t="s">
        <v>29</v>
      </c>
      <c r="C4861">
        <v>2006</v>
      </c>
      <c r="D4861" t="s">
        <v>18</v>
      </c>
      <c r="E4861" s="3">
        <f t="shared" ref="E4861:F4861" si="2544">SUM(E61+E1021+E1981+E2941+E3901)</f>
        <v>3337467</v>
      </c>
      <c r="F4861" s="3">
        <f t="shared" si="2544"/>
        <v>1881775</v>
      </c>
      <c r="G4861" s="1">
        <f t="shared" si="2522"/>
        <v>5219242</v>
      </c>
      <c r="H4861" s="2">
        <f t="shared" si="2523"/>
        <v>0.63945434988452343</v>
      </c>
      <c r="I4861" s="2">
        <f t="shared" si="2524"/>
        <v>0.36054565011547651</v>
      </c>
      <c r="J4861" s="3">
        <f t="shared" ref="J4861:K4861" si="2545">SUM(J61+J1021+J1981+J2941+J3901)</f>
        <v>3106587.53</v>
      </c>
      <c r="K4861" s="3">
        <f t="shared" si="2545"/>
        <v>1873692.3</v>
      </c>
      <c r="L4861" s="1">
        <f t="shared" si="2414"/>
        <v>4980279.83</v>
      </c>
      <c r="M4861" s="2">
        <f t="shared" si="2415"/>
        <v>0.62377770648281017</v>
      </c>
      <c r="N4861" s="2">
        <f t="shared" si="2416"/>
        <v>0.37622229351718978</v>
      </c>
      <c r="O4861" s="5">
        <f t="shared" si="2417"/>
        <v>954.21515806318234</v>
      </c>
    </row>
    <row r="4862" spans="1:15" x14ac:dyDescent="0.35">
      <c r="A4862" t="s">
        <v>38</v>
      </c>
      <c r="B4862" t="s">
        <v>17</v>
      </c>
      <c r="C4862">
        <v>2007</v>
      </c>
      <c r="D4862" t="s">
        <v>18</v>
      </c>
      <c r="E4862" s="3">
        <f t="shared" ref="E4862:F4862" si="2546">SUM(E62+E1022+E1982+E2942+E3902)</f>
        <v>3362790</v>
      </c>
      <c r="F4862" s="3">
        <f t="shared" si="2546"/>
        <v>1942711</v>
      </c>
      <c r="G4862" s="1">
        <f>SUM(E4862:F4862)</f>
        <v>5305501</v>
      </c>
      <c r="H4862" s="2">
        <f>SUM(E4862)/G4862</f>
        <v>0.63383081070006397</v>
      </c>
      <c r="I4862" s="2">
        <f>SUM(F4862/G4862)</f>
        <v>0.36616918929993603</v>
      </c>
      <c r="J4862" s="3">
        <f t="shared" ref="J4862:K4862" si="2547">SUM(J62+J1022+J1982+J2942+J3902)</f>
        <v>3739551.7699999996</v>
      </c>
      <c r="K4862" s="3">
        <f t="shared" si="2547"/>
        <v>2316123.87</v>
      </c>
      <c r="L4862" s="1">
        <f t="shared" si="2414"/>
        <v>6055675.6399999997</v>
      </c>
      <c r="M4862" s="2">
        <f t="shared" si="2415"/>
        <v>0.6175284133943475</v>
      </c>
      <c r="N4862" s="2">
        <f t="shared" si="2416"/>
        <v>0.3824715866056525</v>
      </c>
      <c r="O4862" s="5">
        <f t="shared" si="2417"/>
        <v>1141.3956269162893</v>
      </c>
    </row>
    <row r="4863" spans="1:15" x14ac:dyDescent="0.35">
      <c r="A4863" t="s">
        <v>38</v>
      </c>
      <c r="B4863" t="s">
        <v>19</v>
      </c>
      <c r="C4863">
        <v>2007</v>
      </c>
      <c r="D4863" t="s">
        <v>18</v>
      </c>
      <c r="E4863" s="3">
        <f t="shared" ref="E4863:F4863" si="2548">SUM(E63+E1023+E1983+E2943+E3903)</f>
        <v>3321492</v>
      </c>
      <c r="F4863" s="3">
        <f t="shared" si="2548"/>
        <v>1954503</v>
      </c>
      <c r="G4863" s="1">
        <f t="shared" ref="G4863:G4873" si="2549">SUM(E4863:F4863)</f>
        <v>5275995</v>
      </c>
      <c r="H4863" s="2">
        <f t="shared" ref="H4863:H4873" si="2550">SUM(E4863)/G4863</f>
        <v>0.62954798099694942</v>
      </c>
      <c r="I4863" s="2">
        <f t="shared" ref="I4863:I4873" si="2551">SUM(F4863/G4863)</f>
        <v>0.37045201900305064</v>
      </c>
      <c r="J4863" s="3">
        <f t="shared" ref="J4863:K4863" si="2552">SUM(J63+J1023+J1983+J2943+J3903)</f>
        <v>3893582.4099999997</v>
      </c>
      <c r="K4863" s="3">
        <f t="shared" si="2552"/>
        <v>2452272.54</v>
      </c>
      <c r="L4863" s="1">
        <f t="shared" si="2414"/>
        <v>6345854.9499999993</v>
      </c>
      <c r="M4863" s="2">
        <f t="shared" si="2415"/>
        <v>0.61356309601750358</v>
      </c>
      <c r="N4863" s="2">
        <f t="shared" si="2416"/>
        <v>0.38643690398249653</v>
      </c>
      <c r="O4863" s="5">
        <f t="shared" si="2417"/>
        <v>1202.778802860882</v>
      </c>
    </row>
    <row r="4864" spans="1:15" x14ac:dyDescent="0.35">
      <c r="A4864" t="s">
        <v>38</v>
      </c>
      <c r="B4864" t="s">
        <v>20</v>
      </c>
      <c r="C4864">
        <v>2007</v>
      </c>
      <c r="D4864" t="s">
        <v>18</v>
      </c>
      <c r="E4864" s="3">
        <f t="shared" ref="E4864:F4864" si="2553">SUM(E64+E1024+E1984+E2944+E3904)</f>
        <v>3345372</v>
      </c>
      <c r="F4864" s="3">
        <f t="shared" si="2553"/>
        <v>2014807</v>
      </c>
      <c r="G4864" s="1">
        <f t="shared" si="2549"/>
        <v>5360179</v>
      </c>
      <c r="H4864" s="2">
        <f t="shared" si="2550"/>
        <v>0.62411572449352903</v>
      </c>
      <c r="I4864" s="2">
        <f t="shared" si="2551"/>
        <v>0.37588427550647097</v>
      </c>
      <c r="J4864" s="3">
        <f t="shared" ref="J4864:K4864" si="2554">SUM(J64+J1024+J1984+J2944+J3904)</f>
        <v>2966487.78</v>
      </c>
      <c r="K4864" s="3">
        <f t="shared" si="2554"/>
        <v>1899550.81</v>
      </c>
      <c r="L4864" s="1">
        <f t="shared" si="2414"/>
        <v>4866038.59</v>
      </c>
      <c r="M4864" s="2">
        <f t="shared" si="2415"/>
        <v>0.60963096061266542</v>
      </c>
      <c r="N4864" s="2">
        <f t="shared" si="2416"/>
        <v>0.39036903938733458</v>
      </c>
      <c r="O4864" s="5">
        <f t="shared" si="2417"/>
        <v>907.81270364291936</v>
      </c>
    </row>
    <row r="4865" spans="1:15" x14ac:dyDescent="0.35">
      <c r="A4865" t="s">
        <v>38</v>
      </c>
      <c r="B4865" t="s">
        <v>21</v>
      </c>
      <c r="C4865">
        <v>2007</v>
      </c>
      <c r="D4865" t="s">
        <v>18</v>
      </c>
      <c r="E4865" s="3">
        <f t="shared" ref="E4865:F4865" si="2555">SUM(E65+E1025+E1985+E2945+E3905)</f>
        <v>3276992</v>
      </c>
      <c r="F4865" s="3">
        <f t="shared" si="2555"/>
        <v>2022366</v>
      </c>
      <c r="G4865" s="1">
        <f t="shared" si="2549"/>
        <v>5299358</v>
      </c>
      <c r="H4865" s="2">
        <f t="shared" si="2550"/>
        <v>0.61837528243987294</v>
      </c>
      <c r="I4865" s="2">
        <f t="shared" si="2551"/>
        <v>0.38162471756012711</v>
      </c>
      <c r="J4865" s="3">
        <f t="shared" ref="J4865:K4865" si="2556">SUM(J65+J1025+J1985+J2945+J3905)</f>
        <v>2525050.3569999998</v>
      </c>
      <c r="K4865" s="3">
        <f t="shared" si="2556"/>
        <v>1668795.868</v>
      </c>
      <c r="L4865" s="1">
        <f t="shared" si="2414"/>
        <v>4193846.2249999996</v>
      </c>
      <c r="M4865" s="2">
        <f t="shared" si="2415"/>
        <v>0.60208463103579823</v>
      </c>
      <c r="N4865" s="2">
        <f t="shared" si="2416"/>
        <v>0.39791536896420188</v>
      </c>
      <c r="O4865" s="5">
        <f t="shared" si="2417"/>
        <v>791.38760298889031</v>
      </c>
    </row>
    <row r="4866" spans="1:15" x14ac:dyDescent="0.35">
      <c r="A4866" t="s">
        <v>38</v>
      </c>
      <c r="B4866" t="s">
        <v>22</v>
      </c>
      <c r="C4866">
        <v>2007</v>
      </c>
      <c r="D4866" t="s">
        <v>18</v>
      </c>
      <c r="E4866" s="3">
        <f t="shared" ref="E4866:F4866" si="2557">SUM(E66+E1026+E1986+E2946+E3906)</f>
        <v>3298032</v>
      </c>
      <c r="F4866" s="3">
        <f t="shared" si="2557"/>
        <v>2083800</v>
      </c>
      <c r="G4866" s="1">
        <f t="shared" si="2549"/>
        <v>5381832</v>
      </c>
      <c r="H4866" s="2">
        <f t="shared" si="2550"/>
        <v>0.61280842657295875</v>
      </c>
      <c r="I4866" s="2">
        <f t="shared" si="2551"/>
        <v>0.38719157342704119</v>
      </c>
      <c r="J4866" s="3">
        <f t="shared" ref="J4866:K4866" si="2558">SUM(J66+J1026+J1986+J2946+J3906)</f>
        <v>2795644.1300000004</v>
      </c>
      <c r="K4866" s="3">
        <f t="shared" si="2558"/>
        <v>1909238.5079999999</v>
      </c>
      <c r="L4866" s="1">
        <f t="shared" si="2414"/>
        <v>4704882.6380000003</v>
      </c>
      <c r="M4866" s="2">
        <f t="shared" si="2415"/>
        <v>0.59420060926076601</v>
      </c>
      <c r="N4866" s="2">
        <f t="shared" si="2416"/>
        <v>0.40579939073923393</v>
      </c>
      <c r="O4866" s="5">
        <f t="shared" si="2417"/>
        <v>874.21581312831768</v>
      </c>
    </row>
    <row r="4867" spans="1:15" x14ac:dyDescent="0.35">
      <c r="A4867" t="s">
        <v>38</v>
      </c>
      <c r="B4867" t="s">
        <v>23</v>
      </c>
      <c r="C4867">
        <v>2007</v>
      </c>
      <c r="D4867" t="s">
        <v>18</v>
      </c>
      <c r="E4867" s="3">
        <f t="shared" ref="E4867:F4867" si="2559">SUM(E67+E1027+E1987+E2947+E3907)</f>
        <v>3260466</v>
      </c>
      <c r="F4867" s="3">
        <f t="shared" si="2559"/>
        <v>2100857</v>
      </c>
      <c r="G4867" s="1">
        <f t="shared" si="2549"/>
        <v>5361323</v>
      </c>
      <c r="H4867" s="2">
        <f t="shared" si="2550"/>
        <v>0.60814578789601004</v>
      </c>
      <c r="I4867" s="2">
        <f t="shared" si="2551"/>
        <v>0.39185421210399002</v>
      </c>
      <c r="J4867" s="3">
        <f t="shared" ref="J4867:K4867" si="2560">SUM(J67+J1027+J1987+J2947+J3907)</f>
        <v>3635701.4</v>
      </c>
      <c r="K4867" s="3">
        <f t="shared" si="2560"/>
        <v>2527874.287</v>
      </c>
      <c r="L4867" s="1">
        <f t="shared" ref="L4867:L4930" si="2561">SUM(J4867:K4867)</f>
        <v>6163575.6869999999</v>
      </c>
      <c r="M4867" s="2">
        <f t="shared" ref="M4867:M4930" si="2562">SUM(J4867)/L4867</f>
        <v>0.58986886583842801</v>
      </c>
      <c r="N4867" s="2">
        <f t="shared" ref="N4867:N4930" si="2563">SUM(K4867/L4867)</f>
        <v>0.41013113416157193</v>
      </c>
      <c r="O4867" s="5">
        <f t="shared" ref="O4867:O4930" si="2564">SUM(1000*L4867)/G4867</f>
        <v>1149.6370740953305</v>
      </c>
    </row>
    <row r="4868" spans="1:15" x14ac:dyDescent="0.35">
      <c r="A4868" t="s">
        <v>38</v>
      </c>
      <c r="B4868" t="s">
        <v>24</v>
      </c>
      <c r="C4868">
        <v>2007</v>
      </c>
      <c r="D4868" t="s">
        <v>18</v>
      </c>
      <c r="E4868" s="3">
        <f t="shared" ref="E4868:F4868" si="2565">SUM(E68+E1028+E1988+E2948+E3908)</f>
        <v>3243533</v>
      </c>
      <c r="F4868" s="3">
        <f t="shared" si="2565"/>
        <v>2128549</v>
      </c>
      <c r="G4868" s="1">
        <f t="shared" si="2549"/>
        <v>5372082</v>
      </c>
      <c r="H4868" s="2">
        <f t="shared" si="2550"/>
        <v>0.60377578004207677</v>
      </c>
      <c r="I4868" s="2">
        <f t="shared" si="2551"/>
        <v>0.39622421995792323</v>
      </c>
      <c r="J4868" s="3">
        <f t="shared" ref="J4868:K4868" si="2566">SUM(J68+J1028+J1988+J2948+J3908)</f>
        <v>4415215.3600000003</v>
      </c>
      <c r="K4868" s="3">
        <f t="shared" si="2566"/>
        <v>3101081.83</v>
      </c>
      <c r="L4868" s="1">
        <f t="shared" si="2561"/>
        <v>7516297.1900000004</v>
      </c>
      <c r="M4868" s="2">
        <f t="shared" si="2562"/>
        <v>0.58741894424746666</v>
      </c>
      <c r="N4868" s="2">
        <f t="shared" si="2563"/>
        <v>0.41258105575253334</v>
      </c>
      <c r="O4868" s="5">
        <f t="shared" si="2564"/>
        <v>1399.1404431280089</v>
      </c>
    </row>
    <row r="4869" spans="1:15" x14ac:dyDescent="0.35">
      <c r="A4869" t="s">
        <v>38</v>
      </c>
      <c r="B4869" t="s">
        <v>25</v>
      </c>
      <c r="C4869">
        <v>2007</v>
      </c>
      <c r="D4869" t="s">
        <v>18</v>
      </c>
      <c r="E4869" s="3">
        <f t="shared" ref="E4869:F4869" si="2567">SUM(E69+E1029+E1989+E2949+E3909)</f>
        <v>3272526</v>
      </c>
      <c r="F4869" s="3">
        <f t="shared" si="2567"/>
        <v>2189132</v>
      </c>
      <c r="G4869" s="1">
        <f t="shared" si="2549"/>
        <v>5461658</v>
      </c>
      <c r="H4869" s="2">
        <f t="shared" si="2550"/>
        <v>0.59918178692257917</v>
      </c>
      <c r="I4869" s="2">
        <f t="shared" si="2551"/>
        <v>0.40081821307742083</v>
      </c>
      <c r="J4869" s="3">
        <f t="shared" ref="J4869:K4869" si="2568">SUM(J69+J1029+J1989+J2949+J3909)</f>
        <v>4696262.76</v>
      </c>
      <c r="K4869" s="3">
        <f t="shared" si="2568"/>
        <v>3333989.43</v>
      </c>
      <c r="L4869" s="1">
        <f t="shared" si="2561"/>
        <v>8030252.1899999995</v>
      </c>
      <c r="M4869" s="2">
        <f t="shared" si="2562"/>
        <v>0.58482132925391972</v>
      </c>
      <c r="N4869" s="2">
        <f t="shared" si="2563"/>
        <v>0.41517867074608034</v>
      </c>
      <c r="O4869" s="5">
        <f t="shared" si="2564"/>
        <v>1470.2956849366985</v>
      </c>
    </row>
    <row r="4870" spans="1:15" x14ac:dyDescent="0.35">
      <c r="A4870" t="s">
        <v>38</v>
      </c>
      <c r="B4870" t="s">
        <v>26</v>
      </c>
      <c r="C4870">
        <v>2007</v>
      </c>
      <c r="D4870" t="s">
        <v>18</v>
      </c>
      <c r="E4870" s="3">
        <f t="shared" ref="E4870:F4870" si="2569">SUM(E70+E1030+E1990+E2950+E3910)</f>
        <v>3167886</v>
      </c>
      <c r="F4870" s="3">
        <f t="shared" si="2569"/>
        <v>2146562</v>
      </c>
      <c r="G4870" s="1">
        <f t="shared" si="2549"/>
        <v>5314448</v>
      </c>
      <c r="H4870" s="2">
        <f t="shared" si="2550"/>
        <v>0.59608937748567681</v>
      </c>
      <c r="I4870" s="2">
        <f t="shared" si="2551"/>
        <v>0.40391062251432319</v>
      </c>
      <c r="J4870" s="3">
        <f t="shared" ref="J4870:K4870" si="2570">SUM(J70+J1030+J1990+J2950+J3910)</f>
        <v>4987019.54</v>
      </c>
      <c r="K4870" s="3">
        <f t="shared" si="2570"/>
        <v>3555451.2199999997</v>
      </c>
      <c r="L4870" s="1">
        <f t="shared" si="2561"/>
        <v>8542470.7599999998</v>
      </c>
      <c r="M4870" s="2">
        <f t="shared" si="2562"/>
        <v>0.58379123325205273</v>
      </c>
      <c r="N4870" s="2">
        <f t="shared" si="2563"/>
        <v>0.41620876674794727</v>
      </c>
      <c r="O4870" s="5">
        <f t="shared" si="2564"/>
        <v>1607.4050889198652</v>
      </c>
    </row>
    <row r="4871" spans="1:15" x14ac:dyDescent="0.35">
      <c r="A4871" t="s">
        <v>38</v>
      </c>
      <c r="B4871" t="s">
        <v>27</v>
      </c>
      <c r="C4871">
        <v>2007</v>
      </c>
      <c r="D4871" t="s">
        <v>18</v>
      </c>
      <c r="E4871" s="3">
        <f t="shared" ref="E4871:F4871" si="2571">SUM(E71+E1031+E1991+E2951+E3911)</f>
        <v>3195431</v>
      </c>
      <c r="F4871" s="3">
        <f t="shared" si="2571"/>
        <v>2211252</v>
      </c>
      <c r="G4871" s="1">
        <f t="shared" si="2549"/>
        <v>5406683</v>
      </c>
      <c r="H4871" s="2">
        <f t="shared" si="2550"/>
        <v>0.59101504563888807</v>
      </c>
      <c r="I4871" s="2">
        <f t="shared" si="2551"/>
        <v>0.40898495436111199</v>
      </c>
      <c r="J4871" s="3">
        <f t="shared" ref="J4871:K4871" si="2572">SUM(J71+J1031+J1991+J2951+J3911)</f>
        <v>4175901.8799999994</v>
      </c>
      <c r="K4871" s="3">
        <f t="shared" si="2572"/>
        <v>3069311.66</v>
      </c>
      <c r="L4871" s="1">
        <f t="shared" si="2561"/>
        <v>7245213.5399999991</v>
      </c>
      <c r="M4871" s="2">
        <f t="shared" si="2562"/>
        <v>0.57636698448504253</v>
      </c>
      <c r="N4871" s="2">
        <f t="shared" si="2563"/>
        <v>0.42363301551495758</v>
      </c>
      <c r="O4871" s="5">
        <f t="shared" si="2564"/>
        <v>1340.0477779074524</v>
      </c>
    </row>
    <row r="4872" spans="1:15" x14ac:dyDescent="0.35">
      <c r="A4872" t="s">
        <v>38</v>
      </c>
      <c r="B4872" t="s">
        <v>28</v>
      </c>
      <c r="C4872">
        <v>2007</v>
      </c>
      <c r="D4872" t="s">
        <v>18</v>
      </c>
      <c r="E4872" s="3">
        <f t="shared" ref="E4872:F4872" si="2573">SUM(E72+E1032+E1992+E2952+E3912)</f>
        <v>3177685</v>
      </c>
      <c r="F4872" s="3">
        <f t="shared" si="2573"/>
        <v>2233181</v>
      </c>
      <c r="G4872" s="1">
        <f t="shared" si="2549"/>
        <v>5410866</v>
      </c>
      <c r="H4872" s="2">
        <f t="shared" si="2550"/>
        <v>0.58727845043658444</v>
      </c>
      <c r="I4872" s="2">
        <f t="shared" si="2551"/>
        <v>0.41272154956341556</v>
      </c>
      <c r="J4872" s="3">
        <f t="shared" ref="J4872:K4872" si="2574">SUM(J72+J1032+J1992+J2952+J3912)</f>
        <v>2869108.27</v>
      </c>
      <c r="K4872" s="3">
        <f t="shared" si="2574"/>
        <v>2156620.16</v>
      </c>
      <c r="L4872" s="1">
        <f t="shared" si="2561"/>
        <v>5025728.43</v>
      </c>
      <c r="M4872" s="2">
        <f t="shared" si="2562"/>
        <v>0.57088406386494706</v>
      </c>
      <c r="N4872" s="2">
        <f t="shared" si="2563"/>
        <v>0.429115936135053</v>
      </c>
      <c r="O4872" s="5">
        <f t="shared" si="2564"/>
        <v>928.82145482811814</v>
      </c>
    </row>
    <row r="4873" spans="1:15" x14ac:dyDescent="0.35">
      <c r="A4873" t="s">
        <v>38</v>
      </c>
      <c r="B4873" t="s">
        <v>29</v>
      </c>
      <c r="C4873">
        <v>2007</v>
      </c>
      <c r="D4873" t="s">
        <v>18</v>
      </c>
      <c r="E4873" s="3">
        <f t="shared" ref="E4873:F4873" si="2575">SUM(E73+E1033+E1993+E2953+E3913)</f>
        <v>3160688</v>
      </c>
      <c r="F4873" s="3">
        <f t="shared" si="2575"/>
        <v>2258176</v>
      </c>
      <c r="G4873" s="1">
        <f t="shared" si="2549"/>
        <v>5418864</v>
      </c>
      <c r="H4873" s="2">
        <f t="shared" si="2550"/>
        <v>0.58327501852786856</v>
      </c>
      <c r="I4873" s="2">
        <f t="shared" si="2551"/>
        <v>0.41672498147213144</v>
      </c>
      <c r="J4873" s="3">
        <f t="shared" ref="J4873:K4873" si="2576">SUM(J73+J1033+J1993+J2953+J3913)</f>
        <v>2941869.83</v>
      </c>
      <c r="K4873" s="3">
        <f t="shared" si="2576"/>
        <v>2248968.91</v>
      </c>
      <c r="L4873" s="1">
        <f t="shared" si="2561"/>
        <v>5190838.74</v>
      </c>
      <c r="M4873" s="2">
        <f t="shared" si="2562"/>
        <v>0.5667426744218218</v>
      </c>
      <c r="N4873" s="2">
        <f t="shared" si="2563"/>
        <v>0.43325732557817814</v>
      </c>
      <c r="O4873" s="5">
        <f t="shared" si="2564"/>
        <v>957.92009912040601</v>
      </c>
    </row>
    <row r="4874" spans="1:15" x14ac:dyDescent="0.35">
      <c r="A4874" t="s">
        <v>38</v>
      </c>
      <c r="B4874" t="s">
        <v>17</v>
      </c>
      <c r="C4874">
        <v>2008</v>
      </c>
      <c r="D4874" t="s">
        <v>18</v>
      </c>
      <c r="E4874" s="3">
        <f t="shared" ref="E4874:F4874" si="2577">SUM(E74+E1034+E1994+E2954+E3914)</f>
        <v>3146734</v>
      </c>
      <c r="F4874" s="3">
        <f t="shared" si="2577"/>
        <v>2277377</v>
      </c>
      <c r="G4874" s="1">
        <f>SUM(E4874:F4874)</f>
        <v>5424111</v>
      </c>
      <c r="H4874" s="2">
        <f>SUM(E4874)/G4874</f>
        <v>0.58013820144904849</v>
      </c>
      <c r="I4874" s="2">
        <f>SUM(F4874/G4874)</f>
        <v>0.41986179855095146</v>
      </c>
      <c r="J4874" s="3">
        <f t="shared" ref="J4874:K4874" si="2578">SUM(J74+J1034+J1994+J2954+J3914)</f>
        <v>3643376.81</v>
      </c>
      <c r="K4874" s="3">
        <f t="shared" si="2578"/>
        <v>2789228.63</v>
      </c>
      <c r="L4874" s="1">
        <f t="shared" si="2561"/>
        <v>6432605.4399999995</v>
      </c>
      <c r="M4874" s="2">
        <f t="shared" si="2562"/>
        <v>0.56639208544399711</v>
      </c>
      <c r="N4874" s="2">
        <f t="shared" si="2563"/>
        <v>0.433607914556003</v>
      </c>
      <c r="O4874" s="5">
        <f t="shared" si="2564"/>
        <v>1185.9280608379879</v>
      </c>
    </row>
    <row r="4875" spans="1:15" x14ac:dyDescent="0.35">
      <c r="A4875" t="s">
        <v>38</v>
      </c>
      <c r="B4875" t="s">
        <v>19</v>
      </c>
      <c r="C4875">
        <v>2008</v>
      </c>
      <c r="D4875" t="s">
        <v>18</v>
      </c>
      <c r="E4875" s="3">
        <f t="shared" ref="E4875:F4875" si="2579">SUM(E75+E1035+E1995+E2955+E3915)</f>
        <v>3132759</v>
      </c>
      <c r="F4875" s="3">
        <f t="shared" si="2579"/>
        <v>2299617</v>
      </c>
      <c r="G4875" s="1">
        <f t="shared" ref="G4875:G4885" si="2580">SUM(E4875:F4875)</f>
        <v>5432376</v>
      </c>
      <c r="H4875" s="2">
        <f t="shared" ref="H4875:H4885" si="2581">SUM(E4875)/G4875</f>
        <v>0.5766830204683917</v>
      </c>
      <c r="I4875" s="2">
        <f t="shared" ref="I4875:I4885" si="2582">SUM(F4875/G4875)</f>
        <v>0.4233169795316083</v>
      </c>
      <c r="J4875" s="3">
        <f t="shared" ref="J4875:K4875" si="2583">SUM(J75+J1035+J1995+J2955+J3915)</f>
        <v>3244090.9499999997</v>
      </c>
      <c r="K4875" s="3">
        <f t="shared" si="2583"/>
        <v>2506644.4899999998</v>
      </c>
      <c r="L4875" s="1">
        <f t="shared" si="2561"/>
        <v>5750735.4399999995</v>
      </c>
      <c r="M4875" s="2">
        <f t="shared" si="2562"/>
        <v>0.56411757832490383</v>
      </c>
      <c r="N4875" s="2">
        <f t="shared" si="2563"/>
        <v>0.43588242167509622</v>
      </c>
      <c r="O4875" s="5">
        <f t="shared" si="2564"/>
        <v>1058.6040877877376</v>
      </c>
    </row>
    <row r="4876" spans="1:15" x14ac:dyDescent="0.35">
      <c r="A4876" t="s">
        <v>38</v>
      </c>
      <c r="B4876" t="s">
        <v>20</v>
      </c>
      <c r="C4876">
        <v>2008</v>
      </c>
      <c r="D4876" t="s">
        <v>18</v>
      </c>
      <c r="E4876" s="3">
        <f t="shared" ref="E4876:F4876" si="2584">SUM(E76+E1036+E1996+E2956+E3916)</f>
        <v>3118528</v>
      </c>
      <c r="F4876" s="3">
        <f t="shared" si="2584"/>
        <v>2324824</v>
      </c>
      <c r="G4876" s="1">
        <f t="shared" si="2580"/>
        <v>5443352</v>
      </c>
      <c r="H4876" s="2">
        <f t="shared" si="2581"/>
        <v>0.57290581244791816</v>
      </c>
      <c r="I4876" s="2">
        <f t="shared" si="2582"/>
        <v>0.42709418755208189</v>
      </c>
      <c r="J4876" s="3">
        <f t="shared" ref="J4876:K4876" si="2585">SUM(J76+J1036+J1996+J2956+J3916)</f>
        <v>2669332.4099999997</v>
      </c>
      <c r="K4876" s="3">
        <f t="shared" si="2585"/>
        <v>2087290.3499999999</v>
      </c>
      <c r="L4876" s="1">
        <f t="shared" si="2561"/>
        <v>4756622.76</v>
      </c>
      <c r="M4876" s="2">
        <f t="shared" si="2562"/>
        <v>0.56118228093413058</v>
      </c>
      <c r="N4876" s="2">
        <f t="shared" si="2563"/>
        <v>0.4388177190658693</v>
      </c>
      <c r="O4876" s="5">
        <f t="shared" si="2564"/>
        <v>873.84074371820896</v>
      </c>
    </row>
    <row r="4877" spans="1:15" x14ac:dyDescent="0.35">
      <c r="A4877" t="s">
        <v>38</v>
      </c>
      <c r="B4877" t="s">
        <v>21</v>
      </c>
      <c r="C4877">
        <v>2008</v>
      </c>
      <c r="D4877" t="s">
        <v>18</v>
      </c>
      <c r="E4877" s="3">
        <f t="shared" ref="E4877:F4877" si="2586">SUM(E77+E1037+E1997+E2957+E3917)</f>
        <v>3098801</v>
      </c>
      <c r="F4877" s="3">
        <f t="shared" si="2586"/>
        <v>2353777</v>
      </c>
      <c r="G4877" s="1">
        <f t="shared" si="2580"/>
        <v>5452578</v>
      </c>
      <c r="H4877" s="2">
        <f t="shared" si="2581"/>
        <v>0.56831850915291815</v>
      </c>
      <c r="I4877" s="2">
        <f t="shared" si="2582"/>
        <v>0.43168149084708185</v>
      </c>
      <c r="J4877" s="3">
        <f t="shared" ref="J4877:K4877" si="2587">SUM(J77+J1037+J1997+J2957+J3917)</f>
        <v>2488414.6799999997</v>
      </c>
      <c r="K4877" s="3">
        <f t="shared" si="2587"/>
        <v>2013964.3499999999</v>
      </c>
      <c r="L4877" s="1">
        <f t="shared" si="2561"/>
        <v>4502379.0299999993</v>
      </c>
      <c r="M4877" s="2">
        <f t="shared" si="2562"/>
        <v>0.55268884814435537</v>
      </c>
      <c r="N4877" s="2">
        <f t="shared" si="2563"/>
        <v>0.44731115185564468</v>
      </c>
      <c r="O4877" s="5">
        <f t="shared" si="2564"/>
        <v>825.73399775298935</v>
      </c>
    </row>
    <row r="4878" spans="1:15" x14ac:dyDescent="0.35">
      <c r="A4878" t="s">
        <v>38</v>
      </c>
      <c r="B4878" t="s">
        <v>22</v>
      </c>
      <c r="C4878">
        <v>2008</v>
      </c>
      <c r="D4878" t="s">
        <v>18</v>
      </c>
      <c r="E4878" s="3">
        <f t="shared" ref="E4878:F4878" si="2588">SUM(E78+E1038+E1998+E2958+E3918)</f>
        <v>3083991</v>
      </c>
      <c r="F4878" s="3">
        <f t="shared" si="2588"/>
        <v>2413988</v>
      </c>
      <c r="G4878" s="1">
        <f t="shared" si="2580"/>
        <v>5497979</v>
      </c>
      <c r="H4878" s="2">
        <f t="shared" si="2581"/>
        <v>0.56093175328607114</v>
      </c>
      <c r="I4878" s="2">
        <f t="shared" si="2582"/>
        <v>0.43906824671392886</v>
      </c>
      <c r="J4878" s="3">
        <f t="shared" ref="J4878:K4878" si="2589">SUM(J78+J1038+J1998+J2958+J3918)</f>
        <v>2563735.2799999998</v>
      </c>
      <c r="K4878" s="3">
        <f t="shared" si="2589"/>
        <v>2135797.15</v>
      </c>
      <c r="L4878" s="1">
        <f t="shared" si="2561"/>
        <v>4699532.43</v>
      </c>
      <c r="M4878" s="2">
        <f t="shared" si="2562"/>
        <v>0.5455298624250583</v>
      </c>
      <c r="N4878" s="2">
        <f t="shared" si="2563"/>
        <v>0.4544701375749417</v>
      </c>
      <c r="O4878" s="5">
        <f t="shared" si="2564"/>
        <v>854.77453260552647</v>
      </c>
    </row>
    <row r="4879" spans="1:15" x14ac:dyDescent="0.35">
      <c r="A4879" t="s">
        <v>38</v>
      </c>
      <c r="B4879" t="s">
        <v>23</v>
      </c>
      <c r="C4879">
        <v>2008</v>
      </c>
      <c r="D4879" t="s">
        <v>18</v>
      </c>
      <c r="E4879" s="3">
        <f t="shared" ref="E4879:F4879" si="2590">SUM(E79+E1039+E1999+E2959+E3919)</f>
        <v>3079072</v>
      </c>
      <c r="F4879" s="3">
        <f t="shared" si="2590"/>
        <v>2404941</v>
      </c>
      <c r="G4879" s="1">
        <f t="shared" si="2580"/>
        <v>5484013</v>
      </c>
      <c r="H4879" s="2">
        <f t="shared" si="2581"/>
        <v>0.56146329339481871</v>
      </c>
      <c r="I4879" s="2">
        <f t="shared" si="2582"/>
        <v>0.43853670660518129</v>
      </c>
      <c r="J4879" s="3">
        <f t="shared" ref="J4879:K4879" si="2591">SUM(J79+J1039+J1999+J2959+J3919)</f>
        <v>4109751.1</v>
      </c>
      <c r="K4879" s="3">
        <f t="shared" si="2591"/>
        <v>3385946</v>
      </c>
      <c r="L4879" s="1">
        <f t="shared" si="2561"/>
        <v>7495697.0999999996</v>
      </c>
      <c r="M4879" s="2">
        <f t="shared" si="2562"/>
        <v>0.54828137332283611</v>
      </c>
      <c r="N4879" s="2">
        <f t="shared" si="2563"/>
        <v>0.45171862667716389</v>
      </c>
      <c r="O4879" s="5">
        <f t="shared" si="2564"/>
        <v>1366.8270115333426</v>
      </c>
    </row>
    <row r="4880" spans="1:15" x14ac:dyDescent="0.35">
      <c r="A4880" t="s">
        <v>38</v>
      </c>
      <c r="B4880" t="s">
        <v>24</v>
      </c>
      <c r="C4880">
        <v>2008</v>
      </c>
      <c r="D4880" t="s">
        <v>18</v>
      </c>
      <c r="E4880" s="3">
        <f t="shared" ref="E4880:F4880" si="2592">SUM(E80+E1040+E2000+E2960+E3920)</f>
        <v>3076728</v>
      </c>
      <c r="F4880" s="3">
        <f t="shared" si="2592"/>
        <v>2411252</v>
      </c>
      <c r="G4880" s="1">
        <f t="shared" si="2580"/>
        <v>5487980</v>
      </c>
      <c r="H4880" s="2">
        <f t="shared" si="2581"/>
        <v>0.56063032299680393</v>
      </c>
      <c r="I4880" s="2">
        <f t="shared" si="2582"/>
        <v>0.43936967700319607</v>
      </c>
      <c r="J4880" s="3">
        <f t="shared" ref="J4880:K4880" si="2593">SUM(J80+J1040+J2000+J2960+J3920)</f>
        <v>4832038.3489999995</v>
      </c>
      <c r="K4880" s="3">
        <f t="shared" si="2593"/>
        <v>3926361.3390000002</v>
      </c>
      <c r="L4880" s="1">
        <f t="shared" si="2561"/>
        <v>8758399.6879999992</v>
      </c>
      <c r="M4880" s="2">
        <f t="shared" si="2562"/>
        <v>0.55170333863850041</v>
      </c>
      <c r="N4880" s="2">
        <f t="shared" si="2563"/>
        <v>0.4482966613614997</v>
      </c>
      <c r="O4880" s="5">
        <f t="shared" si="2564"/>
        <v>1595.9241265456508</v>
      </c>
    </row>
    <row r="4881" spans="1:15" x14ac:dyDescent="0.35">
      <c r="A4881" t="s">
        <v>38</v>
      </c>
      <c r="B4881" t="s">
        <v>25</v>
      </c>
      <c r="C4881">
        <v>2008</v>
      </c>
      <c r="D4881" t="s">
        <v>18</v>
      </c>
      <c r="E4881" s="3">
        <f t="shared" ref="E4881:F4881" si="2594">SUM(E81+E1041+E2001+E2961+E3921)</f>
        <v>3074078</v>
      </c>
      <c r="F4881" s="3">
        <f t="shared" si="2594"/>
        <v>2422160</v>
      </c>
      <c r="G4881" s="1">
        <f t="shared" si="2580"/>
        <v>5496238</v>
      </c>
      <c r="H4881" s="2">
        <f t="shared" si="2581"/>
        <v>0.55930583792041033</v>
      </c>
      <c r="I4881" s="2">
        <f t="shared" si="2582"/>
        <v>0.44069416207958972</v>
      </c>
      <c r="J4881" s="3">
        <f t="shared" ref="J4881:K4881" si="2595">SUM(J81+J1041+J2001+J2961+J3921)</f>
        <v>5024802.7929999996</v>
      </c>
      <c r="K4881" s="3">
        <f t="shared" si="2595"/>
        <v>4073209.6379999998</v>
      </c>
      <c r="L4881" s="1">
        <f t="shared" si="2561"/>
        <v>9098012.4309999999</v>
      </c>
      <c r="M4881" s="2">
        <f t="shared" si="2562"/>
        <v>0.5522967605406649</v>
      </c>
      <c r="N4881" s="2">
        <f t="shared" si="2563"/>
        <v>0.44770323945933505</v>
      </c>
      <c r="O4881" s="5">
        <f t="shared" si="2564"/>
        <v>1655.3163147229068</v>
      </c>
    </row>
    <row r="4882" spans="1:15" x14ac:dyDescent="0.35">
      <c r="A4882" t="s">
        <v>38</v>
      </c>
      <c r="B4882" t="s">
        <v>26</v>
      </c>
      <c r="C4882">
        <v>2008</v>
      </c>
      <c r="D4882" t="s">
        <v>18</v>
      </c>
      <c r="E4882" s="3">
        <f t="shared" ref="E4882:F4882" si="2596">SUM(E82+E1042+E2002+E2962+E3922)</f>
        <v>3058711</v>
      </c>
      <c r="F4882" s="3">
        <f t="shared" si="2596"/>
        <v>2432268</v>
      </c>
      <c r="G4882" s="1">
        <f t="shared" si="2580"/>
        <v>5490979</v>
      </c>
      <c r="H4882" s="2">
        <f t="shared" si="2581"/>
        <v>0.55704292440382674</v>
      </c>
      <c r="I4882" s="2">
        <f t="shared" si="2582"/>
        <v>0.44295707559617331</v>
      </c>
      <c r="J4882" s="3">
        <f t="shared" ref="J4882:K4882" si="2597">SUM(J82+J1042+J2002+J2962+J3922)</f>
        <v>4471304.8090000004</v>
      </c>
      <c r="K4882" s="3">
        <f t="shared" si="2597"/>
        <v>3663558.9280000003</v>
      </c>
      <c r="L4882" s="1">
        <f t="shared" si="2561"/>
        <v>8134863.7370000007</v>
      </c>
      <c r="M4882" s="2">
        <f t="shared" si="2562"/>
        <v>0.54964716724916418</v>
      </c>
      <c r="N4882" s="2">
        <f t="shared" si="2563"/>
        <v>0.45035283275083576</v>
      </c>
      <c r="O4882" s="5">
        <f t="shared" si="2564"/>
        <v>1481.4960568962294</v>
      </c>
    </row>
    <row r="4883" spans="1:15" x14ac:dyDescent="0.35">
      <c r="A4883" t="s">
        <v>38</v>
      </c>
      <c r="B4883" t="s">
        <v>27</v>
      </c>
      <c r="C4883">
        <v>2008</v>
      </c>
      <c r="D4883" t="s">
        <v>18</v>
      </c>
      <c r="E4883" s="3">
        <f t="shared" ref="E4883:F4883" si="2598">SUM(E83+E1043+E2003+E2963+E3923)</f>
        <v>3031074</v>
      </c>
      <c r="F4883" s="3">
        <f t="shared" si="2598"/>
        <v>2434302</v>
      </c>
      <c r="G4883" s="1">
        <f t="shared" si="2580"/>
        <v>5465376</v>
      </c>
      <c r="H4883" s="2">
        <f t="shared" si="2581"/>
        <v>0.55459569478842807</v>
      </c>
      <c r="I4883" s="2">
        <f t="shared" si="2582"/>
        <v>0.44540430521157193</v>
      </c>
      <c r="J4883" s="3">
        <f t="shared" ref="J4883:K4883" si="2599">SUM(J83+J1043+J2003+J2963+J3923)</f>
        <v>2791748.06</v>
      </c>
      <c r="K4883" s="3">
        <f t="shared" si="2599"/>
        <v>2357285.6300000004</v>
      </c>
      <c r="L4883" s="1">
        <f t="shared" si="2561"/>
        <v>5149033.6900000004</v>
      </c>
      <c r="M4883" s="2">
        <f t="shared" si="2562"/>
        <v>0.54218873444582183</v>
      </c>
      <c r="N4883" s="2">
        <f t="shared" si="2563"/>
        <v>0.45781126555417823</v>
      </c>
      <c r="O4883" s="5">
        <f t="shared" si="2564"/>
        <v>942.11883866727555</v>
      </c>
    </row>
    <row r="4884" spans="1:15" x14ac:dyDescent="0.35">
      <c r="A4884" t="s">
        <v>38</v>
      </c>
      <c r="B4884" t="s">
        <v>28</v>
      </c>
      <c r="C4884">
        <v>2008</v>
      </c>
      <c r="D4884" t="s">
        <v>18</v>
      </c>
      <c r="E4884" s="3">
        <f t="shared" ref="E4884:F4884" si="2600">SUM(E84+E1044+E2004+E2964+E3924)</f>
        <v>2996629</v>
      </c>
      <c r="F4884" s="3">
        <f t="shared" si="2600"/>
        <v>2445811</v>
      </c>
      <c r="G4884" s="1">
        <f t="shared" si="2580"/>
        <v>5442440</v>
      </c>
      <c r="H4884" s="2">
        <f t="shared" si="2581"/>
        <v>0.55060395704867671</v>
      </c>
      <c r="I4884" s="2">
        <f t="shared" si="2582"/>
        <v>0.44939604295132329</v>
      </c>
      <c r="J4884" s="3">
        <f t="shared" ref="J4884:K4884" si="2601">SUM(J84+J1044+J2004+J2964+J3924)</f>
        <v>2753649</v>
      </c>
      <c r="K4884" s="3">
        <f t="shared" si="2601"/>
        <v>2370018.2000000002</v>
      </c>
      <c r="L4884" s="1">
        <f t="shared" si="2561"/>
        <v>5123667.2</v>
      </c>
      <c r="M4884" s="2">
        <f t="shared" si="2562"/>
        <v>0.5374371309674445</v>
      </c>
      <c r="N4884" s="2">
        <f t="shared" si="2563"/>
        <v>0.46256286903255545</v>
      </c>
      <c r="O4884" s="5">
        <f t="shared" si="2564"/>
        <v>941.42832994024741</v>
      </c>
    </row>
    <row r="4885" spans="1:15" x14ac:dyDescent="0.35">
      <c r="A4885" t="s">
        <v>38</v>
      </c>
      <c r="B4885" t="s">
        <v>29</v>
      </c>
      <c r="C4885">
        <v>2008</v>
      </c>
      <c r="D4885" t="s">
        <v>18</v>
      </c>
      <c r="E4885" s="3">
        <f t="shared" ref="E4885:F4885" si="2602">SUM(E85+E1045+E2005+E2965+E3925)</f>
        <v>3011101</v>
      </c>
      <c r="F4885" s="3">
        <f t="shared" si="2602"/>
        <v>2477586</v>
      </c>
      <c r="G4885" s="1">
        <f t="shared" si="2580"/>
        <v>5488687</v>
      </c>
      <c r="H4885" s="2">
        <f t="shared" si="2581"/>
        <v>0.54860133215831031</v>
      </c>
      <c r="I4885" s="2">
        <f t="shared" si="2582"/>
        <v>0.45139866784168964</v>
      </c>
      <c r="J4885" s="3">
        <f t="shared" ref="J4885:K4885" si="2603">SUM(J85+J1045+J2005+J2965+J3925)</f>
        <v>2783324.86</v>
      </c>
      <c r="K4885" s="3">
        <f t="shared" si="2603"/>
        <v>2375982.41</v>
      </c>
      <c r="L4885" s="1">
        <f t="shared" si="2561"/>
        <v>5159307.2699999996</v>
      </c>
      <c r="M4885" s="2">
        <f t="shared" si="2562"/>
        <v>0.53947646735140087</v>
      </c>
      <c r="N4885" s="2">
        <f t="shared" si="2563"/>
        <v>0.46052353264859924</v>
      </c>
      <c r="O4885" s="5">
        <f t="shared" si="2564"/>
        <v>939.98933989130728</v>
      </c>
    </row>
    <row r="4886" spans="1:15" x14ac:dyDescent="0.35">
      <c r="A4886" t="s">
        <v>38</v>
      </c>
      <c r="B4886" t="s">
        <v>17</v>
      </c>
      <c r="C4886">
        <v>2009</v>
      </c>
      <c r="D4886" t="s">
        <v>18</v>
      </c>
      <c r="E4886" s="3">
        <f t="shared" ref="E4886:F4886" si="2604">SUM(E86+E1046+E2006+E2966+E3926)</f>
        <v>3006077</v>
      </c>
      <c r="F4886" s="3">
        <f t="shared" si="2604"/>
        <v>2481114</v>
      </c>
      <c r="G4886" s="1">
        <f>SUM(E4886:F4886)</f>
        <v>5487191</v>
      </c>
      <c r="H4886" s="2">
        <f>SUM(E4886)/G4886</f>
        <v>0.54783531318665601</v>
      </c>
      <c r="I4886" s="2">
        <f>SUM(F4886/G4886)</f>
        <v>0.45216468681334404</v>
      </c>
      <c r="J4886" s="3">
        <f t="shared" ref="J4886:K4886" si="2605">SUM(J86+J1046+J2006+J2966+J3926)</f>
        <v>3488061.5799999996</v>
      </c>
      <c r="K4886" s="3">
        <f t="shared" si="2605"/>
        <v>2976206.6100000003</v>
      </c>
      <c r="L4886" s="1">
        <f t="shared" si="2561"/>
        <v>6464268.1899999995</v>
      </c>
      <c r="M4886" s="2">
        <f t="shared" si="2562"/>
        <v>0.53959109948376072</v>
      </c>
      <c r="N4886" s="2">
        <f t="shared" si="2563"/>
        <v>0.46040890051623934</v>
      </c>
      <c r="O4886" s="5">
        <f t="shared" si="2564"/>
        <v>1178.0650956017384</v>
      </c>
    </row>
    <row r="4887" spans="1:15" x14ac:dyDescent="0.35">
      <c r="A4887" t="s">
        <v>38</v>
      </c>
      <c r="B4887" t="s">
        <v>19</v>
      </c>
      <c r="C4887">
        <v>2009</v>
      </c>
      <c r="D4887" t="s">
        <v>18</v>
      </c>
      <c r="E4887" s="3">
        <f t="shared" ref="E4887:F4887" si="2606">SUM(E87+E1047+E2007+E2967+E3927)</f>
        <v>2995464</v>
      </c>
      <c r="F4887" s="3">
        <f t="shared" si="2606"/>
        <v>2496898</v>
      </c>
      <c r="G4887" s="1">
        <f t="shared" ref="G4887:G4897" si="2607">SUM(E4887:F4887)</f>
        <v>5492362</v>
      </c>
      <c r="H4887" s="2">
        <f t="shared" ref="H4887:H4897" si="2608">SUM(E4887)/G4887</f>
        <v>0.54538721227770492</v>
      </c>
      <c r="I4887" s="2">
        <f t="shared" ref="I4887:I4897" si="2609">SUM(F4887/G4887)</f>
        <v>0.45461278772229508</v>
      </c>
      <c r="J4887" s="3">
        <f t="shared" ref="J4887:K4887" si="2610">SUM(J87+J1047+J2007+J2967+J3927)</f>
        <v>2852102.4299999997</v>
      </c>
      <c r="K4887" s="3">
        <f t="shared" si="2610"/>
        <v>2442887.8000000003</v>
      </c>
      <c r="L4887" s="1">
        <f t="shared" si="2561"/>
        <v>5294990.2300000004</v>
      </c>
      <c r="M4887" s="2">
        <f t="shared" si="2562"/>
        <v>0.53864167942005803</v>
      </c>
      <c r="N4887" s="2">
        <f t="shared" si="2563"/>
        <v>0.46135832057994186</v>
      </c>
      <c r="O4887" s="5">
        <f t="shared" si="2564"/>
        <v>964.06431877578359</v>
      </c>
    </row>
    <row r="4888" spans="1:15" x14ac:dyDescent="0.35">
      <c r="A4888" t="s">
        <v>38</v>
      </c>
      <c r="B4888" t="s">
        <v>20</v>
      </c>
      <c r="C4888">
        <v>2009</v>
      </c>
      <c r="D4888" t="s">
        <v>18</v>
      </c>
      <c r="E4888" s="3">
        <f t="shared" ref="E4888:F4888" si="2611">SUM(E88+E1048+E2008+E2968+E3928)</f>
        <v>2989082</v>
      </c>
      <c r="F4888" s="3">
        <f t="shared" si="2611"/>
        <v>2518828</v>
      </c>
      <c r="G4888" s="1">
        <f t="shared" si="2607"/>
        <v>5507910</v>
      </c>
      <c r="H4888" s="2">
        <f t="shared" si="2608"/>
        <v>0.54268896913711373</v>
      </c>
      <c r="I4888" s="2">
        <f t="shared" si="2609"/>
        <v>0.45731103086288627</v>
      </c>
      <c r="J4888" s="3">
        <f t="shared" ref="J4888:K4888" si="2612">SUM(J88+J1048+J2008+J2968+J3928)</f>
        <v>2400490.4899999998</v>
      </c>
      <c r="K4888" s="3">
        <f t="shared" si="2612"/>
        <v>2098830.0699999998</v>
      </c>
      <c r="L4888" s="1">
        <f t="shared" si="2561"/>
        <v>4499320.5599999996</v>
      </c>
      <c r="M4888" s="2">
        <f t="shared" si="2562"/>
        <v>0.53352288595325159</v>
      </c>
      <c r="N4888" s="2">
        <f t="shared" si="2563"/>
        <v>0.46647711404674841</v>
      </c>
      <c r="O4888" s="5">
        <f t="shared" si="2564"/>
        <v>816.88345670136221</v>
      </c>
    </row>
    <row r="4889" spans="1:15" x14ac:dyDescent="0.35">
      <c r="A4889" t="s">
        <v>38</v>
      </c>
      <c r="B4889" t="s">
        <v>21</v>
      </c>
      <c r="C4889">
        <v>2009</v>
      </c>
      <c r="D4889" t="s">
        <v>18</v>
      </c>
      <c r="E4889" s="3">
        <f t="shared" ref="E4889:F4889" si="2613">SUM(E89+E1049+E2009+E2969+E3929)</f>
        <v>2975166</v>
      </c>
      <c r="F4889" s="3">
        <f t="shared" si="2613"/>
        <v>2541108</v>
      </c>
      <c r="G4889" s="1">
        <f t="shared" si="2607"/>
        <v>5516274</v>
      </c>
      <c r="H4889" s="2">
        <f t="shared" si="2608"/>
        <v>0.53934340462420827</v>
      </c>
      <c r="I4889" s="2">
        <f t="shared" si="2609"/>
        <v>0.46065659537579168</v>
      </c>
      <c r="J4889" s="3">
        <f t="shared" ref="J4889:K4889" si="2614">SUM(J89+J1049+J2009+J2969+J3929)</f>
        <v>2392520.2200000002</v>
      </c>
      <c r="K4889" s="3">
        <f t="shared" si="2614"/>
        <v>2129828.25</v>
      </c>
      <c r="L4889" s="1">
        <f t="shared" si="2561"/>
        <v>4522348.4700000007</v>
      </c>
      <c r="M4889" s="2">
        <f t="shared" si="2562"/>
        <v>0.52904375588730335</v>
      </c>
      <c r="N4889" s="2">
        <f t="shared" si="2563"/>
        <v>0.47095624411269654</v>
      </c>
      <c r="O4889" s="5">
        <f t="shared" si="2564"/>
        <v>819.81940527247218</v>
      </c>
    </row>
    <row r="4890" spans="1:15" x14ac:dyDescent="0.35">
      <c r="A4890" t="s">
        <v>38</v>
      </c>
      <c r="B4890" t="s">
        <v>22</v>
      </c>
      <c r="C4890">
        <v>2009</v>
      </c>
      <c r="D4890" t="s">
        <v>18</v>
      </c>
      <c r="E4890" s="3">
        <f t="shared" ref="E4890:F4890" si="2615">SUM(E90+E1050+E2010+E2970+E3930)</f>
        <v>2959214</v>
      </c>
      <c r="F4890" s="3">
        <f t="shared" si="2615"/>
        <v>2564262</v>
      </c>
      <c r="G4890" s="1">
        <f t="shared" si="2607"/>
        <v>5523476</v>
      </c>
      <c r="H4890" s="2">
        <f t="shared" si="2608"/>
        <v>0.53575212420584428</v>
      </c>
      <c r="I4890" s="2">
        <f t="shared" si="2609"/>
        <v>0.46424787579415572</v>
      </c>
      <c r="J4890" s="3">
        <f t="shared" ref="J4890:K4890" si="2616">SUM(J90+J1050+J2010+J2970+J3930)</f>
        <v>2577052.59</v>
      </c>
      <c r="K4890" s="3">
        <f t="shared" si="2616"/>
        <v>2395847.48</v>
      </c>
      <c r="L4890" s="1">
        <f t="shared" si="2561"/>
        <v>4972900.07</v>
      </c>
      <c r="M4890" s="2">
        <f t="shared" si="2562"/>
        <v>0.51821925912941169</v>
      </c>
      <c r="N4890" s="2">
        <f t="shared" si="2563"/>
        <v>0.4817807408705882</v>
      </c>
      <c r="O4890" s="5">
        <f t="shared" si="2564"/>
        <v>900.32075272889756</v>
      </c>
    </row>
    <row r="4891" spans="1:15" x14ac:dyDescent="0.35">
      <c r="A4891" t="s">
        <v>38</v>
      </c>
      <c r="B4891" t="s">
        <v>23</v>
      </c>
      <c r="C4891">
        <v>2009</v>
      </c>
      <c r="D4891" t="s">
        <v>18</v>
      </c>
      <c r="E4891" s="3">
        <f t="shared" ref="E4891:F4891" si="2617">SUM(E91+E1051+E2011+E2971+E3931)</f>
        <v>2942747</v>
      </c>
      <c r="F4891" s="3">
        <f t="shared" si="2617"/>
        <v>2591496</v>
      </c>
      <c r="G4891" s="1">
        <f t="shared" si="2607"/>
        <v>5534243</v>
      </c>
      <c r="H4891" s="2">
        <f t="shared" si="2608"/>
        <v>0.53173433114519908</v>
      </c>
      <c r="I4891" s="2">
        <f t="shared" si="2609"/>
        <v>0.46826566885480092</v>
      </c>
      <c r="J4891" s="3">
        <f t="shared" ref="J4891:K4891" si="2618">SUM(J91+J1051+J2011+J2971+J3931)</f>
        <v>3567041.6399999997</v>
      </c>
      <c r="K4891" s="3">
        <f t="shared" si="2618"/>
        <v>3285569.59</v>
      </c>
      <c r="L4891" s="1">
        <f t="shared" si="2561"/>
        <v>6852611.2299999995</v>
      </c>
      <c r="M4891" s="2">
        <f t="shared" si="2562"/>
        <v>0.52053757615547669</v>
      </c>
      <c r="N4891" s="2">
        <f t="shared" si="2563"/>
        <v>0.47946242384452331</v>
      </c>
      <c r="O4891" s="5">
        <f t="shared" si="2564"/>
        <v>1238.2201558551005</v>
      </c>
    </row>
    <row r="4892" spans="1:15" x14ac:dyDescent="0.35">
      <c r="A4892" t="s">
        <v>38</v>
      </c>
      <c r="B4892" t="s">
        <v>24</v>
      </c>
      <c r="C4892">
        <v>2009</v>
      </c>
      <c r="D4892" t="s">
        <v>18</v>
      </c>
      <c r="E4892" s="3">
        <f t="shared" ref="E4892:F4892" si="2619">SUM(E92+E1052+E2012+E2972+E3932)</f>
        <v>2923685</v>
      </c>
      <c r="F4892" s="3">
        <f t="shared" si="2619"/>
        <v>2616963</v>
      </c>
      <c r="G4892" s="1">
        <f t="shared" si="2607"/>
        <v>5540648</v>
      </c>
      <c r="H4892" s="2">
        <f t="shared" si="2608"/>
        <v>0.5276792534014072</v>
      </c>
      <c r="I4892" s="2">
        <f t="shared" si="2609"/>
        <v>0.4723207465985928</v>
      </c>
      <c r="J4892" s="3">
        <f t="shared" ref="J4892:K4892" si="2620">SUM(J92+J1052+J2012+J2972+J3932)</f>
        <v>5013370.4799999995</v>
      </c>
      <c r="K4892" s="3">
        <f t="shared" si="2620"/>
        <v>4553318.9300000006</v>
      </c>
      <c r="L4892" s="1">
        <f t="shared" si="2561"/>
        <v>9566689.4100000001</v>
      </c>
      <c r="M4892" s="2">
        <f t="shared" si="2562"/>
        <v>0.52404444893544411</v>
      </c>
      <c r="N4892" s="2">
        <f t="shared" si="2563"/>
        <v>0.47595555106455584</v>
      </c>
      <c r="O4892" s="5">
        <f t="shared" si="2564"/>
        <v>1726.6372832203019</v>
      </c>
    </row>
    <row r="4893" spans="1:15" x14ac:dyDescent="0.35">
      <c r="A4893" t="s">
        <v>38</v>
      </c>
      <c r="B4893" t="s">
        <v>25</v>
      </c>
      <c r="C4893">
        <v>2009</v>
      </c>
      <c r="D4893" t="s">
        <v>18</v>
      </c>
      <c r="E4893" s="3">
        <f t="shared" ref="E4893:F4893" si="2621">SUM(E93+E1053+E2013+E2973+E3933)</f>
        <v>2900788</v>
      </c>
      <c r="F4893" s="3">
        <f t="shared" si="2621"/>
        <v>2649111</v>
      </c>
      <c r="G4893" s="1">
        <f t="shared" si="2607"/>
        <v>5549899</v>
      </c>
      <c r="H4893" s="2">
        <f t="shared" si="2608"/>
        <v>0.52267401622984488</v>
      </c>
      <c r="I4893" s="2">
        <f t="shared" si="2609"/>
        <v>0.47732598377015512</v>
      </c>
      <c r="J4893" s="3">
        <f t="shared" ref="J4893:K4893" si="2622">SUM(J93+J1053+J2013+J2973+J3933)</f>
        <v>4846925.45</v>
      </c>
      <c r="K4893" s="3">
        <f t="shared" si="2622"/>
        <v>4521449.2700000005</v>
      </c>
      <c r="L4893" s="1">
        <f t="shared" si="2561"/>
        <v>9368374.7200000007</v>
      </c>
      <c r="M4893" s="2">
        <f t="shared" si="2562"/>
        <v>0.51737100562945881</v>
      </c>
      <c r="N4893" s="2">
        <f t="shared" si="2563"/>
        <v>0.48262899437054119</v>
      </c>
      <c r="O4893" s="5">
        <f t="shared" si="2564"/>
        <v>1688.0261640797428</v>
      </c>
    </row>
    <row r="4894" spans="1:15" x14ac:dyDescent="0.35">
      <c r="A4894" t="s">
        <v>38</v>
      </c>
      <c r="B4894" t="s">
        <v>26</v>
      </c>
      <c r="C4894">
        <v>2009</v>
      </c>
      <c r="D4894" t="s">
        <v>18</v>
      </c>
      <c r="E4894" s="3">
        <f t="shared" ref="E4894:F4894" si="2623">SUM(E94+E1054+E2014+E2974+E3934)</f>
        <v>2874389</v>
      </c>
      <c r="F4894" s="3">
        <f t="shared" si="2623"/>
        <v>2688832</v>
      </c>
      <c r="G4894" s="1">
        <f t="shared" si="2607"/>
        <v>5563221</v>
      </c>
      <c r="H4894" s="2">
        <f t="shared" si="2608"/>
        <v>0.51667711924440896</v>
      </c>
      <c r="I4894" s="2">
        <f t="shared" si="2609"/>
        <v>0.48332288075559104</v>
      </c>
      <c r="J4894" s="3">
        <f t="shared" ref="J4894:K4894" si="2624">SUM(J94+J1054+J2014+J2974+J3934)</f>
        <v>4440027.99</v>
      </c>
      <c r="K4894" s="3">
        <f t="shared" si="2624"/>
        <v>4240704.46</v>
      </c>
      <c r="L4894" s="1">
        <f t="shared" si="2561"/>
        <v>8680732.4499999993</v>
      </c>
      <c r="M4894" s="2">
        <f t="shared" si="2562"/>
        <v>0.51148080136947438</v>
      </c>
      <c r="N4894" s="2">
        <f t="shared" si="2563"/>
        <v>0.48851919863052573</v>
      </c>
      <c r="O4894" s="5">
        <f t="shared" si="2564"/>
        <v>1560.3788614545422</v>
      </c>
    </row>
    <row r="4895" spans="1:15" x14ac:dyDescent="0.35">
      <c r="A4895" t="s">
        <v>38</v>
      </c>
      <c r="B4895" t="s">
        <v>27</v>
      </c>
      <c r="C4895">
        <v>2009</v>
      </c>
      <c r="D4895" t="s">
        <v>18</v>
      </c>
      <c r="E4895" s="3">
        <f t="shared" ref="E4895:F4895" si="2625">SUM(E95+E1055+E2015+E2975+E3935)</f>
        <v>2843712</v>
      </c>
      <c r="F4895" s="3">
        <f t="shared" si="2625"/>
        <v>2712042</v>
      </c>
      <c r="G4895" s="1">
        <f t="shared" si="2607"/>
        <v>5555754</v>
      </c>
      <c r="H4895" s="2">
        <f t="shared" si="2608"/>
        <v>0.51184987672240345</v>
      </c>
      <c r="I4895" s="2">
        <f t="shared" si="2609"/>
        <v>0.48815012327759655</v>
      </c>
      <c r="J4895" s="3">
        <f t="shared" ref="J4895:K4895" si="2626">SUM(J95+J1055+J2015+J2975+J3935)</f>
        <v>3023458.34</v>
      </c>
      <c r="K4895" s="3">
        <f t="shared" si="2626"/>
        <v>3062280.73</v>
      </c>
      <c r="L4895" s="1">
        <f t="shared" si="2561"/>
        <v>6085739.0700000003</v>
      </c>
      <c r="M4895" s="2">
        <f t="shared" si="2562"/>
        <v>0.49681038000861905</v>
      </c>
      <c r="N4895" s="2">
        <f t="shared" si="2563"/>
        <v>0.5031896199913809</v>
      </c>
      <c r="O4895" s="5">
        <f t="shared" si="2564"/>
        <v>1095.3939051297089</v>
      </c>
    </row>
    <row r="4896" spans="1:15" x14ac:dyDescent="0.35">
      <c r="A4896" t="s">
        <v>38</v>
      </c>
      <c r="B4896" t="s">
        <v>28</v>
      </c>
      <c r="C4896">
        <v>2009</v>
      </c>
      <c r="D4896" t="s">
        <v>18</v>
      </c>
      <c r="E4896" s="3">
        <f t="shared" ref="E4896:F4896" si="2627">SUM(E96+E1056+E2016+E2976+E3936)</f>
        <v>2822652</v>
      </c>
      <c r="F4896" s="3">
        <f t="shared" si="2627"/>
        <v>2729892</v>
      </c>
      <c r="G4896" s="1">
        <f t="shared" si="2607"/>
        <v>5552544</v>
      </c>
      <c r="H4896" s="2">
        <f t="shared" si="2608"/>
        <v>0.50835292795518594</v>
      </c>
      <c r="I4896" s="2">
        <f t="shared" si="2609"/>
        <v>0.49164707204481406</v>
      </c>
      <c r="J4896" s="3">
        <f t="shared" ref="J4896:K4896" si="2628">SUM(J96+J1056+J2016+J2976+J3936)</f>
        <v>2248303.21</v>
      </c>
      <c r="K4896" s="3">
        <f t="shared" si="2628"/>
        <v>2327358.84</v>
      </c>
      <c r="L4896" s="1">
        <f t="shared" si="2561"/>
        <v>4575662.05</v>
      </c>
      <c r="M4896" s="2">
        <f t="shared" si="2562"/>
        <v>0.49136129054810768</v>
      </c>
      <c r="N4896" s="2">
        <f t="shared" si="2563"/>
        <v>0.50863870945189227</v>
      </c>
      <c r="O4896" s="5">
        <f t="shared" si="2564"/>
        <v>824.06587863148854</v>
      </c>
    </row>
    <row r="4897" spans="1:15" x14ac:dyDescent="0.35">
      <c r="A4897" t="s">
        <v>38</v>
      </c>
      <c r="B4897" t="s">
        <v>29</v>
      </c>
      <c r="C4897">
        <v>2009</v>
      </c>
      <c r="D4897" t="s">
        <v>18</v>
      </c>
      <c r="E4897" s="3">
        <f t="shared" ref="E4897:F4897" si="2629">SUM(E97+E1057+E2017+E2977+E3937)</f>
        <v>2803893</v>
      </c>
      <c r="F4897" s="3">
        <f t="shared" si="2629"/>
        <v>2750339</v>
      </c>
      <c r="G4897" s="1">
        <f t="shared" si="2607"/>
        <v>5554232</v>
      </c>
      <c r="H4897" s="2">
        <f t="shared" si="2608"/>
        <v>0.50482100855707868</v>
      </c>
      <c r="I4897" s="2">
        <f t="shared" si="2609"/>
        <v>0.49517899144292138</v>
      </c>
      <c r="J4897" s="3">
        <f t="shared" ref="J4897:K4897" si="2630">SUM(J97+J1057+J2017+J2977+J3937)</f>
        <v>2691760.35</v>
      </c>
      <c r="K4897" s="3">
        <f t="shared" si="2630"/>
        <v>2711362.86</v>
      </c>
      <c r="L4897" s="1">
        <f t="shared" si="2561"/>
        <v>5403123.21</v>
      </c>
      <c r="M4897" s="2">
        <f t="shared" si="2562"/>
        <v>0.49818600194386464</v>
      </c>
      <c r="N4897" s="2">
        <f t="shared" si="2563"/>
        <v>0.50181399805613536</v>
      </c>
      <c r="O4897" s="5">
        <f t="shared" si="2564"/>
        <v>972.79393622736677</v>
      </c>
    </row>
    <row r="4898" spans="1:15" x14ac:dyDescent="0.35">
      <c r="A4898" t="s">
        <v>38</v>
      </c>
      <c r="B4898" t="s">
        <v>17</v>
      </c>
      <c r="C4898">
        <v>2010</v>
      </c>
      <c r="D4898" t="s">
        <v>18</v>
      </c>
      <c r="E4898" s="3">
        <f t="shared" ref="E4898:F4898" si="2631">SUM(E98+E1058+E2018+E2978+E3938)</f>
        <v>2766246</v>
      </c>
      <c r="F4898" s="3">
        <f t="shared" si="2631"/>
        <v>2726906</v>
      </c>
      <c r="G4898" s="1">
        <f>SUM(E4898:F4898)</f>
        <v>5493152</v>
      </c>
      <c r="H4898" s="2">
        <f>SUM(E4898)/G4898</f>
        <v>0.50358082208538923</v>
      </c>
      <c r="I4898" s="2">
        <f>SUM(F4898/G4898)</f>
        <v>0.49641917791461077</v>
      </c>
      <c r="J4898" s="3">
        <f t="shared" ref="J4898:K4898" si="2632">SUM(J98+J1058+J2018+J2978+J3938)</f>
        <v>3785602.09</v>
      </c>
      <c r="K4898" s="3">
        <f t="shared" si="2632"/>
        <v>3797076.5199999996</v>
      </c>
      <c r="L4898" s="1">
        <f t="shared" si="2561"/>
        <v>7582678.6099999994</v>
      </c>
      <c r="M4898" s="2">
        <f t="shared" si="2562"/>
        <v>0.49924337885131598</v>
      </c>
      <c r="N4898" s="2">
        <f t="shared" si="2563"/>
        <v>0.50075662114868402</v>
      </c>
      <c r="O4898" s="5">
        <f t="shared" si="2564"/>
        <v>1380.3875461665723</v>
      </c>
    </row>
    <row r="4899" spans="1:15" x14ac:dyDescent="0.35">
      <c r="A4899" t="s">
        <v>38</v>
      </c>
      <c r="B4899" t="s">
        <v>19</v>
      </c>
      <c r="C4899">
        <v>2010</v>
      </c>
      <c r="D4899" t="s">
        <v>18</v>
      </c>
      <c r="E4899" s="3">
        <f t="shared" ref="E4899:F4899" si="2633">SUM(E99+E1059+E2019+E2979+E3939)</f>
        <v>2773805</v>
      </c>
      <c r="F4899" s="3">
        <f t="shared" si="2633"/>
        <v>2792750</v>
      </c>
      <c r="G4899" s="1">
        <f t="shared" ref="G4899:G4909" si="2634">SUM(E4899:F4899)</f>
        <v>5566555</v>
      </c>
      <c r="H4899" s="2">
        <f t="shared" ref="H4899:H4909" si="2635">SUM(E4899)/G4899</f>
        <v>0.49829831915789929</v>
      </c>
      <c r="I4899" s="2">
        <f t="shared" ref="I4899:I4909" si="2636">SUM(F4899/G4899)</f>
        <v>0.50170168084210076</v>
      </c>
      <c r="J4899" s="3">
        <f t="shared" ref="J4899:K4899" si="2637">SUM(J99+J1059+J2019+J2979+J3939)</f>
        <v>3128442.159</v>
      </c>
      <c r="K4899" s="3">
        <f t="shared" si="2637"/>
        <v>3202651.9079999998</v>
      </c>
      <c r="L4899" s="1">
        <f t="shared" si="2561"/>
        <v>6331094.0669999998</v>
      </c>
      <c r="M4899" s="2">
        <f t="shared" si="2562"/>
        <v>0.49413926343419784</v>
      </c>
      <c r="N4899" s="2">
        <f t="shared" si="2563"/>
        <v>0.5058607365658021</v>
      </c>
      <c r="O4899" s="5">
        <f t="shared" si="2564"/>
        <v>1137.3451024915769</v>
      </c>
    </row>
    <row r="4900" spans="1:15" x14ac:dyDescent="0.35">
      <c r="A4900" t="s">
        <v>38</v>
      </c>
      <c r="B4900" t="s">
        <v>20</v>
      </c>
      <c r="C4900">
        <v>2010</v>
      </c>
      <c r="D4900" t="s">
        <v>18</v>
      </c>
      <c r="E4900" s="3">
        <f t="shared" ref="E4900:F4900" si="2638">SUM(E100+E1060+E2020+E2980+E3940)</f>
        <v>2758273</v>
      </c>
      <c r="F4900" s="3">
        <f t="shared" si="2638"/>
        <v>2816267</v>
      </c>
      <c r="G4900" s="1">
        <f t="shared" si="2634"/>
        <v>5574540</v>
      </c>
      <c r="H4900" s="2">
        <f t="shared" si="2635"/>
        <v>0.49479831519730777</v>
      </c>
      <c r="I4900" s="2">
        <f t="shared" si="2636"/>
        <v>0.50520168480269223</v>
      </c>
      <c r="J4900" s="3">
        <f t="shared" ref="J4900:K4900" si="2639">SUM(J100+J1060+J2020+J2980+J3940)</f>
        <v>2826148.9670000002</v>
      </c>
      <c r="K4900" s="3">
        <f t="shared" si="2639"/>
        <v>2923175.9739999999</v>
      </c>
      <c r="L4900" s="1">
        <f t="shared" si="2561"/>
        <v>5749324.9409999996</v>
      </c>
      <c r="M4900" s="2">
        <f t="shared" si="2562"/>
        <v>0.49156187830782766</v>
      </c>
      <c r="N4900" s="2">
        <f t="shared" si="2563"/>
        <v>0.5084381216921724</v>
      </c>
      <c r="O4900" s="5">
        <f t="shared" si="2564"/>
        <v>1031.3541459923151</v>
      </c>
    </row>
    <row r="4901" spans="1:15" x14ac:dyDescent="0.35">
      <c r="A4901" t="s">
        <v>38</v>
      </c>
      <c r="B4901" t="s">
        <v>21</v>
      </c>
      <c r="C4901">
        <v>2010</v>
      </c>
      <c r="D4901" t="s">
        <v>18</v>
      </c>
      <c r="E4901" s="3">
        <f t="shared" ref="E4901:F4901" si="2640">SUM(E101+E1061+E2021+E2981+E3941)</f>
        <v>2743931</v>
      </c>
      <c r="F4901" s="3">
        <f t="shared" si="2640"/>
        <v>2838141</v>
      </c>
      <c r="G4901" s="1">
        <f t="shared" si="2634"/>
        <v>5582072</v>
      </c>
      <c r="H4901" s="2">
        <f t="shared" si="2635"/>
        <v>0.49156137720903637</v>
      </c>
      <c r="I4901" s="2">
        <f t="shared" si="2636"/>
        <v>0.50843862279096363</v>
      </c>
      <c r="J4901" s="3">
        <f t="shared" ref="J4901:K4901" si="2641">SUM(J101+J1061+J2021+J2981+J3941)</f>
        <v>2135186.0300000003</v>
      </c>
      <c r="K4901" s="3">
        <f t="shared" si="2641"/>
        <v>2275586.42</v>
      </c>
      <c r="L4901" s="1">
        <f t="shared" si="2561"/>
        <v>4410772.45</v>
      </c>
      <c r="M4901" s="2">
        <f t="shared" si="2562"/>
        <v>0.48408437619582939</v>
      </c>
      <c r="N4901" s="2">
        <f t="shared" si="2563"/>
        <v>0.51591562380417055</v>
      </c>
      <c r="O4901" s="5">
        <f t="shared" si="2564"/>
        <v>790.16760263930666</v>
      </c>
    </row>
    <row r="4902" spans="1:15" x14ac:dyDescent="0.35">
      <c r="A4902" t="s">
        <v>38</v>
      </c>
      <c r="B4902" t="s">
        <v>22</v>
      </c>
      <c r="C4902">
        <v>2010</v>
      </c>
      <c r="D4902" t="s">
        <v>18</v>
      </c>
      <c r="E4902" s="3">
        <f t="shared" ref="E4902:F4902" si="2642">SUM(E102+E1062+E2022+E2982+E3942)</f>
        <v>2728770</v>
      </c>
      <c r="F4902" s="3">
        <f t="shared" si="2642"/>
        <v>2859192</v>
      </c>
      <c r="G4902" s="1">
        <f t="shared" si="2634"/>
        <v>5587962</v>
      </c>
      <c r="H4902" s="2">
        <f t="shared" si="2635"/>
        <v>0.48833009243799441</v>
      </c>
      <c r="I4902" s="2">
        <f t="shared" si="2636"/>
        <v>0.51166990756200559</v>
      </c>
      <c r="J4902" s="3">
        <f t="shared" ref="J4902:K4902" si="2643">SUM(J102+J1062+J2022+J2982+J3942)</f>
        <v>2208240.06</v>
      </c>
      <c r="K4902" s="3">
        <f t="shared" si="2643"/>
        <v>2467290.5500000003</v>
      </c>
      <c r="L4902" s="1">
        <f t="shared" si="2561"/>
        <v>4675530.6100000003</v>
      </c>
      <c r="M4902" s="2">
        <f t="shared" si="2562"/>
        <v>0.47229720949254994</v>
      </c>
      <c r="N4902" s="2">
        <f t="shared" si="2563"/>
        <v>0.52770279050745006</v>
      </c>
      <c r="O4902" s="5">
        <f t="shared" si="2564"/>
        <v>836.71481838996044</v>
      </c>
    </row>
    <row r="4903" spans="1:15" x14ac:dyDescent="0.35">
      <c r="A4903" t="s">
        <v>38</v>
      </c>
      <c r="B4903" t="s">
        <v>23</v>
      </c>
      <c r="C4903">
        <v>2010</v>
      </c>
      <c r="D4903" t="s">
        <v>18</v>
      </c>
      <c r="E4903" s="3">
        <f t="shared" ref="E4903:F4903" si="2644">SUM(E103+E1063+E2023+E2983+E3943)</f>
        <v>2713051</v>
      </c>
      <c r="F4903" s="3">
        <f t="shared" si="2644"/>
        <v>2887208</v>
      </c>
      <c r="G4903" s="1">
        <f t="shared" si="2634"/>
        <v>5600259</v>
      </c>
      <c r="H4903" s="2">
        <f t="shared" si="2635"/>
        <v>0.48445098699899414</v>
      </c>
      <c r="I4903" s="2">
        <f t="shared" si="2636"/>
        <v>0.51554901300100586</v>
      </c>
      <c r="J4903" s="3">
        <f t="shared" ref="J4903:K4903" si="2645">SUM(J103+J1063+J2023+J2983+J3943)</f>
        <v>3665913.06</v>
      </c>
      <c r="K4903" s="3">
        <f t="shared" si="2645"/>
        <v>4005201.7100000004</v>
      </c>
      <c r="L4903" s="1">
        <f t="shared" si="2561"/>
        <v>7671114.7700000005</v>
      </c>
      <c r="M4903" s="2">
        <f t="shared" si="2562"/>
        <v>0.47788531001211965</v>
      </c>
      <c r="N4903" s="2">
        <f t="shared" si="2563"/>
        <v>0.52211468998788035</v>
      </c>
      <c r="O4903" s="5">
        <f t="shared" si="2564"/>
        <v>1369.7785709553791</v>
      </c>
    </row>
    <row r="4904" spans="1:15" x14ac:dyDescent="0.35">
      <c r="A4904" t="s">
        <v>38</v>
      </c>
      <c r="B4904" t="s">
        <v>24</v>
      </c>
      <c r="C4904">
        <v>2010</v>
      </c>
      <c r="D4904" t="s">
        <v>18</v>
      </c>
      <c r="E4904" s="3">
        <f t="shared" ref="E4904:F4904" si="2646">SUM(E104+E1064+E2024+E2984+E3944)</f>
        <v>2691759</v>
      </c>
      <c r="F4904" s="3">
        <f t="shared" si="2646"/>
        <v>2913350</v>
      </c>
      <c r="G4904" s="1">
        <f t="shared" si="2634"/>
        <v>5605109</v>
      </c>
      <c r="H4904" s="2">
        <f t="shared" si="2635"/>
        <v>0.4802331230311489</v>
      </c>
      <c r="I4904" s="2">
        <f t="shared" si="2636"/>
        <v>0.51976687696885104</v>
      </c>
      <c r="J4904" s="3">
        <f t="shared" ref="J4904:K4904" si="2647">SUM(J104+J1064+J2024+J2984+J3944)</f>
        <v>4343774.2300000004</v>
      </c>
      <c r="K4904" s="3">
        <f t="shared" si="2647"/>
        <v>4751536.4700000007</v>
      </c>
      <c r="L4904" s="1">
        <f t="shared" si="2561"/>
        <v>9095310.7000000011</v>
      </c>
      <c r="M4904" s="2">
        <f t="shared" si="2562"/>
        <v>0.47758393014545397</v>
      </c>
      <c r="N4904" s="2">
        <f t="shared" si="2563"/>
        <v>0.52241606985454603</v>
      </c>
      <c r="O4904" s="5">
        <f t="shared" si="2564"/>
        <v>1622.6822172414493</v>
      </c>
    </row>
    <row r="4905" spans="1:15" x14ac:dyDescent="0.35">
      <c r="A4905" t="s">
        <v>38</v>
      </c>
      <c r="B4905" t="s">
        <v>25</v>
      </c>
      <c r="C4905">
        <v>2010</v>
      </c>
      <c r="D4905" t="s">
        <v>18</v>
      </c>
      <c r="E4905" s="3">
        <f t="shared" ref="E4905:F4905" si="2648">SUM(E105+E1065+E2025+E2985+E3945)</f>
        <v>2655452</v>
      </c>
      <c r="F4905" s="3">
        <f t="shared" si="2648"/>
        <v>2918065</v>
      </c>
      <c r="G4905" s="1">
        <f t="shared" si="2634"/>
        <v>5573517</v>
      </c>
      <c r="H4905" s="2">
        <f t="shared" si="2635"/>
        <v>0.47644099766807924</v>
      </c>
      <c r="I4905" s="2">
        <f t="shared" si="2636"/>
        <v>0.52355900233192076</v>
      </c>
      <c r="J4905" s="3">
        <f t="shared" ref="J4905:K4905" si="2649">SUM(J105+J1065+J2025+J2985+J3945)</f>
        <v>4497282.9000000004</v>
      </c>
      <c r="K4905" s="3">
        <f t="shared" si="2649"/>
        <v>4919359.8899999997</v>
      </c>
      <c r="L4905" s="1">
        <f t="shared" si="2561"/>
        <v>9416642.7899999991</v>
      </c>
      <c r="M4905" s="2">
        <f t="shared" si="2562"/>
        <v>0.47758877556403528</v>
      </c>
      <c r="N4905" s="2">
        <f t="shared" si="2563"/>
        <v>0.52241122443596488</v>
      </c>
      <c r="O4905" s="5">
        <f t="shared" si="2564"/>
        <v>1689.5333395412626</v>
      </c>
    </row>
    <row r="4906" spans="1:15" x14ac:dyDescent="0.35">
      <c r="A4906" t="s">
        <v>38</v>
      </c>
      <c r="B4906" t="s">
        <v>26</v>
      </c>
      <c r="C4906">
        <v>2010</v>
      </c>
      <c r="D4906" t="s">
        <v>18</v>
      </c>
      <c r="E4906" s="3">
        <f t="shared" ref="E4906:F4906" si="2650">SUM(E106+E1066+E2026+E2986+E3946)</f>
        <v>2646183</v>
      </c>
      <c r="F4906" s="3">
        <f t="shared" si="2650"/>
        <v>2966697</v>
      </c>
      <c r="G4906" s="1">
        <f t="shared" si="2634"/>
        <v>5612880</v>
      </c>
      <c r="H4906" s="2">
        <f t="shared" si="2635"/>
        <v>0.47144834737247188</v>
      </c>
      <c r="I4906" s="2">
        <f t="shared" si="2636"/>
        <v>0.52855165262752812</v>
      </c>
      <c r="J4906" s="3">
        <f t="shared" ref="J4906:K4906" si="2651">SUM(J106+J1066+J2026+J2986+J3946)</f>
        <v>4449496.9399999995</v>
      </c>
      <c r="K4906" s="3">
        <f t="shared" si="2651"/>
        <v>5030117.76</v>
      </c>
      <c r="L4906" s="1">
        <f t="shared" si="2561"/>
        <v>9479614.6999999993</v>
      </c>
      <c r="M4906" s="2">
        <f t="shared" si="2562"/>
        <v>0.46937529433553876</v>
      </c>
      <c r="N4906" s="2">
        <f t="shared" si="2563"/>
        <v>0.53062470566446129</v>
      </c>
      <c r="O4906" s="5">
        <f t="shared" si="2564"/>
        <v>1688.9038604067787</v>
      </c>
    </row>
    <row r="4907" spans="1:15" x14ac:dyDescent="0.35">
      <c r="A4907" t="s">
        <v>38</v>
      </c>
      <c r="B4907" t="s">
        <v>27</v>
      </c>
      <c r="C4907">
        <v>2010</v>
      </c>
      <c r="D4907" t="s">
        <v>18</v>
      </c>
      <c r="E4907" s="3">
        <f t="shared" ref="E4907:F4907" si="2652">SUM(E107+E1067+E2027+E2987+E3947)</f>
        <v>2613870</v>
      </c>
      <c r="F4907" s="3">
        <f t="shared" si="2652"/>
        <v>2960675</v>
      </c>
      <c r="G4907" s="1">
        <f t="shared" si="2634"/>
        <v>5574545</v>
      </c>
      <c r="H4907" s="2">
        <f t="shared" si="2635"/>
        <v>0.46889387384979403</v>
      </c>
      <c r="I4907" s="2">
        <f t="shared" si="2636"/>
        <v>0.53110612615020603</v>
      </c>
      <c r="J4907" s="3">
        <f t="shared" ref="J4907:K4907" si="2653">SUM(J107+J1067+J2027+J2987+J3947)</f>
        <v>3095009.4899999998</v>
      </c>
      <c r="K4907" s="3">
        <f t="shared" si="2653"/>
        <v>3634042.6500000004</v>
      </c>
      <c r="L4907" s="1">
        <f t="shared" si="2561"/>
        <v>6729052.1400000006</v>
      </c>
      <c r="M4907" s="2">
        <f t="shared" si="2562"/>
        <v>0.45994731882104267</v>
      </c>
      <c r="N4907" s="2">
        <f t="shared" si="2563"/>
        <v>0.54005268117895722</v>
      </c>
      <c r="O4907" s="5">
        <f t="shared" si="2564"/>
        <v>1207.1033851193238</v>
      </c>
    </row>
    <row r="4908" spans="1:15" x14ac:dyDescent="0.35">
      <c r="A4908" t="s">
        <v>38</v>
      </c>
      <c r="B4908" t="s">
        <v>28</v>
      </c>
      <c r="C4908">
        <v>2010</v>
      </c>
      <c r="D4908" t="s">
        <v>18</v>
      </c>
      <c r="E4908" s="3">
        <f t="shared" ref="E4908:F4908" si="2654">SUM(E108+E1068+E2028+E2988+E3948)</f>
        <v>2596587</v>
      </c>
      <c r="F4908" s="3">
        <f t="shared" si="2654"/>
        <v>2978915</v>
      </c>
      <c r="G4908" s="1">
        <f t="shared" si="2634"/>
        <v>5575502</v>
      </c>
      <c r="H4908" s="2">
        <f t="shared" si="2635"/>
        <v>0.46571358058879719</v>
      </c>
      <c r="I4908" s="2">
        <f t="shared" si="2636"/>
        <v>0.53428641941120281</v>
      </c>
      <c r="J4908" s="3">
        <f t="shared" ref="J4908:K4908" si="2655">SUM(J108+J1068+J2028+J2988+J3948)</f>
        <v>2188299.38</v>
      </c>
      <c r="K4908" s="3">
        <f t="shared" si="2655"/>
        <v>2665215.12</v>
      </c>
      <c r="L4908" s="1">
        <f t="shared" si="2561"/>
        <v>4853514.5</v>
      </c>
      <c r="M4908" s="2">
        <f t="shared" si="2562"/>
        <v>0.45086903109076937</v>
      </c>
      <c r="N4908" s="2">
        <f t="shared" si="2563"/>
        <v>0.54913096890923063</v>
      </c>
      <c r="O4908" s="5">
        <f t="shared" si="2564"/>
        <v>870.50717585609334</v>
      </c>
    </row>
    <row r="4909" spans="1:15" x14ac:dyDescent="0.35">
      <c r="A4909" t="s">
        <v>38</v>
      </c>
      <c r="B4909" t="s">
        <v>29</v>
      </c>
      <c r="C4909">
        <v>2010</v>
      </c>
      <c r="D4909" t="s">
        <v>18</v>
      </c>
      <c r="E4909" s="3">
        <f t="shared" ref="E4909:F4909" si="2656">SUM(E109+E1069+E2029+E2989+E3949)</f>
        <v>2589246</v>
      </c>
      <c r="F4909" s="3">
        <f t="shared" si="2656"/>
        <v>3012122</v>
      </c>
      <c r="G4909" s="1">
        <f t="shared" si="2634"/>
        <v>5601368</v>
      </c>
      <c r="H4909" s="2">
        <f t="shared" si="2635"/>
        <v>0.46225243547647649</v>
      </c>
      <c r="I4909" s="2">
        <f t="shared" si="2636"/>
        <v>0.53774756452352357</v>
      </c>
      <c r="J4909" s="3">
        <f t="shared" ref="J4909:K4909" si="2657">SUM(J109+J1069+J2029+J2989+J3949)</f>
        <v>2442986.8600000003</v>
      </c>
      <c r="K4909" s="3">
        <f t="shared" si="2657"/>
        <v>2922718.2800000003</v>
      </c>
      <c r="L4909" s="1">
        <f t="shared" si="2561"/>
        <v>5365705.1400000006</v>
      </c>
      <c r="M4909" s="2">
        <f t="shared" si="2562"/>
        <v>0.45529651672212462</v>
      </c>
      <c r="N4909" s="2">
        <f t="shared" si="2563"/>
        <v>0.54470348327787532</v>
      </c>
      <c r="O4909" s="5">
        <f t="shared" si="2564"/>
        <v>957.92762410896785</v>
      </c>
    </row>
    <row r="4910" spans="1:15" x14ac:dyDescent="0.35">
      <c r="A4910" t="s">
        <v>38</v>
      </c>
      <c r="B4910" t="s">
        <v>17</v>
      </c>
      <c r="C4910">
        <v>2011</v>
      </c>
      <c r="D4910" t="s">
        <v>18</v>
      </c>
      <c r="E4910" s="3">
        <f t="shared" ref="E4910:F4910" si="2658">SUM(E110+E1070+E2030+E2990+E3950)</f>
        <v>2554889</v>
      </c>
      <c r="F4910" s="3">
        <f t="shared" si="2658"/>
        <v>2992630</v>
      </c>
      <c r="G4910" s="1">
        <f>SUM(E4910:F4910)</f>
        <v>5547519</v>
      </c>
      <c r="H4910" s="2">
        <f>SUM(E4910)/G4910</f>
        <v>0.46054623697548397</v>
      </c>
      <c r="I4910" s="2">
        <f>SUM(F4910/G4910)</f>
        <v>0.53945376302451598</v>
      </c>
      <c r="J4910" s="3">
        <f t="shared" ref="J4910:K4910" si="2659">SUM(J110+J1070+J2030+J2990+J3950)</f>
        <v>3051812.1199999996</v>
      </c>
      <c r="K4910" s="3">
        <f t="shared" si="2659"/>
        <v>3611971.99</v>
      </c>
      <c r="L4910" s="1">
        <f t="shared" si="2561"/>
        <v>6663784.1099999994</v>
      </c>
      <c r="M4910" s="2">
        <f t="shared" si="2562"/>
        <v>0.45796983660084389</v>
      </c>
      <c r="N4910" s="2">
        <f t="shared" si="2563"/>
        <v>0.54203016339915622</v>
      </c>
      <c r="O4910" s="5">
        <f t="shared" si="2564"/>
        <v>1201.2187988900982</v>
      </c>
    </row>
    <row r="4911" spans="1:15" x14ac:dyDescent="0.35">
      <c r="A4911" t="s">
        <v>38</v>
      </c>
      <c r="B4911" t="s">
        <v>19</v>
      </c>
      <c r="C4911">
        <v>2011</v>
      </c>
      <c r="D4911" t="s">
        <v>18</v>
      </c>
      <c r="E4911" s="3">
        <f t="shared" ref="E4911:F4911" si="2660">SUM(E111+E1071+E2031+E2991+E3951)</f>
        <v>2565901</v>
      </c>
      <c r="F4911" s="3">
        <f t="shared" si="2660"/>
        <v>3060055</v>
      </c>
      <c r="G4911" s="1">
        <f t="shared" ref="G4911:G4921" si="2661">SUM(E4911:F4911)</f>
        <v>5625956</v>
      </c>
      <c r="H4911" s="2">
        <f t="shared" ref="H4911:H4921" si="2662">SUM(E4911)/G4911</f>
        <v>0.45608266399523922</v>
      </c>
      <c r="I4911" s="2">
        <f t="shared" ref="I4911:I4921" si="2663">SUM(F4911/G4911)</f>
        <v>0.54391733600476078</v>
      </c>
      <c r="J4911" s="3">
        <f t="shared" ref="J4911:K4911" si="2664">SUM(J111+J1071+J2031+J2991+J3951)</f>
        <v>3155948.6100000003</v>
      </c>
      <c r="K4911" s="3">
        <f t="shared" si="2664"/>
        <v>3870852.45</v>
      </c>
      <c r="L4911" s="1">
        <f t="shared" si="2561"/>
        <v>7026801.0600000005</v>
      </c>
      <c r="M4911" s="2">
        <f t="shared" si="2562"/>
        <v>0.44913020634171763</v>
      </c>
      <c r="N4911" s="2">
        <f t="shared" si="2563"/>
        <v>0.55086979365828237</v>
      </c>
      <c r="O4911" s="5">
        <f t="shared" si="2564"/>
        <v>1248.9968033877267</v>
      </c>
    </row>
    <row r="4912" spans="1:15" x14ac:dyDescent="0.35">
      <c r="A4912" t="s">
        <v>38</v>
      </c>
      <c r="B4912" t="s">
        <v>20</v>
      </c>
      <c r="C4912">
        <v>2011</v>
      </c>
      <c r="D4912" t="s">
        <v>18</v>
      </c>
      <c r="E4912" s="3">
        <f t="shared" ref="E4912:F4912" si="2665">SUM(E112+E1072+E2032+E2992+E3952)</f>
        <v>2553198</v>
      </c>
      <c r="F4912" s="3">
        <f t="shared" si="2665"/>
        <v>3087803</v>
      </c>
      <c r="G4912" s="1">
        <f t="shared" si="2661"/>
        <v>5641001</v>
      </c>
      <c r="H4912" s="2">
        <f t="shared" si="2662"/>
        <v>0.4526143498290463</v>
      </c>
      <c r="I4912" s="2">
        <f t="shared" si="2663"/>
        <v>0.54738565017095375</v>
      </c>
      <c r="J4912" s="3">
        <f t="shared" ref="J4912:K4912" si="2666">SUM(J112+J1072+J2032+J2992+J3952)</f>
        <v>2120377.87</v>
      </c>
      <c r="K4912" s="3">
        <f t="shared" si="2666"/>
        <v>2669725.77</v>
      </c>
      <c r="L4912" s="1">
        <f t="shared" si="2561"/>
        <v>4790103.6400000006</v>
      </c>
      <c r="M4912" s="2">
        <f t="shared" si="2562"/>
        <v>0.44265803610044641</v>
      </c>
      <c r="N4912" s="2">
        <f t="shared" si="2563"/>
        <v>0.55734196389955348</v>
      </c>
      <c r="O4912" s="5">
        <f t="shared" si="2564"/>
        <v>849.15844546030053</v>
      </c>
    </row>
    <row r="4913" spans="1:15" x14ac:dyDescent="0.35">
      <c r="A4913" t="s">
        <v>38</v>
      </c>
      <c r="B4913" t="s">
        <v>21</v>
      </c>
      <c r="C4913">
        <v>2011</v>
      </c>
      <c r="D4913" t="s">
        <v>18</v>
      </c>
      <c r="E4913" s="3">
        <f t="shared" ref="E4913:F4913" si="2667">SUM(E113+E1073+E2033+E2993+E3953)</f>
        <v>2526933</v>
      </c>
      <c r="F4913" s="3">
        <f t="shared" si="2667"/>
        <v>3088778</v>
      </c>
      <c r="G4913" s="1">
        <f t="shared" si="2661"/>
        <v>5615711</v>
      </c>
      <c r="H4913" s="2">
        <f t="shared" si="2662"/>
        <v>0.4499756130612847</v>
      </c>
      <c r="I4913" s="2">
        <f t="shared" si="2663"/>
        <v>0.55002438693871536</v>
      </c>
      <c r="J4913" s="3">
        <f t="shared" ref="J4913:K4913" si="2668">SUM(J113+J1073+J2033+J2993+J3953)</f>
        <v>2015886.83</v>
      </c>
      <c r="K4913" s="3">
        <f t="shared" si="2668"/>
        <v>2597261.11</v>
      </c>
      <c r="L4913" s="1">
        <f t="shared" si="2561"/>
        <v>4613147.9399999995</v>
      </c>
      <c r="M4913" s="2">
        <f t="shared" si="2562"/>
        <v>0.43698724953529244</v>
      </c>
      <c r="N4913" s="2">
        <f t="shared" si="2563"/>
        <v>0.56301275046470767</v>
      </c>
      <c r="O4913" s="5">
        <f t="shared" si="2564"/>
        <v>821.47174952557191</v>
      </c>
    </row>
    <row r="4914" spans="1:15" x14ac:dyDescent="0.35">
      <c r="A4914" t="s">
        <v>38</v>
      </c>
      <c r="B4914" t="s">
        <v>22</v>
      </c>
      <c r="C4914">
        <v>2011</v>
      </c>
      <c r="D4914" t="s">
        <v>18</v>
      </c>
      <c r="E4914" s="3">
        <f t="shared" ref="E4914:F4914" si="2669">SUM(E114+E1074+E2034+E2994+E3954)</f>
        <v>2500421</v>
      </c>
      <c r="F4914" s="3">
        <f t="shared" si="2669"/>
        <v>3079679</v>
      </c>
      <c r="G4914" s="1">
        <f t="shared" si="2661"/>
        <v>5580100</v>
      </c>
      <c r="H4914" s="2">
        <f t="shared" si="2662"/>
        <v>0.44809609146789486</v>
      </c>
      <c r="I4914" s="2">
        <f t="shared" si="2663"/>
        <v>0.55190390853210514</v>
      </c>
      <c r="J4914" s="3">
        <f t="shared" ref="J4914:K4914" si="2670">SUM(J114+J1074+J2034+J2994+J3954)</f>
        <v>2445582.29</v>
      </c>
      <c r="K4914" s="3">
        <f t="shared" si="2670"/>
        <v>3190461.9099999997</v>
      </c>
      <c r="L4914" s="1">
        <f t="shared" si="2561"/>
        <v>5636044.1999999993</v>
      </c>
      <c r="M4914" s="2">
        <f t="shared" si="2562"/>
        <v>0.43391822406218894</v>
      </c>
      <c r="N4914" s="2">
        <f t="shared" si="2563"/>
        <v>0.56608177593781117</v>
      </c>
      <c r="O4914" s="5">
        <f t="shared" si="2564"/>
        <v>1010.0256626225334</v>
      </c>
    </row>
    <row r="4915" spans="1:15" x14ac:dyDescent="0.35">
      <c r="A4915" t="s">
        <v>38</v>
      </c>
      <c r="B4915" t="s">
        <v>23</v>
      </c>
      <c r="C4915">
        <v>2011</v>
      </c>
      <c r="D4915" t="s">
        <v>18</v>
      </c>
      <c r="E4915" s="3">
        <f t="shared" ref="E4915:F4915" si="2671">SUM(E115+E1075+E2035+E2995+E3955)</f>
        <v>2514162</v>
      </c>
      <c r="F4915" s="3">
        <f t="shared" si="2671"/>
        <v>3152232</v>
      </c>
      <c r="G4915" s="1">
        <f t="shared" si="2661"/>
        <v>5666394</v>
      </c>
      <c r="H4915" s="2">
        <f t="shared" si="2662"/>
        <v>0.44369699671431251</v>
      </c>
      <c r="I4915" s="2">
        <f t="shared" si="2663"/>
        <v>0.55630300328568749</v>
      </c>
      <c r="J4915" s="3">
        <f t="shared" ref="J4915:K4915" si="2672">SUM(J115+J1075+J2035+J2995+J3955)</f>
        <v>3538638.21</v>
      </c>
      <c r="K4915" s="3">
        <f t="shared" si="2672"/>
        <v>4548421.4799999995</v>
      </c>
      <c r="L4915" s="1">
        <f t="shared" si="2561"/>
        <v>8087059.6899999995</v>
      </c>
      <c r="M4915" s="2">
        <f t="shared" si="2562"/>
        <v>0.43756795988233893</v>
      </c>
      <c r="N4915" s="2">
        <f t="shared" si="2563"/>
        <v>0.56243204011766113</v>
      </c>
      <c r="O4915" s="5">
        <f t="shared" si="2564"/>
        <v>1427.1968539427367</v>
      </c>
    </row>
    <row r="4916" spans="1:15" x14ac:dyDescent="0.35">
      <c r="A4916" t="s">
        <v>38</v>
      </c>
      <c r="B4916" t="s">
        <v>24</v>
      </c>
      <c r="C4916">
        <v>2011</v>
      </c>
      <c r="D4916" t="s">
        <v>18</v>
      </c>
      <c r="E4916" s="3">
        <f t="shared" ref="E4916:F4916" si="2673">SUM(E116+E1076+E2036+E2996+E3956)</f>
        <v>2489133</v>
      </c>
      <c r="F4916" s="3">
        <f t="shared" si="2673"/>
        <v>3154677</v>
      </c>
      <c r="G4916" s="1">
        <f t="shared" si="2661"/>
        <v>5643810</v>
      </c>
      <c r="H4916" s="2">
        <f t="shared" si="2662"/>
        <v>0.4410377032536531</v>
      </c>
      <c r="I4916" s="2">
        <f t="shared" si="2663"/>
        <v>0.5589622967463469</v>
      </c>
      <c r="J4916" s="3">
        <f t="shared" ref="J4916:K4916" si="2674">SUM(J116+J1076+J2036+J2996+J3956)</f>
        <v>4613928.68</v>
      </c>
      <c r="K4916" s="3">
        <f t="shared" si="2674"/>
        <v>5795793.0999999996</v>
      </c>
      <c r="L4916" s="1">
        <f t="shared" si="2561"/>
        <v>10409721.779999999</v>
      </c>
      <c r="M4916" s="2">
        <f t="shared" si="2562"/>
        <v>0.4432326605370619</v>
      </c>
      <c r="N4916" s="2">
        <f t="shared" si="2563"/>
        <v>0.5567673394629381</v>
      </c>
      <c r="O4916" s="5">
        <f t="shared" si="2564"/>
        <v>1844.4493666512515</v>
      </c>
    </row>
    <row r="4917" spans="1:15" x14ac:dyDescent="0.35">
      <c r="A4917" t="s">
        <v>38</v>
      </c>
      <c r="B4917" t="s">
        <v>25</v>
      </c>
      <c r="C4917">
        <v>2011</v>
      </c>
      <c r="D4917" t="s">
        <v>18</v>
      </c>
      <c r="E4917" s="3">
        <f t="shared" ref="E4917:F4917" si="2675">SUM(E117+E1077+E2037+E2997+E3957)</f>
        <v>2484250</v>
      </c>
      <c r="F4917" s="3">
        <f t="shared" si="2675"/>
        <v>3204102</v>
      </c>
      <c r="G4917" s="1">
        <f t="shared" si="2661"/>
        <v>5688352</v>
      </c>
      <c r="H4917" s="2">
        <f t="shared" si="2662"/>
        <v>0.43672578630858289</v>
      </c>
      <c r="I4917" s="2">
        <f t="shared" si="2663"/>
        <v>0.56327421369141717</v>
      </c>
      <c r="J4917" s="3">
        <f t="shared" ref="J4917:K4917" si="2676">SUM(J117+J1077+J2037+J2997+J3957)</f>
        <v>4816996.1399999997</v>
      </c>
      <c r="K4917" s="3">
        <f t="shared" si="2676"/>
        <v>6125494.1399999997</v>
      </c>
      <c r="L4917" s="1">
        <f t="shared" si="2561"/>
        <v>10942490.279999999</v>
      </c>
      <c r="M4917" s="2">
        <f t="shared" si="2562"/>
        <v>0.44021022790435599</v>
      </c>
      <c r="N4917" s="2">
        <f t="shared" si="2563"/>
        <v>0.55978977209564407</v>
      </c>
      <c r="O4917" s="5">
        <f t="shared" si="2564"/>
        <v>1923.6661655256214</v>
      </c>
    </row>
    <row r="4918" spans="1:15" x14ac:dyDescent="0.35">
      <c r="A4918" t="s">
        <v>38</v>
      </c>
      <c r="B4918" t="s">
        <v>26</v>
      </c>
      <c r="C4918">
        <v>2011</v>
      </c>
      <c r="D4918" t="s">
        <v>18</v>
      </c>
      <c r="E4918" s="3">
        <f t="shared" ref="E4918:F4918" si="2677">SUM(E118+E1078+E2038+E2998+E3958)</f>
        <v>2454680</v>
      </c>
      <c r="F4918" s="3">
        <f t="shared" si="2677"/>
        <v>3182426</v>
      </c>
      <c r="G4918" s="1">
        <f t="shared" si="2661"/>
        <v>5637106</v>
      </c>
      <c r="H4918" s="2">
        <f t="shared" si="2662"/>
        <v>0.43545038890522902</v>
      </c>
      <c r="I4918" s="2">
        <f t="shared" si="2663"/>
        <v>0.56454961109477098</v>
      </c>
      <c r="J4918" s="3">
        <f t="shared" ref="J4918:K4918" si="2678">SUM(J118+J1078+J2038+J2998+J3958)</f>
        <v>4444336.45</v>
      </c>
      <c r="K4918" s="3">
        <f t="shared" si="2678"/>
        <v>5790784.1299999999</v>
      </c>
      <c r="L4918" s="1">
        <f t="shared" si="2561"/>
        <v>10235120.58</v>
      </c>
      <c r="M4918" s="2">
        <f t="shared" si="2562"/>
        <v>0.43422414179315905</v>
      </c>
      <c r="N4918" s="2">
        <f t="shared" si="2563"/>
        <v>0.56577585820684095</v>
      </c>
      <c r="O4918" s="5">
        <f t="shared" si="2564"/>
        <v>1815.6693487757725</v>
      </c>
    </row>
    <row r="4919" spans="1:15" x14ac:dyDescent="0.35">
      <c r="A4919" t="s">
        <v>38</v>
      </c>
      <c r="B4919" t="s">
        <v>27</v>
      </c>
      <c r="C4919">
        <v>2011</v>
      </c>
      <c r="D4919" t="s">
        <v>18</v>
      </c>
      <c r="E4919" s="3">
        <f t="shared" ref="E4919:F4919" si="2679">SUM(E119+E1079+E2039+E2999+E3959)</f>
        <v>2436702</v>
      </c>
      <c r="F4919" s="3">
        <f t="shared" si="2679"/>
        <v>3187705</v>
      </c>
      <c r="G4919" s="1">
        <f t="shared" si="2661"/>
        <v>5624407</v>
      </c>
      <c r="H4919" s="2">
        <f t="shared" si="2662"/>
        <v>0.43323713948866077</v>
      </c>
      <c r="I4919" s="2">
        <f t="shared" si="2663"/>
        <v>0.56676286051133928</v>
      </c>
      <c r="J4919" s="3">
        <f t="shared" ref="J4919:K4919" si="2680">SUM(J119+J1079+J2039+J2999+J3959)</f>
        <v>3016002.6700000004</v>
      </c>
      <c r="K4919" s="3">
        <f t="shared" si="2680"/>
        <v>4079251.72</v>
      </c>
      <c r="L4919" s="1">
        <f t="shared" si="2561"/>
        <v>7095254.3900000006</v>
      </c>
      <c r="M4919" s="2">
        <f t="shared" si="2562"/>
        <v>0.42507322559861033</v>
      </c>
      <c r="N4919" s="2">
        <f t="shared" si="2563"/>
        <v>0.57492677440138973</v>
      </c>
      <c r="O4919" s="5">
        <f t="shared" si="2564"/>
        <v>1261.5115495731375</v>
      </c>
    </row>
    <row r="4920" spans="1:15" x14ac:dyDescent="0.35">
      <c r="A4920" t="s">
        <v>38</v>
      </c>
      <c r="B4920" t="s">
        <v>28</v>
      </c>
      <c r="C4920">
        <v>2011</v>
      </c>
      <c r="D4920" t="s">
        <v>18</v>
      </c>
      <c r="E4920" s="3">
        <f t="shared" ref="E4920:F4920" si="2681">SUM(E120+E1080+E2040+E3000+E3960)</f>
        <v>2432745</v>
      </c>
      <c r="F4920" s="3">
        <f t="shared" si="2681"/>
        <v>3224408</v>
      </c>
      <c r="G4920" s="1">
        <f t="shared" si="2661"/>
        <v>5657153</v>
      </c>
      <c r="H4920" s="2">
        <f t="shared" si="2662"/>
        <v>0.43002991080495789</v>
      </c>
      <c r="I4920" s="2">
        <f t="shared" si="2663"/>
        <v>0.56997008919504211</v>
      </c>
      <c r="J4920" s="3">
        <f t="shared" ref="J4920:K4920" si="2682">SUM(J120+J1080+J2040+J3000+J3960)</f>
        <v>2094444.84</v>
      </c>
      <c r="K4920" s="3">
        <f t="shared" si="2682"/>
        <v>2919525.3</v>
      </c>
      <c r="L4920" s="1">
        <f t="shared" si="2561"/>
        <v>5013970.1399999997</v>
      </c>
      <c r="M4920" s="2">
        <f t="shared" si="2562"/>
        <v>0.41772184147869701</v>
      </c>
      <c r="N4920" s="2">
        <f t="shared" si="2563"/>
        <v>0.58227815852130305</v>
      </c>
      <c r="O4920" s="5">
        <f t="shared" si="2564"/>
        <v>886.30626394583987</v>
      </c>
    </row>
    <row r="4921" spans="1:15" x14ac:dyDescent="0.35">
      <c r="A4921" t="s">
        <v>38</v>
      </c>
      <c r="B4921" t="s">
        <v>29</v>
      </c>
      <c r="C4921">
        <v>2011</v>
      </c>
      <c r="D4921" t="s">
        <v>18</v>
      </c>
      <c r="E4921" s="3">
        <f t="shared" ref="E4921:F4921" si="2683">SUM(E121+E1081+E2041+E3001+E3961)</f>
        <v>2398913</v>
      </c>
      <c r="F4921" s="3">
        <f t="shared" si="2683"/>
        <v>3182845</v>
      </c>
      <c r="G4921" s="1">
        <f t="shared" si="2661"/>
        <v>5581758</v>
      </c>
      <c r="H4921" s="2">
        <f t="shared" si="2662"/>
        <v>0.42977732105189798</v>
      </c>
      <c r="I4921" s="2">
        <f t="shared" si="2663"/>
        <v>0.57022267894810197</v>
      </c>
      <c r="J4921" s="3">
        <f t="shared" ref="J4921:K4921" si="2684">SUM(J121+J1081+J2041+J3001+J3961)</f>
        <v>2358563.3699999996</v>
      </c>
      <c r="K4921" s="3">
        <f t="shared" si="2684"/>
        <v>3249047.4800000004</v>
      </c>
      <c r="L4921" s="1">
        <f t="shared" si="2561"/>
        <v>5607610.8499999996</v>
      </c>
      <c r="M4921" s="2">
        <f t="shared" si="2562"/>
        <v>0.4206004006144613</v>
      </c>
      <c r="N4921" s="2">
        <f t="shared" si="2563"/>
        <v>0.57939959938553875</v>
      </c>
      <c r="O4921" s="5">
        <f t="shared" si="2564"/>
        <v>1004.631668015704</v>
      </c>
    </row>
    <row r="4922" spans="1:15" x14ac:dyDescent="0.35">
      <c r="A4922" t="s">
        <v>38</v>
      </c>
      <c r="B4922" t="s">
        <v>17</v>
      </c>
      <c r="C4922">
        <v>2012</v>
      </c>
      <c r="D4922" t="s">
        <v>18</v>
      </c>
      <c r="E4922" s="3">
        <f t="shared" ref="E4922:F4922" si="2685">SUM(E122+E1082+E2042+E3002+E3962)</f>
        <v>2398754</v>
      </c>
      <c r="F4922" s="3">
        <f t="shared" si="2685"/>
        <v>3221107</v>
      </c>
      <c r="G4922" s="1">
        <f>SUM(E4922:F4922)</f>
        <v>5619861</v>
      </c>
      <c r="H4922" s="2">
        <f>SUM(E4922)/G4922</f>
        <v>0.4268351121139829</v>
      </c>
      <c r="I4922" s="2">
        <f>SUM(F4922/G4922)</f>
        <v>0.57316488788601716</v>
      </c>
      <c r="J4922" s="3">
        <f t="shared" ref="J4922:K4922" si="2686">SUM(J122+J1082+J2042+J3002+J3962)</f>
        <v>2684427.21</v>
      </c>
      <c r="K4922" s="3">
        <f t="shared" si="2686"/>
        <v>3704406.2600000002</v>
      </c>
      <c r="L4922" s="1">
        <f t="shared" si="2561"/>
        <v>6388833.4700000007</v>
      </c>
      <c r="M4922" s="2">
        <f t="shared" si="2562"/>
        <v>0.42017486018460887</v>
      </c>
      <c r="N4922" s="2">
        <f t="shared" si="2563"/>
        <v>0.57982513981539108</v>
      </c>
      <c r="O4922" s="5">
        <f t="shared" si="2564"/>
        <v>1136.8312258968685</v>
      </c>
    </row>
    <row r="4923" spans="1:15" x14ac:dyDescent="0.35">
      <c r="A4923" t="s">
        <v>38</v>
      </c>
      <c r="B4923" t="s">
        <v>19</v>
      </c>
      <c r="C4923">
        <v>2012</v>
      </c>
      <c r="D4923" t="s">
        <v>18</v>
      </c>
      <c r="E4923" s="3">
        <f t="shared" ref="E4923:F4923" si="2687">SUM(E123+E1083+E2043+E3003+E3963)</f>
        <v>2400761</v>
      </c>
      <c r="F4923" s="3">
        <f t="shared" si="2687"/>
        <v>3264340</v>
      </c>
      <c r="G4923" s="1">
        <f t="shared" ref="G4923:G4933" si="2688">SUM(E4923:F4923)</f>
        <v>5665101</v>
      </c>
      <c r="H4923" s="2">
        <f t="shared" ref="H4923:H4933" si="2689">SUM(E4923)/G4923</f>
        <v>0.4237807940229133</v>
      </c>
      <c r="I4923" s="2">
        <f t="shared" ref="I4923:I4933" si="2690">SUM(F4923/G4923)</f>
        <v>0.57621920597708676</v>
      </c>
      <c r="J4923" s="3">
        <f t="shared" ref="J4923:K4923" si="2691">SUM(J123+J1083+J2043+J3003+J3963)</f>
        <v>2195182.3499999996</v>
      </c>
      <c r="K4923" s="3">
        <f t="shared" si="2691"/>
        <v>3077649.81</v>
      </c>
      <c r="L4923" s="1">
        <f t="shared" si="2561"/>
        <v>5272832.16</v>
      </c>
      <c r="M4923" s="2">
        <f t="shared" si="2562"/>
        <v>0.4163194054710817</v>
      </c>
      <c r="N4923" s="2">
        <f t="shared" si="2563"/>
        <v>0.58368059452891818</v>
      </c>
      <c r="O4923" s="5">
        <f t="shared" si="2564"/>
        <v>930.75695561297141</v>
      </c>
    </row>
    <row r="4924" spans="1:15" x14ac:dyDescent="0.35">
      <c r="A4924" t="s">
        <v>38</v>
      </c>
      <c r="B4924" t="s">
        <v>20</v>
      </c>
      <c r="C4924">
        <v>2012</v>
      </c>
      <c r="D4924" t="s">
        <v>18</v>
      </c>
      <c r="E4924" s="3">
        <f t="shared" ref="E4924:F4924" si="2692">SUM(E124+E1084+E2044+E3004+E3964)</f>
        <v>2401449</v>
      </c>
      <c r="F4924" s="3">
        <f t="shared" si="2692"/>
        <v>3314994</v>
      </c>
      <c r="G4924" s="1">
        <f t="shared" si="2688"/>
        <v>5716443</v>
      </c>
      <c r="H4924" s="2">
        <f t="shared" si="2689"/>
        <v>0.42009497864318773</v>
      </c>
      <c r="I4924" s="2">
        <f t="shared" si="2690"/>
        <v>0.57990502135681232</v>
      </c>
      <c r="J4924" s="3">
        <f t="shared" ref="J4924:K4924" si="2693">SUM(J124+J1084+J2044+J3004+J3964)</f>
        <v>1924550.26</v>
      </c>
      <c r="K4924" s="3">
        <f t="shared" si="2693"/>
        <v>2770816.43</v>
      </c>
      <c r="L4924" s="1">
        <f t="shared" si="2561"/>
        <v>4695366.6900000004</v>
      </c>
      <c r="M4924" s="2">
        <f t="shared" si="2562"/>
        <v>0.40988284559304566</v>
      </c>
      <c r="N4924" s="2">
        <f t="shared" si="2563"/>
        <v>0.59011715440695434</v>
      </c>
      <c r="O4924" s="5">
        <f t="shared" si="2564"/>
        <v>821.37907961296912</v>
      </c>
    </row>
    <row r="4925" spans="1:15" x14ac:dyDescent="0.35">
      <c r="A4925" t="s">
        <v>38</v>
      </c>
      <c r="B4925" t="s">
        <v>21</v>
      </c>
      <c r="C4925">
        <v>2012</v>
      </c>
      <c r="D4925" t="s">
        <v>18</v>
      </c>
      <c r="E4925" s="3">
        <f t="shared" ref="E4925:F4925" si="2694">SUM(E125+E1085+E2045+E3005+E3965)</f>
        <v>2387061</v>
      </c>
      <c r="F4925" s="3">
        <f t="shared" si="2694"/>
        <v>3335142</v>
      </c>
      <c r="G4925" s="1">
        <f t="shared" si="2688"/>
        <v>5722203</v>
      </c>
      <c r="H4925" s="2">
        <f t="shared" si="2689"/>
        <v>0.41715769258797702</v>
      </c>
      <c r="I4925" s="2">
        <f t="shared" si="2690"/>
        <v>0.58284230741202292</v>
      </c>
      <c r="J4925" s="3">
        <f t="shared" ref="J4925:K4925" si="2695">SUM(J125+J1085+J2045+J3005+J3965)</f>
        <v>2004407.45</v>
      </c>
      <c r="K4925" s="3">
        <f t="shared" si="2695"/>
        <v>2998860.5100000002</v>
      </c>
      <c r="L4925" s="1">
        <f t="shared" si="2561"/>
        <v>5003267.96</v>
      </c>
      <c r="M4925" s="2">
        <f t="shared" si="2562"/>
        <v>0.40061964820289175</v>
      </c>
      <c r="N4925" s="2">
        <f t="shared" si="2563"/>
        <v>0.59938035179710825</v>
      </c>
      <c r="O4925" s="5">
        <f t="shared" si="2564"/>
        <v>874.36044474479502</v>
      </c>
    </row>
    <row r="4926" spans="1:15" x14ac:dyDescent="0.35">
      <c r="A4926" t="s">
        <v>38</v>
      </c>
      <c r="B4926" t="s">
        <v>22</v>
      </c>
      <c r="C4926">
        <v>2012</v>
      </c>
      <c r="D4926" t="s">
        <v>18</v>
      </c>
      <c r="E4926" s="3">
        <f t="shared" ref="E4926:F4926" si="2696">SUM(E126+E1086+E2046+E3006+E3966)</f>
        <v>2377737</v>
      </c>
      <c r="F4926" s="3">
        <f t="shared" si="2696"/>
        <v>3357189</v>
      </c>
      <c r="G4926" s="1">
        <f t="shared" si="2688"/>
        <v>5734926</v>
      </c>
      <c r="H4926" s="2">
        <f t="shared" si="2689"/>
        <v>0.41460639596744581</v>
      </c>
      <c r="I4926" s="2">
        <f t="shared" si="2690"/>
        <v>0.58539360403255425</v>
      </c>
      <c r="J4926" s="3">
        <f t="shared" ref="J4926:K4926" si="2697">SUM(J126+J1086+J2046+J3006+J3966)</f>
        <v>2367918.16</v>
      </c>
      <c r="K4926" s="3">
        <f t="shared" si="2697"/>
        <v>3531778.8400000003</v>
      </c>
      <c r="L4926" s="1">
        <f t="shared" si="2561"/>
        <v>5899697</v>
      </c>
      <c r="M4926" s="2">
        <f t="shared" si="2562"/>
        <v>0.4013626733711918</v>
      </c>
      <c r="N4926" s="2">
        <f t="shared" si="2563"/>
        <v>0.59863732662880831</v>
      </c>
      <c r="O4926" s="5">
        <f t="shared" si="2564"/>
        <v>1028.7311466617007</v>
      </c>
    </row>
    <row r="4927" spans="1:15" x14ac:dyDescent="0.35">
      <c r="A4927" t="s">
        <v>38</v>
      </c>
      <c r="B4927" t="s">
        <v>23</v>
      </c>
      <c r="C4927">
        <v>2012</v>
      </c>
      <c r="D4927" t="s">
        <v>18</v>
      </c>
      <c r="E4927" s="3">
        <f t="shared" ref="E4927:F4927" si="2698">SUM(E127+E1087+E2047+E3007+E3967)</f>
        <v>2364540</v>
      </c>
      <c r="F4927" s="3">
        <f t="shared" si="2698"/>
        <v>3369116</v>
      </c>
      <c r="G4927" s="1">
        <f t="shared" si="2688"/>
        <v>5733656</v>
      </c>
      <c r="H4927" s="2">
        <f t="shared" si="2689"/>
        <v>0.41239655814719267</v>
      </c>
      <c r="I4927" s="2">
        <f t="shared" si="2690"/>
        <v>0.58760344185280733</v>
      </c>
      <c r="J4927" s="3">
        <f t="shared" ref="J4927:K4927" si="2699">SUM(J127+J1087+J2047+J3007+J3967)</f>
        <v>3176216.5999999996</v>
      </c>
      <c r="K4927" s="3">
        <f t="shared" si="2699"/>
        <v>4682965.8999999994</v>
      </c>
      <c r="L4927" s="1">
        <f t="shared" si="2561"/>
        <v>7859182.4999999991</v>
      </c>
      <c r="M4927" s="2">
        <f t="shared" si="2562"/>
        <v>0.40414083780342291</v>
      </c>
      <c r="N4927" s="2">
        <f t="shared" si="2563"/>
        <v>0.59585916219657709</v>
      </c>
      <c r="O4927" s="5">
        <f t="shared" si="2564"/>
        <v>1370.7105030368057</v>
      </c>
    </row>
    <row r="4928" spans="1:15" x14ac:dyDescent="0.35">
      <c r="A4928" t="s">
        <v>38</v>
      </c>
      <c r="B4928" t="s">
        <v>24</v>
      </c>
      <c r="C4928">
        <v>2012</v>
      </c>
      <c r="D4928" t="s">
        <v>18</v>
      </c>
      <c r="E4928" s="3">
        <f t="shared" ref="E4928:F4928" si="2700">SUM(E128+E1088+E2048+E3008+E3968)</f>
        <v>2355527</v>
      </c>
      <c r="F4928" s="3">
        <f t="shared" si="2700"/>
        <v>3402648</v>
      </c>
      <c r="G4928" s="1">
        <f t="shared" si="2688"/>
        <v>5758175</v>
      </c>
      <c r="H4928" s="2">
        <f t="shared" si="2689"/>
        <v>0.40907527124479542</v>
      </c>
      <c r="I4928" s="2">
        <f t="shared" si="2690"/>
        <v>0.59092472875520452</v>
      </c>
      <c r="J4928" s="3">
        <f t="shared" ref="J4928:K4928" si="2701">SUM(J128+J1088+J2048+J3008+J3968)</f>
        <v>3842607.1</v>
      </c>
      <c r="K4928" s="3">
        <f t="shared" si="2701"/>
        <v>5619193.1699999999</v>
      </c>
      <c r="L4928" s="1">
        <f t="shared" si="2561"/>
        <v>9461800.2699999996</v>
      </c>
      <c r="M4928" s="2">
        <f t="shared" si="2562"/>
        <v>0.40611796807670303</v>
      </c>
      <c r="N4928" s="2">
        <f t="shared" si="2563"/>
        <v>0.59388203192329703</v>
      </c>
      <c r="O4928" s="5">
        <f t="shared" si="2564"/>
        <v>1643.1942881208022</v>
      </c>
    </row>
    <row r="4929" spans="1:15" x14ac:dyDescent="0.35">
      <c r="A4929" t="s">
        <v>38</v>
      </c>
      <c r="B4929" t="s">
        <v>25</v>
      </c>
      <c r="C4929">
        <v>2012</v>
      </c>
      <c r="D4929" t="s">
        <v>18</v>
      </c>
      <c r="E4929" s="3">
        <f t="shared" ref="E4929:F4929" si="2702">SUM(E129+E1089+E2049+E3009+E3969)</f>
        <v>2346123</v>
      </c>
      <c r="F4929" s="3">
        <f t="shared" si="2702"/>
        <v>3422771</v>
      </c>
      <c r="G4929" s="1">
        <f t="shared" si="2688"/>
        <v>5768894</v>
      </c>
      <c r="H4929" s="2">
        <f t="shared" si="2689"/>
        <v>0.40668505956254353</v>
      </c>
      <c r="I4929" s="2">
        <f t="shared" si="2690"/>
        <v>0.59331494043745647</v>
      </c>
      <c r="J4929" s="3">
        <f t="shared" ref="J4929:K4929" si="2703">SUM(J129+J1089+J2049+J3009+J3969)</f>
        <v>3995004.5</v>
      </c>
      <c r="K4929" s="3">
        <f t="shared" si="2703"/>
        <v>5857293.25</v>
      </c>
      <c r="L4929" s="1">
        <f t="shared" si="2561"/>
        <v>9852297.75</v>
      </c>
      <c r="M4929" s="2">
        <f t="shared" si="2562"/>
        <v>0.40548962296637858</v>
      </c>
      <c r="N4929" s="2">
        <f t="shared" si="2563"/>
        <v>0.59451037703362142</v>
      </c>
      <c r="O4929" s="5">
        <f t="shared" si="2564"/>
        <v>1707.8313018058575</v>
      </c>
    </row>
    <row r="4930" spans="1:15" x14ac:dyDescent="0.35">
      <c r="A4930" t="s">
        <v>38</v>
      </c>
      <c r="B4930" t="s">
        <v>26</v>
      </c>
      <c r="C4930">
        <v>2012</v>
      </c>
      <c r="D4930" t="s">
        <v>18</v>
      </c>
      <c r="E4930" s="3">
        <f t="shared" ref="E4930:F4930" si="2704">SUM(E130+E1090+E2050+E3010+E3970)</f>
        <v>2338176</v>
      </c>
      <c r="F4930" s="3">
        <f t="shared" si="2704"/>
        <v>3429540</v>
      </c>
      <c r="G4930" s="1">
        <f t="shared" si="2688"/>
        <v>5767716</v>
      </c>
      <c r="H4930" s="2">
        <f t="shared" si="2689"/>
        <v>0.40539027927172561</v>
      </c>
      <c r="I4930" s="2">
        <f t="shared" si="2690"/>
        <v>0.59460972072827445</v>
      </c>
      <c r="J4930" s="3">
        <f t="shared" ref="J4930:K4930" si="2705">SUM(J130+J1090+J2050+J3010+J3970)</f>
        <v>3770883.54</v>
      </c>
      <c r="K4930" s="3">
        <f t="shared" si="2705"/>
        <v>5635344.0600000005</v>
      </c>
      <c r="L4930" s="1">
        <f t="shared" si="2561"/>
        <v>9406227.6000000015</v>
      </c>
      <c r="M4930" s="2">
        <f t="shared" si="2562"/>
        <v>0.40089222803836888</v>
      </c>
      <c r="N4930" s="2">
        <f t="shared" si="2563"/>
        <v>0.59910777196163101</v>
      </c>
      <c r="O4930" s="5">
        <f t="shared" si="2564"/>
        <v>1630.840977607081</v>
      </c>
    </row>
    <row r="4931" spans="1:15" x14ac:dyDescent="0.35">
      <c r="A4931" t="s">
        <v>38</v>
      </c>
      <c r="B4931" t="s">
        <v>27</v>
      </c>
      <c r="C4931">
        <v>2012</v>
      </c>
      <c r="D4931" t="s">
        <v>18</v>
      </c>
      <c r="E4931" s="3">
        <f t="shared" ref="E4931:F4931" si="2706">SUM(E131+E1091+E2051+E3011+E3971)</f>
        <v>2328108</v>
      </c>
      <c r="F4931" s="3">
        <f t="shared" si="2706"/>
        <v>3437238</v>
      </c>
      <c r="G4931" s="1">
        <f t="shared" si="2688"/>
        <v>5765346</v>
      </c>
      <c r="H4931" s="2">
        <f t="shared" si="2689"/>
        <v>0.40381062992576683</v>
      </c>
      <c r="I4931" s="2">
        <f t="shared" si="2690"/>
        <v>0.59618937007423323</v>
      </c>
      <c r="J4931" s="3">
        <f t="shared" ref="J4931:K4931" si="2707">SUM(J131+J1091+J2051+J3011+J3971)</f>
        <v>2705672.32</v>
      </c>
      <c r="K4931" s="3">
        <f t="shared" si="2707"/>
        <v>4157587.9799999995</v>
      </c>
      <c r="L4931" s="1">
        <f t="shared" ref="L4931:L4994" si="2708">SUM(J4931:K4931)</f>
        <v>6863260.2999999989</v>
      </c>
      <c r="M4931" s="2">
        <f t="shared" ref="M4931:M4994" si="2709">SUM(J4931)/L4931</f>
        <v>0.39422551407528583</v>
      </c>
      <c r="N4931" s="2">
        <f t="shared" ref="N4931:N4994" si="2710">SUM(K4931/L4931)</f>
        <v>0.60577448592471428</v>
      </c>
      <c r="O4931" s="5">
        <f t="shared" ref="O4931:O4993" si="2711">SUM(1000*L4931)/G4931</f>
        <v>1190.4333755510943</v>
      </c>
    </row>
    <row r="4932" spans="1:15" x14ac:dyDescent="0.35">
      <c r="A4932" t="s">
        <v>38</v>
      </c>
      <c r="B4932" t="s">
        <v>28</v>
      </c>
      <c r="C4932">
        <v>2012</v>
      </c>
      <c r="D4932" t="s">
        <v>18</v>
      </c>
      <c r="E4932" s="3">
        <f t="shared" ref="E4932:F4932" si="2712">SUM(E132+E1092+E2052+E3012+E3972)</f>
        <v>2317855</v>
      </c>
      <c r="F4932" s="3">
        <f t="shared" si="2712"/>
        <v>3451508</v>
      </c>
      <c r="G4932" s="1">
        <f t="shared" si="2688"/>
        <v>5769363</v>
      </c>
      <c r="H4932" s="2">
        <f t="shared" si="2689"/>
        <v>0.40175232517004045</v>
      </c>
      <c r="I4932" s="2">
        <f t="shared" si="2690"/>
        <v>0.59824767482995955</v>
      </c>
      <c r="J4932" s="3">
        <f t="shared" ref="J4932:K4932" si="2713">SUM(J132+J1092+J2052+J3012+J3972)</f>
        <v>2065249.48</v>
      </c>
      <c r="K4932" s="3">
        <f t="shared" si="2713"/>
        <v>3255779.31</v>
      </c>
      <c r="L4932" s="1">
        <f t="shared" si="2708"/>
        <v>5321028.79</v>
      </c>
      <c r="M4932" s="2">
        <f t="shared" si="2709"/>
        <v>0.38812973233320919</v>
      </c>
      <c r="N4932" s="2">
        <f t="shared" si="2710"/>
        <v>0.61187026766679076</v>
      </c>
      <c r="O4932" s="5">
        <f t="shared" si="2711"/>
        <v>922.29051803465995</v>
      </c>
    </row>
    <row r="4933" spans="1:15" x14ac:dyDescent="0.35">
      <c r="A4933" t="s">
        <v>38</v>
      </c>
      <c r="B4933" t="s">
        <v>29</v>
      </c>
      <c r="C4933">
        <v>2012</v>
      </c>
      <c r="D4933" t="s">
        <v>18</v>
      </c>
      <c r="E4933" s="3">
        <f t="shared" ref="E4933:F4933" si="2714">SUM(E133+E1093+E2053+E3013+E3973)</f>
        <v>2309946</v>
      </c>
      <c r="F4933" s="3">
        <f t="shared" si="2714"/>
        <v>3460519</v>
      </c>
      <c r="G4933" s="1">
        <f t="shared" si="2688"/>
        <v>5770465</v>
      </c>
      <c r="H4933" s="2">
        <f t="shared" si="2689"/>
        <v>0.40030500141669695</v>
      </c>
      <c r="I4933" s="2">
        <f t="shared" si="2690"/>
        <v>0.59969499858330311</v>
      </c>
      <c r="J4933" s="3">
        <f t="shared" ref="J4933:K4933" si="2715">SUM(J133+J1093+J2053+J3013+J3973)</f>
        <v>2018814.1800000002</v>
      </c>
      <c r="K4933" s="3">
        <f t="shared" si="2715"/>
        <v>3172661.2800000003</v>
      </c>
      <c r="L4933" s="1">
        <f t="shared" si="2708"/>
        <v>5191475.4600000009</v>
      </c>
      <c r="M4933" s="2">
        <f t="shared" si="2709"/>
        <v>0.38887098582182256</v>
      </c>
      <c r="N4933" s="2">
        <f t="shared" si="2710"/>
        <v>0.61112901417817733</v>
      </c>
      <c r="O4933" s="5">
        <f t="shared" si="2711"/>
        <v>899.66327843596673</v>
      </c>
    </row>
    <row r="4934" spans="1:15" x14ac:dyDescent="0.35">
      <c r="A4934" t="s">
        <v>38</v>
      </c>
      <c r="B4934" t="s">
        <v>17</v>
      </c>
      <c r="C4934">
        <v>2013</v>
      </c>
      <c r="D4934" t="s">
        <v>18</v>
      </c>
      <c r="E4934" s="3">
        <f t="shared" ref="E4934:F4934" si="2716">SUM(E134+E1094+E2054+E3014+E3974)</f>
        <v>2301067</v>
      </c>
      <c r="F4934" s="3">
        <f t="shared" si="2716"/>
        <v>3480816</v>
      </c>
      <c r="G4934" s="1">
        <f>SUM(E4934:F4934)</f>
        <v>5781883</v>
      </c>
      <c r="H4934" s="2">
        <f>SUM(E4934)/G4934</f>
        <v>0.3979788245455676</v>
      </c>
      <c r="I4934" s="2">
        <f>SUM(F4934/G4934)</f>
        <v>0.60202117545443246</v>
      </c>
      <c r="J4934" s="3">
        <f t="shared" ref="J4934:K4934" si="2717">SUM(J134+J1094+J2054+J3014+J3974)</f>
        <v>2681013.92</v>
      </c>
      <c r="K4934" s="3">
        <f t="shared" si="2717"/>
        <v>4216715.0599999996</v>
      </c>
      <c r="L4934" s="1">
        <f t="shared" si="2708"/>
        <v>6897728.9799999995</v>
      </c>
      <c r="M4934" s="2">
        <f t="shared" si="2709"/>
        <v>0.38868066979343685</v>
      </c>
      <c r="N4934" s="2">
        <f t="shared" si="2710"/>
        <v>0.61131933020656315</v>
      </c>
      <c r="O4934" s="5">
        <f t="shared" si="2711"/>
        <v>1192.9900656931313</v>
      </c>
    </row>
    <row r="4935" spans="1:15" x14ac:dyDescent="0.35">
      <c r="A4935" t="s">
        <v>38</v>
      </c>
      <c r="B4935" t="s">
        <v>19</v>
      </c>
      <c r="C4935">
        <v>2013</v>
      </c>
      <c r="D4935" t="s">
        <v>18</v>
      </c>
      <c r="E4935" s="3">
        <f t="shared" ref="E4935:F4935" si="2718">SUM(E135+E1095+E2055+E3015+E3975)</f>
        <v>2291652</v>
      </c>
      <c r="F4935" s="3">
        <f t="shared" si="2718"/>
        <v>3492072</v>
      </c>
      <c r="G4935" s="1">
        <f t="shared" ref="G4935:G4945" si="2719">SUM(E4935:F4935)</f>
        <v>5783724</v>
      </c>
      <c r="H4935" s="2">
        <f t="shared" ref="H4935:H4945" si="2720">SUM(E4935)/G4935</f>
        <v>0.39622430115959889</v>
      </c>
      <c r="I4935" s="2">
        <f t="shared" ref="I4935:I4945" si="2721">SUM(F4935/G4935)</f>
        <v>0.60377569884040105</v>
      </c>
      <c r="J4935" s="3">
        <f t="shared" ref="J4935:K4935" si="2722">SUM(J135+J1095+J2055+J3015+J3975)</f>
        <v>2146638.0999999996</v>
      </c>
      <c r="K4935" s="3">
        <f t="shared" si="2722"/>
        <v>3385855.15</v>
      </c>
      <c r="L4935" s="1">
        <f t="shared" si="2708"/>
        <v>5532493.25</v>
      </c>
      <c r="M4935" s="2">
        <f t="shared" si="2709"/>
        <v>0.38800555246949459</v>
      </c>
      <c r="N4935" s="2">
        <f t="shared" si="2710"/>
        <v>0.61199444753050536</v>
      </c>
      <c r="O4935" s="5">
        <f t="shared" si="2711"/>
        <v>956.56245872036766</v>
      </c>
    </row>
    <row r="4936" spans="1:15" x14ac:dyDescent="0.35">
      <c r="A4936" t="s">
        <v>38</v>
      </c>
      <c r="B4936" t="s">
        <v>20</v>
      </c>
      <c r="C4936">
        <v>2013</v>
      </c>
      <c r="D4936" t="s">
        <v>18</v>
      </c>
      <c r="E4936" s="3">
        <f t="shared" ref="E4936:F4936" si="2723">SUM(E136+E1096+E2056+E3016+E3976)</f>
        <v>2280931</v>
      </c>
      <c r="F4936" s="3">
        <f t="shared" si="2723"/>
        <v>3511519</v>
      </c>
      <c r="G4936" s="1">
        <f t="shared" si="2719"/>
        <v>5792450</v>
      </c>
      <c r="H4936" s="2">
        <f t="shared" si="2720"/>
        <v>0.39377655396248568</v>
      </c>
      <c r="I4936" s="2">
        <f t="shared" si="2721"/>
        <v>0.60622344603751432</v>
      </c>
      <c r="J4936" s="3">
        <f t="shared" ref="J4936:K4936" si="2724">SUM(J136+J1096+J2056+J3016+J3976)</f>
        <v>1898060.99</v>
      </c>
      <c r="K4936" s="3">
        <f t="shared" si="2724"/>
        <v>3013809.83</v>
      </c>
      <c r="L4936" s="1">
        <f t="shared" si="2708"/>
        <v>4911870.82</v>
      </c>
      <c r="M4936" s="2">
        <f t="shared" si="2709"/>
        <v>0.38642323048715682</v>
      </c>
      <c r="N4936" s="2">
        <f t="shared" si="2710"/>
        <v>0.61357676951284312</v>
      </c>
      <c r="O4936" s="5">
        <f t="shared" si="2711"/>
        <v>847.97811288832872</v>
      </c>
    </row>
    <row r="4937" spans="1:15" x14ac:dyDescent="0.35">
      <c r="A4937" t="s">
        <v>38</v>
      </c>
      <c r="B4937" t="s">
        <v>21</v>
      </c>
      <c r="C4937">
        <v>2013</v>
      </c>
      <c r="D4937" t="s">
        <v>18</v>
      </c>
      <c r="E4937" s="3">
        <f t="shared" ref="E4937:F4937" si="2725">SUM(E137+E1097+E2057+E3017+E3977)</f>
        <v>2271719</v>
      </c>
      <c r="F4937" s="3">
        <f t="shared" si="2725"/>
        <v>3535059</v>
      </c>
      <c r="G4937" s="1">
        <f t="shared" si="2719"/>
        <v>5806778</v>
      </c>
      <c r="H4937" s="2">
        <f t="shared" si="2720"/>
        <v>0.39121850361766886</v>
      </c>
      <c r="I4937" s="2">
        <f t="shared" si="2721"/>
        <v>0.60878149638233114</v>
      </c>
      <c r="J4937" s="3">
        <f t="shared" ref="J4937:K4937" si="2726">SUM(J137+J1097+J2057+J3017+J3977)</f>
        <v>1838856.23</v>
      </c>
      <c r="K4937" s="3">
        <f t="shared" si="2726"/>
        <v>3003115.0500000003</v>
      </c>
      <c r="L4937" s="1">
        <f t="shared" si="2708"/>
        <v>4841971.28</v>
      </c>
      <c r="M4937" s="2">
        <f t="shared" si="2709"/>
        <v>0.37977429515030081</v>
      </c>
      <c r="N4937" s="2">
        <f t="shared" si="2710"/>
        <v>0.62022570484969919</v>
      </c>
      <c r="O4937" s="5">
        <f t="shared" si="2711"/>
        <v>833.84818224495586</v>
      </c>
    </row>
    <row r="4938" spans="1:15" x14ac:dyDescent="0.35">
      <c r="A4938" t="s">
        <v>38</v>
      </c>
      <c r="B4938" t="s">
        <v>22</v>
      </c>
      <c r="C4938">
        <v>2013</v>
      </c>
      <c r="D4938" t="s">
        <v>18</v>
      </c>
      <c r="E4938" s="3">
        <f t="shared" ref="E4938:F4938" si="2727">SUM(E138+E1098+E2058+E3018+E3978)</f>
        <v>2264448</v>
      </c>
      <c r="F4938" s="3">
        <f t="shared" si="2727"/>
        <v>3548528</v>
      </c>
      <c r="G4938" s="1">
        <f t="shared" si="2719"/>
        <v>5812976</v>
      </c>
      <c r="H4938" s="2">
        <f t="shared" si="2720"/>
        <v>0.38955055035493008</v>
      </c>
      <c r="I4938" s="2">
        <f t="shared" si="2721"/>
        <v>0.61044944964506997</v>
      </c>
      <c r="J4938" s="3">
        <f t="shared" ref="J4938:K4938" si="2728">SUM(J138+J1098+J2058+J3018+J3978)</f>
        <v>1860445.07</v>
      </c>
      <c r="K4938" s="3">
        <f t="shared" si="2728"/>
        <v>3095028.1900000004</v>
      </c>
      <c r="L4938" s="1">
        <f t="shared" si="2708"/>
        <v>4955473.2600000007</v>
      </c>
      <c r="M4938" s="2">
        <f t="shared" si="2709"/>
        <v>0.37543236990446394</v>
      </c>
      <c r="N4938" s="2">
        <f t="shared" si="2710"/>
        <v>0.62456763009553606</v>
      </c>
      <c r="O4938" s="5">
        <f t="shared" si="2711"/>
        <v>852.48472727222702</v>
      </c>
    </row>
    <row r="4939" spans="1:15" x14ac:dyDescent="0.35">
      <c r="A4939" t="s">
        <v>38</v>
      </c>
      <c r="B4939" t="s">
        <v>23</v>
      </c>
      <c r="C4939">
        <v>2013</v>
      </c>
      <c r="D4939" t="s">
        <v>18</v>
      </c>
      <c r="E4939" s="3">
        <f t="shared" ref="E4939:F4939" si="2729">SUM(E139+E1099+E2059+E3019+E3979)</f>
        <v>2257270</v>
      </c>
      <c r="F4939" s="3">
        <f t="shared" si="2729"/>
        <v>3568225</v>
      </c>
      <c r="G4939" s="1">
        <f t="shared" si="2719"/>
        <v>5825495</v>
      </c>
      <c r="H4939" s="2">
        <f t="shared" si="2720"/>
        <v>0.38748123550015923</v>
      </c>
      <c r="I4939" s="2">
        <f t="shared" si="2721"/>
        <v>0.61251876449984077</v>
      </c>
      <c r="J4939" s="3">
        <f t="shared" ref="J4939:K4939" si="2730">SUM(J139+J1099+J2059+J3019+J3979)</f>
        <v>2762804.36</v>
      </c>
      <c r="K4939" s="3">
        <f t="shared" si="2730"/>
        <v>4564954.5100000007</v>
      </c>
      <c r="L4939" s="1">
        <f t="shared" si="2708"/>
        <v>7327758.870000001</v>
      </c>
      <c r="M4939" s="2">
        <f t="shared" si="2709"/>
        <v>0.37703265200373598</v>
      </c>
      <c r="N4939" s="2">
        <f t="shared" si="2710"/>
        <v>0.62296734799626396</v>
      </c>
      <c r="O4939" s="5">
        <f t="shared" si="2711"/>
        <v>1257.87746277355</v>
      </c>
    </row>
    <row r="4940" spans="1:15" x14ac:dyDescent="0.35">
      <c r="A4940" t="s">
        <v>38</v>
      </c>
      <c r="B4940" t="s">
        <v>24</v>
      </c>
      <c r="C4940">
        <v>2013</v>
      </c>
      <c r="D4940" t="s">
        <v>18</v>
      </c>
      <c r="E4940" s="3">
        <f t="shared" ref="E4940:F4940" si="2731">SUM(E140+E1100+E2060+E3020+E3980)</f>
        <v>2251219</v>
      </c>
      <c r="F4940" s="3">
        <f t="shared" si="2731"/>
        <v>3592284</v>
      </c>
      <c r="G4940" s="1">
        <f t="shared" si="2719"/>
        <v>5843503</v>
      </c>
      <c r="H4940" s="2">
        <f t="shared" si="2720"/>
        <v>0.38525162047491035</v>
      </c>
      <c r="I4940" s="2">
        <f t="shared" si="2721"/>
        <v>0.61474837952508965</v>
      </c>
      <c r="J4940" s="3">
        <f t="shared" ref="J4940:K4940" si="2732">SUM(J140+J1100+J2060+J3020+J3980)</f>
        <v>3607314.31</v>
      </c>
      <c r="K4940" s="3">
        <f t="shared" si="2732"/>
        <v>5859978.3999999994</v>
      </c>
      <c r="L4940" s="1">
        <f t="shared" si="2708"/>
        <v>9467292.709999999</v>
      </c>
      <c r="M4940" s="2">
        <f t="shared" si="2709"/>
        <v>0.38102913055489551</v>
      </c>
      <c r="N4940" s="2">
        <f t="shared" si="2710"/>
        <v>0.6189708694451046</v>
      </c>
      <c r="O4940" s="5">
        <f t="shared" si="2711"/>
        <v>1620.1399588568702</v>
      </c>
    </row>
    <row r="4941" spans="1:15" x14ac:dyDescent="0.35">
      <c r="A4941" t="s">
        <v>38</v>
      </c>
      <c r="B4941" t="s">
        <v>25</v>
      </c>
      <c r="C4941">
        <v>2013</v>
      </c>
      <c r="D4941" t="s">
        <v>18</v>
      </c>
      <c r="E4941" s="3">
        <f t="shared" ref="E4941:F4941" si="2733">SUM(E141+E1101+E2061+E3021+E3981)</f>
        <v>2245691</v>
      </c>
      <c r="F4941" s="3">
        <f t="shared" si="2733"/>
        <v>3607429</v>
      </c>
      <c r="G4941" s="1">
        <f t="shared" si="2719"/>
        <v>5853120</v>
      </c>
      <c r="H4941" s="2">
        <f t="shared" si="2720"/>
        <v>0.38367417719096825</v>
      </c>
      <c r="I4941" s="2">
        <f t="shared" si="2721"/>
        <v>0.61632582280903181</v>
      </c>
      <c r="J4941" s="3">
        <f t="shared" ref="J4941:K4941" si="2734">SUM(J141+J1101+J2061+J3021+J3981)</f>
        <v>3686286.19</v>
      </c>
      <c r="K4941" s="3">
        <f t="shared" si="2734"/>
        <v>5993946.5800000001</v>
      </c>
      <c r="L4941" s="1">
        <f t="shared" si="2708"/>
        <v>9680232.7699999996</v>
      </c>
      <c r="M4941" s="2">
        <f t="shared" si="2709"/>
        <v>0.38080553201408196</v>
      </c>
      <c r="N4941" s="2">
        <f t="shared" si="2710"/>
        <v>0.61919446798591815</v>
      </c>
      <c r="O4941" s="5">
        <f t="shared" si="2711"/>
        <v>1653.8585865316277</v>
      </c>
    </row>
    <row r="4942" spans="1:15" x14ac:dyDescent="0.35">
      <c r="A4942" t="s">
        <v>38</v>
      </c>
      <c r="B4942" t="s">
        <v>26</v>
      </c>
      <c r="C4942">
        <v>2013</v>
      </c>
      <c r="D4942" t="s">
        <v>18</v>
      </c>
      <c r="E4942" s="3">
        <f t="shared" ref="E4942:F4942" si="2735">SUM(E142+E1102+E2062+E3022+E3982)</f>
        <v>2239198</v>
      </c>
      <c r="F4942" s="3">
        <f t="shared" si="2735"/>
        <v>3613751</v>
      </c>
      <c r="G4942" s="1">
        <f t="shared" si="2719"/>
        <v>5852949</v>
      </c>
      <c r="H4942" s="2">
        <f t="shared" si="2720"/>
        <v>0.38257603133053097</v>
      </c>
      <c r="I4942" s="2">
        <f t="shared" si="2721"/>
        <v>0.61742396866946903</v>
      </c>
      <c r="J4942" s="3">
        <f t="shared" ref="J4942:K4942" si="2736">SUM(J142+J1102+J2062+J3022+J3982)</f>
        <v>3708271.89</v>
      </c>
      <c r="K4942" s="3">
        <f t="shared" si="2736"/>
        <v>6036904.2000000002</v>
      </c>
      <c r="L4942" s="1">
        <f t="shared" si="2708"/>
        <v>9745176.0899999999</v>
      </c>
      <c r="M4942" s="2">
        <f t="shared" si="2709"/>
        <v>0.38052384643980303</v>
      </c>
      <c r="N4942" s="2">
        <f t="shared" si="2710"/>
        <v>0.61947615356019703</v>
      </c>
      <c r="O4942" s="5">
        <f t="shared" si="2711"/>
        <v>1665.0027345189578</v>
      </c>
    </row>
    <row r="4943" spans="1:15" x14ac:dyDescent="0.35">
      <c r="A4943" t="s">
        <v>38</v>
      </c>
      <c r="B4943" t="s">
        <v>27</v>
      </c>
      <c r="C4943">
        <v>2013</v>
      </c>
      <c r="D4943" t="s">
        <v>18</v>
      </c>
      <c r="E4943" s="3">
        <f t="shared" ref="E4943:F4943" si="2737">SUM(E143+E1103+E2063+E3023+E3983)</f>
        <v>2232373</v>
      </c>
      <c r="F4943" s="3">
        <f t="shared" si="2737"/>
        <v>3619699</v>
      </c>
      <c r="G4943" s="1">
        <f t="shared" si="2719"/>
        <v>5852072</v>
      </c>
      <c r="H4943" s="2">
        <f t="shared" si="2720"/>
        <v>0.38146711113602155</v>
      </c>
      <c r="I4943" s="2">
        <f t="shared" si="2721"/>
        <v>0.61853288886397839</v>
      </c>
      <c r="J4943" s="3">
        <f t="shared" ref="J4943:K4943" si="2738">SUM(J143+J1103+J2063+J3023+J3983)</f>
        <v>2819180.71</v>
      </c>
      <c r="K4943" s="3">
        <f t="shared" si="2738"/>
        <v>4714212.2700000005</v>
      </c>
      <c r="L4943" s="1">
        <f t="shared" si="2708"/>
        <v>7533392.9800000004</v>
      </c>
      <c r="M4943" s="2">
        <f t="shared" si="2709"/>
        <v>0.37422456487860001</v>
      </c>
      <c r="N4943" s="2">
        <f t="shared" si="2710"/>
        <v>0.62577543512139999</v>
      </c>
      <c r="O4943" s="5">
        <f t="shared" si="2711"/>
        <v>1287.3035362517755</v>
      </c>
    </row>
    <row r="4944" spans="1:15" x14ac:dyDescent="0.35">
      <c r="A4944" t="s">
        <v>38</v>
      </c>
      <c r="B4944" t="s">
        <v>28</v>
      </c>
      <c r="C4944">
        <v>2013</v>
      </c>
      <c r="D4944" t="s">
        <v>18</v>
      </c>
      <c r="E4944" s="3">
        <f t="shared" ref="E4944:F4944" si="2739">SUM(E144+E1104+E2064+E3024+E3984)</f>
        <v>2224945</v>
      </c>
      <c r="F4944" s="3">
        <f t="shared" si="2739"/>
        <v>3631210</v>
      </c>
      <c r="G4944" s="1">
        <f t="shared" si="2719"/>
        <v>5856155</v>
      </c>
      <c r="H4944" s="2">
        <f t="shared" si="2720"/>
        <v>0.37993273743608219</v>
      </c>
      <c r="I4944" s="2">
        <f t="shared" si="2721"/>
        <v>0.62006726256391775</v>
      </c>
      <c r="J4944" s="3">
        <f t="shared" ref="J4944:K4944" si="2740">SUM(J144+J1104+J2064+J3024+J3984)</f>
        <v>1844675.29</v>
      </c>
      <c r="K4944" s="3">
        <f t="shared" si="2740"/>
        <v>3185801.82</v>
      </c>
      <c r="L4944" s="1">
        <f t="shared" si="2708"/>
        <v>5030477.1099999994</v>
      </c>
      <c r="M4944" s="2">
        <f t="shared" si="2709"/>
        <v>0.36669986755987849</v>
      </c>
      <c r="N4944" s="2">
        <f t="shared" si="2710"/>
        <v>0.63330013244012162</v>
      </c>
      <c r="O4944" s="5">
        <f t="shared" si="2711"/>
        <v>859.0068244436834</v>
      </c>
    </row>
    <row r="4945" spans="1:15" x14ac:dyDescent="0.35">
      <c r="A4945" t="s">
        <v>38</v>
      </c>
      <c r="B4945" t="s">
        <v>29</v>
      </c>
      <c r="C4945">
        <v>2013</v>
      </c>
      <c r="D4945" t="s">
        <v>18</v>
      </c>
      <c r="E4945" s="3">
        <f t="shared" ref="E4945:F4945" si="2741">SUM(E145+E1105+E2065+E3025+E3985)</f>
        <v>2220246</v>
      </c>
      <c r="F4945" s="3">
        <f t="shared" si="2741"/>
        <v>3630016</v>
      </c>
      <c r="G4945" s="1">
        <f t="shared" si="2719"/>
        <v>5850262</v>
      </c>
      <c r="H4945" s="2">
        <f t="shared" si="2720"/>
        <v>0.37951223381106691</v>
      </c>
      <c r="I4945" s="2">
        <f t="shared" si="2721"/>
        <v>0.62048776618893309</v>
      </c>
      <c r="J4945" s="3">
        <f t="shared" ref="J4945:K4945" si="2742">SUM(J145+J1105+J2065+J3025+J3985)</f>
        <v>2419043.21</v>
      </c>
      <c r="K4945" s="3">
        <f t="shared" si="2742"/>
        <v>4179882.6700000004</v>
      </c>
      <c r="L4945" s="1">
        <f t="shared" si="2708"/>
        <v>6598925.8800000008</v>
      </c>
      <c r="M4945" s="2">
        <f t="shared" si="2709"/>
        <v>0.36658135793457336</v>
      </c>
      <c r="N4945" s="2">
        <f t="shared" si="2710"/>
        <v>0.63341864206542653</v>
      </c>
      <c r="O4945" s="5">
        <f t="shared" si="2711"/>
        <v>1127.9710002731504</v>
      </c>
    </row>
    <row r="4946" spans="1:15" x14ac:dyDescent="0.35">
      <c r="A4946" t="s">
        <v>38</v>
      </c>
      <c r="B4946" t="s">
        <v>17</v>
      </c>
      <c r="C4946">
        <v>2014</v>
      </c>
      <c r="D4946" t="s">
        <v>18</v>
      </c>
      <c r="E4946" s="3">
        <f t="shared" ref="E4946:F4946" si="2743">SUM(E146+E1106+E2066+E3026+E3986)</f>
        <v>2208853</v>
      </c>
      <c r="F4946" s="3">
        <f t="shared" si="2743"/>
        <v>3616342</v>
      </c>
      <c r="G4946" s="1">
        <f>SUM(E4946:F4946)</f>
        <v>5825195</v>
      </c>
      <c r="H4946" s="2">
        <f>SUM(E4946)/G4946</f>
        <v>0.37918953786096432</v>
      </c>
      <c r="I4946" s="2">
        <f>SUM(F4946/G4946)</f>
        <v>0.62081046213903568</v>
      </c>
      <c r="J4946" s="3">
        <f t="shared" ref="J4946:K4946" si="2744">SUM(J146+J1106+J2066+J3026+J3986)</f>
        <v>2886149.54</v>
      </c>
      <c r="K4946" s="3">
        <f t="shared" si="2744"/>
        <v>4949059.59</v>
      </c>
      <c r="L4946" s="1">
        <f t="shared" si="2708"/>
        <v>7835209.1299999999</v>
      </c>
      <c r="M4946" s="2">
        <f t="shared" si="2709"/>
        <v>0.36835641424672477</v>
      </c>
      <c r="N4946" s="2">
        <f t="shared" si="2710"/>
        <v>0.63164358575327517</v>
      </c>
      <c r="O4946" s="5">
        <f t="shared" si="2711"/>
        <v>1345.0552522276078</v>
      </c>
    </row>
    <row r="4947" spans="1:15" x14ac:dyDescent="0.35">
      <c r="A4947" t="s">
        <v>38</v>
      </c>
      <c r="B4947" t="s">
        <v>19</v>
      </c>
      <c r="C4947">
        <v>2014</v>
      </c>
      <c r="D4947" t="s">
        <v>18</v>
      </c>
      <c r="E4947" s="3">
        <f t="shared" ref="E4947:F4947" si="2745">SUM(E147+E1107+E2067+E3027+E3987)</f>
        <v>2202812</v>
      </c>
      <c r="F4947" s="3">
        <f t="shared" si="2745"/>
        <v>3637120</v>
      </c>
      <c r="G4947" s="1">
        <f t="shared" ref="G4947:G4957" si="2746">SUM(E4947:F4947)</f>
        <v>5839932</v>
      </c>
      <c r="H4947" s="2">
        <f t="shared" ref="H4947:H4957" si="2747">SUM(E4947)/G4947</f>
        <v>0.37719822765059591</v>
      </c>
      <c r="I4947" s="2">
        <f t="shared" ref="I4947:I4957" si="2748">SUM(F4947/G4947)</f>
        <v>0.62280177234940404</v>
      </c>
      <c r="J4947" s="3">
        <f t="shared" ref="J4947:K4947" si="2749">SUM(J147+J1107+J2067+J3027+J3987)</f>
        <v>2541491.8300000005</v>
      </c>
      <c r="K4947" s="3">
        <f t="shared" si="2749"/>
        <v>4430299.8999999994</v>
      </c>
      <c r="L4947" s="1">
        <f t="shared" si="2708"/>
        <v>6971791.7300000004</v>
      </c>
      <c r="M4947" s="2">
        <f t="shared" si="2709"/>
        <v>0.36453926457151931</v>
      </c>
      <c r="N4947" s="2">
        <f t="shared" si="2710"/>
        <v>0.63546073542848058</v>
      </c>
      <c r="O4947" s="5">
        <f t="shared" si="2711"/>
        <v>1193.8138543393998</v>
      </c>
    </row>
    <row r="4948" spans="1:15" x14ac:dyDescent="0.35">
      <c r="A4948" t="s">
        <v>38</v>
      </c>
      <c r="B4948" t="s">
        <v>20</v>
      </c>
      <c r="C4948">
        <v>2014</v>
      </c>
      <c r="D4948" t="s">
        <v>18</v>
      </c>
      <c r="E4948" s="3">
        <f t="shared" ref="E4948:F4948" si="2750">SUM(E148+E1108+E2068+E3028+E3988)</f>
        <v>2194197</v>
      </c>
      <c r="F4948" s="3">
        <f t="shared" si="2750"/>
        <v>3648413</v>
      </c>
      <c r="G4948" s="1">
        <f t="shared" si="2746"/>
        <v>5842610</v>
      </c>
      <c r="H4948" s="2">
        <f t="shared" si="2747"/>
        <v>0.37555082403241019</v>
      </c>
      <c r="I4948" s="2">
        <f t="shared" si="2748"/>
        <v>0.62444917596758986</v>
      </c>
      <c r="J4948" s="3">
        <f t="shared" ref="J4948:K4948" si="2751">SUM(J148+J1108+J2068+J3028+J3988)</f>
        <v>2158158.7599999998</v>
      </c>
      <c r="K4948" s="3">
        <f t="shared" si="2751"/>
        <v>3752705.14</v>
      </c>
      <c r="L4948" s="1">
        <f t="shared" si="2708"/>
        <v>5910863.9000000004</v>
      </c>
      <c r="M4948" s="2">
        <f t="shared" si="2709"/>
        <v>0.36511731559239585</v>
      </c>
      <c r="N4948" s="2">
        <f t="shared" si="2710"/>
        <v>0.63488268440760409</v>
      </c>
      <c r="O4948" s="5">
        <f t="shared" si="2711"/>
        <v>1011.6820907094603</v>
      </c>
    </row>
    <row r="4949" spans="1:15" x14ac:dyDescent="0.35">
      <c r="A4949" t="s">
        <v>38</v>
      </c>
      <c r="B4949" t="s">
        <v>21</v>
      </c>
      <c r="C4949">
        <v>2014</v>
      </c>
      <c r="D4949" t="s">
        <v>18</v>
      </c>
      <c r="E4949" s="3">
        <f t="shared" ref="E4949:F4949" si="2752">SUM(E149+E1109+E2069+E3029+E3989)</f>
        <v>2198801</v>
      </c>
      <c r="F4949" s="3">
        <f t="shared" si="2752"/>
        <v>3700914</v>
      </c>
      <c r="G4949" s="1">
        <f t="shared" si="2746"/>
        <v>5899715</v>
      </c>
      <c r="H4949" s="2">
        <f t="shared" si="2747"/>
        <v>0.37269613871178525</v>
      </c>
      <c r="I4949" s="2">
        <f t="shared" si="2748"/>
        <v>0.6273038612882148</v>
      </c>
      <c r="J4949" s="3">
        <f t="shared" ref="J4949:K4949" si="2753">SUM(J149+J1109+J2069+J3029+J3989)</f>
        <v>1754403.69</v>
      </c>
      <c r="K4949" s="3">
        <f t="shared" si="2753"/>
        <v>3105319.52</v>
      </c>
      <c r="L4949" s="1">
        <f t="shared" si="2708"/>
        <v>4859723.21</v>
      </c>
      <c r="M4949" s="2">
        <f t="shared" si="2709"/>
        <v>0.36100897400697846</v>
      </c>
      <c r="N4949" s="2">
        <f t="shared" si="2710"/>
        <v>0.63899102599302149</v>
      </c>
      <c r="O4949" s="5">
        <f t="shared" si="2711"/>
        <v>823.72168994603976</v>
      </c>
    </row>
    <row r="4950" spans="1:15" x14ac:dyDescent="0.35">
      <c r="A4950" t="s">
        <v>38</v>
      </c>
      <c r="B4950" t="s">
        <v>22</v>
      </c>
      <c r="C4950">
        <v>2014</v>
      </c>
      <c r="D4950" t="s">
        <v>18</v>
      </c>
      <c r="E4950" s="3">
        <f t="shared" ref="E4950:F4950" si="2754">SUM(E150+E1110+E2070+E3030+E3990)</f>
        <v>2193505</v>
      </c>
      <c r="F4950" s="3">
        <f t="shared" si="2754"/>
        <v>3713885</v>
      </c>
      <c r="G4950" s="1">
        <f t="shared" si="2746"/>
        <v>5907390</v>
      </c>
      <c r="H4950" s="2">
        <f t="shared" si="2747"/>
        <v>0.37131542017710023</v>
      </c>
      <c r="I4950" s="2">
        <f t="shared" si="2748"/>
        <v>0.62868457982289982</v>
      </c>
      <c r="J4950" s="3">
        <f t="shared" ref="J4950:K4950" si="2755">SUM(J150+J1110+J2070+J3030+J3990)</f>
        <v>1906042.6199999999</v>
      </c>
      <c r="K4950" s="3">
        <f t="shared" si="2755"/>
        <v>3420468.75</v>
      </c>
      <c r="L4950" s="1">
        <f t="shared" si="2708"/>
        <v>5326511.37</v>
      </c>
      <c r="M4950" s="2">
        <f t="shared" si="2709"/>
        <v>0.35784071179031385</v>
      </c>
      <c r="N4950" s="2">
        <f t="shared" si="2710"/>
        <v>0.64215928820968604</v>
      </c>
      <c r="O4950" s="5">
        <f t="shared" si="2711"/>
        <v>901.66915846084316</v>
      </c>
    </row>
    <row r="4951" spans="1:15" x14ac:dyDescent="0.35">
      <c r="A4951" t="s">
        <v>38</v>
      </c>
      <c r="B4951" t="s">
        <v>23</v>
      </c>
      <c r="C4951">
        <v>2014</v>
      </c>
      <c r="D4951" t="s">
        <v>18</v>
      </c>
      <c r="E4951" s="3">
        <f t="shared" ref="E4951:F4951" si="2756">SUM(E151+E1111+E2071+E3031+E3991)</f>
        <v>2188351</v>
      </c>
      <c r="F4951" s="3">
        <f t="shared" si="2756"/>
        <v>3734426</v>
      </c>
      <c r="G4951" s="1">
        <f t="shared" si="2746"/>
        <v>5922777</v>
      </c>
      <c r="H4951" s="2">
        <f t="shared" si="2747"/>
        <v>0.36948056629516862</v>
      </c>
      <c r="I4951" s="2">
        <f t="shared" si="2748"/>
        <v>0.63051943370483132</v>
      </c>
      <c r="J4951" s="3">
        <f t="shared" ref="J4951:K4951" si="2757">SUM(J151+J1111+J2071+J3031+J3991)</f>
        <v>2580557.65</v>
      </c>
      <c r="K4951" s="3">
        <f t="shared" si="2757"/>
        <v>4604400.96</v>
      </c>
      <c r="L4951" s="1">
        <f t="shared" si="2708"/>
        <v>7184958.6099999994</v>
      </c>
      <c r="M4951" s="2">
        <f t="shared" si="2709"/>
        <v>0.35916110169491988</v>
      </c>
      <c r="N4951" s="2">
        <f t="shared" si="2710"/>
        <v>0.64083889830508023</v>
      </c>
      <c r="O4951" s="5">
        <f t="shared" si="2711"/>
        <v>1213.1063874260333</v>
      </c>
    </row>
    <row r="4952" spans="1:15" x14ac:dyDescent="0.35">
      <c r="A4952" t="s">
        <v>38</v>
      </c>
      <c r="B4952" t="s">
        <v>24</v>
      </c>
      <c r="C4952">
        <v>2014</v>
      </c>
      <c r="D4952" t="s">
        <v>18</v>
      </c>
      <c r="E4952" s="3">
        <f t="shared" ref="E4952:F4952" si="2758">SUM(E152+E1112+E2072+E3032+E3992)</f>
        <v>2181436</v>
      </c>
      <c r="F4952" s="3">
        <f t="shared" si="2758"/>
        <v>3758524</v>
      </c>
      <c r="G4952" s="1">
        <f t="shared" si="2746"/>
        <v>5939960</v>
      </c>
      <c r="H4952" s="2">
        <f t="shared" si="2747"/>
        <v>0.36724759089286796</v>
      </c>
      <c r="I4952" s="2">
        <f t="shared" si="2748"/>
        <v>0.63275240910713204</v>
      </c>
      <c r="J4952" s="3">
        <f t="shared" ref="J4952:K4952" si="2759">SUM(J152+J1112+J2072+J3032+J3992)</f>
        <v>3208191.3000000003</v>
      </c>
      <c r="K4952" s="3">
        <f t="shared" si="2759"/>
        <v>5679303</v>
      </c>
      <c r="L4952" s="1">
        <f t="shared" si="2708"/>
        <v>8887494.3000000007</v>
      </c>
      <c r="M4952" s="2">
        <f t="shared" si="2709"/>
        <v>0.36097815556404916</v>
      </c>
      <c r="N4952" s="2">
        <f t="shared" si="2710"/>
        <v>0.63902184443595078</v>
      </c>
      <c r="O4952" s="5">
        <f t="shared" si="2711"/>
        <v>1496.2212371800483</v>
      </c>
    </row>
    <row r="4953" spans="1:15" x14ac:dyDescent="0.35">
      <c r="A4953" t="s">
        <v>38</v>
      </c>
      <c r="B4953" t="s">
        <v>25</v>
      </c>
      <c r="C4953">
        <v>2014</v>
      </c>
      <c r="D4953" t="s">
        <v>18</v>
      </c>
      <c r="E4953" s="3">
        <f t="shared" ref="E4953:F4953" si="2760">SUM(E153+E1113+E2073+E3033+E3993)</f>
        <v>2172127</v>
      </c>
      <c r="F4953" s="3">
        <f t="shared" si="2760"/>
        <v>3770842</v>
      </c>
      <c r="G4953" s="1">
        <f t="shared" si="2746"/>
        <v>5942969</v>
      </c>
      <c r="H4953" s="2">
        <f t="shared" si="2747"/>
        <v>0.36549526002912014</v>
      </c>
      <c r="I4953" s="2">
        <f t="shared" si="2748"/>
        <v>0.63450473997087986</v>
      </c>
      <c r="J4953" s="3">
        <f t="shared" ref="J4953:K4953" si="2761">SUM(J153+J1113+J2073+J3033+J3993)</f>
        <v>3338032.61</v>
      </c>
      <c r="K4953" s="3">
        <f t="shared" si="2761"/>
        <v>5923581.5800000001</v>
      </c>
      <c r="L4953" s="1">
        <f t="shared" si="2708"/>
        <v>9261614.1899999995</v>
      </c>
      <c r="M4953" s="2">
        <f t="shared" si="2709"/>
        <v>0.36041585640699203</v>
      </c>
      <c r="N4953" s="2">
        <f t="shared" si="2710"/>
        <v>0.63958414359300797</v>
      </c>
      <c r="O4953" s="5">
        <f t="shared" si="2711"/>
        <v>1558.4153627589174</v>
      </c>
    </row>
    <row r="4954" spans="1:15" x14ac:dyDescent="0.35">
      <c r="A4954" t="s">
        <v>38</v>
      </c>
      <c r="B4954" t="s">
        <v>26</v>
      </c>
      <c r="C4954">
        <v>2014</v>
      </c>
      <c r="D4954" t="s">
        <v>18</v>
      </c>
      <c r="E4954" s="3">
        <f t="shared" ref="E4954:F4954" si="2762">SUM(E154+E1114+E2074+E3034+E3994)</f>
        <v>2163056</v>
      </c>
      <c r="F4954" s="3">
        <f t="shared" si="2762"/>
        <v>3774228</v>
      </c>
      <c r="G4954" s="1">
        <f t="shared" si="2746"/>
        <v>5937284</v>
      </c>
      <c r="H4954" s="2">
        <f t="shared" si="2747"/>
        <v>0.36431742190536953</v>
      </c>
      <c r="I4954" s="2">
        <f t="shared" si="2748"/>
        <v>0.63568257809463047</v>
      </c>
      <c r="J4954" s="3">
        <f t="shared" ref="J4954:K4954" si="2763">SUM(J154+J1114+J2074+J3034+J3994)</f>
        <v>3497742.42</v>
      </c>
      <c r="K4954" s="3">
        <f t="shared" si="2763"/>
        <v>6212914.9199999999</v>
      </c>
      <c r="L4954" s="1">
        <f t="shared" si="2708"/>
        <v>9710657.3399999999</v>
      </c>
      <c r="M4954" s="2">
        <f t="shared" si="2709"/>
        <v>0.36019625629174967</v>
      </c>
      <c r="N4954" s="2">
        <f t="shared" si="2710"/>
        <v>0.63980374370825033</v>
      </c>
      <c r="O4954" s="5">
        <f t="shared" si="2711"/>
        <v>1635.5386301211126</v>
      </c>
    </row>
    <row r="4955" spans="1:15" x14ac:dyDescent="0.35">
      <c r="A4955" t="s">
        <v>38</v>
      </c>
      <c r="B4955" t="s">
        <v>27</v>
      </c>
      <c r="C4955">
        <v>2014</v>
      </c>
      <c r="D4955" t="s">
        <v>18</v>
      </c>
      <c r="E4955" s="3">
        <f t="shared" ref="E4955:F4955" si="2764">SUM(E155+E1115+E2075+E3035+E3995)</f>
        <v>2159210</v>
      </c>
      <c r="F4955" s="3">
        <f t="shared" si="2764"/>
        <v>3795761</v>
      </c>
      <c r="G4955" s="1">
        <f t="shared" si="2746"/>
        <v>5954971</v>
      </c>
      <c r="H4955" s="2">
        <f t="shared" si="2747"/>
        <v>0.36258950715293153</v>
      </c>
      <c r="I4955" s="2">
        <f t="shared" si="2748"/>
        <v>0.63741049284706841</v>
      </c>
      <c r="J4955" s="3">
        <f t="shared" ref="J4955:K4955" si="2765">SUM(J155+J1115+J2075+J3035+J3995)</f>
        <v>2519220.85</v>
      </c>
      <c r="K4955" s="3">
        <f t="shared" si="2765"/>
        <v>4614923.07</v>
      </c>
      <c r="L4955" s="1">
        <f t="shared" si="2708"/>
        <v>7134143.9199999999</v>
      </c>
      <c r="M4955" s="2">
        <f t="shared" si="2709"/>
        <v>0.35312167489887142</v>
      </c>
      <c r="N4955" s="2">
        <f t="shared" si="2710"/>
        <v>0.64687832510112864</v>
      </c>
      <c r="O4955" s="5">
        <f t="shared" si="2711"/>
        <v>1198.0148887374935</v>
      </c>
    </row>
    <row r="4956" spans="1:15" x14ac:dyDescent="0.35">
      <c r="A4956" t="s">
        <v>38</v>
      </c>
      <c r="B4956" t="s">
        <v>28</v>
      </c>
      <c r="C4956">
        <v>2014</v>
      </c>
      <c r="D4956" t="s">
        <v>18</v>
      </c>
      <c r="E4956" s="3">
        <f t="shared" ref="E4956:F4956" si="2766">SUM(E156+E1116+E2076+E3036+E3996)</f>
        <v>2151018</v>
      </c>
      <c r="F4956" s="3">
        <f t="shared" si="2766"/>
        <v>3804244</v>
      </c>
      <c r="G4956" s="1">
        <f t="shared" si="2746"/>
        <v>5955262</v>
      </c>
      <c r="H4956" s="2">
        <f t="shared" si="2747"/>
        <v>0.36119619926041879</v>
      </c>
      <c r="I4956" s="2">
        <f t="shared" si="2748"/>
        <v>0.63880380073958121</v>
      </c>
      <c r="J4956" s="3">
        <f t="shared" ref="J4956:K4956" si="2767">SUM(J156+J1116+J2076+J3036+J3996)</f>
        <v>1908822.75</v>
      </c>
      <c r="K4956" s="3">
        <f t="shared" si="2767"/>
        <v>3579517.2500000005</v>
      </c>
      <c r="L4956" s="1">
        <f t="shared" si="2708"/>
        <v>5488340</v>
      </c>
      <c r="M4956" s="2">
        <f t="shared" si="2709"/>
        <v>0.3477960093580208</v>
      </c>
      <c r="N4956" s="2">
        <f t="shared" si="2710"/>
        <v>0.65220399064197931</v>
      </c>
      <c r="O4956" s="5">
        <f t="shared" si="2711"/>
        <v>921.59505324870679</v>
      </c>
    </row>
    <row r="4957" spans="1:15" x14ac:dyDescent="0.35">
      <c r="A4957" t="s">
        <v>38</v>
      </c>
      <c r="B4957" t="s">
        <v>29</v>
      </c>
      <c r="C4957">
        <v>2014</v>
      </c>
      <c r="D4957" t="s">
        <v>18</v>
      </c>
      <c r="E4957" s="3">
        <f t="shared" ref="E4957:F4957" si="2768">SUM(E157+E1117+E2077+E3037+E3997)</f>
        <v>2144013</v>
      </c>
      <c r="F4957" s="3">
        <f t="shared" si="2768"/>
        <v>3814534</v>
      </c>
      <c r="G4957" s="1">
        <f t="shared" si="2746"/>
        <v>5958547</v>
      </c>
      <c r="H4957" s="2">
        <f t="shared" si="2747"/>
        <v>0.35982144640295693</v>
      </c>
      <c r="I4957" s="2">
        <f t="shared" si="2748"/>
        <v>0.64017855359704301</v>
      </c>
      <c r="J4957" s="3">
        <f t="shared" ref="J4957:K4957" si="2769">SUM(J157+J1117+J2077+J3037+J3997)</f>
        <v>1973860.54</v>
      </c>
      <c r="K4957" s="3">
        <f t="shared" si="2769"/>
        <v>3693857.01</v>
      </c>
      <c r="L4957" s="1">
        <f t="shared" si="2708"/>
        <v>5667717.5499999998</v>
      </c>
      <c r="M4957" s="2">
        <f t="shared" si="2709"/>
        <v>0.34826374507671082</v>
      </c>
      <c r="N4957" s="2">
        <f t="shared" si="2710"/>
        <v>0.65173625492328913</v>
      </c>
      <c r="O4957" s="5">
        <f t="shared" si="2711"/>
        <v>951.191213226983</v>
      </c>
    </row>
    <row r="4958" spans="1:15" x14ac:dyDescent="0.35">
      <c r="A4958" t="s">
        <v>38</v>
      </c>
      <c r="B4958" t="s">
        <v>17</v>
      </c>
      <c r="C4958">
        <v>2015</v>
      </c>
      <c r="D4958" t="s">
        <v>18</v>
      </c>
      <c r="E4958" s="3">
        <f t="shared" ref="E4958:F4958" si="2770">SUM(E158+E1118+E2078+E3038+E3998)</f>
        <v>2140623</v>
      </c>
      <c r="F4958" s="3">
        <f t="shared" si="2770"/>
        <v>3827278</v>
      </c>
      <c r="G4958" s="1">
        <f>SUM(E4958:F4958)</f>
        <v>5967901</v>
      </c>
      <c r="H4958" s="2">
        <f>SUM(E4958)/G4958</f>
        <v>0.35868942866176901</v>
      </c>
      <c r="I4958" s="2">
        <f>SUM(F4958/G4958)</f>
        <v>0.64131057133823099</v>
      </c>
      <c r="J4958" s="3">
        <f t="shared" ref="J4958:K4958" si="2771">SUM(J158+J1118+J2078+J3038+J3998)</f>
        <v>2478654.91</v>
      </c>
      <c r="K4958" s="3">
        <f t="shared" si="2771"/>
        <v>4711673</v>
      </c>
      <c r="L4958" s="1">
        <f t="shared" si="2708"/>
        <v>7190327.9100000001</v>
      </c>
      <c r="M4958" s="2">
        <f t="shared" si="2709"/>
        <v>0.34472070551230261</v>
      </c>
      <c r="N4958" s="2">
        <f t="shared" si="2710"/>
        <v>0.65527929448769739</v>
      </c>
      <c r="O4958" s="5">
        <f t="shared" si="2711"/>
        <v>1204.8336441908134</v>
      </c>
    </row>
    <row r="4959" spans="1:15" x14ac:dyDescent="0.35">
      <c r="A4959" t="s">
        <v>38</v>
      </c>
      <c r="B4959" t="s">
        <v>19</v>
      </c>
      <c r="C4959">
        <v>2015</v>
      </c>
      <c r="D4959" t="s">
        <v>18</v>
      </c>
      <c r="E4959" s="3">
        <f t="shared" ref="E4959:F4959" si="2772">SUM(E159+E1119+E2079+E3039+E3999)</f>
        <v>2135294</v>
      </c>
      <c r="F4959" s="3">
        <f t="shared" si="2772"/>
        <v>3844003</v>
      </c>
      <c r="G4959" s="1">
        <f t="shared" ref="G4959:G4969" si="2773">SUM(E4959:F4959)</f>
        <v>5979297</v>
      </c>
      <c r="H4959" s="2">
        <f t="shared" ref="H4959:H4969" si="2774">SUM(E4959)/G4959</f>
        <v>0.35711455711265055</v>
      </c>
      <c r="I4959" s="2">
        <f t="shared" ref="I4959:I4969" si="2775">SUM(F4959/G4959)</f>
        <v>0.6428854428873495</v>
      </c>
      <c r="J4959" s="3">
        <f t="shared" ref="J4959:K4959" si="2776">SUM(J159+J1119+J2079+J3039+J3999)</f>
        <v>2288068.5499999998</v>
      </c>
      <c r="K4959" s="3">
        <f t="shared" si="2776"/>
        <v>4318606.6099999994</v>
      </c>
      <c r="L4959" s="1">
        <f t="shared" si="2708"/>
        <v>6606675.1599999992</v>
      </c>
      <c r="M4959" s="2">
        <f t="shared" si="2709"/>
        <v>0.34632678232056441</v>
      </c>
      <c r="N4959" s="2">
        <f t="shared" si="2710"/>
        <v>0.65367321767943554</v>
      </c>
      <c r="O4959" s="5">
        <f t="shared" si="2711"/>
        <v>1104.9250706228506</v>
      </c>
    </row>
    <row r="4960" spans="1:15" x14ac:dyDescent="0.35">
      <c r="A4960" t="s">
        <v>38</v>
      </c>
      <c r="B4960" t="s">
        <v>20</v>
      </c>
      <c r="C4960">
        <v>2015</v>
      </c>
      <c r="D4960" t="s">
        <v>18</v>
      </c>
      <c r="E4960" s="3">
        <f t="shared" ref="E4960:F4960" si="2777">SUM(E160+E1120+E2080+E3040+E4000)</f>
        <v>2128851</v>
      </c>
      <c r="F4960" s="3">
        <f t="shared" si="2777"/>
        <v>3859674</v>
      </c>
      <c r="G4960" s="1">
        <f t="shared" si="2773"/>
        <v>5988525</v>
      </c>
      <c r="H4960" s="2">
        <f t="shared" si="2774"/>
        <v>0.35548837151051388</v>
      </c>
      <c r="I4960" s="2">
        <f t="shared" si="2775"/>
        <v>0.64451162848948618</v>
      </c>
      <c r="J4960" s="3">
        <f t="shared" ref="J4960:K4960" si="2778">SUM(J160+J1120+J2080+J3040+J4000)</f>
        <v>2212468.85</v>
      </c>
      <c r="K4960" s="3">
        <f t="shared" si="2778"/>
        <v>4217174.7399999993</v>
      </c>
      <c r="L4960" s="1">
        <f t="shared" si="2708"/>
        <v>6429643.5899999999</v>
      </c>
      <c r="M4960" s="2">
        <f t="shared" si="2709"/>
        <v>0.34410443114468187</v>
      </c>
      <c r="N4960" s="2">
        <f t="shared" si="2710"/>
        <v>0.65589556885531808</v>
      </c>
      <c r="O4960" s="5">
        <f t="shared" si="2711"/>
        <v>1073.6606409758663</v>
      </c>
    </row>
    <row r="4961" spans="1:15" x14ac:dyDescent="0.35">
      <c r="A4961" t="s">
        <v>38</v>
      </c>
      <c r="B4961" t="s">
        <v>21</v>
      </c>
      <c r="C4961">
        <v>2015</v>
      </c>
      <c r="D4961" t="s">
        <v>18</v>
      </c>
      <c r="E4961" s="3">
        <f t="shared" ref="E4961:F4961" si="2779">SUM(E161+E1121+E2081+E3041+E4001)</f>
        <v>2122037</v>
      </c>
      <c r="F4961" s="3">
        <f t="shared" si="2779"/>
        <v>3880833</v>
      </c>
      <c r="G4961" s="1">
        <f t="shared" si="2773"/>
        <v>6002870</v>
      </c>
      <c r="H4961" s="2">
        <f t="shared" si="2774"/>
        <v>0.3535037407106934</v>
      </c>
      <c r="I4961" s="2">
        <f t="shared" si="2775"/>
        <v>0.64649625928930665</v>
      </c>
      <c r="J4961" s="3">
        <f t="shared" ref="J4961:K4961" si="2780">SUM(J161+J1121+J2081+J3041+J4001)</f>
        <v>1707384.69</v>
      </c>
      <c r="K4961" s="3">
        <f t="shared" si="2780"/>
        <v>3310841.35</v>
      </c>
      <c r="L4961" s="1">
        <f t="shared" si="2708"/>
        <v>5018226.04</v>
      </c>
      <c r="M4961" s="2">
        <f t="shared" si="2709"/>
        <v>0.34023670444307047</v>
      </c>
      <c r="N4961" s="2">
        <f t="shared" si="2710"/>
        <v>0.65976329555692947</v>
      </c>
      <c r="O4961" s="5">
        <f t="shared" si="2711"/>
        <v>835.971133807662</v>
      </c>
    </row>
    <row r="4962" spans="1:15" x14ac:dyDescent="0.35">
      <c r="A4962" t="s">
        <v>38</v>
      </c>
      <c r="B4962" t="s">
        <v>22</v>
      </c>
      <c r="C4962">
        <v>2015</v>
      </c>
      <c r="D4962" t="s">
        <v>18</v>
      </c>
      <c r="E4962" s="3">
        <f t="shared" ref="E4962:F4962" si="2781">SUM(E162+E1122+E2082+E3042+E4002)</f>
        <v>2115069</v>
      </c>
      <c r="F4962" s="3">
        <f t="shared" si="2781"/>
        <v>3896030</v>
      </c>
      <c r="G4962" s="1">
        <f t="shared" si="2773"/>
        <v>6011099</v>
      </c>
      <c r="H4962" s="2">
        <f t="shared" si="2774"/>
        <v>0.35186061650290573</v>
      </c>
      <c r="I4962" s="2">
        <f t="shared" si="2775"/>
        <v>0.64813938349709432</v>
      </c>
      <c r="J4962" s="3">
        <f t="shared" ref="J4962:K4962" si="2782">SUM(J162+J1122+J2082+J3042+J4002)</f>
        <v>1767144.83</v>
      </c>
      <c r="K4962" s="3">
        <f t="shared" si="2782"/>
        <v>3503620.5</v>
      </c>
      <c r="L4962" s="1">
        <f t="shared" si="2708"/>
        <v>5270765.33</v>
      </c>
      <c r="M4962" s="2">
        <f t="shared" si="2709"/>
        <v>0.33527290997795189</v>
      </c>
      <c r="N4962" s="2">
        <f t="shared" si="2710"/>
        <v>0.66472709002204811</v>
      </c>
      <c r="O4962" s="5">
        <f t="shared" si="2711"/>
        <v>876.83888254044723</v>
      </c>
    </row>
    <row r="4963" spans="1:15" x14ac:dyDescent="0.35">
      <c r="A4963" t="s">
        <v>38</v>
      </c>
      <c r="B4963" t="s">
        <v>23</v>
      </c>
      <c r="C4963">
        <v>2015</v>
      </c>
      <c r="D4963" t="s">
        <v>18</v>
      </c>
      <c r="E4963" s="3">
        <f t="shared" ref="E4963:F4963" si="2783">SUM(E163+E1123+E2083+E3043+E4003)</f>
        <v>2110414</v>
      </c>
      <c r="F4963" s="3">
        <f t="shared" si="2783"/>
        <v>3916106</v>
      </c>
      <c r="G4963" s="1">
        <f t="shared" si="2773"/>
        <v>6026520</v>
      </c>
      <c r="H4963" s="2">
        <f t="shared" si="2774"/>
        <v>0.35018783642964763</v>
      </c>
      <c r="I4963" s="2">
        <f t="shared" si="2775"/>
        <v>0.64981216357035243</v>
      </c>
      <c r="J4963" s="3">
        <f t="shared" ref="J4963:K4963" si="2784">SUM(J163+J1123+J2083+J3043+J4003)</f>
        <v>2394797.5100000002</v>
      </c>
      <c r="K4963" s="3">
        <f t="shared" si="2784"/>
        <v>4706218.34</v>
      </c>
      <c r="L4963" s="1">
        <f t="shared" si="2708"/>
        <v>7101015.8499999996</v>
      </c>
      <c r="M4963" s="2">
        <f t="shared" si="2709"/>
        <v>0.33724717147336042</v>
      </c>
      <c r="N4963" s="2">
        <f t="shared" si="2710"/>
        <v>0.66275282852663964</v>
      </c>
      <c r="O4963" s="5">
        <f t="shared" si="2711"/>
        <v>1178.2945796247254</v>
      </c>
    </row>
    <row r="4964" spans="1:15" x14ac:dyDescent="0.35">
      <c r="A4964" t="s">
        <v>38</v>
      </c>
      <c r="B4964" t="s">
        <v>24</v>
      </c>
      <c r="C4964">
        <v>2015</v>
      </c>
      <c r="D4964" t="s">
        <v>18</v>
      </c>
      <c r="E4964" s="3">
        <f t="shared" ref="E4964:F4964" si="2785">SUM(E164+E1124+E2084+E3044+E4004)</f>
        <v>2104003</v>
      </c>
      <c r="F4964" s="3">
        <f t="shared" si="2785"/>
        <v>3938566</v>
      </c>
      <c r="G4964" s="1">
        <f t="shared" si="2773"/>
        <v>6042569</v>
      </c>
      <c r="H4964" s="2">
        <f t="shared" si="2774"/>
        <v>0.34819676862605953</v>
      </c>
      <c r="I4964" s="2">
        <f t="shared" si="2775"/>
        <v>0.65180323137394047</v>
      </c>
      <c r="J4964" s="3">
        <f t="shared" ref="J4964:K4964" si="2786">SUM(J164+J1124+J2084+J3044+J4004)</f>
        <v>3167381.62</v>
      </c>
      <c r="K4964" s="3">
        <f t="shared" si="2786"/>
        <v>6076163.5</v>
      </c>
      <c r="L4964" s="1">
        <f t="shared" si="2708"/>
        <v>9243545.120000001</v>
      </c>
      <c r="M4964" s="2">
        <f t="shared" si="2709"/>
        <v>0.34265875039078075</v>
      </c>
      <c r="N4964" s="2">
        <f t="shared" si="2710"/>
        <v>0.65734124960921914</v>
      </c>
      <c r="O4964" s="5">
        <f t="shared" si="2711"/>
        <v>1529.7376198765794</v>
      </c>
    </row>
    <row r="4965" spans="1:15" x14ac:dyDescent="0.35">
      <c r="A4965" t="s">
        <v>38</v>
      </c>
      <c r="B4965" t="s">
        <v>25</v>
      </c>
      <c r="C4965">
        <v>2015</v>
      </c>
      <c r="D4965" t="s">
        <v>18</v>
      </c>
      <c r="E4965" s="3">
        <f t="shared" ref="E4965:F4965" si="2787">SUM(E165+E1125+E2085+E3045+E4005)</f>
        <v>2096927</v>
      </c>
      <c r="F4965" s="3">
        <f t="shared" si="2787"/>
        <v>3953069</v>
      </c>
      <c r="G4965" s="1">
        <f t="shared" si="2773"/>
        <v>6049996</v>
      </c>
      <c r="H4965" s="2">
        <f t="shared" si="2774"/>
        <v>0.34659973328907984</v>
      </c>
      <c r="I4965" s="2">
        <f t="shared" si="2775"/>
        <v>0.65340026671092011</v>
      </c>
      <c r="J4965" s="3">
        <f t="shared" ref="J4965:K4965" si="2788">SUM(J165+J1125+J2085+J3045+J4005)</f>
        <v>3676424.25</v>
      </c>
      <c r="K4965" s="3">
        <f t="shared" si="2788"/>
        <v>6985002.419999999</v>
      </c>
      <c r="L4965" s="1">
        <f t="shared" si="2708"/>
        <v>10661426.669999998</v>
      </c>
      <c r="M4965" s="2">
        <f t="shared" si="2709"/>
        <v>0.34483417311728326</v>
      </c>
      <c r="N4965" s="2">
        <f t="shared" si="2710"/>
        <v>0.65516582688271685</v>
      </c>
      <c r="O4965" s="5">
        <f t="shared" si="2711"/>
        <v>1762.2204494019497</v>
      </c>
    </row>
    <row r="4966" spans="1:15" x14ac:dyDescent="0.35">
      <c r="A4966" t="s">
        <v>38</v>
      </c>
      <c r="B4966" t="s">
        <v>26</v>
      </c>
      <c r="C4966">
        <v>2015</v>
      </c>
      <c r="D4966" t="s">
        <v>18</v>
      </c>
      <c r="E4966" s="3">
        <f t="shared" ref="E4966:F4966" si="2789">SUM(E166+E1126+E2086+E3046+E4006)</f>
        <v>2086865</v>
      </c>
      <c r="F4966" s="3">
        <f t="shared" si="2789"/>
        <v>3958788</v>
      </c>
      <c r="G4966" s="1">
        <f t="shared" si="2773"/>
        <v>6045653</v>
      </c>
      <c r="H4966" s="2">
        <f t="shared" si="2774"/>
        <v>0.34518438289461867</v>
      </c>
      <c r="I4966" s="2">
        <f t="shared" si="2775"/>
        <v>0.65481561710538139</v>
      </c>
      <c r="J4966" s="3">
        <f t="shared" ref="J4966:K4966" si="2790">SUM(J166+J1126+J2086+J3046+J4006)</f>
        <v>3332823.74</v>
      </c>
      <c r="K4966" s="3">
        <f t="shared" si="2790"/>
        <v>6411448.6600000001</v>
      </c>
      <c r="L4966" s="1">
        <f t="shared" si="2708"/>
        <v>9744272.4000000004</v>
      </c>
      <c r="M4966" s="2">
        <f t="shared" si="2709"/>
        <v>0.34202899951770643</v>
      </c>
      <c r="N4966" s="2">
        <f t="shared" si="2710"/>
        <v>0.65797100048229362</v>
      </c>
      <c r="O4966" s="5">
        <f t="shared" si="2711"/>
        <v>1611.7816222664451</v>
      </c>
    </row>
    <row r="4967" spans="1:15" x14ac:dyDescent="0.35">
      <c r="A4967" t="s">
        <v>38</v>
      </c>
      <c r="B4967" t="s">
        <v>27</v>
      </c>
      <c r="C4967">
        <v>2015</v>
      </c>
      <c r="D4967" t="s">
        <v>18</v>
      </c>
      <c r="E4967" s="3">
        <f t="shared" ref="E4967:F4967" si="2791">SUM(E167+E1127+E2087+E3047+E4007)</f>
        <v>2078592</v>
      </c>
      <c r="F4967" s="3">
        <f t="shared" si="2791"/>
        <v>3974102</v>
      </c>
      <c r="G4967" s="1">
        <f t="shared" si="2773"/>
        <v>6052694</v>
      </c>
      <c r="H4967" s="2">
        <f t="shared" si="2774"/>
        <v>0.34341600616188428</v>
      </c>
      <c r="I4967" s="2">
        <f t="shared" si="2775"/>
        <v>0.65658399383811572</v>
      </c>
      <c r="J4967" s="3">
        <f t="shared" ref="J4967:K4967" si="2792">SUM(J167+J1127+J2087+J3047+J4007)</f>
        <v>2594918.9500000002</v>
      </c>
      <c r="K4967" s="3">
        <f t="shared" si="2792"/>
        <v>5113045.97</v>
      </c>
      <c r="L4967" s="1">
        <f t="shared" si="2708"/>
        <v>7707964.9199999999</v>
      </c>
      <c r="M4967" s="2">
        <f t="shared" si="2709"/>
        <v>0.33665422416063617</v>
      </c>
      <c r="N4967" s="2">
        <f t="shared" si="2710"/>
        <v>0.66334577583936383</v>
      </c>
      <c r="O4967" s="5">
        <f t="shared" si="2711"/>
        <v>1273.476722927014</v>
      </c>
    </row>
    <row r="4968" spans="1:15" x14ac:dyDescent="0.35">
      <c r="A4968" t="s">
        <v>38</v>
      </c>
      <c r="B4968" t="s">
        <v>28</v>
      </c>
      <c r="C4968">
        <v>2015</v>
      </c>
      <c r="D4968" t="s">
        <v>18</v>
      </c>
      <c r="E4968" s="3">
        <f t="shared" ref="E4968:F4968" si="2793">SUM(E168+E1128+E2088+E3048+E4008)</f>
        <v>2071413</v>
      </c>
      <c r="F4968" s="3">
        <f t="shared" si="2793"/>
        <v>3981950</v>
      </c>
      <c r="G4968" s="1">
        <f t="shared" si="2773"/>
        <v>6053363</v>
      </c>
      <c r="H4968" s="2">
        <f t="shared" si="2774"/>
        <v>0.34219210049025639</v>
      </c>
      <c r="I4968" s="2">
        <f t="shared" si="2775"/>
        <v>0.65780789950974361</v>
      </c>
      <c r="J4968" s="3">
        <f t="shared" ref="J4968:K4968" si="2794">SUM(J168+J1128+J2088+J3048+J4008)</f>
        <v>1800733.96</v>
      </c>
      <c r="K4968" s="3">
        <f t="shared" si="2794"/>
        <v>3669688.5100000002</v>
      </c>
      <c r="L4968" s="1">
        <f t="shared" si="2708"/>
        <v>5470422.4700000007</v>
      </c>
      <c r="M4968" s="2">
        <f t="shared" si="2709"/>
        <v>0.32917639722988334</v>
      </c>
      <c r="N4968" s="2">
        <f t="shared" si="2710"/>
        <v>0.67082360277011654</v>
      </c>
      <c r="O4968" s="5">
        <f t="shared" si="2711"/>
        <v>903.69972360818292</v>
      </c>
    </row>
    <row r="4969" spans="1:15" x14ac:dyDescent="0.35">
      <c r="A4969" t="s">
        <v>38</v>
      </c>
      <c r="B4969" t="s">
        <v>29</v>
      </c>
      <c r="C4969">
        <v>2015</v>
      </c>
      <c r="D4969" t="s">
        <v>18</v>
      </c>
      <c r="E4969" s="3">
        <f t="shared" ref="E4969:F4969" si="2795">SUM(E169+E1129+E2089+E3049+E4009)</f>
        <v>2067166</v>
      </c>
      <c r="F4969" s="3">
        <f t="shared" si="2795"/>
        <v>3988476</v>
      </c>
      <c r="G4969" s="1">
        <f t="shared" si="2773"/>
        <v>6055642</v>
      </c>
      <c r="H4969" s="2">
        <f t="shared" si="2774"/>
        <v>0.34136198936462886</v>
      </c>
      <c r="I4969" s="2">
        <f t="shared" si="2775"/>
        <v>0.65863801063537109</v>
      </c>
      <c r="J4969" s="3">
        <f t="shared" ref="J4969:K4969" si="2796">SUM(J169+J1129+J2089+J3049+J4009)</f>
        <v>1808897.39</v>
      </c>
      <c r="K4969" s="3">
        <f t="shared" si="2796"/>
        <v>3686700.54</v>
      </c>
      <c r="L4969" s="1">
        <f t="shared" si="2708"/>
        <v>5495597.9299999997</v>
      </c>
      <c r="M4969" s="2">
        <f t="shared" si="2709"/>
        <v>0.32915388153223213</v>
      </c>
      <c r="N4969" s="2">
        <f t="shared" si="2710"/>
        <v>0.67084611846776798</v>
      </c>
      <c r="O4969" s="5">
        <f t="shared" si="2711"/>
        <v>907.51697838148289</v>
      </c>
    </row>
    <row r="4970" spans="1:15" x14ac:dyDescent="0.35">
      <c r="A4970" t="s">
        <v>38</v>
      </c>
      <c r="B4970" t="s">
        <v>17</v>
      </c>
      <c r="C4970">
        <v>2016</v>
      </c>
      <c r="D4970" t="s">
        <v>18</v>
      </c>
      <c r="E4970" s="3">
        <f t="shared" ref="E4970:F4970" si="2797">SUM(E170+E1130+E2090+E3050+E4010)</f>
        <v>2065239</v>
      </c>
      <c r="F4970" s="3">
        <f t="shared" si="2797"/>
        <v>4005554</v>
      </c>
      <c r="G4970" s="1">
        <f>SUM(E4970:F4970)</f>
        <v>6070793</v>
      </c>
      <c r="H4970" s="2">
        <f>SUM(E4970)/G4970</f>
        <v>0.34019262392903199</v>
      </c>
      <c r="I4970" s="2">
        <f>SUM(F4970/G4970)</f>
        <v>0.65980737607096795</v>
      </c>
      <c r="J4970" s="3">
        <f t="shared" ref="J4970:K4970" si="2798">SUM(J170+J1130+J2090+J3050+J4010)</f>
        <v>2200474.6800000002</v>
      </c>
      <c r="K4970" s="3">
        <f t="shared" si="2798"/>
        <v>4514488.74</v>
      </c>
      <c r="L4970" s="1">
        <f t="shared" si="2708"/>
        <v>6714963.4199999999</v>
      </c>
      <c r="M4970" s="2">
        <f t="shared" si="2709"/>
        <v>0.32769719540780462</v>
      </c>
      <c r="N4970" s="2">
        <f t="shared" si="2710"/>
        <v>0.67230280459219538</v>
      </c>
      <c r="O4970" s="5">
        <f t="shared" si="2711"/>
        <v>1106.1097652316591</v>
      </c>
    </row>
    <row r="4971" spans="1:15" x14ac:dyDescent="0.35">
      <c r="A4971" t="s">
        <v>38</v>
      </c>
      <c r="B4971" t="s">
        <v>19</v>
      </c>
      <c r="C4971">
        <v>2016</v>
      </c>
      <c r="D4971" t="s">
        <v>18</v>
      </c>
      <c r="E4971" s="3">
        <f t="shared" ref="E4971:F4971" si="2799">SUM(E171+E1131+E2091+E3051+E4011)</f>
        <v>2061321</v>
      </c>
      <c r="F4971" s="3">
        <f t="shared" si="2799"/>
        <v>4021716</v>
      </c>
      <c r="G4971" s="1">
        <f t="shared" ref="G4971:G4981" si="2800">SUM(E4971:F4971)</f>
        <v>6083037</v>
      </c>
      <c r="H4971" s="2">
        <f t="shared" ref="H4971:H4981" si="2801">SUM(E4971)/G4971</f>
        <v>0.33886379451579862</v>
      </c>
      <c r="I4971" s="2">
        <f t="shared" ref="I4971:I4981" si="2802">SUM(F4971/G4971)</f>
        <v>0.66113620548420138</v>
      </c>
      <c r="J4971" s="3">
        <f t="shared" ref="J4971:K4971" si="2803">SUM(J171+J1131+J2091+J3051+J4011)</f>
        <v>2009969.61</v>
      </c>
      <c r="K4971" s="3">
        <f t="shared" si="2803"/>
        <v>4089199.6700000004</v>
      </c>
      <c r="L4971" s="1">
        <f t="shared" si="2708"/>
        <v>6099169.2800000003</v>
      </c>
      <c r="M4971" s="2">
        <f t="shared" si="2709"/>
        <v>0.32954809380204642</v>
      </c>
      <c r="N4971" s="2">
        <f t="shared" si="2710"/>
        <v>0.67045190619795358</v>
      </c>
      <c r="O4971" s="5">
        <f t="shared" si="2711"/>
        <v>1002.6520108294591</v>
      </c>
    </row>
    <row r="4972" spans="1:15" x14ac:dyDescent="0.35">
      <c r="A4972" t="s">
        <v>38</v>
      </c>
      <c r="B4972" t="s">
        <v>20</v>
      </c>
      <c r="C4972">
        <v>2016</v>
      </c>
      <c r="D4972" t="s">
        <v>18</v>
      </c>
      <c r="E4972" s="3">
        <f t="shared" ref="E4972:F4972" si="2804">SUM(E172+E1132+E2092+E3052+E4012)</f>
        <v>2055267</v>
      </c>
      <c r="F4972" s="3">
        <f t="shared" si="2804"/>
        <v>4038507</v>
      </c>
      <c r="G4972" s="1">
        <f t="shared" si="2800"/>
        <v>6093774</v>
      </c>
      <c r="H4972" s="2">
        <f t="shared" si="2801"/>
        <v>0.33727325627763682</v>
      </c>
      <c r="I4972" s="2">
        <f t="shared" si="2802"/>
        <v>0.66272674372236318</v>
      </c>
      <c r="J4972" s="3">
        <f t="shared" ref="J4972:K4972" si="2805">SUM(J172+J1132+J2092+J3052+J4012)</f>
        <v>1550185.34</v>
      </c>
      <c r="K4972" s="3">
        <f t="shared" si="2805"/>
        <v>3219602.7699999996</v>
      </c>
      <c r="L4972" s="1">
        <f t="shared" si="2708"/>
        <v>4769788.1099999994</v>
      </c>
      <c r="M4972" s="2">
        <f t="shared" si="2709"/>
        <v>0.32500088143328454</v>
      </c>
      <c r="N4972" s="2">
        <f t="shared" si="2710"/>
        <v>0.67499911856671557</v>
      </c>
      <c r="O4972" s="5">
        <f t="shared" si="2711"/>
        <v>782.73137631950237</v>
      </c>
    </row>
    <row r="4973" spans="1:15" x14ac:dyDescent="0.35">
      <c r="A4973" t="s">
        <v>38</v>
      </c>
      <c r="B4973" t="s">
        <v>21</v>
      </c>
      <c r="C4973">
        <v>2016</v>
      </c>
      <c r="D4973" t="s">
        <v>18</v>
      </c>
      <c r="E4973" s="3">
        <f t="shared" ref="E4973:F4973" si="2806">SUM(E173+E1133+E2093+E3053+E4013)</f>
        <v>2048971</v>
      </c>
      <c r="F4973" s="3">
        <f t="shared" si="2806"/>
        <v>4059177</v>
      </c>
      <c r="G4973" s="1">
        <f t="shared" si="2800"/>
        <v>6108148</v>
      </c>
      <c r="H4973" s="2">
        <f t="shared" si="2801"/>
        <v>0.33544881361748274</v>
      </c>
      <c r="I4973" s="2">
        <f t="shared" si="2802"/>
        <v>0.6645511863825172</v>
      </c>
      <c r="J4973" s="3">
        <f t="shared" ref="J4973:K4973" si="2807">SUM(J173+J1133+J2093+J3053+J4013)</f>
        <v>1542403.9699999997</v>
      </c>
      <c r="K4973" s="3">
        <f t="shared" si="2807"/>
        <v>3263242.45</v>
      </c>
      <c r="L4973" s="1">
        <f t="shared" si="2708"/>
        <v>4805646.42</v>
      </c>
      <c r="M4973" s="2">
        <f t="shared" si="2709"/>
        <v>0.32095660712383406</v>
      </c>
      <c r="N4973" s="2">
        <f t="shared" si="2710"/>
        <v>0.67904339287616589</v>
      </c>
      <c r="O4973" s="5">
        <f t="shared" si="2711"/>
        <v>786.75998354984199</v>
      </c>
    </row>
    <row r="4974" spans="1:15" x14ac:dyDescent="0.35">
      <c r="A4974" t="s">
        <v>38</v>
      </c>
      <c r="B4974" t="s">
        <v>22</v>
      </c>
      <c r="C4974">
        <v>2016</v>
      </c>
      <c r="D4974" t="s">
        <v>18</v>
      </c>
      <c r="E4974" s="3">
        <f t="shared" ref="E4974:F4974" si="2808">SUM(E174+E1134+E2094+E3054+E4014)</f>
        <v>2045127</v>
      </c>
      <c r="F4974" s="3">
        <f t="shared" si="2808"/>
        <v>4076565</v>
      </c>
      <c r="G4974" s="1">
        <f t="shared" si="2800"/>
        <v>6121692</v>
      </c>
      <c r="H4974" s="2">
        <f t="shared" si="2801"/>
        <v>0.33407871549238349</v>
      </c>
      <c r="I4974" s="2">
        <f t="shared" si="2802"/>
        <v>0.66592128450761656</v>
      </c>
      <c r="J4974" s="3">
        <f t="shared" ref="J4974:K4974" si="2809">SUM(J174+J1134+J2094+J3054+J4014)</f>
        <v>1703270.91</v>
      </c>
      <c r="K4974" s="3">
        <f t="shared" si="2809"/>
        <v>3687290.08</v>
      </c>
      <c r="L4974" s="1">
        <f t="shared" si="2708"/>
        <v>5390560.9900000002</v>
      </c>
      <c r="M4974" s="2">
        <f t="shared" si="2709"/>
        <v>0.31597284831017186</v>
      </c>
      <c r="N4974" s="2">
        <f t="shared" si="2710"/>
        <v>0.68402715168982808</v>
      </c>
      <c r="O4974" s="5">
        <f t="shared" si="2711"/>
        <v>880.56716835802911</v>
      </c>
    </row>
    <row r="4975" spans="1:15" x14ac:dyDescent="0.35">
      <c r="A4975" t="s">
        <v>38</v>
      </c>
      <c r="B4975" t="s">
        <v>23</v>
      </c>
      <c r="C4975">
        <v>2016</v>
      </c>
      <c r="D4975" t="s">
        <v>18</v>
      </c>
      <c r="E4975" s="3">
        <f t="shared" ref="E4975:F4975" si="2810">SUM(E175+E1135+E2095+E3055+E4015)</f>
        <v>2041572</v>
      </c>
      <c r="F4975" s="3">
        <f t="shared" si="2810"/>
        <v>4088466</v>
      </c>
      <c r="G4975" s="1">
        <f t="shared" si="2800"/>
        <v>6130038</v>
      </c>
      <c r="H4975" s="2">
        <f t="shared" si="2801"/>
        <v>0.33304393871620369</v>
      </c>
      <c r="I4975" s="2">
        <f t="shared" si="2802"/>
        <v>0.66695606128379625</v>
      </c>
      <c r="J4975" s="3">
        <f t="shared" ref="J4975:K4975" si="2811">SUM(J175+J1135+J2095+J3055+J4015)</f>
        <v>2253139.7200000002</v>
      </c>
      <c r="K4975" s="3">
        <f t="shared" si="2811"/>
        <v>4809303.5299999993</v>
      </c>
      <c r="L4975" s="1">
        <f t="shared" si="2708"/>
        <v>7062443.25</v>
      </c>
      <c r="M4975" s="2">
        <f t="shared" si="2709"/>
        <v>0.31903119646306544</v>
      </c>
      <c r="N4975" s="2">
        <f t="shared" si="2710"/>
        <v>0.68096880353693456</v>
      </c>
      <c r="O4975" s="5">
        <f t="shared" si="2711"/>
        <v>1152.1043181135256</v>
      </c>
    </row>
    <row r="4976" spans="1:15" x14ac:dyDescent="0.35">
      <c r="A4976" t="s">
        <v>38</v>
      </c>
      <c r="B4976" t="s">
        <v>24</v>
      </c>
      <c r="C4976">
        <v>2016</v>
      </c>
      <c r="D4976" t="s">
        <v>18</v>
      </c>
      <c r="E4976" s="3">
        <f t="shared" ref="E4976:F4976" si="2812">SUM(E176+E1136+E2096+E3056+E4016)</f>
        <v>2036741</v>
      </c>
      <c r="F4976" s="3">
        <f t="shared" si="2812"/>
        <v>4108175</v>
      </c>
      <c r="G4976" s="1">
        <f t="shared" si="2800"/>
        <v>6144916</v>
      </c>
      <c r="H4976" s="2">
        <f t="shared" si="2801"/>
        <v>0.33145139819649283</v>
      </c>
      <c r="I4976" s="2">
        <f t="shared" si="2802"/>
        <v>0.66854860180350717</v>
      </c>
      <c r="J4976" s="3">
        <f t="shared" ref="J4976:K4976" si="2813">SUM(J176+J1136+J2096+J3056+J4016)</f>
        <v>3254159.0390000003</v>
      </c>
      <c r="K4976" s="3">
        <f t="shared" si="2813"/>
        <v>6743514.0270000007</v>
      </c>
      <c r="L4976" s="1">
        <f t="shared" si="2708"/>
        <v>9997673.0660000015</v>
      </c>
      <c r="M4976" s="2">
        <f t="shared" si="2709"/>
        <v>0.32549164365723415</v>
      </c>
      <c r="N4976" s="2">
        <f t="shared" si="2710"/>
        <v>0.67450835634276574</v>
      </c>
      <c r="O4976" s="5">
        <f t="shared" si="2711"/>
        <v>1626.9828694159532</v>
      </c>
    </row>
    <row r="4977" spans="1:15" x14ac:dyDescent="0.35">
      <c r="A4977" t="s">
        <v>38</v>
      </c>
      <c r="B4977" t="s">
        <v>25</v>
      </c>
      <c r="C4977">
        <v>2016</v>
      </c>
      <c r="D4977" t="s">
        <v>18</v>
      </c>
      <c r="E4977" s="3">
        <f t="shared" ref="E4977:F4977" si="2814">SUM(E177+E1137+E2097+E3057+E4017)</f>
        <v>2033085</v>
      </c>
      <c r="F4977" s="3">
        <f t="shared" si="2814"/>
        <v>4125386</v>
      </c>
      <c r="G4977" s="1">
        <f t="shared" si="2800"/>
        <v>6158471</v>
      </c>
      <c r="H4977" s="2">
        <f t="shared" si="2801"/>
        <v>0.33012820877130056</v>
      </c>
      <c r="I4977" s="2">
        <f t="shared" si="2802"/>
        <v>0.66987179122869944</v>
      </c>
      <c r="J4977" s="3">
        <f t="shared" ref="J4977:K4977" si="2815">SUM(J177+J1137+J2097+J3057+J4017)</f>
        <v>3569051.642</v>
      </c>
      <c r="K4977" s="3">
        <f t="shared" si="2815"/>
        <v>7308669.6499999985</v>
      </c>
      <c r="L4977" s="1">
        <f t="shared" si="2708"/>
        <v>10877721.291999999</v>
      </c>
      <c r="M4977" s="2">
        <f t="shared" si="2709"/>
        <v>0.32810655340331735</v>
      </c>
      <c r="N4977" s="2">
        <f t="shared" si="2710"/>
        <v>0.6718934465966826</v>
      </c>
      <c r="O4977" s="5">
        <f t="shared" si="2711"/>
        <v>1766.3022675595939</v>
      </c>
    </row>
    <row r="4978" spans="1:15" x14ac:dyDescent="0.35">
      <c r="A4978" t="s">
        <v>38</v>
      </c>
      <c r="B4978" t="s">
        <v>26</v>
      </c>
      <c r="C4978">
        <v>2016</v>
      </c>
      <c r="D4978" t="s">
        <v>18</v>
      </c>
      <c r="E4978" s="3">
        <f t="shared" ref="E4978:F4978" si="2816">SUM(E178+E1138+E2098+E3058+E4018)</f>
        <v>2028950</v>
      </c>
      <c r="F4978" s="3">
        <f t="shared" si="2816"/>
        <v>4129487</v>
      </c>
      <c r="G4978" s="1">
        <f t="shared" si="2800"/>
        <v>6158437</v>
      </c>
      <c r="H4978" s="2">
        <f t="shared" si="2801"/>
        <v>0.32945859477006911</v>
      </c>
      <c r="I4978" s="2">
        <f t="shared" si="2802"/>
        <v>0.67054140522993089</v>
      </c>
      <c r="J4978" s="3">
        <f t="shared" ref="J4978:K4978" si="2817">SUM(J178+J1138+J2098+J3058+J4018)</f>
        <v>3115907.0669999998</v>
      </c>
      <c r="K4978" s="3">
        <f t="shared" si="2817"/>
        <v>6488031.5380000006</v>
      </c>
      <c r="L4978" s="1">
        <f t="shared" si="2708"/>
        <v>9603938.6050000004</v>
      </c>
      <c r="M4978" s="2">
        <f t="shared" si="2709"/>
        <v>0.32444054415110452</v>
      </c>
      <c r="N4978" s="2">
        <f t="shared" si="2710"/>
        <v>0.67555945584889543</v>
      </c>
      <c r="O4978" s="5">
        <f t="shared" si="2711"/>
        <v>1559.4766342498917</v>
      </c>
    </row>
    <row r="4979" spans="1:15" x14ac:dyDescent="0.35">
      <c r="A4979" t="s">
        <v>38</v>
      </c>
      <c r="B4979" t="s">
        <v>27</v>
      </c>
      <c r="C4979">
        <v>2016</v>
      </c>
      <c r="D4979" t="s">
        <v>18</v>
      </c>
      <c r="E4979" s="3">
        <f t="shared" ref="E4979:F4979" si="2818">SUM(E179+E1139+E2099+E3059+E4019)</f>
        <v>2023327</v>
      </c>
      <c r="F4979" s="3">
        <f t="shared" si="2818"/>
        <v>4136839</v>
      </c>
      <c r="G4979" s="1">
        <f t="shared" si="2800"/>
        <v>6160166</v>
      </c>
      <c r="H4979" s="2">
        <f t="shared" si="2801"/>
        <v>0.32845332414743367</v>
      </c>
      <c r="I4979" s="2">
        <f t="shared" si="2802"/>
        <v>0.67154667585256633</v>
      </c>
      <c r="J4979" s="3">
        <f t="shared" ref="J4979:K4979" si="2819">SUM(J179+J1139+J2099+J3059+J4019)</f>
        <v>2629991.6100000003</v>
      </c>
      <c r="K4979" s="3">
        <f t="shared" si="2819"/>
        <v>5539861.5</v>
      </c>
      <c r="L4979" s="1">
        <f t="shared" si="2708"/>
        <v>8169853.1100000003</v>
      </c>
      <c r="M4979" s="2">
        <f t="shared" si="2709"/>
        <v>0.32191418555382084</v>
      </c>
      <c r="N4979" s="2">
        <f t="shared" si="2710"/>
        <v>0.67808581444617921</v>
      </c>
      <c r="O4979" s="5">
        <f t="shared" si="2711"/>
        <v>1326.2391159588881</v>
      </c>
    </row>
    <row r="4980" spans="1:15" x14ac:dyDescent="0.35">
      <c r="A4980" t="s">
        <v>38</v>
      </c>
      <c r="B4980" t="s">
        <v>28</v>
      </c>
      <c r="C4980">
        <v>2016</v>
      </c>
      <c r="D4980" t="s">
        <v>18</v>
      </c>
      <c r="E4980" s="3">
        <f t="shared" ref="E4980:F4980" si="2820">SUM(E180+E1140+E2100+E3060+E4020)</f>
        <v>2010888</v>
      </c>
      <c r="F4980" s="3">
        <f t="shared" si="2820"/>
        <v>4121439</v>
      </c>
      <c r="G4980" s="1">
        <f t="shared" si="2800"/>
        <v>6132327</v>
      </c>
      <c r="H4980" s="2">
        <f t="shared" si="2801"/>
        <v>0.32791597708341386</v>
      </c>
      <c r="I4980" s="2">
        <f t="shared" si="2802"/>
        <v>0.6720840229165862</v>
      </c>
      <c r="J4980" s="3">
        <f t="shared" ref="J4980:K4980" si="2821">SUM(J180+J1140+J2100+J3060+J4020)</f>
        <v>1927233.9900000002</v>
      </c>
      <c r="K4980" s="3">
        <f t="shared" si="2821"/>
        <v>4155154.3899999997</v>
      </c>
      <c r="L4980" s="1">
        <f t="shared" si="2708"/>
        <v>6082388.3799999999</v>
      </c>
      <c r="M4980" s="2">
        <f t="shared" si="2709"/>
        <v>0.31685480597343907</v>
      </c>
      <c r="N4980" s="2">
        <f t="shared" si="2710"/>
        <v>0.68314519402656093</v>
      </c>
      <c r="O4980" s="5">
        <f t="shared" si="2711"/>
        <v>991.85649754163467</v>
      </c>
    </row>
    <row r="4981" spans="1:15" x14ac:dyDescent="0.35">
      <c r="A4981" t="s">
        <v>38</v>
      </c>
      <c r="B4981" t="s">
        <v>29</v>
      </c>
      <c r="C4981">
        <v>2016</v>
      </c>
      <c r="D4981" t="s">
        <v>18</v>
      </c>
      <c r="E4981" s="3">
        <f t="shared" ref="E4981:F4981" si="2822">SUM(E181+E1141+E2101+E3061+E4021)</f>
        <v>2014805</v>
      </c>
      <c r="F4981" s="3">
        <f t="shared" si="2822"/>
        <v>4161770</v>
      </c>
      <c r="G4981" s="1">
        <f t="shared" si="2800"/>
        <v>6176575</v>
      </c>
      <c r="H4981" s="2">
        <f t="shared" si="2801"/>
        <v>0.32620100945912583</v>
      </c>
      <c r="I4981" s="2">
        <f t="shared" si="2802"/>
        <v>0.67379899054087422</v>
      </c>
      <c r="J4981" s="3">
        <f t="shared" ref="J4981:K4981" si="2823">SUM(J181+J1141+J2101+J3061+J4021)</f>
        <v>1772476.42</v>
      </c>
      <c r="K4981" s="3">
        <f t="shared" si="2823"/>
        <v>3870667.16</v>
      </c>
      <c r="L4981" s="1">
        <f t="shared" si="2708"/>
        <v>5643143.5800000001</v>
      </c>
      <c r="M4981" s="2">
        <f t="shared" si="2709"/>
        <v>0.31409380159701694</v>
      </c>
      <c r="N4981" s="2">
        <f t="shared" si="2710"/>
        <v>0.68590619840298306</v>
      </c>
      <c r="O4981" s="5">
        <f t="shared" si="2711"/>
        <v>913.63637290893416</v>
      </c>
    </row>
    <row r="4982" spans="1:15" x14ac:dyDescent="0.35">
      <c r="A4982" t="s">
        <v>38</v>
      </c>
      <c r="B4982" t="s">
        <v>17</v>
      </c>
      <c r="C4982">
        <v>2017</v>
      </c>
      <c r="D4982" t="s">
        <v>18</v>
      </c>
      <c r="E4982" s="3">
        <f t="shared" ref="E4982:F4982" si="2824">SUM(E182+E1142+E2102+E3062+E4022)</f>
        <v>2011568</v>
      </c>
      <c r="F4982" s="3">
        <f t="shared" si="2824"/>
        <v>4174111</v>
      </c>
      <c r="G4982" s="1">
        <f>SUM(E4982:F4982)</f>
        <v>6185679</v>
      </c>
      <c r="H4982" s="2">
        <f>SUM(E4982)/G4982</f>
        <v>0.3251976056306834</v>
      </c>
      <c r="I4982" s="2">
        <f>SUM(F4982/G4982)</f>
        <v>0.67480239436931666</v>
      </c>
      <c r="J4982" s="3">
        <f t="shared" ref="J4982:K4982" si="2825">SUM(J182+J1142+J2102+J3062+J4022)</f>
        <v>2206716.86</v>
      </c>
      <c r="K4982" s="3">
        <f t="shared" si="2825"/>
        <v>4816420.83</v>
      </c>
      <c r="L4982" s="1">
        <f t="shared" si="2708"/>
        <v>7023137.6899999995</v>
      </c>
      <c r="M4982" s="2">
        <f t="shared" si="2709"/>
        <v>0.31420669185256994</v>
      </c>
      <c r="N4982" s="2">
        <f t="shared" si="2710"/>
        <v>0.68579330814743011</v>
      </c>
      <c r="O4982" s="5">
        <f t="shared" si="2711"/>
        <v>1135.3867037070625</v>
      </c>
    </row>
    <row r="4983" spans="1:15" x14ac:dyDescent="0.35">
      <c r="A4983" t="s">
        <v>38</v>
      </c>
      <c r="B4983" t="s">
        <v>19</v>
      </c>
      <c r="C4983">
        <v>2017</v>
      </c>
      <c r="D4983" t="s">
        <v>18</v>
      </c>
      <c r="E4983" s="3">
        <f t="shared" ref="E4983:F4983" si="2826">SUM(E183+E1143+E2103+E3063+E4023)</f>
        <v>1994686</v>
      </c>
      <c r="F4983" s="3">
        <f t="shared" si="2826"/>
        <v>4128375</v>
      </c>
      <c r="G4983" s="1">
        <f t="shared" ref="G4983:G5046" si="2827">SUM(E4983:F4983)</f>
        <v>6123061</v>
      </c>
      <c r="H4983" s="2">
        <f t="shared" ref="H4983:H5046" si="2828">SUM(E4983)/G4983</f>
        <v>0.32576614866322579</v>
      </c>
      <c r="I4983" s="2">
        <f t="shared" ref="I4983:I5046" si="2829">SUM(F4983/G4983)</f>
        <v>0.67423385133677416</v>
      </c>
      <c r="J4983" s="3">
        <f t="shared" ref="J4983:K4983" si="2830">SUM(J183+J1143+J2103+J3063+J4023)</f>
        <v>1737020.5799999998</v>
      </c>
      <c r="K4983" s="3">
        <f t="shared" si="2830"/>
        <v>3765507.08</v>
      </c>
      <c r="L4983" s="1">
        <f t="shared" si="2708"/>
        <v>5502527.6600000001</v>
      </c>
      <c r="M4983" s="2">
        <f t="shared" si="2709"/>
        <v>0.31567684659308004</v>
      </c>
      <c r="N4983" s="2">
        <f t="shared" si="2710"/>
        <v>0.68432315340691985</v>
      </c>
      <c r="O4983" s="5">
        <f t="shared" si="2711"/>
        <v>898.65635178222135</v>
      </c>
    </row>
    <row r="4984" spans="1:15" x14ac:dyDescent="0.35">
      <c r="A4984" t="s">
        <v>38</v>
      </c>
      <c r="B4984" t="s">
        <v>20</v>
      </c>
      <c r="C4984">
        <v>2017</v>
      </c>
      <c r="D4984" t="s">
        <v>18</v>
      </c>
      <c r="E4984" s="3">
        <f t="shared" ref="E4984:F4984" si="2831">SUM(E184+E1144+E2104+E3064+E4024)</f>
        <v>2005603</v>
      </c>
      <c r="F4984" s="3">
        <f t="shared" si="2831"/>
        <v>4199608</v>
      </c>
      <c r="G4984" s="1">
        <f t="shared" si="2827"/>
        <v>6205211</v>
      </c>
      <c r="H4984" s="2">
        <f t="shared" si="2828"/>
        <v>0.3232126997776546</v>
      </c>
      <c r="I4984" s="2">
        <f t="shared" si="2829"/>
        <v>0.67678730022234534</v>
      </c>
      <c r="J4984" s="3">
        <f t="shared" ref="J4984:K4984" si="2832">SUM(J184+J1144+J2104+J3064+J4024)</f>
        <v>1516908.86</v>
      </c>
      <c r="K4984" s="3">
        <f t="shared" si="2832"/>
        <v>3356591.2</v>
      </c>
      <c r="L4984" s="1">
        <f t="shared" si="2708"/>
        <v>4873500.0600000005</v>
      </c>
      <c r="M4984" s="2">
        <f t="shared" si="2709"/>
        <v>0.31125655921301043</v>
      </c>
      <c r="N4984" s="2">
        <f t="shared" si="2710"/>
        <v>0.68874344078698946</v>
      </c>
      <c r="O4984" s="5">
        <f t="shared" si="2711"/>
        <v>785.38829058351132</v>
      </c>
    </row>
    <row r="4985" spans="1:15" x14ac:dyDescent="0.35">
      <c r="A4985" t="s">
        <v>38</v>
      </c>
      <c r="B4985" t="s">
        <v>21</v>
      </c>
      <c r="C4985">
        <v>2017</v>
      </c>
      <c r="D4985" t="s">
        <v>18</v>
      </c>
      <c r="E4985" s="3">
        <f t="shared" ref="E4985:F4985" si="2833">SUM(E185+E1145+E2105+E3065+E4025)</f>
        <v>1974500</v>
      </c>
      <c r="F4985" s="3">
        <f t="shared" si="2833"/>
        <v>4154585</v>
      </c>
      <c r="G4985" s="1">
        <f t="shared" si="2827"/>
        <v>6129085</v>
      </c>
      <c r="H4985" s="2">
        <f t="shared" si="2828"/>
        <v>0.32215249095093312</v>
      </c>
      <c r="I4985" s="2">
        <f t="shared" si="2829"/>
        <v>0.67784750904906688</v>
      </c>
      <c r="J4985" s="3">
        <f t="shared" ref="J4985:K4985" si="2834">SUM(J185+J1145+J2105+J3065+J4025)</f>
        <v>1606798.58</v>
      </c>
      <c r="K4985" s="3">
        <f t="shared" si="2834"/>
        <v>3608826.24</v>
      </c>
      <c r="L4985" s="1">
        <f t="shared" si="2708"/>
        <v>5215624.82</v>
      </c>
      <c r="M4985" s="2">
        <f t="shared" si="2709"/>
        <v>0.3080740343589361</v>
      </c>
      <c r="N4985" s="2">
        <f t="shared" si="2710"/>
        <v>0.6919259656410639</v>
      </c>
      <c r="O4985" s="5">
        <f t="shared" si="2711"/>
        <v>850.96304260750173</v>
      </c>
    </row>
    <row r="4986" spans="1:15" x14ac:dyDescent="0.35">
      <c r="A4986" t="s">
        <v>38</v>
      </c>
      <c r="B4986" t="s">
        <v>22</v>
      </c>
      <c r="C4986">
        <v>2017</v>
      </c>
      <c r="D4986" t="s">
        <v>18</v>
      </c>
      <c r="E4986" s="3">
        <f t="shared" ref="E4986:F4986" si="2835">SUM(E186+E1146+E2106+E3066+E4026)</f>
        <v>1968417</v>
      </c>
      <c r="F4986" s="3">
        <f t="shared" si="2835"/>
        <v>4167493</v>
      </c>
      <c r="G4986" s="1">
        <f t="shared" si="2827"/>
        <v>6135910</v>
      </c>
      <c r="H4986" s="2">
        <f t="shared" si="2828"/>
        <v>0.32080278230938852</v>
      </c>
      <c r="I4986" s="2">
        <f t="shared" si="2829"/>
        <v>0.67919721769061148</v>
      </c>
      <c r="J4986" s="3">
        <f t="shared" ref="J4986:K4986" si="2836">SUM(J186+J1146+J2106+J3066+J4026)</f>
        <v>1772886.98</v>
      </c>
      <c r="K4986" s="3">
        <f t="shared" si="2836"/>
        <v>4012973.85</v>
      </c>
      <c r="L4986" s="1">
        <f t="shared" si="2708"/>
        <v>5785860.8300000001</v>
      </c>
      <c r="M4986" s="2">
        <f t="shared" si="2709"/>
        <v>0.30641714899319483</v>
      </c>
      <c r="N4986" s="2">
        <f t="shared" si="2710"/>
        <v>0.69358285100680517</v>
      </c>
      <c r="O4986" s="5">
        <f t="shared" si="2711"/>
        <v>942.95073265416215</v>
      </c>
    </row>
    <row r="4987" spans="1:15" x14ac:dyDescent="0.35">
      <c r="A4987" t="s">
        <v>38</v>
      </c>
      <c r="B4987" t="s">
        <v>23</v>
      </c>
      <c r="C4987">
        <v>2017</v>
      </c>
      <c r="D4987" t="s">
        <v>18</v>
      </c>
      <c r="E4987" s="3">
        <f t="shared" ref="E4987:F4987" si="2837">SUM(E187+E1147+E2107+E3067+E4027)</f>
        <v>1958887</v>
      </c>
      <c r="F4987" s="3">
        <f t="shared" si="2837"/>
        <v>4173807</v>
      </c>
      <c r="G4987" s="1">
        <f t="shared" si="2827"/>
        <v>6132694</v>
      </c>
      <c r="H4987" s="2">
        <f t="shared" si="2828"/>
        <v>0.31941704575509555</v>
      </c>
      <c r="I4987" s="2">
        <f t="shared" si="2829"/>
        <v>0.68058295424490445</v>
      </c>
      <c r="J4987" s="3">
        <f t="shared" ref="J4987:K4987" si="2838">SUM(J187+J1147+J2107+J3067+J4027)</f>
        <v>2288261.37</v>
      </c>
      <c r="K4987" s="3">
        <f t="shared" si="2838"/>
        <v>5150629.91</v>
      </c>
      <c r="L4987" s="1">
        <f t="shared" si="2708"/>
        <v>7438891.2800000003</v>
      </c>
      <c r="M4987" s="2">
        <f t="shared" si="2709"/>
        <v>0.30760785228198684</v>
      </c>
      <c r="N4987" s="2">
        <f t="shared" si="2710"/>
        <v>0.69239214771801316</v>
      </c>
      <c r="O4987" s="5">
        <f t="shared" si="2711"/>
        <v>1212.9891496298364</v>
      </c>
    </row>
    <row r="4988" spans="1:15" x14ac:dyDescent="0.35">
      <c r="A4988" t="s">
        <v>38</v>
      </c>
      <c r="B4988" t="s">
        <v>24</v>
      </c>
      <c r="C4988">
        <v>2017</v>
      </c>
      <c r="D4988" t="s">
        <v>18</v>
      </c>
      <c r="E4988" s="3">
        <f t="shared" ref="E4988:F4988" si="2839">SUM(E188+E1148+E2108+E3068+E4028)</f>
        <v>1953110</v>
      </c>
      <c r="F4988" s="3">
        <f t="shared" si="2839"/>
        <v>4195208</v>
      </c>
      <c r="G4988" s="1">
        <f t="shared" si="2827"/>
        <v>6148318</v>
      </c>
      <c r="H4988" s="2">
        <f t="shared" si="2828"/>
        <v>0.317665742077752</v>
      </c>
      <c r="I4988" s="2">
        <f t="shared" si="2829"/>
        <v>0.682334257922248</v>
      </c>
      <c r="J4988" s="3">
        <f t="shared" ref="J4988:K4988" si="2840">SUM(J188+J1148+J2108+J3068+J4028)</f>
        <v>3049255.5200000005</v>
      </c>
      <c r="K4988" s="3">
        <f t="shared" si="2840"/>
        <v>6720240.8400000008</v>
      </c>
      <c r="L4988" s="1">
        <f t="shared" si="2708"/>
        <v>9769496.3600000013</v>
      </c>
      <c r="M4988" s="2">
        <f t="shared" si="2709"/>
        <v>0.31212003235753294</v>
      </c>
      <c r="N4988" s="2">
        <f t="shared" si="2710"/>
        <v>0.68787996764246706</v>
      </c>
      <c r="O4988" s="5">
        <f t="shared" si="2711"/>
        <v>1588.9705704877338</v>
      </c>
    </row>
    <row r="4989" spans="1:15" x14ac:dyDescent="0.35">
      <c r="A4989" t="s">
        <v>38</v>
      </c>
      <c r="B4989" t="s">
        <v>25</v>
      </c>
      <c r="C4989">
        <v>2017</v>
      </c>
      <c r="D4989" t="s">
        <v>18</v>
      </c>
      <c r="E4989" s="3">
        <f t="shared" ref="E4989:F4989" si="2841">SUM(E189+E1149+E2109+E3069+E4029)</f>
        <v>1944671</v>
      </c>
      <c r="F4989" s="3">
        <f t="shared" si="2841"/>
        <v>4210937</v>
      </c>
      <c r="G4989" s="1">
        <f t="shared" si="2827"/>
        <v>6155608</v>
      </c>
      <c r="H4989" s="2">
        <f t="shared" si="2828"/>
        <v>0.3159185900076808</v>
      </c>
      <c r="I4989" s="2">
        <f t="shared" si="2829"/>
        <v>0.68408140999231914</v>
      </c>
      <c r="J4989" s="3">
        <f t="shared" ref="J4989:K4989" si="2842">SUM(J189+J1149+J2109+J3069+J4029)</f>
        <v>3213560.76</v>
      </c>
      <c r="K4989" s="3">
        <f t="shared" si="2842"/>
        <v>7059089.3200000003</v>
      </c>
      <c r="L4989" s="1">
        <f t="shared" si="2708"/>
        <v>10272650.08</v>
      </c>
      <c r="M4989" s="2">
        <f t="shared" si="2709"/>
        <v>0.31282684944720707</v>
      </c>
      <c r="N4989" s="2">
        <f t="shared" si="2710"/>
        <v>0.68717315055279293</v>
      </c>
      <c r="O4989" s="5">
        <f t="shared" si="2711"/>
        <v>1668.8278525858047</v>
      </c>
    </row>
    <row r="4990" spans="1:15" x14ac:dyDescent="0.35">
      <c r="A4990" t="s">
        <v>38</v>
      </c>
      <c r="B4990" t="s">
        <v>26</v>
      </c>
      <c r="C4990">
        <v>2017</v>
      </c>
      <c r="D4990" t="s">
        <v>18</v>
      </c>
      <c r="E4990" s="3">
        <f t="shared" ref="E4990:F4990" si="2843">SUM(E190+E1150+E2110+E3070+E4030)</f>
        <v>1933494</v>
      </c>
      <c r="F4990" s="3">
        <f t="shared" si="2843"/>
        <v>4215631</v>
      </c>
      <c r="G4990" s="1">
        <f t="shared" si="2827"/>
        <v>6149125</v>
      </c>
      <c r="H4990" s="2">
        <f t="shared" si="2828"/>
        <v>0.3144340048380867</v>
      </c>
      <c r="I4990" s="2">
        <f t="shared" si="2829"/>
        <v>0.6855659951619133</v>
      </c>
      <c r="J4990" s="3">
        <f t="shared" ref="J4990:K4990" si="2844">SUM(J190+J1150+J2110+J3070+J4030)</f>
        <v>2913946.71</v>
      </c>
      <c r="K4990" s="3">
        <f t="shared" si="2844"/>
        <v>6462521.3099999996</v>
      </c>
      <c r="L4990" s="1">
        <f t="shared" si="2708"/>
        <v>9376468.0199999996</v>
      </c>
      <c r="M4990" s="2">
        <f t="shared" si="2709"/>
        <v>0.31077231893550467</v>
      </c>
      <c r="N4990" s="2">
        <f t="shared" si="2710"/>
        <v>0.68922768106449528</v>
      </c>
      <c r="O4990" s="5">
        <f t="shared" si="2711"/>
        <v>1524.8458959608074</v>
      </c>
    </row>
    <row r="4991" spans="1:15" x14ac:dyDescent="0.35">
      <c r="A4991" t="s">
        <v>38</v>
      </c>
      <c r="B4991" t="s">
        <v>27</v>
      </c>
      <c r="C4991">
        <v>2017</v>
      </c>
      <c r="D4991" t="s">
        <v>18</v>
      </c>
      <c r="E4991" s="3">
        <f t="shared" ref="E4991:F4991" si="2845">SUM(E191+E1151+E2111+E3071+E4031)</f>
        <v>1932154</v>
      </c>
      <c r="F4991" s="3">
        <f t="shared" si="2845"/>
        <v>4236203</v>
      </c>
      <c r="G4991" s="1">
        <f t="shared" si="2827"/>
        <v>6168357</v>
      </c>
      <c r="H4991" s="2">
        <f t="shared" si="2828"/>
        <v>0.31323640963063581</v>
      </c>
      <c r="I4991" s="2">
        <f t="shared" si="2829"/>
        <v>0.68676359036936419</v>
      </c>
      <c r="J4991" s="3">
        <f t="shared" ref="J4991:K4991" si="2846">SUM(J191+J1151+J2111+J3071+J4031)</f>
        <v>2415535.35</v>
      </c>
      <c r="K4991" s="3">
        <f t="shared" si="2846"/>
        <v>5468527.7700000005</v>
      </c>
      <c r="L4991" s="1">
        <f t="shared" si="2708"/>
        <v>7884063.120000001</v>
      </c>
      <c r="M4991" s="2">
        <f t="shared" si="2709"/>
        <v>0.30638204099005234</v>
      </c>
      <c r="N4991" s="2">
        <f t="shared" si="2710"/>
        <v>0.6936179590099476</v>
      </c>
      <c r="O4991" s="5">
        <f t="shared" si="2711"/>
        <v>1278.1463718782816</v>
      </c>
    </row>
    <row r="4992" spans="1:15" x14ac:dyDescent="0.35">
      <c r="A4992" t="s">
        <v>38</v>
      </c>
      <c r="B4992" t="s">
        <v>28</v>
      </c>
      <c r="C4992">
        <v>2017</v>
      </c>
      <c r="D4992" t="s">
        <v>18</v>
      </c>
      <c r="E4992" s="3">
        <f t="shared" ref="E4992:F4992" si="2847">SUM(E192+E1152+E2112+E3072+E4032)</f>
        <v>1929084</v>
      </c>
      <c r="F4992" s="3">
        <f t="shared" si="2847"/>
        <v>4254103</v>
      </c>
      <c r="G4992" s="1">
        <f t="shared" si="2827"/>
        <v>6183187</v>
      </c>
      <c r="H4992" s="2">
        <f t="shared" si="2828"/>
        <v>0.31198862334262251</v>
      </c>
      <c r="I4992" s="2">
        <f t="shared" si="2829"/>
        <v>0.68801137665737755</v>
      </c>
      <c r="J4992" s="3">
        <f t="shared" ref="J4992:K4992" si="2848">SUM(J192+J1152+J2112+J3072+J4032)</f>
        <v>1698969.36</v>
      </c>
      <c r="K4992" s="3">
        <f t="shared" si="2848"/>
        <v>3929898.1799999997</v>
      </c>
      <c r="L4992" s="1">
        <f t="shared" si="2708"/>
        <v>5628867.54</v>
      </c>
      <c r="M4992" s="2">
        <f t="shared" si="2709"/>
        <v>0.30183146928342891</v>
      </c>
      <c r="N4992" s="2">
        <f t="shared" si="2710"/>
        <v>0.69816853071657103</v>
      </c>
      <c r="O4992" s="5">
        <f t="shared" si="2711"/>
        <v>910.35052635477462</v>
      </c>
    </row>
    <row r="4993" spans="1:16" x14ac:dyDescent="0.35">
      <c r="A4993" t="s">
        <v>38</v>
      </c>
      <c r="B4993" t="s">
        <v>29</v>
      </c>
      <c r="C4993">
        <v>2017</v>
      </c>
      <c r="D4993" t="s">
        <v>18</v>
      </c>
      <c r="E4993" s="3">
        <f t="shared" ref="E4993:F4994" si="2849">SUM(E193+E1153+E2113+E3073+E4033)</f>
        <v>1926903</v>
      </c>
      <c r="F4993" s="3">
        <f t="shared" si="2849"/>
        <v>4271899</v>
      </c>
      <c r="G4993" s="1">
        <f t="shared" si="2827"/>
        <v>6198802</v>
      </c>
      <c r="H4993" s="2">
        <f t="shared" si="2828"/>
        <v>0.31085087086182134</v>
      </c>
      <c r="I4993" s="2">
        <f t="shared" si="2829"/>
        <v>0.68914912913817861</v>
      </c>
      <c r="J4993" s="3">
        <f t="shared" ref="J4993:K4993" si="2850">SUM(J193+J1153+J2113+J3073+J4033)</f>
        <v>1665778.6700000002</v>
      </c>
      <c r="K4993" s="3">
        <f t="shared" si="2850"/>
        <v>3918137.8499999996</v>
      </c>
      <c r="L4993" s="1">
        <f t="shared" si="2708"/>
        <v>5583916.5199999996</v>
      </c>
      <c r="M4993" s="2">
        <f t="shared" si="2709"/>
        <v>0.2983172588690492</v>
      </c>
      <c r="N4993" s="2">
        <f t="shared" si="2710"/>
        <v>0.70168274113095086</v>
      </c>
      <c r="O4993" s="5">
        <f t="shared" si="2711"/>
        <v>900.80575569279358</v>
      </c>
    </row>
    <row r="4994" spans="1:16" x14ac:dyDescent="0.35">
      <c r="A4994" t="s">
        <v>38</v>
      </c>
      <c r="B4994" t="s">
        <v>17</v>
      </c>
      <c r="C4994">
        <v>2002</v>
      </c>
      <c r="D4994" t="s">
        <v>30</v>
      </c>
      <c r="E4994" s="3">
        <f t="shared" si="2849"/>
        <v>612462</v>
      </c>
      <c r="F4994" s="3">
        <f t="shared" si="2849"/>
        <v>10123</v>
      </c>
      <c r="G4994" s="1">
        <f t="shared" si="2827"/>
        <v>622585</v>
      </c>
      <c r="H4994" s="2">
        <f t="shared" si="2828"/>
        <v>0.98374037280050108</v>
      </c>
      <c r="I4994" s="2">
        <f t="shared" si="2829"/>
        <v>1.6259627199498864E-2</v>
      </c>
      <c r="J4994" s="3">
        <f t="shared" ref="J4994:K4994" si="2851">SUM(J194+J1154+J2114+J3074+J4034)</f>
        <v>3800205.804</v>
      </c>
      <c r="K4994" s="3">
        <f t="shared" si="2851"/>
        <v>188315.06399999998</v>
      </c>
      <c r="L4994" s="1">
        <f t="shared" si="2708"/>
        <v>3988520.8679999998</v>
      </c>
      <c r="M4994" s="2">
        <f t="shared" si="2709"/>
        <v>0.95278573931733535</v>
      </c>
      <c r="N4994" s="2">
        <f t="shared" si="2710"/>
        <v>4.7214260682664676E-2</v>
      </c>
      <c r="P4994" s="5">
        <f>SUM(1000*L4994)/G4994</f>
        <v>6406.3876707598156</v>
      </c>
    </row>
    <row r="4995" spans="1:16" x14ac:dyDescent="0.35">
      <c r="A4995" t="s">
        <v>38</v>
      </c>
      <c r="B4995" t="s">
        <v>19</v>
      </c>
      <c r="C4995">
        <v>2002</v>
      </c>
      <c r="D4995" t="s">
        <v>30</v>
      </c>
      <c r="E4995" s="3">
        <f t="shared" ref="E4995:F4995" si="2852">SUM(E195+E1155+E2115+E3075+E4035)</f>
        <v>612856</v>
      </c>
      <c r="F4995" s="3">
        <f t="shared" si="2852"/>
        <v>25555</v>
      </c>
      <c r="G4995" s="1">
        <f t="shared" si="2827"/>
        <v>638411</v>
      </c>
      <c r="H4995" s="2">
        <f t="shared" si="2828"/>
        <v>0.95997092781922622</v>
      </c>
      <c r="I4995" s="2">
        <f t="shared" si="2829"/>
        <v>4.0029072180773825E-2</v>
      </c>
      <c r="J4995" s="3">
        <f t="shared" ref="J4995:K4995" si="2853">SUM(J195+J1155+J2115+J3075+J4035)</f>
        <v>3774376.6039999998</v>
      </c>
      <c r="K4995" s="3">
        <f t="shared" si="2853"/>
        <v>539459.19799999997</v>
      </c>
      <c r="L4995" s="1">
        <f t="shared" ref="L4995:L5058" si="2854">SUM(J4995:K4995)</f>
        <v>4313835.8020000001</v>
      </c>
      <c r="M4995" s="2">
        <f t="shared" ref="M4995:M5058" si="2855">SUM(J4995)/L4995</f>
        <v>0.87494674745156187</v>
      </c>
      <c r="N4995" s="2">
        <f t="shared" ref="N4995:N5058" si="2856">SUM(K4995/L4995)</f>
        <v>0.12505325254843808</v>
      </c>
      <c r="P4995" s="5">
        <f>SUM(1000*L4995)/G4995</f>
        <v>6757.1451651052375</v>
      </c>
    </row>
    <row r="4996" spans="1:16" x14ac:dyDescent="0.35">
      <c r="A4996" t="s">
        <v>38</v>
      </c>
      <c r="B4996" t="s">
        <v>20</v>
      </c>
      <c r="C4996">
        <v>2002</v>
      </c>
      <c r="D4996" t="s">
        <v>30</v>
      </c>
      <c r="E4996" s="3">
        <f t="shared" ref="E4996:F4996" si="2857">SUM(E196+E1156+E2116+E3076+E4036)</f>
        <v>671665</v>
      </c>
      <c r="F4996" s="3">
        <f t="shared" si="2857"/>
        <v>38001</v>
      </c>
      <c r="G4996" s="1">
        <f t="shared" si="2827"/>
        <v>709666</v>
      </c>
      <c r="H4996" s="2">
        <f t="shared" si="2828"/>
        <v>0.94645227473205706</v>
      </c>
      <c r="I4996" s="2">
        <f t="shared" si="2829"/>
        <v>5.354772526794295E-2</v>
      </c>
      <c r="J4996" s="3">
        <f t="shared" ref="J4996:K4996" si="2858">SUM(J196+J1156+J2116+J3076+J4036)</f>
        <v>4518784.6880000001</v>
      </c>
      <c r="K4996" s="3">
        <f t="shared" si="2858"/>
        <v>1100158.344</v>
      </c>
      <c r="L4996" s="1">
        <f t="shared" si="2854"/>
        <v>5618943.0319999997</v>
      </c>
      <c r="M4996" s="2">
        <f t="shared" si="2855"/>
        <v>0.80420546395744275</v>
      </c>
      <c r="N4996" s="2">
        <f t="shared" si="2856"/>
        <v>0.19579453604255728</v>
      </c>
      <c r="P4996" s="5">
        <f t="shared" ref="P4996:P5059" si="2859">SUM(1000*L4996)/G4996</f>
        <v>7917.7289485476267</v>
      </c>
    </row>
    <row r="4997" spans="1:16" x14ac:dyDescent="0.35">
      <c r="A4997" t="s">
        <v>38</v>
      </c>
      <c r="B4997" t="s">
        <v>21</v>
      </c>
      <c r="C4997">
        <v>2002</v>
      </c>
      <c r="D4997" t="s">
        <v>30</v>
      </c>
      <c r="E4997" s="3">
        <f t="shared" ref="E4997:F4997" si="2860">SUM(E197+E1157+E2117+E3077+E4037)</f>
        <v>671507</v>
      </c>
      <c r="F4997" s="3">
        <f t="shared" si="2860"/>
        <v>42479</v>
      </c>
      <c r="G4997" s="1">
        <f t="shared" si="2827"/>
        <v>713986</v>
      </c>
      <c r="H4997" s="2">
        <f t="shared" si="2828"/>
        <v>0.94050443566120345</v>
      </c>
      <c r="I4997" s="2">
        <f t="shared" si="2829"/>
        <v>5.9495564338796561E-2</v>
      </c>
      <c r="J4997" s="3">
        <f t="shared" ref="J4997:K4997" si="2861">SUM(J197+J1157+J2117+J3077+J4037)</f>
        <v>4536292.6630000006</v>
      </c>
      <c r="K4997" s="3">
        <f t="shared" si="2861"/>
        <v>1242025.777</v>
      </c>
      <c r="L4997" s="1">
        <f t="shared" si="2854"/>
        <v>5778318.4400000004</v>
      </c>
      <c r="M4997" s="2">
        <f t="shared" si="2855"/>
        <v>0.78505411394391766</v>
      </c>
      <c r="N4997" s="2">
        <f t="shared" si="2856"/>
        <v>0.21494588605608242</v>
      </c>
      <c r="P4997" s="5">
        <f t="shared" si="2859"/>
        <v>8093.0416562789751</v>
      </c>
    </row>
    <row r="4998" spans="1:16" x14ac:dyDescent="0.35">
      <c r="A4998" t="s">
        <v>38</v>
      </c>
      <c r="B4998" t="s">
        <v>22</v>
      </c>
      <c r="C4998">
        <v>2002</v>
      </c>
      <c r="D4998" t="s">
        <v>30</v>
      </c>
      <c r="E4998" s="3">
        <f t="shared" ref="E4998:F4998" si="2862">SUM(E198+E1158+E2118+E3078+E4038)</f>
        <v>669014</v>
      </c>
      <c r="F4998" s="3">
        <f t="shared" si="2862"/>
        <v>47340</v>
      </c>
      <c r="G4998" s="1">
        <f t="shared" si="2827"/>
        <v>716354</v>
      </c>
      <c r="H4998" s="2">
        <f t="shared" si="2828"/>
        <v>0.93391535469893372</v>
      </c>
      <c r="I4998" s="2">
        <f t="shared" si="2829"/>
        <v>6.6084645301066239E-2</v>
      </c>
      <c r="J4998" s="3">
        <f t="shared" ref="J4998:K4998" si="2863">SUM(J198+J1158+J2118+J3078+J4038)</f>
        <v>4875514.8570000008</v>
      </c>
      <c r="K4998" s="3">
        <f t="shared" si="2863"/>
        <v>1392280.94</v>
      </c>
      <c r="L4998" s="1">
        <f t="shared" si="2854"/>
        <v>6267795.7970000003</v>
      </c>
      <c r="M4998" s="2">
        <f t="shared" si="2855"/>
        <v>0.77786753348499371</v>
      </c>
      <c r="N4998" s="2">
        <f t="shared" si="2856"/>
        <v>0.22213246651500632</v>
      </c>
      <c r="P4998" s="5">
        <f t="shared" si="2859"/>
        <v>8749.5788353244352</v>
      </c>
    </row>
    <row r="4999" spans="1:16" x14ac:dyDescent="0.35">
      <c r="A4999" t="s">
        <v>38</v>
      </c>
      <c r="B4999" t="s">
        <v>23</v>
      </c>
      <c r="C4999">
        <v>2002</v>
      </c>
      <c r="D4999" t="s">
        <v>30</v>
      </c>
      <c r="E4999" s="3">
        <f t="shared" ref="E4999:F4999" si="2864">SUM(E199+E1159+E2119+E3079+E4039)</f>
        <v>692331</v>
      </c>
      <c r="F4999" s="3">
        <f t="shared" si="2864"/>
        <v>54319</v>
      </c>
      <c r="G4999" s="1">
        <f t="shared" si="2827"/>
        <v>746650</v>
      </c>
      <c r="H4999" s="2">
        <f t="shared" si="2828"/>
        <v>0.92724971539543288</v>
      </c>
      <c r="I4999" s="2">
        <f t="shared" si="2829"/>
        <v>7.2750284604567061E-2</v>
      </c>
      <c r="J4999" s="3">
        <f t="shared" ref="J4999:K4999" si="2865">SUM(J199+J1159+J2119+J3079+J4039)</f>
        <v>5510209.966</v>
      </c>
      <c r="K4999" s="3">
        <f t="shared" si="2865"/>
        <v>1913217.9410000001</v>
      </c>
      <c r="L4999" s="1">
        <f t="shared" si="2854"/>
        <v>7423427.9069999997</v>
      </c>
      <c r="M4999" s="2">
        <f t="shared" si="2855"/>
        <v>0.74227298157015698</v>
      </c>
      <c r="N4999" s="2">
        <f t="shared" si="2856"/>
        <v>0.25772701842984302</v>
      </c>
      <c r="P4999" s="5">
        <f t="shared" si="2859"/>
        <v>9942.3128735016398</v>
      </c>
    </row>
    <row r="5000" spans="1:16" x14ac:dyDescent="0.35">
      <c r="A5000" t="s">
        <v>38</v>
      </c>
      <c r="B5000" t="s">
        <v>24</v>
      </c>
      <c r="C5000">
        <v>2002</v>
      </c>
      <c r="D5000" t="s">
        <v>30</v>
      </c>
      <c r="E5000" s="3">
        <f t="shared" ref="E5000:F5000" si="2866">SUM(E200+E1160+E2120+E3080+E4040)</f>
        <v>691807</v>
      </c>
      <c r="F5000" s="3">
        <f t="shared" si="2866"/>
        <v>55798</v>
      </c>
      <c r="G5000" s="1">
        <f t="shared" si="2827"/>
        <v>747605</v>
      </c>
      <c r="H5000" s="2">
        <f t="shared" si="2828"/>
        <v>0.92536433009410046</v>
      </c>
      <c r="I5000" s="2">
        <f t="shared" si="2829"/>
        <v>7.463566990589951E-2</v>
      </c>
      <c r="J5000" s="3">
        <f t="shared" ref="J5000:K5000" si="2867">SUM(J200+J1160+J2120+J3080+J4040)</f>
        <v>5975579.7939999988</v>
      </c>
      <c r="K5000" s="3">
        <f t="shared" si="2867"/>
        <v>2241470.06</v>
      </c>
      <c r="L5000" s="1">
        <f t="shared" si="2854"/>
        <v>8217049.8539999984</v>
      </c>
      <c r="M5000" s="2">
        <f t="shared" si="2855"/>
        <v>0.72721717650175033</v>
      </c>
      <c r="N5000" s="2">
        <f t="shared" si="2856"/>
        <v>0.27278282349824973</v>
      </c>
      <c r="P5000" s="5">
        <f t="shared" si="2859"/>
        <v>10991.164925328212</v>
      </c>
    </row>
    <row r="5001" spans="1:16" x14ac:dyDescent="0.35">
      <c r="A5001" t="s">
        <v>38</v>
      </c>
      <c r="B5001" t="s">
        <v>25</v>
      </c>
      <c r="C5001">
        <v>2002</v>
      </c>
      <c r="D5001" t="s">
        <v>30</v>
      </c>
      <c r="E5001" s="3">
        <f t="shared" ref="E5001:F5001" si="2868">SUM(E201+E1161+E2121+E3081+E4041)</f>
        <v>685863</v>
      </c>
      <c r="F5001" s="3">
        <f t="shared" si="2868"/>
        <v>68274</v>
      </c>
      <c r="G5001" s="1">
        <f t="shared" si="2827"/>
        <v>754137</v>
      </c>
      <c r="H5001" s="2">
        <f t="shared" si="2828"/>
        <v>0.90946737794326493</v>
      </c>
      <c r="I5001" s="2">
        <f t="shared" si="2829"/>
        <v>9.0532622056735054E-2</v>
      </c>
      <c r="J5001" s="3">
        <f t="shared" ref="J5001:K5001" si="2869">SUM(J201+J1161+J2121+J3081+J4041)</f>
        <v>5265014.4240000006</v>
      </c>
      <c r="K5001" s="3">
        <f t="shared" si="2869"/>
        <v>1863621.902</v>
      </c>
      <c r="L5001" s="1">
        <f t="shared" si="2854"/>
        <v>7128636.3260000004</v>
      </c>
      <c r="M5001" s="2">
        <f t="shared" si="2855"/>
        <v>0.73857245386429893</v>
      </c>
      <c r="N5001" s="2">
        <f t="shared" si="2856"/>
        <v>0.26142754613570113</v>
      </c>
      <c r="P5001" s="5">
        <f t="shared" si="2859"/>
        <v>9452.7073011932844</v>
      </c>
    </row>
    <row r="5002" spans="1:16" x14ac:dyDescent="0.35">
      <c r="A5002" t="s">
        <v>38</v>
      </c>
      <c r="B5002" t="s">
        <v>26</v>
      </c>
      <c r="C5002">
        <v>2002</v>
      </c>
      <c r="D5002" t="s">
        <v>30</v>
      </c>
      <c r="E5002" s="3">
        <f t="shared" ref="E5002:F5002" si="2870">SUM(E202+E1162+E2122+E3082+E4042)</f>
        <v>682467</v>
      </c>
      <c r="F5002" s="3">
        <f t="shared" si="2870"/>
        <v>71832</v>
      </c>
      <c r="G5002" s="1">
        <f t="shared" si="2827"/>
        <v>754299</v>
      </c>
      <c r="H5002" s="2">
        <f t="shared" si="2828"/>
        <v>0.90476985916725328</v>
      </c>
      <c r="I5002" s="2">
        <f t="shared" si="2829"/>
        <v>9.5230140832746696E-2</v>
      </c>
      <c r="J5002" s="3">
        <f t="shared" ref="J5002:K5002" si="2871">SUM(J202+J1162+J2122+J3082+J4042)</f>
        <v>6316550.1409999998</v>
      </c>
      <c r="K5002" s="3">
        <f t="shared" si="2871"/>
        <v>2653087.165</v>
      </c>
      <c r="L5002" s="1">
        <f t="shared" si="2854"/>
        <v>8969637.3059999999</v>
      </c>
      <c r="M5002" s="2">
        <f t="shared" si="2855"/>
        <v>0.70421466615765071</v>
      </c>
      <c r="N5002" s="2">
        <f t="shared" si="2856"/>
        <v>0.29578533384234923</v>
      </c>
      <c r="P5002" s="5">
        <f t="shared" si="2859"/>
        <v>11891.35516022161</v>
      </c>
    </row>
    <row r="5003" spans="1:16" x14ac:dyDescent="0.35">
      <c r="A5003" t="s">
        <v>38</v>
      </c>
      <c r="B5003" t="s">
        <v>27</v>
      </c>
      <c r="C5003">
        <v>2002</v>
      </c>
      <c r="D5003" t="s">
        <v>30</v>
      </c>
      <c r="E5003" s="3">
        <f t="shared" ref="E5003:F5003" si="2872">SUM(E203+E1163+E2123+E3083+E4043)</f>
        <v>677341</v>
      </c>
      <c r="F5003" s="3">
        <f t="shared" si="2872"/>
        <v>78393</v>
      </c>
      <c r="G5003" s="1">
        <f t="shared" si="2827"/>
        <v>755734</v>
      </c>
      <c r="H5003" s="2">
        <f t="shared" si="2828"/>
        <v>0.89626905763138887</v>
      </c>
      <c r="I5003" s="2">
        <f t="shared" si="2829"/>
        <v>0.10373094236861118</v>
      </c>
      <c r="J5003" s="3">
        <f t="shared" ref="J5003:K5003" si="2873">SUM(J203+J1163+J2123+J3083+J4043)</f>
        <v>4957998.1099999994</v>
      </c>
      <c r="K5003" s="3">
        <f t="shared" si="2873"/>
        <v>2420978.3470000001</v>
      </c>
      <c r="L5003" s="1">
        <f t="shared" si="2854"/>
        <v>7378976.4569999995</v>
      </c>
      <c r="M5003" s="2">
        <f t="shared" si="2855"/>
        <v>0.67190865005357747</v>
      </c>
      <c r="N5003" s="2">
        <f t="shared" si="2856"/>
        <v>0.32809134994642253</v>
      </c>
      <c r="P5003" s="5">
        <f t="shared" si="2859"/>
        <v>9763.9863457248175</v>
      </c>
    </row>
    <row r="5004" spans="1:16" x14ac:dyDescent="0.35">
      <c r="A5004" t="s">
        <v>38</v>
      </c>
      <c r="B5004" t="s">
        <v>28</v>
      </c>
      <c r="C5004">
        <v>2002</v>
      </c>
      <c r="D5004" t="s">
        <v>30</v>
      </c>
      <c r="E5004" s="3">
        <f t="shared" ref="E5004:F5004" si="2874">SUM(E204+E1164+E2124+E3084+E4044)</f>
        <v>673284</v>
      </c>
      <c r="F5004" s="3">
        <f t="shared" si="2874"/>
        <v>82626</v>
      </c>
      <c r="G5004" s="1">
        <f t="shared" si="2827"/>
        <v>755910</v>
      </c>
      <c r="H5004" s="2">
        <f t="shared" si="2828"/>
        <v>0.8906933365083145</v>
      </c>
      <c r="I5004" s="2">
        <f t="shared" si="2829"/>
        <v>0.10930666349168552</v>
      </c>
      <c r="J5004" s="3">
        <f t="shared" ref="J5004:K5004" si="2875">SUM(J204+J1164+J2124+J3084+J4044)</f>
        <v>4118947.2579999999</v>
      </c>
      <c r="K5004" s="3">
        <f t="shared" si="2875"/>
        <v>1606238.8819999998</v>
      </c>
      <c r="L5004" s="1">
        <f t="shared" si="2854"/>
        <v>5725186.1399999997</v>
      </c>
      <c r="M5004" s="2">
        <f t="shared" si="2855"/>
        <v>0.71944337830734706</v>
      </c>
      <c r="N5004" s="2">
        <f t="shared" si="2856"/>
        <v>0.28055662169265294</v>
      </c>
      <c r="P5004" s="5">
        <f t="shared" si="2859"/>
        <v>7573.8991943485335</v>
      </c>
    </row>
    <row r="5005" spans="1:16" x14ac:dyDescent="0.35">
      <c r="A5005" t="s">
        <v>38</v>
      </c>
      <c r="B5005" t="s">
        <v>29</v>
      </c>
      <c r="C5005">
        <v>2002</v>
      </c>
      <c r="D5005" t="s">
        <v>30</v>
      </c>
      <c r="E5005" s="3">
        <f t="shared" ref="E5005:F5005" si="2876">SUM(E205+E1165+E2125+E3085+E4045)</f>
        <v>669399</v>
      </c>
      <c r="F5005" s="3">
        <f t="shared" si="2876"/>
        <v>87011</v>
      </c>
      <c r="G5005" s="1">
        <f t="shared" si="2827"/>
        <v>756410</v>
      </c>
      <c r="H5005" s="2">
        <f t="shared" si="2828"/>
        <v>0.88496846948083707</v>
      </c>
      <c r="I5005" s="2">
        <f t="shared" si="2829"/>
        <v>0.11503153051916289</v>
      </c>
      <c r="J5005" s="3">
        <f t="shared" ref="J5005:K5005" si="2877">SUM(J205+J1165+J2125+J3085+J4045)</f>
        <v>4036124.5760000008</v>
      </c>
      <c r="K5005" s="3">
        <f t="shared" si="2877"/>
        <v>1991290.8369999994</v>
      </c>
      <c r="L5005" s="1">
        <f t="shared" si="2854"/>
        <v>6027415.4130000006</v>
      </c>
      <c r="M5005" s="2">
        <f t="shared" si="2855"/>
        <v>0.66962774248060619</v>
      </c>
      <c r="N5005" s="2">
        <f t="shared" si="2856"/>
        <v>0.33037225751939375</v>
      </c>
      <c r="P5005" s="5">
        <f t="shared" si="2859"/>
        <v>7968.4501963221019</v>
      </c>
    </row>
    <row r="5006" spans="1:16" x14ac:dyDescent="0.35">
      <c r="A5006" t="s">
        <v>38</v>
      </c>
      <c r="B5006" t="s">
        <v>17</v>
      </c>
      <c r="C5006">
        <v>2003</v>
      </c>
      <c r="D5006" t="s">
        <v>30</v>
      </c>
      <c r="E5006" s="3">
        <f t="shared" ref="E5006:F5006" si="2878">SUM(E206+E1166+E2126+E3086+E4046)</f>
        <v>663760</v>
      </c>
      <c r="F5006" s="3">
        <f t="shared" si="2878"/>
        <v>95375</v>
      </c>
      <c r="G5006" s="1">
        <f t="shared" si="2827"/>
        <v>759135</v>
      </c>
      <c r="H5006" s="2">
        <f t="shared" si="2828"/>
        <v>0.87436358486962129</v>
      </c>
      <c r="I5006" s="2">
        <f t="shared" si="2829"/>
        <v>0.12563641513037865</v>
      </c>
      <c r="J5006" s="3">
        <f t="shared" ref="J5006:K5006" si="2879">SUM(J206+J1166+J2126+J3086+J4046)</f>
        <v>3975963</v>
      </c>
      <c r="K5006" s="3">
        <f t="shared" si="2879"/>
        <v>2050865</v>
      </c>
      <c r="L5006" s="1">
        <f t="shared" si="2854"/>
        <v>6026828</v>
      </c>
      <c r="M5006" s="2">
        <f t="shared" si="2855"/>
        <v>0.65971071349638644</v>
      </c>
      <c r="N5006" s="2">
        <f t="shared" si="2856"/>
        <v>0.34028928650361351</v>
      </c>
      <c r="P5006" s="5">
        <f t="shared" si="2859"/>
        <v>7939.0727604444528</v>
      </c>
    </row>
    <row r="5007" spans="1:16" x14ac:dyDescent="0.35">
      <c r="A5007" t="s">
        <v>38</v>
      </c>
      <c r="B5007" t="s">
        <v>19</v>
      </c>
      <c r="C5007">
        <v>2003</v>
      </c>
      <c r="D5007" t="s">
        <v>30</v>
      </c>
      <c r="E5007" s="3">
        <f t="shared" ref="E5007:F5007" si="2880">SUM(E207+E1167+E2127+E3087+E4047)</f>
        <v>647308</v>
      </c>
      <c r="F5007" s="3">
        <f t="shared" si="2880"/>
        <v>98870</v>
      </c>
      <c r="G5007" s="1">
        <f t="shared" si="2827"/>
        <v>746178</v>
      </c>
      <c r="H5007" s="2">
        <f t="shared" si="2828"/>
        <v>0.86749810366963376</v>
      </c>
      <c r="I5007" s="2">
        <f t="shared" si="2829"/>
        <v>0.13250189633036621</v>
      </c>
      <c r="J5007" s="3">
        <f t="shared" ref="J5007:K5007" si="2881">SUM(J207+J1167+J2127+J3087+J4047)</f>
        <v>3910879</v>
      </c>
      <c r="K5007" s="3">
        <f t="shared" si="2881"/>
        <v>2167071</v>
      </c>
      <c r="L5007" s="1">
        <f t="shared" si="2854"/>
        <v>6077950</v>
      </c>
      <c r="M5007" s="2">
        <f t="shared" si="2855"/>
        <v>0.64345363156985502</v>
      </c>
      <c r="N5007" s="2">
        <f t="shared" si="2856"/>
        <v>0.35654636843014503</v>
      </c>
      <c r="P5007" s="5">
        <f t="shared" si="2859"/>
        <v>8145.4425083559154</v>
      </c>
    </row>
    <row r="5008" spans="1:16" x14ac:dyDescent="0.35">
      <c r="A5008" t="s">
        <v>38</v>
      </c>
      <c r="B5008" t="s">
        <v>20</v>
      </c>
      <c r="C5008">
        <v>2003</v>
      </c>
      <c r="D5008" t="s">
        <v>30</v>
      </c>
      <c r="E5008" s="3">
        <f t="shared" ref="E5008:F5008" si="2882">SUM(E208+E1168+E2128+E3088+E4048)</f>
        <v>654265</v>
      </c>
      <c r="F5008" s="3">
        <f t="shared" si="2882"/>
        <v>103845</v>
      </c>
      <c r="G5008" s="1">
        <f t="shared" si="2827"/>
        <v>758110</v>
      </c>
      <c r="H5008" s="2">
        <f t="shared" si="2828"/>
        <v>0.86302119745155714</v>
      </c>
      <c r="I5008" s="2">
        <f t="shared" si="2829"/>
        <v>0.13697880254844283</v>
      </c>
      <c r="J5008" s="3">
        <f t="shared" ref="J5008:K5008" si="2883">SUM(J208+J1168+J2128+J3088+J4048)</f>
        <v>3507205</v>
      </c>
      <c r="K5008" s="3">
        <f t="shared" si="2883"/>
        <v>2148874</v>
      </c>
      <c r="L5008" s="1">
        <f t="shared" si="2854"/>
        <v>5656079</v>
      </c>
      <c r="M5008" s="2">
        <f t="shared" si="2855"/>
        <v>0.62007708873938994</v>
      </c>
      <c r="N5008" s="2">
        <f t="shared" si="2856"/>
        <v>0.37992291126061006</v>
      </c>
      <c r="P5008" s="5">
        <f t="shared" si="2859"/>
        <v>7460.7629499676832</v>
      </c>
    </row>
    <row r="5009" spans="1:16" x14ac:dyDescent="0.35">
      <c r="A5009" t="s">
        <v>38</v>
      </c>
      <c r="B5009" t="s">
        <v>21</v>
      </c>
      <c r="C5009">
        <v>2003</v>
      </c>
      <c r="D5009" t="s">
        <v>30</v>
      </c>
      <c r="E5009" s="3">
        <f t="shared" ref="E5009:F5009" si="2884">SUM(E209+E1169+E2129+E3089+E4049)</f>
        <v>653437</v>
      </c>
      <c r="F5009" s="3">
        <f t="shared" si="2884"/>
        <v>104101</v>
      </c>
      <c r="G5009" s="1">
        <f t="shared" si="2827"/>
        <v>757538</v>
      </c>
      <c r="H5009" s="2">
        <f t="shared" si="2828"/>
        <v>0.862579830978776</v>
      </c>
      <c r="I5009" s="2">
        <f t="shared" si="2829"/>
        <v>0.13742016902122403</v>
      </c>
      <c r="J5009" s="3">
        <f t="shared" ref="J5009:K5009" si="2885">SUM(J209+J1169+J2129+J3089+J4049)</f>
        <v>3707650.4350000001</v>
      </c>
      <c r="K5009" s="3">
        <f t="shared" si="2885"/>
        <v>2054294.8130000003</v>
      </c>
      <c r="L5009" s="1">
        <f t="shared" si="2854"/>
        <v>5761945.2480000006</v>
      </c>
      <c r="M5009" s="2">
        <f t="shared" si="2855"/>
        <v>0.64347200041287167</v>
      </c>
      <c r="N5009" s="2">
        <f t="shared" si="2856"/>
        <v>0.35652799958712833</v>
      </c>
      <c r="P5009" s="5">
        <f t="shared" si="2859"/>
        <v>7606.1468177173965</v>
      </c>
    </row>
    <row r="5010" spans="1:16" x14ac:dyDescent="0.35">
      <c r="A5010" t="s">
        <v>38</v>
      </c>
      <c r="B5010" t="s">
        <v>22</v>
      </c>
      <c r="C5010">
        <v>2003</v>
      </c>
      <c r="D5010" t="s">
        <v>30</v>
      </c>
      <c r="E5010" s="3">
        <f t="shared" ref="E5010:F5010" si="2886">SUM(E210+E1170+E2130+E3090+E4050)</f>
        <v>650556</v>
      </c>
      <c r="F5010" s="3">
        <f t="shared" si="2886"/>
        <v>108109</v>
      </c>
      <c r="G5010" s="1">
        <f t="shared" si="2827"/>
        <v>758665</v>
      </c>
      <c r="H5010" s="2">
        <f t="shared" si="2828"/>
        <v>0.85750100505493199</v>
      </c>
      <c r="I5010" s="2">
        <f t="shared" si="2829"/>
        <v>0.14249899494506799</v>
      </c>
      <c r="J5010" s="3">
        <f t="shared" ref="J5010:K5010" si="2887">SUM(J210+J1170+J2130+J3090+J4050)</f>
        <v>4135010.5940000005</v>
      </c>
      <c r="K5010" s="3">
        <f t="shared" si="2887"/>
        <v>2344187.8380000005</v>
      </c>
      <c r="L5010" s="1">
        <f t="shared" si="2854"/>
        <v>6479198.432000001</v>
      </c>
      <c r="M5010" s="2">
        <f t="shared" si="2855"/>
        <v>0.63819786311492921</v>
      </c>
      <c r="N5010" s="2">
        <f t="shared" si="2856"/>
        <v>0.36180213688507079</v>
      </c>
      <c r="P5010" s="5">
        <f t="shared" si="2859"/>
        <v>8540.2627404717514</v>
      </c>
    </row>
    <row r="5011" spans="1:16" x14ac:dyDescent="0.35">
      <c r="A5011" t="s">
        <v>38</v>
      </c>
      <c r="B5011" t="s">
        <v>23</v>
      </c>
      <c r="C5011">
        <v>2003</v>
      </c>
      <c r="D5011" t="s">
        <v>30</v>
      </c>
      <c r="E5011" s="3">
        <f t="shared" ref="E5011:F5011" si="2888">SUM(E211+E1171+E2131+E3091+E4051)</f>
        <v>646798</v>
      </c>
      <c r="F5011" s="3">
        <f t="shared" si="2888"/>
        <v>113823</v>
      </c>
      <c r="G5011" s="1">
        <f t="shared" si="2827"/>
        <v>760621</v>
      </c>
      <c r="H5011" s="2">
        <f t="shared" si="2828"/>
        <v>0.85035517031478225</v>
      </c>
      <c r="I5011" s="2">
        <f t="shared" si="2829"/>
        <v>0.14964482968521772</v>
      </c>
      <c r="J5011" s="3">
        <f t="shared" ref="J5011:K5011" si="2889">SUM(J211+J1171+J2131+J3091+J4051)</f>
        <v>4622834.9279999994</v>
      </c>
      <c r="K5011" s="3">
        <f t="shared" si="2889"/>
        <v>2633833.5980000002</v>
      </c>
      <c r="L5011" s="1">
        <f t="shared" si="2854"/>
        <v>7256668.5259999996</v>
      </c>
      <c r="M5011" s="2">
        <f t="shared" si="2855"/>
        <v>0.6370464506456085</v>
      </c>
      <c r="N5011" s="2">
        <f t="shared" si="2856"/>
        <v>0.3629535493543915</v>
      </c>
      <c r="P5011" s="5">
        <f t="shared" si="2859"/>
        <v>9540.4525065702892</v>
      </c>
    </row>
    <row r="5012" spans="1:16" x14ac:dyDescent="0.35">
      <c r="A5012" t="s">
        <v>38</v>
      </c>
      <c r="B5012" t="s">
        <v>24</v>
      </c>
      <c r="C5012">
        <v>2003</v>
      </c>
      <c r="D5012" t="s">
        <v>30</v>
      </c>
      <c r="E5012" s="3">
        <f t="shared" ref="E5012:F5012" si="2890">SUM(E212+E1172+E2132+E3092+E4052)</f>
        <v>649378</v>
      </c>
      <c r="F5012" s="3">
        <f t="shared" si="2890"/>
        <v>119113</v>
      </c>
      <c r="G5012" s="1">
        <f t="shared" si="2827"/>
        <v>768491</v>
      </c>
      <c r="H5012" s="2">
        <f t="shared" si="2828"/>
        <v>0.84500404038563892</v>
      </c>
      <c r="I5012" s="2">
        <f t="shared" si="2829"/>
        <v>0.15499595961436113</v>
      </c>
      <c r="J5012" s="3">
        <f t="shared" ref="J5012:K5012" si="2891">SUM(J212+J1172+J2132+J3092+J4052)</f>
        <v>4651740.6059999997</v>
      </c>
      <c r="K5012" s="3">
        <f t="shared" si="2891"/>
        <v>2884250.514</v>
      </c>
      <c r="L5012" s="1">
        <f t="shared" si="2854"/>
        <v>7535991.1199999992</v>
      </c>
      <c r="M5012" s="2">
        <f t="shared" si="2855"/>
        <v>0.61726991605053805</v>
      </c>
      <c r="N5012" s="2">
        <f t="shared" si="2856"/>
        <v>0.38273008394946201</v>
      </c>
      <c r="P5012" s="5">
        <f t="shared" si="2859"/>
        <v>9806.2190969054936</v>
      </c>
    </row>
    <row r="5013" spans="1:16" x14ac:dyDescent="0.35">
      <c r="A5013" t="s">
        <v>38</v>
      </c>
      <c r="B5013" t="s">
        <v>25</v>
      </c>
      <c r="C5013">
        <v>2003</v>
      </c>
      <c r="D5013" t="s">
        <v>30</v>
      </c>
      <c r="E5013" s="3">
        <f t="shared" ref="E5013:F5013" si="2892">SUM(E213+E1173+E2133+E3093+E4053)</f>
        <v>639003</v>
      </c>
      <c r="F5013" s="3">
        <f t="shared" si="2892"/>
        <v>122584</v>
      </c>
      <c r="G5013" s="1">
        <f t="shared" si="2827"/>
        <v>761587</v>
      </c>
      <c r="H5013" s="2">
        <f t="shared" si="2828"/>
        <v>0.83904137019145553</v>
      </c>
      <c r="I5013" s="2">
        <f t="shared" si="2829"/>
        <v>0.16095862980854453</v>
      </c>
      <c r="J5013" s="3">
        <f t="shared" ref="J5013:K5013" si="2893">SUM(J213+J1173+J2133+J3093+J4053)</f>
        <v>4852029.9279999994</v>
      </c>
      <c r="K5013" s="3">
        <f t="shared" si="2893"/>
        <v>3065951.9279999994</v>
      </c>
      <c r="L5013" s="1">
        <f t="shared" si="2854"/>
        <v>7917981.8559999987</v>
      </c>
      <c r="M5013" s="2">
        <f t="shared" si="2855"/>
        <v>0.6127861892387747</v>
      </c>
      <c r="N5013" s="2">
        <f t="shared" si="2856"/>
        <v>0.38721381076122535</v>
      </c>
      <c r="P5013" s="5">
        <f t="shared" si="2859"/>
        <v>10396.687254378028</v>
      </c>
    </row>
    <row r="5014" spans="1:16" x14ac:dyDescent="0.35">
      <c r="A5014" t="s">
        <v>38</v>
      </c>
      <c r="B5014" t="s">
        <v>26</v>
      </c>
      <c r="C5014">
        <v>2003</v>
      </c>
      <c r="D5014" t="s">
        <v>30</v>
      </c>
      <c r="E5014" s="3">
        <f t="shared" ref="E5014:F5014" si="2894">SUM(E214+E1174+E2134+E3094+E4054)</f>
        <v>636759</v>
      </c>
      <c r="F5014" s="3">
        <f t="shared" si="2894"/>
        <v>125695</v>
      </c>
      <c r="G5014" s="1">
        <f t="shared" si="2827"/>
        <v>762454</v>
      </c>
      <c r="H5014" s="2">
        <f t="shared" si="2828"/>
        <v>0.8351441529587359</v>
      </c>
      <c r="I5014" s="2">
        <f t="shared" si="2829"/>
        <v>0.16485584704126413</v>
      </c>
      <c r="J5014" s="3">
        <f t="shared" ref="J5014:K5014" si="2895">SUM(J214+J1174+J2134+J3094+J4054)</f>
        <v>4651060.1519999998</v>
      </c>
      <c r="K5014" s="3">
        <f t="shared" si="2895"/>
        <v>3098179.8160000006</v>
      </c>
      <c r="L5014" s="1">
        <f t="shared" si="2854"/>
        <v>7749239.9680000003</v>
      </c>
      <c r="M5014" s="2">
        <f t="shared" si="2855"/>
        <v>0.60019565418108878</v>
      </c>
      <c r="N5014" s="2">
        <f t="shared" si="2856"/>
        <v>0.39980434581891122</v>
      </c>
      <c r="P5014" s="5">
        <f t="shared" si="2859"/>
        <v>10163.550808311058</v>
      </c>
    </row>
    <row r="5015" spans="1:16" x14ac:dyDescent="0.35">
      <c r="A5015" t="s">
        <v>38</v>
      </c>
      <c r="B5015" t="s">
        <v>27</v>
      </c>
      <c r="C5015">
        <v>2003</v>
      </c>
      <c r="D5015" t="s">
        <v>30</v>
      </c>
      <c r="E5015" s="3">
        <f t="shared" ref="E5015:F5015" si="2896">SUM(E215+E1175+E2135+E3095+E4055)</f>
        <v>642135</v>
      </c>
      <c r="F5015" s="3">
        <f t="shared" si="2896"/>
        <v>133585</v>
      </c>
      <c r="G5015" s="1">
        <f t="shared" si="2827"/>
        <v>775720</v>
      </c>
      <c r="H5015" s="2">
        <f t="shared" si="2828"/>
        <v>0.82779224462434897</v>
      </c>
      <c r="I5015" s="2">
        <f t="shared" si="2829"/>
        <v>0.172207755375651</v>
      </c>
      <c r="J5015" s="3">
        <f t="shared" ref="J5015:K5015" si="2897">SUM(J215+J1175+J2135+J3095+J4055)</f>
        <v>4121415.9200000004</v>
      </c>
      <c r="K5015" s="3">
        <f t="shared" si="2897"/>
        <v>2891197.7800000003</v>
      </c>
      <c r="L5015" s="1">
        <f t="shared" si="2854"/>
        <v>7012613.7000000011</v>
      </c>
      <c r="M5015" s="2">
        <f t="shared" si="2855"/>
        <v>0.58771466621639223</v>
      </c>
      <c r="N5015" s="2">
        <f t="shared" si="2856"/>
        <v>0.41228533378360765</v>
      </c>
      <c r="P5015" s="5">
        <f t="shared" si="2859"/>
        <v>9040.1352292064166</v>
      </c>
    </row>
    <row r="5016" spans="1:16" x14ac:dyDescent="0.35">
      <c r="A5016" t="s">
        <v>38</v>
      </c>
      <c r="B5016" t="s">
        <v>28</v>
      </c>
      <c r="C5016">
        <v>2003</v>
      </c>
      <c r="D5016" t="s">
        <v>30</v>
      </c>
      <c r="E5016" s="3">
        <f t="shared" ref="E5016:F5016" si="2898">SUM(E216+E1176+E2136+E3096+E4056)</f>
        <v>612331</v>
      </c>
      <c r="F5016" s="3">
        <f t="shared" si="2898"/>
        <v>132617</v>
      </c>
      <c r="G5016" s="1">
        <f t="shared" si="2827"/>
        <v>744948</v>
      </c>
      <c r="H5016" s="2">
        <f t="shared" si="2828"/>
        <v>0.82197817834264941</v>
      </c>
      <c r="I5016" s="2">
        <f t="shared" si="2829"/>
        <v>0.17802182165735059</v>
      </c>
      <c r="J5016" s="3">
        <f t="shared" ref="J5016:K5016" si="2899">SUM(J216+J1176+J2136+J3096+J4056)</f>
        <v>3577646.4299999997</v>
      </c>
      <c r="K5016" s="3">
        <f t="shared" si="2899"/>
        <v>2638518.33</v>
      </c>
      <c r="L5016" s="1">
        <f t="shared" si="2854"/>
        <v>6216164.7599999998</v>
      </c>
      <c r="M5016" s="2">
        <f t="shared" si="2855"/>
        <v>0.57553918985892516</v>
      </c>
      <c r="N5016" s="2">
        <f t="shared" si="2856"/>
        <v>0.42446081014107484</v>
      </c>
      <c r="P5016" s="5">
        <f t="shared" si="2859"/>
        <v>8344.4277452922888</v>
      </c>
    </row>
    <row r="5017" spans="1:16" x14ac:dyDescent="0.35">
      <c r="A5017" t="s">
        <v>38</v>
      </c>
      <c r="B5017" t="s">
        <v>29</v>
      </c>
      <c r="C5017">
        <v>2003</v>
      </c>
      <c r="D5017" t="s">
        <v>30</v>
      </c>
      <c r="E5017" s="3">
        <f t="shared" ref="E5017:F5017" si="2900">SUM(E217+E1177+E2137+E3097+E4057)</f>
        <v>620691</v>
      </c>
      <c r="F5017" s="3">
        <f t="shared" si="2900"/>
        <v>145415</v>
      </c>
      <c r="G5017" s="1">
        <f t="shared" si="2827"/>
        <v>766106</v>
      </c>
      <c r="H5017" s="2">
        <f t="shared" si="2828"/>
        <v>0.81018945159024991</v>
      </c>
      <c r="I5017" s="2">
        <f t="shared" si="2829"/>
        <v>0.18981054840975009</v>
      </c>
      <c r="J5017" s="3">
        <f t="shared" ref="J5017:K5017" si="2901">SUM(J217+J1177+J2137+J3097+J4057)</f>
        <v>3370188.93</v>
      </c>
      <c r="K5017" s="3">
        <f t="shared" si="2901"/>
        <v>2661767.04</v>
      </c>
      <c r="L5017" s="1">
        <f t="shared" si="2854"/>
        <v>6031955.9700000007</v>
      </c>
      <c r="M5017" s="2">
        <f t="shared" si="2855"/>
        <v>0.55872240227907366</v>
      </c>
      <c r="N5017" s="2">
        <f t="shared" si="2856"/>
        <v>0.44127759772092628</v>
      </c>
      <c r="P5017" s="5">
        <f t="shared" si="2859"/>
        <v>7873.5266007575983</v>
      </c>
    </row>
    <row r="5018" spans="1:16" x14ac:dyDescent="0.35">
      <c r="A5018" t="s">
        <v>38</v>
      </c>
      <c r="B5018" t="s">
        <v>17</v>
      </c>
      <c r="C5018">
        <v>2004</v>
      </c>
      <c r="D5018" t="s">
        <v>30</v>
      </c>
      <c r="E5018" s="3">
        <f t="shared" ref="E5018:F5018" si="2902">SUM(E218+E1178+E2138+E3098+E4058)</f>
        <v>619937</v>
      </c>
      <c r="F5018" s="3">
        <f t="shared" si="2902"/>
        <v>147398</v>
      </c>
      <c r="G5018" s="1">
        <f t="shared" si="2827"/>
        <v>767335</v>
      </c>
      <c r="H5018" s="2">
        <f t="shared" si="2828"/>
        <v>0.80790919220418722</v>
      </c>
      <c r="I5018" s="2">
        <f t="shared" si="2829"/>
        <v>0.19209080779581278</v>
      </c>
      <c r="J5018" s="3">
        <f t="shared" ref="J5018:K5018" si="2903">SUM(J218+J1178+J2138+J3098+J4058)</f>
        <v>3349906.65</v>
      </c>
      <c r="K5018" s="3">
        <f t="shared" si="2903"/>
        <v>2665110.89</v>
      </c>
      <c r="L5018" s="1">
        <f t="shared" si="2854"/>
        <v>6015017.54</v>
      </c>
      <c r="M5018" s="2">
        <f t="shared" si="2855"/>
        <v>0.55692383733265061</v>
      </c>
      <c r="N5018" s="2">
        <f t="shared" si="2856"/>
        <v>0.44307616266734945</v>
      </c>
      <c r="P5018" s="5">
        <f t="shared" si="2859"/>
        <v>7838.8416271902106</v>
      </c>
    </row>
    <row r="5019" spans="1:16" x14ac:dyDescent="0.35">
      <c r="A5019" t="s">
        <v>38</v>
      </c>
      <c r="B5019" t="s">
        <v>19</v>
      </c>
      <c r="C5019">
        <v>2004</v>
      </c>
      <c r="D5019" t="s">
        <v>30</v>
      </c>
      <c r="E5019" s="3">
        <f t="shared" ref="E5019:F5019" si="2904">SUM(E219+E1179+E2139+E3099+E4059)</f>
        <v>611233</v>
      </c>
      <c r="F5019" s="3">
        <f t="shared" si="2904"/>
        <v>149004</v>
      </c>
      <c r="G5019" s="1">
        <f t="shared" si="2827"/>
        <v>760237</v>
      </c>
      <c r="H5019" s="2">
        <f t="shared" si="2828"/>
        <v>0.80400322531000201</v>
      </c>
      <c r="I5019" s="2">
        <f t="shared" si="2829"/>
        <v>0.19599677468999799</v>
      </c>
      <c r="J5019" s="3">
        <f t="shared" ref="J5019:K5019" si="2905">SUM(J219+J1179+J2139+J3099+J4059)</f>
        <v>3314815.12</v>
      </c>
      <c r="K5019" s="3">
        <f t="shared" si="2905"/>
        <v>2648872.75</v>
      </c>
      <c r="L5019" s="1">
        <f t="shared" si="2854"/>
        <v>5963687.8700000001</v>
      </c>
      <c r="M5019" s="2">
        <f t="shared" si="2855"/>
        <v>0.55583310063475877</v>
      </c>
      <c r="N5019" s="2">
        <f t="shared" si="2856"/>
        <v>0.44416689936524123</v>
      </c>
      <c r="P5019" s="5">
        <f t="shared" si="2859"/>
        <v>7844.5114747111757</v>
      </c>
    </row>
    <row r="5020" spans="1:16" x14ac:dyDescent="0.35">
      <c r="A5020" t="s">
        <v>38</v>
      </c>
      <c r="B5020" t="s">
        <v>20</v>
      </c>
      <c r="C5020">
        <v>2004</v>
      </c>
      <c r="D5020" t="s">
        <v>30</v>
      </c>
      <c r="E5020" s="3">
        <f t="shared" ref="E5020:F5020" si="2906">SUM(E220+E1180+E2140+E3100+E4060)</f>
        <v>623250</v>
      </c>
      <c r="F5020" s="3">
        <f t="shared" si="2906"/>
        <v>160358</v>
      </c>
      <c r="G5020" s="1">
        <f t="shared" si="2827"/>
        <v>783608</v>
      </c>
      <c r="H5020" s="2">
        <f t="shared" si="2828"/>
        <v>0.79535941440107805</v>
      </c>
      <c r="I5020" s="2">
        <f t="shared" si="2829"/>
        <v>0.2046405855989219</v>
      </c>
      <c r="J5020" s="3">
        <f t="shared" ref="J5020:K5020" si="2907">SUM(J220+J1180+J2140+J3100+J4060)</f>
        <v>3230434.23</v>
      </c>
      <c r="K5020" s="3">
        <f t="shared" si="2907"/>
        <v>2666191.7999999998</v>
      </c>
      <c r="L5020" s="1">
        <f t="shared" si="2854"/>
        <v>5896626.0299999993</v>
      </c>
      <c r="M5020" s="2">
        <f t="shared" si="2855"/>
        <v>0.54784451541689516</v>
      </c>
      <c r="N5020" s="2">
        <f t="shared" si="2856"/>
        <v>0.45215548458310489</v>
      </c>
      <c r="P5020" s="5">
        <f t="shared" si="2859"/>
        <v>7524.9691554961146</v>
      </c>
    </row>
    <row r="5021" spans="1:16" x14ac:dyDescent="0.35">
      <c r="A5021" t="s">
        <v>38</v>
      </c>
      <c r="B5021" t="s">
        <v>21</v>
      </c>
      <c r="C5021">
        <v>2004</v>
      </c>
      <c r="D5021" t="s">
        <v>30</v>
      </c>
      <c r="E5021" s="3">
        <f t="shared" ref="E5021:F5021" si="2908">SUM(E221+E1181+E2141+E3101+E4061)</f>
        <v>610622</v>
      </c>
      <c r="F5021" s="3">
        <f t="shared" si="2908"/>
        <v>158922</v>
      </c>
      <c r="G5021" s="1">
        <f t="shared" si="2827"/>
        <v>769544</v>
      </c>
      <c r="H5021" s="2">
        <f t="shared" si="2828"/>
        <v>0.79348549270736957</v>
      </c>
      <c r="I5021" s="2">
        <f t="shared" si="2829"/>
        <v>0.20651450729263043</v>
      </c>
      <c r="J5021" s="3">
        <f t="shared" ref="J5021:K5021" si="2909">SUM(J221+J1181+J2141+J3101+J4061)</f>
        <v>3249240.21</v>
      </c>
      <c r="K5021" s="3">
        <f t="shared" si="2909"/>
        <v>2903189.18</v>
      </c>
      <c r="L5021" s="1">
        <f t="shared" si="2854"/>
        <v>6152429.3900000006</v>
      </c>
      <c r="M5021" s="2">
        <f t="shared" si="2855"/>
        <v>0.52812312080838031</v>
      </c>
      <c r="N5021" s="2">
        <f t="shared" si="2856"/>
        <v>0.47187687919161958</v>
      </c>
      <c r="P5021" s="5">
        <f t="shared" si="2859"/>
        <v>7994.9026826276349</v>
      </c>
    </row>
    <row r="5022" spans="1:16" x14ac:dyDescent="0.35">
      <c r="A5022" t="s">
        <v>38</v>
      </c>
      <c r="B5022" t="s">
        <v>22</v>
      </c>
      <c r="C5022">
        <v>2004</v>
      </c>
      <c r="D5022" t="s">
        <v>30</v>
      </c>
      <c r="E5022" s="3">
        <f t="shared" ref="E5022:F5022" si="2910">SUM(E222+E1182+E2142+E3102+E4062)</f>
        <v>603597</v>
      </c>
      <c r="F5022" s="3">
        <f t="shared" si="2910"/>
        <v>161065</v>
      </c>
      <c r="G5022" s="1">
        <f t="shared" si="2827"/>
        <v>764662</v>
      </c>
      <c r="H5022" s="2">
        <f t="shared" si="2828"/>
        <v>0.78936445122158549</v>
      </c>
      <c r="I5022" s="2">
        <f t="shared" si="2829"/>
        <v>0.21063554877841451</v>
      </c>
      <c r="J5022" s="3">
        <f t="shared" ref="J5022:K5022" si="2911">SUM(J222+J1182+J2142+J3102+J4062)</f>
        <v>3313704.64</v>
      </c>
      <c r="K5022" s="3">
        <f t="shared" si="2911"/>
        <v>3023524.43</v>
      </c>
      <c r="L5022" s="1">
        <f t="shared" si="2854"/>
        <v>6337229.0700000003</v>
      </c>
      <c r="M5022" s="2">
        <f t="shared" si="2855"/>
        <v>0.52289488093255876</v>
      </c>
      <c r="N5022" s="2">
        <f t="shared" si="2856"/>
        <v>0.47710511906744124</v>
      </c>
      <c r="P5022" s="5">
        <f t="shared" si="2859"/>
        <v>8287.6212888831924</v>
      </c>
    </row>
    <row r="5023" spans="1:16" x14ac:dyDescent="0.35">
      <c r="A5023" t="s">
        <v>38</v>
      </c>
      <c r="B5023" t="s">
        <v>23</v>
      </c>
      <c r="C5023">
        <v>2004</v>
      </c>
      <c r="D5023" t="s">
        <v>30</v>
      </c>
      <c r="E5023" s="3">
        <f t="shared" ref="E5023:F5023" si="2912">SUM(E223+E1183+E2143+E3103+E4063)</f>
        <v>608207</v>
      </c>
      <c r="F5023" s="3">
        <f t="shared" si="2912"/>
        <v>171679</v>
      </c>
      <c r="G5023" s="1">
        <f t="shared" si="2827"/>
        <v>779886</v>
      </c>
      <c r="H5023" s="2">
        <f t="shared" si="2828"/>
        <v>0.77986654459754379</v>
      </c>
      <c r="I5023" s="2">
        <f t="shared" si="2829"/>
        <v>0.22013345540245627</v>
      </c>
      <c r="J5023" s="3">
        <f t="shared" ref="J5023:K5023" si="2913">SUM(J223+J1183+J2143+J3103+J4063)</f>
        <v>3716874.5100000002</v>
      </c>
      <c r="K5023" s="3">
        <f t="shared" si="2913"/>
        <v>3526125.22</v>
      </c>
      <c r="L5023" s="1">
        <f t="shared" si="2854"/>
        <v>7242999.7300000004</v>
      </c>
      <c r="M5023" s="2">
        <f t="shared" si="2855"/>
        <v>0.51316783771300789</v>
      </c>
      <c r="N5023" s="2">
        <f t="shared" si="2856"/>
        <v>0.48683216228699211</v>
      </c>
      <c r="P5023" s="5">
        <f t="shared" si="2859"/>
        <v>9287.2544577027929</v>
      </c>
    </row>
    <row r="5024" spans="1:16" x14ac:dyDescent="0.35">
      <c r="A5024" t="s">
        <v>38</v>
      </c>
      <c r="B5024" t="s">
        <v>24</v>
      </c>
      <c r="C5024">
        <v>2004</v>
      </c>
      <c r="D5024" t="s">
        <v>30</v>
      </c>
      <c r="E5024" s="3">
        <f t="shared" ref="E5024:F5024" si="2914">SUM(E224+E1184+E2144+E3104+E4064)</f>
        <v>592521</v>
      </c>
      <c r="F5024" s="3">
        <f t="shared" si="2914"/>
        <v>176985</v>
      </c>
      <c r="G5024" s="1">
        <f t="shared" si="2827"/>
        <v>769506</v>
      </c>
      <c r="H5024" s="2">
        <f t="shared" si="2828"/>
        <v>0.77000179335833641</v>
      </c>
      <c r="I5024" s="2">
        <f t="shared" si="2829"/>
        <v>0.22999820664166362</v>
      </c>
      <c r="J5024" s="3">
        <f t="shared" ref="J5024:K5024" si="2915">SUM(J224+J1184+J2144+J3104+J4064)</f>
        <v>3748586.06</v>
      </c>
      <c r="K5024" s="3">
        <f t="shared" si="2915"/>
        <v>3802799.0100000002</v>
      </c>
      <c r="L5024" s="1">
        <f t="shared" si="2854"/>
        <v>7551385.0700000003</v>
      </c>
      <c r="M5024" s="2">
        <f t="shared" si="2855"/>
        <v>0.49641039693397598</v>
      </c>
      <c r="N5024" s="2">
        <f t="shared" si="2856"/>
        <v>0.50358960306602407</v>
      </c>
      <c r="P5024" s="5">
        <f t="shared" si="2859"/>
        <v>9813.2893960540914</v>
      </c>
    </row>
    <row r="5025" spans="1:16" x14ac:dyDescent="0.35">
      <c r="A5025" t="s">
        <v>38</v>
      </c>
      <c r="B5025" t="s">
        <v>25</v>
      </c>
      <c r="C5025">
        <v>2004</v>
      </c>
      <c r="D5025" t="s">
        <v>30</v>
      </c>
      <c r="E5025" s="3">
        <f t="shared" ref="E5025:F5025" si="2916">SUM(E225+E1185+E2145+E3105+E4065)</f>
        <v>596464</v>
      </c>
      <c r="F5025" s="3">
        <f t="shared" si="2916"/>
        <v>186240</v>
      </c>
      <c r="G5025" s="1">
        <f t="shared" si="2827"/>
        <v>782704</v>
      </c>
      <c r="H5025" s="2">
        <f t="shared" si="2828"/>
        <v>0.7620556430016967</v>
      </c>
      <c r="I5025" s="2">
        <f t="shared" si="2829"/>
        <v>0.23794435699830332</v>
      </c>
      <c r="J5025" s="3">
        <f t="shared" ref="J5025:K5025" si="2917">SUM(J225+J1185+J2145+J3105+J4065)</f>
        <v>3729674.17</v>
      </c>
      <c r="K5025" s="3">
        <f t="shared" si="2917"/>
        <v>4009618.9899999998</v>
      </c>
      <c r="L5025" s="1">
        <f t="shared" si="2854"/>
        <v>7739293.1600000001</v>
      </c>
      <c r="M5025" s="2">
        <f t="shared" si="2855"/>
        <v>0.48191405763985812</v>
      </c>
      <c r="N5025" s="2">
        <f t="shared" si="2856"/>
        <v>0.51808594236014183</v>
      </c>
      <c r="P5025" s="5">
        <f t="shared" si="2859"/>
        <v>9887.8926899568669</v>
      </c>
    </row>
    <row r="5026" spans="1:16" x14ac:dyDescent="0.35">
      <c r="A5026" t="s">
        <v>38</v>
      </c>
      <c r="B5026" t="s">
        <v>26</v>
      </c>
      <c r="C5026">
        <v>2004</v>
      </c>
      <c r="D5026" t="s">
        <v>30</v>
      </c>
      <c r="E5026" s="3">
        <f t="shared" ref="E5026:F5026" si="2918">SUM(E226+E1186+E2146+E3106+E4066)</f>
        <v>586366</v>
      </c>
      <c r="F5026" s="3">
        <f t="shared" si="2918"/>
        <v>191365</v>
      </c>
      <c r="G5026" s="1">
        <f t="shared" si="2827"/>
        <v>777731</v>
      </c>
      <c r="H5026" s="2">
        <f t="shared" si="2828"/>
        <v>0.75394448723273211</v>
      </c>
      <c r="I5026" s="2">
        <f t="shared" si="2829"/>
        <v>0.24605551276726786</v>
      </c>
      <c r="J5026" s="3">
        <f t="shared" ref="J5026:K5026" si="2919">SUM(J226+J1186+J2146+J3106+J4066)</f>
        <v>3627175.65</v>
      </c>
      <c r="K5026" s="3">
        <f t="shared" si="2919"/>
        <v>4111368.0500000003</v>
      </c>
      <c r="L5026" s="1">
        <f t="shared" si="2854"/>
        <v>7738543.7000000002</v>
      </c>
      <c r="M5026" s="2">
        <f t="shared" si="2855"/>
        <v>0.46871553493973289</v>
      </c>
      <c r="N5026" s="2">
        <f t="shared" si="2856"/>
        <v>0.53128446506026716</v>
      </c>
      <c r="P5026" s="5">
        <f t="shared" si="2859"/>
        <v>9950.1546164419324</v>
      </c>
    </row>
    <row r="5027" spans="1:16" x14ac:dyDescent="0.35">
      <c r="A5027" t="s">
        <v>38</v>
      </c>
      <c r="B5027" t="s">
        <v>27</v>
      </c>
      <c r="C5027">
        <v>2004</v>
      </c>
      <c r="D5027" t="s">
        <v>30</v>
      </c>
      <c r="E5027" s="3">
        <f t="shared" ref="E5027:F5027" si="2920">SUM(E227+E1187+E2147+E3107+E4067)</f>
        <v>579602</v>
      </c>
      <c r="F5027" s="3">
        <f t="shared" si="2920"/>
        <v>197328</v>
      </c>
      <c r="G5027" s="1">
        <f t="shared" si="2827"/>
        <v>776930</v>
      </c>
      <c r="H5027" s="2">
        <f t="shared" si="2828"/>
        <v>0.7460157285727157</v>
      </c>
      <c r="I5027" s="2">
        <f t="shared" si="2829"/>
        <v>0.2539842714272843</v>
      </c>
      <c r="J5027" s="3">
        <f t="shared" ref="J5027:K5027" si="2921">SUM(J227+J1187+J2147+J3107+J4067)</f>
        <v>3271804.9220000003</v>
      </c>
      <c r="K5027" s="3">
        <f t="shared" si="2921"/>
        <v>3916204.5690000001</v>
      </c>
      <c r="L5027" s="1">
        <f t="shared" si="2854"/>
        <v>7188009.4910000004</v>
      </c>
      <c r="M5027" s="2">
        <f t="shared" si="2855"/>
        <v>0.45517537589461704</v>
      </c>
      <c r="N5027" s="2">
        <f t="shared" si="2856"/>
        <v>0.5448246241053829</v>
      </c>
      <c r="P5027" s="5">
        <f t="shared" si="2859"/>
        <v>9251.8109623775636</v>
      </c>
    </row>
    <row r="5028" spans="1:16" x14ac:dyDescent="0.35">
      <c r="A5028" t="s">
        <v>38</v>
      </c>
      <c r="B5028" t="s">
        <v>28</v>
      </c>
      <c r="C5028">
        <v>2004</v>
      </c>
      <c r="D5028" t="s">
        <v>30</v>
      </c>
      <c r="E5028" s="3">
        <f t="shared" ref="E5028:F5028" si="2922">SUM(E228+E1188+E2148+E3108+E4068)</f>
        <v>571525</v>
      </c>
      <c r="F5028" s="3">
        <f t="shared" si="2922"/>
        <v>201648</v>
      </c>
      <c r="G5028" s="1">
        <f t="shared" si="2827"/>
        <v>773173</v>
      </c>
      <c r="H5028" s="2">
        <f t="shared" si="2828"/>
        <v>0.73919420362583799</v>
      </c>
      <c r="I5028" s="2">
        <f t="shared" si="2829"/>
        <v>0.26080579637416207</v>
      </c>
      <c r="J5028" s="3">
        <f t="shared" ref="J5028:K5028" si="2923">SUM(J228+J1188+J2148+J3108+J4068)</f>
        <v>2858561.8789999997</v>
      </c>
      <c r="K5028" s="3">
        <f t="shared" si="2923"/>
        <v>3611382.7820000001</v>
      </c>
      <c r="L5028" s="1">
        <f t="shared" si="2854"/>
        <v>6469944.6610000003</v>
      </c>
      <c r="M5028" s="2">
        <f t="shared" si="2855"/>
        <v>0.44182168917626846</v>
      </c>
      <c r="N5028" s="2">
        <f t="shared" si="2856"/>
        <v>0.55817831082373148</v>
      </c>
      <c r="P5028" s="5">
        <f t="shared" si="2859"/>
        <v>8368.0426773826821</v>
      </c>
    </row>
    <row r="5029" spans="1:16" x14ac:dyDescent="0.35">
      <c r="A5029" t="s">
        <v>38</v>
      </c>
      <c r="B5029" t="s">
        <v>29</v>
      </c>
      <c r="C5029">
        <v>2004</v>
      </c>
      <c r="D5029" t="s">
        <v>30</v>
      </c>
      <c r="E5029" s="3">
        <f t="shared" ref="E5029:F5029" si="2924">SUM(E229+E1189+E2149+E3109+E4069)</f>
        <v>564142</v>
      </c>
      <c r="F5029" s="3">
        <f t="shared" si="2924"/>
        <v>205085</v>
      </c>
      <c r="G5029" s="1">
        <f t="shared" si="2827"/>
        <v>769227</v>
      </c>
      <c r="H5029" s="2">
        <f t="shared" si="2828"/>
        <v>0.73338819360214869</v>
      </c>
      <c r="I5029" s="2">
        <f t="shared" si="2829"/>
        <v>0.26661180639785137</v>
      </c>
      <c r="J5029" s="3">
        <f t="shared" ref="J5029:K5029" si="2925">SUM(J229+J1189+J2149+J3109+J4069)</f>
        <v>2713127.548</v>
      </c>
      <c r="K5029" s="3">
        <f t="shared" si="2925"/>
        <v>3381093.9559999998</v>
      </c>
      <c r="L5029" s="1">
        <f t="shared" si="2854"/>
        <v>6094221.5039999997</v>
      </c>
      <c r="M5029" s="2">
        <f t="shared" si="2855"/>
        <v>0.44519674025947581</v>
      </c>
      <c r="N5029" s="2">
        <f t="shared" si="2856"/>
        <v>0.55480325974052414</v>
      </c>
      <c r="P5029" s="5">
        <f t="shared" si="2859"/>
        <v>7922.5267755812001</v>
      </c>
    </row>
    <row r="5030" spans="1:16" x14ac:dyDescent="0.35">
      <c r="A5030" t="s">
        <v>38</v>
      </c>
      <c r="B5030" t="s">
        <v>17</v>
      </c>
      <c r="C5030">
        <v>2005</v>
      </c>
      <c r="D5030" t="s">
        <v>30</v>
      </c>
      <c r="E5030" s="3">
        <f t="shared" ref="E5030:F5030" si="2926">SUM(E230+E1190+E2150+E3110+E4070)</f>
        <v>555472</v>
      </c>
      <c r="F5030" s="3">
        <f t="shared" si="2926"/>
        <v>216902</v>
      </c>
      <c r="G5030" s="1">
        <f t="shared" si="2827"/>
        <v>772374</v>
      </c>
      <c r="H5030" s="2">
        <f t="shared" si="2828"/>
        <v>0.71917490749300206</v>
      </c>
      <c r="I5030" s="2">
        <f t="shared" si="2829"/>
        <v>0.28082509250699789</v>
      </c>
      <c r="J5030" s="3">
        <f t="shared" ref="J5030:K5030" si="2927">SUM(J230+J1190+J2150+J3110+J4070)</f>
        <v>2794066.75</v>
      </c>
      <c r="K5030" s="3">
        <f t="shared" si="2927"/>
        <v>3555177.34</v>
      </c>
      <c r="L5030" s="1">
        <f t="shared" si="2854"/>
        <v>6349244.0899999999</v>
      </c>
      <c r="M5030" s="2">
        <f t="shared" si="2855"/>
        <v>0.44006289731412734</v>
      </c>
      <c r="N5030" s="2">
        <f t="shared" si="2856"/>
        <v>0.5599371026858726</v>
      </c>
      <c r="P5030" s="5">
        <f t="shared" si="2859"/>
        <v>8220.4270081592604</v>
      </c>
    </row>
    <row r="5031" spans="1:16" x14ac:dyDescent="0.35">
      <c r="A5031" t="s">
        <v>38</v>
      </c>
      <c r="B5031" t="s">
        <v>19</v>
      </c>
      <c r="C5031">
        <v>2005</v>
      </c>
      <c r="D5031" t="s">
        <v>30</v>
      </c>
      <c r="E5031" s="3">
        <f t="shared" ref="E5031:F5031" si="2928">SUM(E231+E1191+E2151+E3111+E4071)</f>
        <v>540182</v>
      </c>
      <c r="F5031" s="3">
        <f t="shared" si="2928"/>
        <v>214647</v>
      </c>
      <c r="G5031" s="1">
        <f t="shared" si="2827"/>
        <v>754829</v>
      </c>
      <c r="H5031" s="2">
        <f t="shared" si="2828"/>
        <v>0.71563493188523497</v>
      </c>
      <c r="I5031" s="2">
        <f t="shared" si="2829"/>
        <v>0.28436506811476508</v>
      </c>
      <c r="J5031" s="3">
        <f t="shared" ref="J5031:K5031" si="2929">SUM(J231+J1191+J2151+J3111+J4071)</f>
        <v>2469939.0300000003</v>
      </c>
      <c r="K5031" s="3">
        <f t="shared" si="2929"/>
        <v>3386481.8000000003</v>
      </c>
      <c r="L5031" s="1">
        <f t="shared" si="2854"/>
        <v>5856420.8300000001</v>
      </c>
      <c r="M5031" s="2">
        <f t="shared" si="2855"/>
        <v>0.42174889778199226</v>
      </c>
      <c r="N5031" s="2">
        <f t="shared" si="2856"/>
        <v>0.5782511022180078</v>
      </c>
      <c r="P5031" s="5">
        <f t="shared" si="2859"/>
        <v>7758.6060286501979</v>
      </c>
    </row>
    <row r="5032" spans="1:16" x14ac:dyDescent="0.35">
      <c r="A5032" t="s">
        <v>38</v>
      </c>
      <c r="B5032" t="s">
        <v>20</v>
      </c>
      <c r="C5032">
        <v>2005</v>
      </c>
      <c r="D5032" t="s">
        <v>30</v>
      </c>
      <c r="E5032" s="3">
        <f t="shared" ref="E5032:F5032" si="2930">SUM(E232+E1192+E2152+E3112+E4072)</f>
        <v>545582</v>
      </c>
      <c r="F5032" s="3">
        <f t="shared" si="2930"/>
        <v>223765</v>
      </c>
      <c r="G5032" s="1">
        <f t="shared" si="2827"/>
        <v>769347</v>
      </c>
      <c r="H5032" s="2">
        <f t="shared" si="2828"/>
        <v>0.70914944751847997</v>
      </c>
      <c r="I5032" s="2">
        <f t="shared" si="2829"/>
        <v>0.29085055248152003</v>
      </c>
      <c r="J5032" s="3">
        <f t="shared" ref="J5032:K5032" si="2931">SUM(J232+J1192+J2152+J3112+J4072)</f>
        <v>2397923.1300000004</v>
      </c>
      <c r="K5032" s="3">
        <f t="shared" si="2931"/>
        <v>3553759.98</v>
      </c>
      <c r="L5032" s="1">
        <f t="shared" si="2854"/>
        <v>5951683.1100000003</v>
      </c>
      <c r="M5032" s="2">
        <f t="shared" si="2855"/>
        <v>0.40289832063992403</v>
      </c>
      <c r="N5032" s="2">
        <f t="shared" si="2856"/>
        <v>0.59710167936007597</v>
      </c>
      <c r="P5032" s="5">
        <f t="shared" si="2859"/>
        <v>7736.0191305093804</v>
      </c>
    </row>
    <row r="5033" spans="1:16" x14ac:dyDescent="0.35">
      <c r="A5033" t="s">
        <v>38</v>
      </c>
      <c r="B5033" t="s">
        <v>21</v>
      </c>
      <c r="C5033">
        <v>2005</v>
      </c>
      <c r="D5033" t="s">
        <v>30</v>
      </c>
      <c r="E5033" s="3">
        <f t="shared" ref="E5033:F5033" si="2932">SUM(E233+E1193+E2153+E3113+E4073)</f>
        <v>538744</v>
      </c>
      <c r="F5033" s="3">
        <f t="shared" si="2932"/>
        <v>234972</v>
      </c>
      <c r="G5033" s="1">
        <f t="shared" si="2827"/>
        <v>773716</v>
      </c>
      <c r="H5033" s="2">
        <f t="shared" si="2828"/>
        <v>0.69630717214068216</v>
      </c>
      <c r="I5033" s="2">
        <f t="shared" si="2829"/>
        <v>0.30369282785931789</v>
      </c>
      <c r="J5033" s="3">
        <f t="shared" ref="J5033:K5033" si="2933">SUM(J233+J1193+J2153+J3113+J4073)</f>
        <v>2385828.2799999998</v>
      </c>
      <c r="K5033" s="3">
        <f t="shared" si="2933"/>
        <v>3713252.5199999996</v>
      </c>
      <c r="L5033" s="1">
        <f t="shared" si="2854"/>
        <v>6099080.7999999989</v>
      </c>
      <c r="M5033" s="2">
        <f t="shared" si="2855"/>
        <v>0.39117833625027565</v>
      </c>
      <c r="N5033" s="2">
        <f t="shared" si="2856"/>
        <v>0.60882166374972446</v>
      </c>
      <c r="P5033" s="5">
        <f t="shared" si="2859"/>
        <v>7882.8417662294678</v>
      </c>
    </row>
    <row r="5034" spans="1:16" x14ac:dyDescent="0.35">
      <c r="A5034" t="s">
        <v>38</v>
      </c>
      <c r="B5034" t="s">
        <v>22</v>
      </c>
      <c r="C5034">
        <v>2005</v>
      </c>
      <c r="D5034" t="s">
        <v>30</v>
      </c>
      <c r="E5034" s="3">
        <f t="shared" ref="E5034:F5034" si="2934">SUM(E234+E1194+E2154+E3114+E4074)</f>
        <v>537151</v>
      </c>
      <c r="F5034" s="3">
        <f t="shared" si="2934"/>
        <v>241624</v>
      </c>
      <c r="G5034" s="1">
        <f t="shared" si="2827"/>
        <v>778775</v>
      </c>
      <c r="H5034" s="2">
        <f t="shared" si="2828"/>
        <v>0.68973837115983438</v>
      </c>
      <c r="I5034" s="2">
        <f t="shared" si="2829"/>
        <v>0.31026162884016567</v>
      </c>
      <c r="J5034" s="3">
        <f t="shared" ref="J5034:K5034" si="2935">SUM(J234+J1194+J2154+J3114+J4074)</f>
        <v>2427388.0499999998</v>
      </c>
      <c r="K5034" s="3">
        <f t="shared" si="2935"/>
        <v>3925381.7</v>
      </c>
      <c r="L5034" s="1">
        <f t="shared" si="2854"/>
        <v>6352769.75</v>
      </c>
      <c r="M5034" s="2">
        <f t="shared" si="2855"/>
        <v>0.38209917020839607</v>
      </c>
      <c r="N5034" s="2">
        <f t="shared" si="2856"/>
        <v>0.61790082979160388</v>
      </c>
      <c r="P5034" s="5">
        <f t="shared" si="2859"/>
        <v>8157.3878848191071</v>
      </c>
    </row>
    <row r="5035" spans="1:16" x14ac:dyDescent="0.35">
      <c r="A5035" t="s">
        <v>38</v>
      </c>
      <c r="B5035" t="s">
        <v>23</v>
      </c>
      <c r="C5035">
        <v>2005</v>
      </c>
      <c r="D5035" t="s">
        <v>30</v>
      </c>
      <c r="E5035" s="3">
        <f t="shared" ref="E5035:F5035" si="2936">SUM(E235+E1195+E2155+E3115+E4075)</f>
        <v>533284</v>
      </c>
      <c r="F5035" s="3">
        <f t="shared" si="2936"/>
        <v>253085</v>
      </c>
      <c r="G5035" s="1">
        <f t="shared" si="2827"/>
        <v>786369</v>
      </c>
      <c r="H5035" s="2">
        <f t="shared" si="2828"/>
        <v>0.67815999867746568</v>
      </c>
      <c r="I5035" s="2">
        <f t="shared" si="2829"/>
        <v>0.32184000132253432</v>
      </c>
      <c r="J5035" s="3">
        <f t="shared" ref="J5035:K5035" si="2937">SUM(J235+J1195+J2155+J3115+J4075)</f>
        <v>2837159.7600000002</v>
      </c>
      <c r="K5035" s="3">
        <f t="shared" si="2937"/>
        <v>4648262.59</v>
      </c>
      <c r="L5035" s="1">
        <f t="shared" si="2854"/>
        <v>7485422.3499999996</v>
      </c>
      <c r="M5035" s="2">
        <f t="shared" si="2855"/>
        <v>0.37902467320364369</v>
      </c>
      <c r="N5035" s="2">
        <f t="shared" si="2856"/>
        <v>0.62097532679635636</v>
      </c>
      <c r="P5035" s="5">
        <f t="shared" si="2859"/>
        <v>9518.969275238469</v>
      </c>
    </row>
    <row r="5036" spans="1:16" x14ac:dyDescent="0.35">
      <c r="A5036" t="s">
        <v>38</v>
      </c>
      <c r="B5036" t="s">
        <v>24</v>
      </c>
      <c r="C5036">
        <v>2005</v>
      </c>
      <c r="D5036" t="s">
        <v>30</v>
      </c>
      <c r="E5036" s="3">
        <f t="shared" ref="E5036:F5036" si="2938">SUM(E236+E1196+E2156+E3116+E4076)</f>
        <v>525197</v>
      </c>
      <c r="F5036" s="3">
        <f t="shared" si="2938"/>
        <v>255586</v>
      </c>
      <c r="G5036" s="1">
        <f t="shared" si="2827"/>
        <v>780783</v>
      </c>
      <c r="H5036" s="2">
        <f t="shared" si="2828"/>
        <v>0.67265424580197064</v>
      </c>
      <c r="I5036" s="2">
        <f t="shared" si="2829"/>
        <v>0.32734575419802941</v>
      </c>
      <c r="J5036" s="3">
        <f t="shared" ref="J5036:K5036" si="2939">SUM(J236+J1196+J2156+J3116+J4076)</f>
        <v>3008251.5499999993</v>
      </c>
      <c r="K5036" s="3">
        <f t="shared" si="2939"/>
        <v>5078074.0000000009</v>
      </c>
      <c r="L5036" s="1">
        <f t="shared" si="2854"/>
        <v>8086325.5500000007</v>
      </c>
      <c r="M5036" s="2">
        <f t="shared" si="2855"/>
        <v>0.3720171209283058</v>
      </c>
      <c r="N5036" s="2">
        <f t="shared" si="2856"/>
        <v>0.62798287907169414</v>
      </c>
      <c r="P5036" s="5">
        <f t="shared" si="2859"/>
        <v>10356.687517530479</v>
      </c>
    </row>
    <row r="5037" spans="1:16" x14ac:dyDescent="0.35">
      <c r="A5037" t="s">
        <v>38</v>
      </c>
      <c r="B5037" t="s">
        <v>25</v>
      </c>
      <c r="C5037">
        <v>2005</v>
      </c>
      <c r="D5037" t="s">
        <v>30</v>
      </c>
      <c r="E5037" s="3">
        <f t="shared" ref="E5037:F5037" si="2940">SUM(E237+E1197+E2157+E3117+E4077)</f>
        <v>532150</v>
      </c>
      <c r="F5037" s="3">
        <f t="shared" si="2940"/>
        <v>269717</v>
      </c>
      <c r="G5037" s="1">
        <f t="shared" si="2827"/>
        <v>801867</v>
      </c>
      <c r="H5037" s="2">
        <f t="shared" si="2828"/>
        <v>0.66363873310661248</v>
      </c>
      <c r="I5037" s="2">
        <f t="shared" si="2829"/>
        <v>0.33636126689338758</v>
      </c>
      <c r="J5037" s="3">
        <f t="shared" ref="J5037:K5037" si="2941">SUM(J237+J1197+J2157+J3117+J4077)</f>
        <v>2884123.87</v>
      </c>
      <c r="K5037" s="3">
        <f t="shared" si="2941"/>
        <v>5192219.24</v>
      </c>
      <c r="L5037" s="1">
        <f t="shared" si="2854"/>
        <v>8076343.1100000003</v>
      </c>
      <c r="M5037" s="2">
        <f t="shared" si="2855"/>
        <v>0.35710764521989208</v>
      </c>
      <c r="N5037" s="2">
        <f t="shared" si="2856"/>
        <v>0.64289235478010787</v>
      </c>
      <c r="P5037" s="5">
        <f t="shared" si="2859"/>
        <v>10071.923535947981</v>
      </c>
    </row>
    <row r="5038" spans="1:16" x14ac:dyDescent="0.35">
      <c r="A5038" t="s">
        <v>38</v>
      </c>
      <c r="B5038" t="s">
        <v>26</v>
      </c>
      <c r="C5038">
        <v>2005</v>
      </c>
      <c r="D5038" t="s">
        <v>30</v>
      </c>
      <c r="E5038" s="3">
        <f t="shared" ref="E5038:F5038" si="2942">SUM(E238+E1198+E2158+E3118+E4078)</f>
        <v>521337</v>
      </c>
      <c r="F5038" s="3">
        <f t="shared" si="2942"/>
        <v>270276</v>
      </c>
      <c r="G5038" s="1">
        <f t="shared" si="2827"/>
        <v>791613</v>
      </c>
      <c r="H5038" s="2">
        <f t="shared" si="2828"/>
        <v>0.65857559186117454</v>
      </c>
      <c r="I5038" s="2">
        <f t="shared" si="2829"/>
        <v>0.34142440813882541</v>
      </c>
      <c r="J5038" s="3">
        <f t="shared" ref="J5038:K5038" si="2943">SUM(J238+J1198+J2158+J3118+J4078)</f>
        <v>2970279.28</v>
      </c>
      <c r="K5038" s="3">
        <f t="shared" si="2943"/>
        <v>5555208.5200000005</v>
      </c>
      <c r="L5038" s="1">
        <f t="shared" si="2854"/>
        <v>8525487.8000000007</v>
      </c>
      <c r="M5038" s="2">
        <f t="shared" si="2855"/>
        <v>0.34839992146842313</v>
      </c>
      <c r="N5038" s="2">
        <f t="shared" si="2856"/>
        <v>0.65160007853157675</v>
      </c>
      <c r="P5038" s="5">
        <f t="shared" si="2859"/>
        <v>10769.767297909459</v>
      </c>
    </row>
    <row r="5039" spans="1:16" x14ac:dyDescent="0.35">
      <c r="A5039" t="s">
        <v>38</v>
      </c>
      <c r="B5039" t="s">
        <v>27</v>
      </c>
      <c r="C5039">
        <v>2005</v>
      </c>
      <c r="D5039" t="s">
        <v>30</v>
      </c>
      <c r="E5039" s="3">
        <f t="shared" ref="E5039:F5039" si="2944">SUM(E239+E1199+E2159+E3119+E4079)</f>
        <v>517607</v>
      </c>
      <c r="F5039" s="3">
        <f t="shared" si="2944"/>
        <v>272983</v>
      </c>
      <c r="G5039" s="1">
        <f t="shared" si="2827"/>
        <v>790590</v>
      </c>
      <c r="H5039" s="2">
        <f t="shared" si="2828"/>
        <v>0.65470977371330275</v>
      </c>
      <c r="I5039" s="2">
        <f t="shared" si="2829"/>
        <v>0.34529022628669725</v>
      </c>
      <c r="J5039" s="3">
        <f t="shared" ref="J5039:K5039" si="2945">SUM(J239+J1199+J2159+J3119+J4079)</f>
        <v>2655609.9499999997</v>
      </c>
      <c r="K5039" s="3">
        <f t="shared" si="2945"/>
        <v>4999607.9499999993</v>
      </c>
      <c r="L5039" s="1">
        <f t="shared" si="2854"/>
        <v>7655217.8999999985</v>
      </c>
      <c r="M5039" s="2">
        <f t="shared" si="2855"/>
        <v>0.34690194122364565</v>
      </c>
      <c r="N5039" s="2">
        <f t="shared" si="2856"/>
        <v>0.65309805877635441</v>
      </c>
      <c r="P5039" s="5">
        <f t="shared" si="2859"/>
        <v>9682.9176943801449</v>
      </c>
    </row>
    <row r="5040" spans="1:16" x14ac:dyDescent="0.35">
      <c r="A5040" t="s">
        <v>38</v>
      </c>
      <c r="B5040" t="s">
        <v>28</v>
      </c>
      <c r="C5040">
        <v>2005</v>
      </c>
      <c r="D5040" t="s">
        <v>30</v>
      </c>
      <c r="E5040" s="3">
        <f t="shared" ref="E5040:F5040" si="2946">SUM(E240+E1200+E2160+E3120+E4080)</f>
        <v>512531</v>
      </c>
      <c r="F5040" s="3">
        <f t="shared" si="2946"/>
        <v>273399</v>
      </c>
      <c r="G5040" s="1">
        <f t="shared" si="2827"/>
        <v>785930</v>
      </c>
      <c r="H5040" s="2">
        <f t="shared" si="2828"/>
        <v>0.65213314162838931</v>
      </c>
      <c r="I5040" s="2">
        <f t="shared" si="2829"/>
        <v>0.34786685837161069</v>
      </c>
      <c r="J5040" s="3">
        <f t="shared" ref="J5040:K5040" si="2947">SUM(J240+J1200+J2160+J3120+J4080)</f>
        <v>2227857.5299999998</v>
      </c>
      <c r="K5040" s="3">
        <f t="shared" si="2947"/>
        <v>4307671.45</v>
      </c>
      <c r="L5040" s="1">
        <f t="shared" si="2854"/>
        <v>6535528.9800000004</v>
      </c>
      <c r="M5040" s="2">
        <f t="shared" si="2855"/>
        <v>0.3408840411874357</v>
      </c>
      <c r="N5040" s="2">
        <f t="shared" si="2856"/>
        <v>0.65911595881256424</v>
      </c>
      <c r="P5040" s="5">
        <f t="shared" si="2859"/>
        <v>8315.6629470818007</v>
      </c>
    </row>
    <row r="5041" spans="1:16" x14ac:dyDescent="0.35">
      <c r="A5041" t="s">
        <v>38</v>
      </c>
      <c r="B5041" t="s">
        <v>29</v>
      </c>
      <c r="C5041">
        <v>2005</v>
      </c>
      <c r="D5041" t="s">
        <v>30</v>
      </c>
      <c r="E5041" s="3">
        <f t="shared" ref="E5041:F5041" si="2948">SUM(E241+E1201+E2161+E3121+E4081)</f>
        <v>510626</v>
      </c>
      <c r="F5041" s="3">
        <f t="shared" si="2948"/>
        <v>278262</v>
      </c>
      <c r="G5041" s="1">
        <f t="shared" si="2827"/>
        <v>788888</v>
      </c>
      <c r="H5041" s="2">
        <f t="shared" si="2828"/>
        <v>0.6472731236880267</v>
      </c>
      <c r="I5041" s="2">
        <f t="shared" si="2829"/>
        <v>0.3527268763119733</v>
      </c>
      <c r="J5041" s="3">
        <f t="shared" ref="J5041:K5041" si="2949">SUM(J241+J1201+J2161+J3121+J4081)</f>
        <v>2190931.9500000002</v>
      </c>
      <c r="K5041" s="3">
        <f t="shared" si="2949"/>
        <v>4138821.9000000004</v>
      </c>
      <c r="L5041" s="1">
        <f t="shared" si="2854"/>
        <v>6329753.8500000006</v>
      </c>
      <c r="M5041" s="2">
        <f t="shared" si="2855"/>
        <v>0.34613225125650027</v>
      </c>
      <c r="N5041" s="2">
        <f t="shared" si="2856"/>
        <v>0.65386774874349973</v>
      </c>
      <c r="P5041" s="5">
        <f t="shared" si="2859"/>
        <v>8023.6406815669661</v>
      </c>
    </row>
    <row r="5042" spans="1:16" x14ac:dyDescent="0.35">
      <c r="A5042" t="s">
        <v>38</v>
      </c>
      <c r="B5042" t="s">
        <v>17</v>
      </c>
      <c r="C5042">
        <v>2006</v>
      </c>
      <c r="D5042" t="s">
        <v>30</v>
      </c>
      <c r="E5042" s="3">
        <f t="shared" ref="E5042:F5042" si="2950">SUM(E242+E1202+E2162+E3122+E4082)</f>
        <v>513381</v>
      </c>
      <c r="F5042" s="3">
        <f t="shared" si="2950"/>
        <v>283962</v>
      </c>
      <c r="G5042" s="1">
        <f t="shared" si="2827"/>
        <v>797343</v>
      </c>
      <c r="H5042" s="2">
        <f t="shared" si="2828"/>
        <v>0.64386468558700582</v>
      </c>
      <c r="I5042" s="2">
        <f t="shared" si="2829"/>
        <v>0.35613531441299418</v>
      </c>
      <c r="J5042" s="3">
        <f t="shared" ref="J5042:K5042" si="2951">SUM(J242+J1202+J2162+J3122+J4082)</f>
        <v>2157024.3600000003</v>
      </c>
      <c r="K5042" s="3">
        <f t="shared" si="2951"/>
        <v>4132847.1100000003</v>
      </c>
      <c r="L5042" s="1">
        <f t="shared" si="2854"/>
        <v>6289871.4700000007</v>
      </c>
      <c r="M5042" s="2">
        <f t="shared" si="2855"/>
        <v>0.34293615859848409</v>
      </c>
      <c r="N5042" s="2">
        <f t="shared" si="2856"/>
        <v>0.65706384140151597</v>
      </c>
      <c r="P5042" s="5">
        <f t="shared" si="2859"/>
        <v>7888.53914814578</v>
      </c>
    </row>
    <row r="5043" spans="1:16" x14ac:dyDescent="0.35">
      <c r="A5043" t="s">
        <v>38</v>
      </c>
      <c r="B5043" t="s">
        <v>19</v>
      </c>
      <c r="C5043">
        <v>2006</v>
      </c>
      <c r="D5043" t="s">
        <v>30</v>
      </c>
      <c r="E5043" s="3">
        <f t="shared" ref="E5043:F5043" si="2952">SUM(E243+E1203+E2163+E3123+E4083)</f>
        <v>504205</v>
      </c>
      <c r="F5043" s="3">
        <f t="shared" si="2952"/>
        <v>281263</v>
      </c>
      <c r="G5043" s="1">
        <f t="shared" si="2827"/>
        <v>785468</v>
      </c>
      <c r="H5043" s="2">
        <f t="shared" si="2828"/>
        <v>0.64191666624229127</v>
      </c>
      <c r="I5043" s="2">
        <f t="shared" si="2829"/>
        <v>0.35808333375770879</v>
      </c>
      <c r="J5043" s="3">
        <f t="shared" ref="J5043:K5043" si="2953">SUM(J243+J1203+J2163+J3123+J4083)</f>
        <v>2029975.6400000001</v>
      </c>
      <c r="K5043" s="3">
        <f t="shared" si="2953"/>
        <v>3859570.1599999997</v>
      </c>
      <c r="L5043" s="1">
        <f t="shared" si="2854"/>
        <v>5889545.7999999998</v>
      </c>
      <c r="M5043" s="2">
        <f t="shared" si="2855"/>
        <v>0.34467439577428877</v>
      </c>
      <c r="N5043" s="2">
        <f t="shared" si="2856"/>
        <v>0.65532560422571118</v>
      </c>
      <c r="P5043" s="5">
        <f t="shared" si="2859"/>
        <v>7498.1358884130223</v>
      </c>
    </row>
    <row r="5044" spans="1:16" x14ac:dyDescent="0.35">
      <c r="A5044" t="s">
        <v>38</v>
      </c>
      <c r="B5044" t="s">
        <v>20</v>
      </c>
      <c r="C5044">
        <v>2006</v>
      </c>
      <c r="D5044" t="s">
        <v>30</v>
      </c>
      <c r="E5044" s="3">
        <f t="shared" ref="E5044:F5044" si="2954">SUM(E244+E1204+E2164+E3124+E4084)</f>
        <v>516695</v>
      </c>
      <c r="F5044" s="3">
        <f t="shared" si="2954"/>
        <v>296602</v>
      </c>
      <c r="G5044" s="1">
        <f t="shared" si="2827"/>
        <v>813297</v>
      </c>
      <c r="H5044" s="2">
        <f t="shared" si="2828"/>
        <v>0.63530911831717074</v>
      </c>
      <c r="I5044" s="2">
        <f t="shared" si="2829"/>
        <v>0.36469088168282926</v>
      </c>
      <c r="J5044" s="3">
        <f t="shared" ref="J5044:K5044" si="2955">SUM(J244+J1204+J2164+J3124+J4084)</f>
        <v>2086692.5399999998</v>
      </c>
      <c r="K5044" s="3">
        <f t="shared" si="2955"/>
        <v>4124890.2</v>
      </c>
      <c r="L5044" s="1">
        <f t="shared" si="2854"/>
        <v>6211582.7400000002</v>
      </c>
      <c r="M5044" s="2">
        <f t="shared" si="2855"/>
        <v>0.33593572320345516</v>
      </c>
      <c r="N5044" s="2">
        <f t="shared" si="2856"/>
        <v>0.66406427679654478</v>
      </c>
      <c r="P5044" s="5">
        <f t="shared" si="2859"/>
        <v>7637.5330783219415</v>
      </c>
    </row>
    <row r="5045" spans="1:16" x14ac:dyDescent="0.35">
      <c r="A5045" t="s">
        <v>38</v>
      </c>
      <c r="B5045" t="s">
        <v>21</v>
      </c>
      <c r="C5045">
        <v>2006</v>
      </c>
      <c r="D5045" t="s">
        <v>30</v>
      </c>
      <c r="E5045" s="3">
        <f t="shared" ref="E5045:F5045" si="2956">SUM(E245+E1205+E2165+E3125+E4085)</f>
        <v>500533</v>
      </c>
      <c r="F5045" s="3">
        <f t="shared" si="2956"/>
        <v>290495</v>
      </c>
      <c r="G5045" s="1">
        <f t="shared" si="2827"/>
        <v>791028</v>
      </c>
      <c r="H5045" s="2">
        <f t="shared" si="2828"/>
        <v>0.63276268349540088</v>
      </c>
      <c r="I5045" s="2">
        <f t="shared" si="2829"/>
        <v>0.36723731650459907</v>
      </c>
      <c r="J5045" s="3">
        <f t="shared" ref="J5045:K5045" si="2957">SUM(J245+J1205+J2165+J3125+J4085)</f>
        <v>2190554.7799999998</v>
      </c>
      <c r="K5045" s="3">
        <f t="shared" si="2957"/>
        <v>4321602.01</v>
      </c>
      <c r="L5045" s="1">
        <f t="shared" si="2854"/>
        <v>6512156.7899999991</v>
      </c>
      <c r="M5045" s="2">
        <f t="shared" si="2855"/>
        <v>0.33637930575685665</v>
      </c>
      <c r="N5045" s="2">
        <f t="shared" si="2856"/>
        <v>0.66362069424314341</v>
      </c>
      <c r="P5045" s="5">
        <f t="shared" si="2859"/>
        <v>8232.5237412582101</v>
      </c>
    </row>
    <row r="5046" spans="1:16" x14ac:dyDescent="0.35">
      <c r="A5046" t="s">
        <v>38</v>
      </c>
      <c r="B5046" t="s">
        <v>22</v>
      </c>
      <c r="C5046">
        <v>2006</v>
      </c>
      <c r="D5046" t="s">
        <v>30</v>
      </c>
      <c r="E5046" s="3">
        <f t="shared" ref="E5046:F5046" si="2958">SUM(E246+E1206+E2166+E3126+E4086)</f>
        <v>504585</v>
      </c>
      <c r="F5046" s="3">
        <f t="shared" si="2958"/>
        <v>303861</v>
      </c>
      <c r="G5046" s="1">
        <f t="shared" si="2827"/>
        <v>808446</v>
      </c>
      <c r="H5046" s="2">
        <f t="shared" si="2828"/>
        <v>0.62414187218441308</v>
      </c>
      <c r="I5046" s="2">
        <f t="shared" si="2829"/>
        <v>0.37585812781558692</v>
      </c>
      <c r="J5046" s="3">
        <f t="shared" ref="J5046:K5046" si="2959">SUM(J246+J1206+J2166+J3126+J4086)</f>
        <v>2331407.29</v>
      </c>
      <c r="K5046" s="3">
        <f t="shared" si="2959"/>
        <v>4612278.92</v>
      </c>
      <c r="L5046" s="1">
        <f t="shared" si="2854"/>
        <v>6943686.21</v>
      </c>
      <c r="M5046" s="2">
        <f t="shared" si="2855"/>
        <v>0.33575930989542802</v>
      </c>
      <c r="N5046" s="2">
        <f t="shared" si="2856"/>
        <v>0.66424069010457198</v>
      </c>
      <c r="P5046" s="5">
        <f t="shared" si="2859"/>
        <v>8588.9301326248133</v>
      </c>
    </row>
    <row r="5047" spans="1:16" x14ac:dyDescent="0.35">
      <c r="A5047" t="s">
        <v>38</v>
      </c>
      <c r="B5047" t="s">
        <v>23</v>
      </c>
      <c r="C5047">
        <v>2006</v>
      </c>
      <c r="D5047" t="s">
        <v>30</v>
      </c>
      <c r="E5047" s="3">
        <f t="shared" ref="E5047:F5047" si="2960">SUM(E247+E1207+E2167+E3127+E4087)</f>
        <v>501209</v>
      </c>
      <c r="F5047" s="3">
        <f t="shared" si="2960"/>
        <v>308008</v>
      </c>
      <c r="G5047" s="1">
        <f t="shared" ref="G5047:G5110" si="2961">SUM(E5047:F5047)</f>
        <v>809217</v>
      </c>
      <c r="H5047" s="2">
        <f t="shared" ref="H5047:H5110" si="2962">SUM(E5047)/G5047</f>
        <v>0.61937527264009529</v>
      </c>
      <c r="I5047" s="2">
        <f t="shared" ref="I5047:I5110" si="2963">SUM(F5047/G5047)</f>
        <v>0.38062472735990471</v>
      </c>
      <c r="J5047" s="3">
        <f t="shared" ref="J5047:K5047" si="2964">SUM(J247+J1207+J2167+J3127+J4087)</f>
        <v>2611465.2399999998</v>
      </c>
      <c r="K5047" s="3">
        <f t="shared" si="2964"/>
        <v>5201279.68</v>
      </c>
      <c r="L5047" s="1">
        <f t="shared" si="2854"/>
        <v>7812744.9199999999</v>
      </c>
      <c r="M5047" s="2">
        <f t="shared" si="2855"/>
        <v>0.33425707184101944</v>
      </c>
      <c r="N5047" s="2">
        <f t="shared" si="2856"/>
        <v>0.66574292815898051</v>
      </c>
      <c r="P5047" s="5">
        <f t="shared" si="2859"/>
        <v>9654.6969725055205</v>
      </c>
    </row>
    <row r="5048" spans="1:16" x14ac:dyDescent="0.35">
      <c r="A5048" t="s">
        <v>38</v>
      </c>
      <c r="B5048" t="s">
        <v>24</v>
      </c>
      <c r="C5048">
        <v>2006</v>
      </c>
      <c r="D5048" t="s">
        <v>30</v>
      </c>
      <c r="E5048" s="3">
        <f t="shared" ref="E5048:F5048" si="2965">SUM(E248+E1208+E2168+E3128+E4088)</f>
        <v>491427</v>
      </c>
      <c r="F5048" s="3">
        <f t="shared" si="2965"/>
        <v>306717</v>
      </c>
      <c r="G5048" s="1">
        <f t="shared" si="2961"/>
        <v>798144</v>
      </c>
      <c r="H5048" s="2">
        <f t="shared" si="2962"/>
        <v>0.61571220230935775</v>
      </c>
      <c r="I5048" s="2">
        <f t="shared" si="2963"/>
        <v>0.38428779769064231</v>
      </c>
      <c r="J5048" s="3">
        <f t="shared" ref="J5048:K5048" si="2966">SUM(J248+J1208+J2168+J3128+J4088)</f>
        <v>2642678.8199999994</v>
      </c>
      <c r="K5048" s="3">
        <f t="shared" si="2966"/>
        <v>5327662.3600000003</v>
      </c>
      <c r="L5048" s="1">
        <f t="shared" si="2854"/>
        <v>7970341.1799999997</v>
      </c>
      <c r="M5048" s="2">
        <f t="shared" si="2855"/>
        <v>0.33156407741130089</v>
      </c>
      <c r="N5048" s="2">
        <f t="shared" si="2856"/>
        <v>0.66843592258869911</v>
      </c>
      <c r="P5048" s="5">
        <f t="shared" si="2859"/>
        <v>9986.0942135754958</v>
      </c>
    </row>
    <row r="5049" spans="1:16" x14ac:dyDescent="0.35">
      <c r="A5049" t="s">
        <v>38</v>
      </c>
      <c r="B5049" t="s">
        <v>25</v>
      </c>
      <c r="C5049">
        <v>2006</v>
      </c>
      <c r="D5049" t="s">
        <v>30</v>
      </c>
      <c r="E5049" s="3">
        <f t="shared" ref="E5049:F5049" si="2967">SUM(E249+E1209+E2169+E3129+E4089)</f>
        <v>497315</v>
      </c>
      <c r="F5049" s="3">
        <f t="shared" si="2967"/>
        <v>319140</v>
      </c>
      <c r="G5049" s="1">
        <f t="shared" si="2961"/>
        <v>816455</v>
      </c>
      <c r="H5049" s="2">
        <f t="shared" si="2962"/>
        <v>0.60911501552443181</v>
      </c>
      <c r="I5049" s="2">
        <f t="shared" si="2963"/>
        <v>0.39088498447556813</v>
      </c>
      <c r="J5049" s="3">
        <f t="shared" ref="J5049:K5049" si="2968">SUM(J249+J1209+J2169+J3129+J4089)</f>
        <v>2799804.52</v>
      </c>
      <c r="K5049" s="3">
        <f t="shared" si="2968"/>
        <v>5633047.0300000003</v>
      </c>
      <c r="L5049" s="1">
        <f t="shared" si="2854"/>
        <v>8432851.5500000007</v>
      </c>
      <c r="M5049" s="2">
        <f t="shared" si="2855"/>
        <v>0.33201159814084474</v>
      </c>
      <c r="N5049" s="2">
        <f t="shared" si="2856"/>
        <v>0.6679884018591552</v>
      </c>
      <c r="P5049" s="5">
        <f t="shared" si="2859"/>
        <v>10328.617682542212</v>
      </c>
    </row>
    <row r="5050" spans="1:16" x14ac:dyDescent="0.35">
      <c r="A5050" t="s">
        <v>38</v>
      </c>
      <c r="B5050" t="s">
        <v>26</v>
      </c>
      <c r="C5050">
        <v>2006</v>
      </c>
      <c r="D5050" t="s">
        <v>30</v>
      </c>
      <c r="E5050" s="3">
        <f t="shared" ref="E5050:F5050" si="2969">SUM(E250+E1210+E2170+E3130+E4090)</f>
        <v>490322</v>
      </c>
      <c r="F5050" s="3">
        <f t="shared" si="2969"/>
        <v>319484</v>
      </c>
      <c r="G5050" s="1">
        <f t="shared" si="2961"/>
        <v>809806</v>
      </c>
      <c r="H5050" s="2">
        <f t="shared" si="2962"/>
        <v>0.60548081886278937</v>
      </c>
      <c r="I5050" s="2">
        <f t="shared" si="2963"/>
        <v>0.39451918113721063</v>
      </c>
      <c r="J5050" s="3">
        <f t="shared" ref="J5050:K5050" si="2970">SUM(J250+J1210+J2170+J3130+J4090)</f>
        <v>2763045.87</v>
      </c>
      <c r="K5050" s="3">
        <f t="shared" si="2970"/>
        <v>5732247.04</v>
      </c>
      <c r="L5050" s="1">
        <f t="shared" si="2854"/>
        <v>8495292.9100000001</v>
      </c>
      <c r="M5050" s="2">
        <f t="shared" si="2855"/>
        <v>0.3252443322757661</v>
      </c>
      <c r="N5050" s="2">
        <f t="shared" si="2856"/>
        <v>0.6747556677242339</v>
      </c>
      <c r="P5050" s="5">
        <f t="shared" si="2859"/>
        <v>10490.528484600016</v>
      </c>
    </row>
    <row r="5051" spans="1:16" x14ac:dyDescent="0.35">
      <c r="A5051" t="s">
        <v>38</v>
      </c>
      <c r="B5051" t="s">
        <v>27</v>
      </c>
      <c r="C5051">
        <v>2006</v>
      </c>
      <c r="D5051" t="s">
        <v>30</v>
      </c>
      <c r="E5051" s="3">
        <f t="shared" ref="E5051:F5051" si="2971">SUM(E251+E1211+E2171+E3131+E4091)</f>
        <v>483124</v>
      </c>
      <c r="F5051" s="3">
        <f t="shared" si="2971"/>
        <v>331214</v>
      </c>
      <c r="G5051" s="1">
        <f t="shared" si="2961"/>
        <v>814338</v>
      </c>
      <c r="H5051" s="2">
        <f t="shared" si="2962"/>
        <v>0.59327208112601892</v>
      </c>
      <c r="I5051" s="2">
        <f t="shared" si="2963"/>
        <v>0.40672791887398108</v>
      </c>
      <c r="J5051" s="3">
        <f t="shared" ref="J5051:K5051" si="2972">SUM(J251+J1211+J2171+J3131+J4091)</f>
        <v>2361712.8099999996</v>
      </c>
      <c r="K5051" s="3">
        <f t="shared" si="2972"/>
        <v>5231307.9700000007</v>
      </c>
      <c r="L5051" s="1">
        <f t="shared" si="2854"/>
        <v>7593020.7800000003</v>
      </c>
      <c r="M5051" s="2">
        <f t="shared" si="2855"/>
        <v>0.31103731682399</v>
      </c>
      <c r="N5051" s="2">
        <f t="shared" si="2856"/>
        <v>0.68896268317601006</v>
      </c>
      <c r="P5051" s="5">
        <f t="shared" si="2859"/>
        <v>9324.1636519479634</v>
      </c>
    </row>
    <row r="5052" spans="1:16" x14ac:dyDescent="0.35">
      <c r="A5052" t="s">
        <v>38</v>
      </c>
      <c r="B5052" t="s">
        <v>28</v>
      </c>
      <c r="C5052">
        <v>2006</v>
      </c>
      <c r="D5052" t="s">
        <v>30</v>
      </c>
      <c r="E5052" s="3">
        <f t="shared" ref="E5052:F5052" si="2973">SUM(E252+E1212+E2172+E3132+E4092)</f>
        <v>470196</v>
      </c>
      <c r="F5052" s="3">
        <f t="shared" si="2973"/>
        <v>332962</v>
      </c>
      <c r="G5052" s="1">
        <f t="shared" si="2961"/>
        <v>803158</v>
      </c>
      <c r="H5052" s="2">
        <f t="shared" si="2962"/>
        <v>0.58543399928781137</v>
      </c>
      <c r="I5052" s="2">
        <f t="shared" si="2963"/>
        <v>0.41456600071218863</v>
      </c>
      <c r="J5052" s="3">
        <f t="shared" ref="J5052:K5052" si="2974">SUM(J252+J1212+J2172+J3132+J4092)</f>
        <v>2037513.24</v>
      </c>
      <c r="K5052" s="3">
        <f t="shared" si="2974"/>
        <v>4627927.75</v>
      </c>
      <c r="L5052" s="1">
        <f t="shared" si="2854"/>
        <v>6665440.9900000002</v>
      </c>
      <c r="M5052" s="2">
        <f t="shared" si="2855"/>
        <v>0.30568318631232827</v>
      </c>
      <c r="N5052" s="2">
        <f t="shared" si="2856"/>
        <v>0.69431681368767173</v>
      </c>
      <c r="P5052" s="5">
        <f t="shared" si="2859"/>
        <v>8299.0407740444589</v>
      </c>
    </row>
    <row r="5053" spans="1:16" x14ac:dyDescent="0.35">
      <c r="A5053" t="s">
        <v>38</v>
      </c>
      <c r="B5053" t="s">
        <v>29</v>
      </c>
      <c r="C5053">
        <v>2006</v>
      </c>
      <c r="D5053" t="s">
        <v>30</v>
      </c>
      <c r="E5053" s="3">
        <f t="shared" ref="E5053:F5053" si="2975">SUM(E253+E1213+E2173+E3133+E4093)</f>
        <v>460850</v>
      </c>
      <c r="F5053" s="3">
        <f t="shared" si="2975"/>
        <v>332862</v>
      </c>
      <c r="G5053" s="1">
        <f t="shared" si="2961"/>
        <v>793712</v>
      </c>
      <c r="H5053" s="2">
        <f t="shared" si="2962"/>
        <v>0.58062622210575121</v>
      </c>
      <c r="I5053" s="2">
        <f t="shared" si="2963"/>
        <v>0.41937377789424879</v>
      </c>
      <c r="J5053" s="3">
        <f t="shared" ref="J5053:K5053" si="2976">SUM(J253+J1213+J2173+J3133+J4093)</f>
        <v>1962198.8800000001</v>
      </c>
      <c r="K5053" s="3">
        <f t="shared" si="2976"/>
        <v>4505108.24</v>
      </c>
      <c r="L5053" s="1">
        <f t="shared" si="2854"/>
        <v>6467307.1200000001</v>
      </c>
      <c r="M5053" s="2">
        <f t="shared" si="2855"/>
        <v>0.303402767734958</v>
      </c>
      <c r="N5053" s="2">
        <f t="shared" si="2856"/>
        <v>0.696597232265042</v>
      </c>
      <c r="P5053" s="5">
        <f t="shared" si="2859"/>
        <v>8148.1785836676272</v>
      </c>
    </row>
    <row r="5054" spans="1:16" x14ac:dyDescent="0.35">
      <c r="A5054" t="s">
        <v>38</v>
      </c>
      <c r="B5054" t="s">
        <v>17</v>
      </c>
      <c r="C5054">
        <v>2007</v>
      </c>
      <c r="D5054" t="s">
        <v>30</v>
      </c>
      <c r="E5054" s="3">
        <f t="shared" ref="E5054:F5054" si="2977">SUM(E254+E1214+E2174+E3134+E4094)</f>
        <v>459530</v>
      </c>
      <c r="F5054" s="3">
        <f t="shared" si="2977"/>
        <v>349292</v>
      </c>
      <c r="G5054" s="1">
        <f t="shared" si="2961"/>
        <v>808822</v>
      </c>
      <c r="H5054" s="2">
        <f t="shared" si="2962"/>
        <v>0.56814725613299344</v>
      </c>
      <c r="I5054" s="2">
        <f t="shared" si="2963"/>
        <v>0.43185274386700656</v>
      </c>
      <c r="J5054" s="3">
        <f t="shared" ref="J5054:K5054" si="2978">SUM(J254+J1214+J2174+J3134+J4094)</f>
        <v>2037203.6700000002</v>
      </c>
      <c r="K5054" s="3">
        <f t="shared" si="2978"/>
        <v>4428693.5300000012</v>
      </c>
      <c r="L5054" s="1">
        <f t="shared" si="2854"/>
        <v>6465897.2000000011</v>
      </c>
      <c r="M5054" s="2">
        <f t="shared" si="2855"/>
        <v>0.31506898532194416</v>
      </c>
      <c r="N5054" s="2">
        <f t="shared" si="2856"/>
        <v>0.68493101467805584</v>
      </c>
      <c r="P5054" s="5">
        <f t="shared" si="2859"/>
        <v>7994.2152908798244</v>
      </c>
    </row>
    <row r="5055" spans="1:16" x14ac:dyDescent="0.35">
      <c r="A5055" t="s">
        <v>38</v>
      </c>
      <c r="B5055" t="s">
        <v>19</v>
      </c>
      <c r="C5055">
        <v>2007</v>
      </c>
      <c r="D5055" t="s">
        <v>30</v>
      </c>
      <c r="E5055" s="3">
        <f t="shared" ref="E5055:F5055" si="2979">SUM(E255+E1215+E2175+E3135+E4095)</f>
        <v>447897</v>
      </c>
      <c r="F5055" s="3">
        <f t="shared" si="2979"/>
        <v>352873</v>
      </c>
      <c r="G5055" s="1">
        <f t="shared" si="2961"/>
        <v>800770</v>
      </c>
      <c r="H5055" s="2">
        <f t="shared" si="2962"/>
        <v>0.55933289209136205</v>
      </c>
      <c r="I5055" s="2">
        <f t="shared" si="2963"/>
        <v>0.44066710790863795</v>
      </c>
      <c r="J5055" s="3">
        <f t="shared" ref="J5055:K5055" si="2980">SUM(J255+J1215+J2175+J3135+J4095)</f>
        <v>2010781.39</v>
      </c>
      <c r="K5055" s="3">
        <f t="shared" si="2980"/>
        <v>4370531.8199999994</v>
      </c>
      <c r="L5055" s="1">
        <f t="shared" si="2854"/>
        <v>6381313.209999999</v>
      </c>
      <c r="M5055" s="2">
        <f t="shared" si="2855"/>
        <v>0.31510463815644618</v>
      </c>
      <c r="N5055" s="2">
        <f t="shared" si="2856"/>
        <v>0.68489536184355382</v>
      </c>
      <c r="P5055" s="5">
        <f t="shared" si="2859"/>
        <v>7968.9713775491082</v>
      </c>
    </row>
    <row r="5056" spans="1:16" x14ac:dyDescent="0.35">
      <c r="A5056" t="s">
        <v>38</v>
      </c>
      <c r="B5056" t="s">
        <v>20</v>
      </c>
      <c r="C5056">
        <v>2007</v>
      </c>
      <c r="D5056" t="s">
        <v>30</v>
      </c>
      <c r="E5056" s="3">
        <f t="shared" ref="E5056:F5056" si="2981">SUM(E256+E1216+E2176+E3136+E4096)</f>
        <v>450370</v>
      </c>
      <c r="F5056" s="3">
        <f t="shared" si="2981"/>
        <v>367095</v>
      </c>
      <c r="G5056" s="1">
        <f t="shared" si="2961"/>
        <v>817465</v>
      </c>
      <c r="H5056" s="2">
        <f t="shared" si="2962"/>
        <v>0.55093490241172405</v>
      </c>
      <c r="I5056" s="2">
        <f t="shared" si="2963"/>
        <v>0.44906509758827595</v>
      </c>
      <c r="J5056" s="3">
        <f t="shared" ref="J5056:K5056" si="2982">SUM(J256+J1216+J2176+J3136+J4096)</f>
        <v>1931314.11</v>
      </c>
      <c r="K5056" s="3">
        <f t="shared" si="2982"/>
        <v>4317221.75</v>
      </c>
      <c r="L5056" s="1">
        <f t="shared" si="2854"/>
        <v>6248535.8600000003</v>
      </c>
      <c r="M5056" s="2">
        <f t="shared" si="2855"/>
        <v>0.30908266404667795</v>
      </c>
      <c r="N5056" s="2">
        <f t="shared" si="2856"/>
        <v>0.69091733595332194</v>
      </c>
      <c r="P5056" s="5">
        <f t="shared" si="2859"/>
        <v>7643.7961992256551</v>
      </c>
    </row>
    <row r="5057" spans="1:16" x14ac:dyDescent="0.35">
      <c r="A5057" t="s">
        <v>38</v>
      </c>
      <c r="B5057" t="s">
        <v>21</v>
      </c>
      <c r="C5057">
        <v>2007</v>
      </c>
      <c r="D5057" t="s">
        <v>30</v>
      </c>
      <c r="E5057" s="3">
        <f t="shared" ref="E5057:F5057" si="2983">SUM(E257+E1217+E2177+E3137+E4097)</f>
        <v>440848</v>
      </c>
      <c r="F5057" s="3">
        <f t="shared" si="2983"/>
        <v>363033</v>
      </c>
      <c r="G5057" s="1">
        <f t="shared" si="2961"/>
        <v>803881</v>
      </c>
      <c r="H5057" s="2">
        <f t="shared" si="2962"/>
        <v>0.54839957655424121</v>
      </c>
      <c r="I5057" s="2">
        <f t="shared" si="2963"/>
        <v>0.45160042344575874</v>
      </c>
      <c r="J5057" s="3">
        <f t="shared" ref="J5057:K5057" si="2984">SUM(J257+J1217+J2177+J3137+J4097)</f>
        <v>1915934.1179999998</v>
      </c>
      <c r="K5057" s="3">
        <f t="shared" si="2984"/>
        <v>4426710.9040000001</v>
      </c>
      <c r="L5057" s="1">
        <f t="shared" si="2854"/>
        <v>6342645.0219999999</v>
      </c>
      <c r="M5057" s="2">
        <f t="shared" si="2855"/>
        <v>0.30207178729921358</v>
      </c>
      <c r="N5057" s="2">
        <f t="shared" si="2856"/>
        <v>0.69792821270078642</v>
      </c>
      <c r="P5057" s="5">
        <f t="shared" si="2859"/>
        <v>7890.0297705754956</v>
      </c>
    </row>
    <row r="5058" spans="1:16" x14ac:dyDescent="0.35">
      <c r="A5058" t="s">
        <v>38</v>
      </c>
      <c r="B5058" t="s">
        <v>22</v>
      </c>
      <c r="C5058">
        <v>2007</v>
      </c>
      <c r="D5058" t="s">
        <v>30</v>
      </c>
      <c r="E5058" s="3">
        <f t="shared" ref="E5058:F5058" si="2985">SUM(E258+E1218+E2178+E3138+E4098)</f>
        <v>444523</v>
      </c>
      <c r="F5058" s="3">
        <f t="shared" si="2985"/>
        <v>376193</v>
      </c>
      <c r="G5058" s="1">
        <f t="shared" si="2961"/>
        <v>820716</v>
      </c>
      <c r="H5058" s="2">
        <f t="shared" si="2962"/>
        <v>0.54162828554579168</v>
      </c>
      <c r="I5058" s="2">
        <f t="shared" si="2963"/>
        <v>0.45837171445420827</v>
      </c>
      <c r="J5058" s="3">
        <f t="shared" ref="J5058:K5058" si="2986">SUM(J258+J1218+J2178+J3138+J4098)</f>
        <v>1990884.611</v>
      </c>
      <c r="K5058" s="3">
        <f t="shared" si="2986"/>
        <v>4684887.2</v>
      </c>
      <c r="L5058" s="1">
        <f t="shared" si="2854"/>
        <v>6675771.8110000007</v>
      </c>
      <c r="M5058" s="2">
        <f t="shared" si="2855"/>
        <v>0.2982253838753926</v>
      </c>
      <c r="N5058" s="2">
        <f t="shared" si="2856"/>
        <v>0.70177461612460734</v>
      </c>
      <c r="P5058" s="5">
        <f t="shared" si="2859"/>
        <v>8134.0826924295379</v>
      </c>
    </row>
    <row r="5059" spans="1:16" x14ac:dyDescent="0.35">
      <c r="A5059" t="s">
        <v>38</v>
      </c>
      <c r="B5059" t="s">
        <v>23</v>
      </c>
      <c r="C5059">
        <v>2007</v>
      </c>
      <c r="D5059" t="s">
        <v>30</v>
      </c>
      <c r="E5059" s="3">
        <f t="shared" ref="E5059:F5059" si="2987">SUM(E259+E1219+E2179+E3139+E4099)</f>
        <v>439429</v>
      </c>
      <c r="F5059" s="3">
        <f t="shared" si="2987"/>
        <v>376399</v>
      </c>
      <c r="G5059" s="1">
        <f t="shared" si="2961"/>
        <v>815828</v>
      </c>
      <c r="H5059" s="2">
        <f t="shared" si="2962"/>
        <v>0.53862946601489525</v>
      </c>
      <c r="I5059" s="2">
        <f t="shared" si="2963"/>
        <v>0.46137053398510469</v>
      </c>
      <c r="J5059" s="3">
        <f t="shared" ref="J5059:K5059" si="2988">SUM(J259+J1219+J2179+J3139+J4099)</f>
        <v>2198786.0559999999</v>
      </c>
      <c r="K5059" s="3">
        <f t="shared" si="2988"/>
        <v>5137794.1210000003</v>
      </c>
      <c r="L5059" s="1">
        <f t="shared" ref="L5059:L5122" si="2989">SUM(J5059:K5059)</f>
        <v>7336580.1770000001</v>
      </c>
      <c r="M5059" s="2">
        <f t="shared" ref="M5059:M5122" si="2990">SUM(J5059)/L5059</f>
        <v>0.29970176880137434</v>
      </c>
      <c r="N5059" s="2">
        <f t="shared" ref="N5059:N5122" si="2991">SUM(K5059/L5059)</f>
        <v>0.70029823119862566</v>
      </c>
      <c r="P5059" s="5">
        <f t="shared" si="2859"/>
        <v>8992.8026213858811</v>
      </c>
    </row>
    <row r="5060" spans="1:16" x14ac:dyDescent="0.35">
      <c r="A5060" t="s">
        <v>38</v>
      </c>
      <c r="B5060" t="s">
        <v>24</v>
      </c>
      <c r="C5060">
        <v>2007</v>
      </c>
      <c r="D5060" t="s">
        <v>30</v>
      </c>
      <c r="E5060" s="3">
        <f t="shared" ref="E5060:F5060" si="2992">SUM(E260+E1220+E2180+E3140+E4100)</f>
        <v>434376</v>
      </c>
      <c r="F5060" s="3">
        <f t="shared" si="2992"/>
        <v>381725</v>
      </c>
      <c r="G5060" s="1">
        <f t="shared" si="2961"/>
        <v>816101</v>
      </c>
      <c r="H5060" s="2">
        <f t="shared" si="2962"/>
        <v>0.53225764948211063</v>
      </c>
      <c r="I5060" s="2">
        <f t="shared" si="2963"/>
        <v>0.46774235051788932</v>
      </c>
      <c r="J5060" s="3">
        <f t="shared" ref="J5060:K5060" si="2993">SUM(J260+J1220+J2180+J3140+J4100)</f>
        <v>2371731.3099999996</v>
      </c>
      <c r="K5060" s="3">
        <f t="shared" si="2993"/>
        <v>5457671.5300000003</v>
      </c>
      <c r="L5060" s="1">
        <f t="shared" si="2989"/>
        <v>7829402.8399999999</v>
      </c>
      <c r="M5060" s="2">
        <f t="shared" si="2990"/>
        <v>0.30292620758801059</v>
      </c>
      <c r="N5060" s="2">
        <f t="shared" si="2991"/>
        <v>0.69707379241198941</v>
      </c>
      <c r="P5060" s="5">
        <f t="shared" ref="P5060:P5123" si="2994">SUM(1000*L5060)/G5060</f>
        <v>9593.6689698946575</v>
      </c>
    </row>
    <row r="5061" spans="1:16" x14ac:dyDescent="0.35">
      <c r="A5061" t="s">
        <v>38</v>
      </c>
      <c r="B5061" t="s">
        <v>25</v>
      </c>
      <c r="C5061">
        <v>2007</v>
      </c>
      <c r="D5061" t="s">
        <v>30</v>
      </c>
      <c r="E5061" s="3">
        <f t="shared" ref="E5061:F5061" si="2995">SUM(E261+E1221+E2181+E3141+E4101)</f>
        <v>435390</v>
      </c>
      <c r="F5061" s="3">
        <f t="shared" si="2995"/>
        <v>391681</v>
      </c>
      <c r="G5061" s="1">
        <f t="shared" si="2961"/>
        <v>827071</v>
      </c>
      <c r="H5061" s="2">
        <f t="shared" si="2962"/>
        <v>0.52642397085619008</v>
      </c>
      <c r="I5061" s="2">
        <f t="shared" si="2963"/>
        <v>0.47357602914380992</v>
      </c>
      <c r="J5061" s="3">
        <f t="shared" ref="J5061:K5061" si="2996">SUM(J261+J1221+J2181+J3141+J4101)</f>
        <v>2421796.89</v>
      </c>
      <c r="K5061" s="3">
        <f t="shared" si="2996"/>
        <v>5554325.1979999999</v>
      </c>
      <c r="L5061" s="1">
        <f t="shared" si="2989"/>
        <v>7976122.0879999995</v>
      </c>
      <c r="M5061" s="2">
        <f t="shared" si="2990"/>
        <v>0.30363087014973988</v>
      </c>
      <c r="N5061" s="2">
        <f t="shared" si="2991"/>
        <v>0.69636912985026012</v>
      </c>
      <c r="P5061" s="5">
        <f t="shared" si="2994"/>
        <v>9643.8178681153131</v>
      </c>
    </row>
    <row r="5062" spans="1:16" x14ac:dyDescent="0.35">
      <c r="A5062" t="s">
        <v>38</v>
      </c>
      <c r="B5062" t="s">
        <v>26</v>
      </c>
      <c r="C5062">
        <v>2007</v>
      </c>
      <c r="D5062" t="s">
        <v>30</v>
      </c>
      <c r="E5062" s="3">
        <f t="shared" ref="E5062:F5062" si="2997">SUM(E262+E1222+E2182+E3142+E4102)</f>
        <v>422075</v>
      </c>
      <c r="F5062" s="3">
        <f t="shared" si="2997"/>
        <v>381924</v>
      </c>
      <c r="G5062" s="1">
        <f t="shared" si="2961"/>
        <v>803999</v>
      </c>
      <c r="H5062" s="2">
        <f t="shared" si="2962"/>
        <v>0.52496955841984883</v>
      </c>
      <c r="I5062" s="2">
        <f t="shared" si="2963"/>
        <v>0.47503044158015123</v>
      </c>
      <c r="J5062" s="3">
        <f t="shared" ref="J5062:K5062" si="2998">SUM(J262+J1222+J2182+J3142+J4102)</f>
        <v>2506545.7199999997</v>
      </c>
      <c r="K5062" s="3">
        <f t="shared" si="2998"/>
        <v>5822060.5099999998</v>
      </c>
      <c r="L5062" s="1">
        <f t="shared" si="2989"/>
        <v>8328606.2299999995</v>
      </c>
      <c r="M5062" s="2">
        <f t="shared" si="2990"/>
        <v>0.30095620452931415</v>
      </c>
      <c r="N5062" s="2">
        <f t="shared" si="2991"/>
        <v>0.69904379547068585</v>
      </c>
      <c r="P5062" s="5">
        <f t="shared" si="2994"/>
        <v>10358.975856935143</v>
      </c>
    </row>
    <row r="5063" spans="1:16" x14ac:dyDescent="0.35">
      <c r="A5063" t="s">
        <v>38</v>
      </c>
      <c r="B5063" t="s">
        <v>27</v>
      </c>
      <c r="C5063">
        <v>2007</v>
      </c>
      <c r="D5063" t="s">
        <v>30</v>
      </c>
      <c r="E5063" s="3">
        <f t="shared" ref="E5063:F5063" si="2999">SUM(E263+E1223+E2183+E3143+E4103)</f>
        <v>423499</v>
      </c>
      <c r="F5063" s="3">
        <f t="shared" si="2999"/>
        <v>394349</v>
      </c>
      <c r="G5063" s="1">
        <f t="shared" si="2961"/>
        <v>817848</v>
      </c>
      <c r="H5063" s="2">
        <f t="shared" si="2962"/>
        <v>0.51782115992213718</v>
      </c>
      <c r="I5063" s="2">
        <f t="shared" si="2963"/>
        <v>0.48217884007786288</v>
      </c>
      <c r="J5063" s="3">
        <f t="shared" ref="J5063:K5063" si="3000">SUM(J263+J1223+J2183+J3143+J4103)</f>
        <v>2373338.5300000003</v>
      </c>
      <c r="K5063" s="3">
        <f t="shared" si="3000"/>
        <v>5553154.9299999997</v>
      </c>
      <c r="L5063" s="1">
        <f t="shared" si="2989"/>
        <v>7926493.46</v>
      </c>
      <c r="M5063" s="2">
        <f t="shared" si="2990"/>
        <v>0.29941846820119628</v>
      </c>
      <c r="N5063" s="2">
        <f t="shared" si="2991"/>
        <v>0.70058153179880367</v>
      </c>
      <c r="P5063" s="5">
        <f t="shared" si="2994"/>
        <v>9691.8907425340658</v>
      </c>
    </row>
    <row r="5064" spans="1:16" x14ac:dyDescent="0.35">
      <c r="A5064" t="s">
        <v>38</v>
      </c>
      <c r="B5064" t="s">
        <v>28</v>
      </c>
      <c r="C5064">
        <v>2007</v>
      </c>
      <c r="D5064" t="s">
        <v>30</v>
      </c>
      <c r="E5064" s="3">
        <f t="shared" ref="E5064:F5064" si="3001">SUM(E264+E1224+E2184+E3144+E4104)</f>
        <v>410406</v>
      </c>
      <c r="F5064" s="3">
        <f t="shared" si="3001"/>
        <v>397673</v>
      </c>
      <c r="G5064" s="1">
        <f t="shared" si="2961"/>
        <v>808079</v>
      </c>
      <c r="H5064" s="2">
        <f t="shared" si="2962"/>
        <v>0.50787856137828113</v>
      </c>
      <c r="I5064" s="2">
        <f t="shared" si="2963"/>
        <v>0.49212143862171892</v>
      </c>
      <c r="J5064" s="3">
        <f t="shared" ref="J5064:K5064" si="3002">SUM(J264+J1224+J2184+J3144+J4104)</f>
        <v>2018111.91</v>
      </c>
      <c r="K5064" s="3">
        <f t="shared" si="3002"/>
        <v>4825522.5900000008</v>
      </c>
      <c r="L5064" s="1">
        <f t="shared" si="2989"/>
        <v>6843634.5000000009</v>
      </c>
      <c r="M5064" s="2">
        <f t="shared" si="2990"/>
        <v>0.2948889088100774</v>
      </c>
      <c r="N5064" s="2">
        <f t="shared" si="2991"/>
        <v>0.70511109118992255</v>
      </c>
      <c r="P5064" s="5">
        <f t="shared" si="2994"/>
        <v>8469.0166431747402</v>
      </c>
    </row>
    <row r="5065" spans="1:16" x14ac:dyDescent="0.35">
      <c r="A5065" t="s">
        <v>38</v>
      </c>
      <c r="B5065" t="s">
        <v>29</v>
      </c>
      <c r="C5065">
        <v>2007</v>
      </c>
      <c r="D5065" t="s">
        <v>30</v>
      </c>
      <c r="E5065" s="3">
        <f t="shared" ref="E5065:F5065" si="3003">SUM(E265+E1225+E2185+E3145+E4105)</f>
        <v>415524</v>
      </c>
      <c r="F5065" s="3">
        <f t="shared" si="3003"/>
        <v>402098</v>
      </c>
      <c r="G5065" s="1">
        <f t="shared" si="2961"/>
        <v>817622</v>
      </c>
      <c r="H5065" s="2">
        <f t="shared" si="2962"/>
        <v>0.50821039551284086</v>
      </c>
      <c r="I5065" s="2">
        <f t="shared" si="2963"/>
        <v>0.49178960448715908</v>
      </c>
      <c r="J5065" s="3">
        <f t="shared" ref="J5065:K5065" si="3004">SUM(J265+J1225+J2185+J3145+J4105)</f>
        <v>1981108.4699999997</v>
      </c>
      <c r="K5065" s="3">
        <f t="shared" si="3004"/>
        <v>4816747.4800000004</v>
      </c>
      <c r="L5065" s="1">
        <f t="shared" si="2989"/>
        <v>6797855.9500000002</v>
      </c>
      <c r="M5065" s="2">
        <f t="shared" si="2990"/>
        <v>0.29143136962177019</v>
      </c>
      <c r="N5065" s="2">
        <f t="shared" si="2991"/>
        <v>0.70856863037822981</v>
      </c>
      <c r="P5065" s="5">
        <f t="shared" si="2994"/>
        <v>8314.1793518276172</v>
      </c>
    </row>
    <row r="5066" spans="1:16" x14ac:dyDescent="0.35">
      <c r="A5066" t="s">
        <v>38</v>
      </c>
      <c r="B5066" t="s">
        <v>17</v>
      </c>
      <c r="C5066">
        <v>2008</v>
      </c>
      <c r="D5066" t="s">
        <v>30</v>
      </c>
      <c r="E5066" s="3">
        <f t="shared" ref="E5066:F5066" si="3005">SUM(E266+E1226+E2186+E3146+E4106)</f>
        <v>411850</v>
      </c>
      <c r="F5066" s="3">
        <f t="shared" si="3005"/>
        <v>405002</v>
      </c>
      <c r="G5066" s="1">
        <f t="shared" si="2961"/>
        <v>816852</v>
      </c>
      <c r="H5066" s="2">
        <f t="shared" si="2962"/>
        <v>0.50419170180155037</v>
      </c>
      <c r="I5066" s="2">
        <f t="shared" si="2963"/>
        <v>0.49580829819844968</v>
      </c>
      <c r="J5066" s="3">
        <f t="shared" ref="J5066:K5066" si="3006">SUM(J266+J1226+J2186+J3146+J4106)</f>
        <v>1973995.12</v>
      </c>
      <c r="K5066" s="3">
        <f t="shared" si="3006"/>
        <v>4802408.12</v>
      </c>
      <c r="L5066" s="1">
        <f t="shared" si="2989"/>
        <v>6776403.2400000002</v>
      </c>
      <c r="M5066" s="2">
        <f t="shared" si="2990"/>
        <v>0.29130425833395357</v>
      </c>
      <c r="N5066" s="2">
        <f t="shared" si="2991"/>
        <v>0.70869574166604643</v>
      </c>
      <c r="P5066" s="5">
        <f t="shared" si="2994"/>
        <v>8295.7539921552489</v>
      </c>
    </row>
    <row r="5067" spans="1:16" x14ac:dyDescent="0.35">
      <c r="A5067" t="s">
        <v>38</v>
      </c>
      <c r="B5067" t="s">
        <v>19</v>
      </c>
      <c r="C5067">
        <v>2008</v>
      </c>
      <c r="D5067" t="s">
        <v>30</v>
      </c>
      <c r="E5067" s="3">
        <f t="shared" ref="E5067:F5067" si="3007">SUM(E267+E1227+E2187+E3147+E4107)</f>
        <v>409015</v>
      </c>
      <c r="F5067" s="3">
        <f t="shared" si="3007"/>
        <v>407566</v>
      </c>
      <c r="G5067" s="1">
        <f t="shared" si="2961"/>
        <v>816581</v>
      </c>
      <c r="H5067" s="2">
        <f t="shared" si="2962"/>
        <v>0.50088723592638085</v>
      </c>
      <c r="I5067" s="2">
        <f t="shared" si="2963"/>
        <v>0.49911276407361915</v>
      </c>
      <c r="J5067" s="3">
        <f t="shared" ref="J5067:K5067" si="3008">SUM(J267+J1227+J2187+J3147+J4107)</f>
        <v>1899742.54</v>
      </c>
      <c r="K5067" s="3">
        <f t="shared" si="3008"/>
        <v>4557829.4800000004</v>
      </c>
      <c r="L5067" s="1">
        <f t="shared" si="2989"/>
        <v>6457572.0200000005</v>
      </c>
      <c r="M5067" s="2">
        <f t="shared" si="2990"/>
        <v>0.29418836276486465</v>
      </c>
      <c r="N5067" s="2">
        <f t="shared" si="2991"/>
        <v>0.70581163723513529</v>
      </c>
      <c r="P5067" s="5">
        <f t="shared" si="2994"/>
        <v>7908.0605843143558</v>
      </c>
    </row>
    <row r="5068" spans="1:16" x14ac:dyDescent="0.35">
      <c r="A5068" t="s">
        <v>38</v>
      </c>
      <c r="B5068" t="s">
        <v>20</v>
      </c>
      <c r="C5068">
        <v>2008</v>
      </c>
      <c r="D5068" t="s">
        <v>30</v>
      </c>
      <c r="E5068" s="3">
        <f t="shared" ref="E5068:F5068" si="3009">SUM(E268+E1228+E2188+E3148+E4108)</f>
        <v>407688</v>
      </c>
      <c r="F5068" s="3">
        <f t="shared" si="3009"/>
        <v>410415</v>
      </c>
      <c r="G5068" s="1">
        <f t="shared" si="2961"/>
        <v>818103</v>
      </c>
      <c r="H5068" s="2">
        <f t="shared" si="2962"/>
        <v>0.49833333944503322</v>
      </c>
      <c r="I5068" s="2">
        <f t="shared" si="2963"/>
        <v>0.50166666055496678</v>
      </c>
      <c r="J5068" s="3">
        <f t="shared" ref="J5068:K5068" si="3010">SUM(J268+J1228+J2188+J3148+J4108)</f>
        <v>1811442.3099999998</v>
      </c>
      <c r="K5068" s="3">
        <f t="shared" si="3010"/>
        <v>4470796.3800000008</v>
      </c>
      <c r="L5068" s="1">
        <f t="shared" si="2989"/>
        <v>6282238.6900000004</v>
      </c>
      <c r="M5068" s="2">
        <f t="shared" si="2990"/>
        <v>0.28834343923981021</v>
      </c>
      <c r="N5068" s="2">
        <f t="shared" si="2991"/>
        <v>0.7116565607601899</v>
      </c>
      <c r="P5068" s="5">
        <f t="shared" si="2994"/>
        <v>7679.031478921358</v>
      </c>
    </row>
    <row r="5069" spans="1:16" x14ac:dyDescent="0.35">
      <c r="A5069" t="s">
        <v>38</v>
      </c>
      <c r="B5069" t="s">
        <v>21</v>
      </c>
      <c r="C5069">
        <v>2008</v>
      </c>
      <c r="D5069" t="s">
        <v>30</v>
      </c>
      <c r="E5069" s="3">
        <f t="shared" ref="E5069:F5069" si="3011">SUM(E269+E1229+E2189+E3149+E4109)</f>
        <v>405919</v>
      </c>
      <c r="F5069" s="3">
        <f t="shared" si="3011"/>
        <v>413157</v>
      </c>
      <c r="G5069" s="1">
        <f t="shared" si="2961"/>
        <v>819076</v>
      </c>
      <c r="H5069" s="2">
        <f t="shared" si="2962"/>
        <v>0.49558160659084138</v>
      </c>
      <c r="I5069" s="2">
        <f t="shared" si="2963"/>
        <v>0.50441839340915862</v>
      </c>
      <c r="J5069" s="3">
        <f t="shared" ref="J5069:K5069" si="3012">SUM(J269+J1229+J2189+J3149+J4109)</f>
        <v>1844559.91</v>
      </c>
      <c r="K5069" s="3">
        <f t="shared" si="3012"/>
        <v>4618964.0900000008</v>
      </c>
      <c r="L5069" s="1">
        <f t="shared" si="2989"/>
        <v>6463524.0000000009</v>
      </c>
      <c r="M5069" s="2">
        <f t="shared" si="2990"/>
        <v>0.28537991194896151</v>
      </c>
      <c r="N5069" s="2">
        <f t="shared" si="2991"/>
        <v>0.71462008805103838</v>
      </c>
      <c r="P5069" s="5">
        <f t="shared" si="2994"/>
        <v>7891.2384198780101</v>
      </c>
    </row>
    <row r="5070" spans="1:16" x14ac:dyDescent="0.35">
      <c r="A5070" t="s">
        <v>38</v>
      </c>
      <c r="B5070" t="s">
        <v>22</v>
      </c>
      <c r="C5070">
        <v>2008</v>
      </c>
      <c r="D5070" t="s">
        <v>30</v>
      </c>
      <c r="E5070" s="3">
        <f t="shared" ref="E5070:F5070" si="3013">SUM(E270+E1230+E2190+E3150+E4110)</f>
        <v>404758</v>
      </c>
      <c r="F5070" s="3">
        <f t="shared" si="3013"/>
        <v>416231</v>
      </c>
      <c r="G5070" s="1">
        <f t="shared" si="2961"/>
        <v>820989</v>
      </c>
      <c r="H5070" s="2">
        <f t="shared" si="2962"/>
        <v>0.49301269566340111</v>
      </c>
      <c r="I5070" s="2">
        <f t="shared" si="2963"/>
        <v>0.50698730433659889</v>
      </c>
      <c r="J5070" s="3">
        <f t="shared" ref="J5070:K5070" si="3014">SUM(J270+J1230+J2190+J3150+J4110)</f>
        <v>1907103.11</v>
      </c>
      <c r="K5070" s="3">
        <f t="shared" si="3014"/>
        <v>4790057.6900000004</v>
      </c>
      <c r="L5070" s="1">
        <f t="shared" si="2989"/>
        <v>6697160.8000000007</v>
      </c>
      <c r="M5070" s="2">
        <f t="shared" si="2990"/>
        <v>0.28476292670171516</v>
      </c>
      <c r="N5070" s="2">
        <f t="shared" si="2991"/>
        <v>0.71523707329828479</v>
      </c>
      <c r="P5070" s="5">
        <f t="shared" si="2994"/>
        <v>8157.4306111287742</v>
      </c>
    </row>
    <row r="5071" spans="1:16" x14ac:dyDescent="0.35">
      <c r="A5071" t="s">
        <v>38</v>
      </c>
      <c r="B5071" t="s">
        <v>23</v>
      </c>
      <c r="C5071">
        <v>2008</v>
      </c>
      <c r="D5071" t="s">
        <v>30</v>
      </c>
      <c r="E5071" s="3">
        <f t="shared" ref="E5071:F5071" si="3015">SUM(E271+E1231+E2191+E3151+E4111)</f>
        <v>401462</v>
      </c>
      <c r="F5071" s="3">
        <f t="shared" si="3015"/>
        <v>420776</v>
      </c>
      <c r="G5071" s="1">
        <f t="shared" si="2961"/>
        <v>822238</v>
      </c>
      <c r="H5071" s="2">
        <f t="shared" si="2962"/>
        <v>0.48825522537270233</v>
      </c>
      <c r="I5071" s="2">
        <f t="shared" si="2963"/>
        <v>0.51174477462729773</v>
      </c>
      <c r="J5071" s="3">
        <f t="shared" ref="J5071:K5071" si="3016">SUM(J271+J1231+J2191+J3151+J4111)</f>
        <v>2182508.0300000003</v>
      </c>
      <c r="K5071" s="3">
        <f t="shared" si="3016"/>
        <v>5691421.1299999999</v>
      </c>
      <c r="L5071" s="1">
        <f t="shared" si="2989"/>
        <v>7873929.1600000001</v>
      </c>
      <c r="M5071" s="2">
        <f t="shared" si="2990"/>
        <v>0.27718156788700399</v>
      </c>
      <c r="N5071" s="2">
        <f t="shared" si="2991"/>
        <v>0.72281843211299601</v>
      </c>
      <c r="P5071" s="5">
        <f t="shared" si="2994"/>
        <v>9576.2165698982535</v>
      </c>
    </row>
    <row r="5072" spans="1:16" x14ac:dyDescent="0.35">
      <c r="A5072" t="s">
        <v>38</v>
      </c>
      <c r="B5072" t="s">
        <v>24</v>
      </c>
      <c r="C5072">
        <v>2008</v>
      </c>
      <c r="D5072" t="s">
        <v>30</v>
      </c>
      <c r="E5072" s="3">
        <f t="shared" ref="E5072:F5072" si="3017">SUM(E272+E1232+E2192+E3152+E4112)</f>
        <v>400040</v>
      </c>
      <c r="F5072" s="3">
        <f t="shared" si="3017"/>
        <v>421994</v>
      </c>
      <c r="G5072" s="1">
        <f t="shared" si="2961"/>
        <v>822034</v>
      </c>
      <c r="H5072" s="2">
        <f t="shared" si="2962"/>
        <v>0.48664653773444894</v>
      </c>
      <c r="I5072" s="2">
        <f t="shared" si="2963"/>
        <v>0.51335346226555101</v>
      </c>
      <c r="J5072" s="3">
        <f t="shared" ref="J5072:K5072" si="3018">SUM(J272+J1232+J2192+J3152+J4112)</f>
        <v>2358496.122</v>
      </c>
      <c r="K5072" s="3">
        <f t="shared" si="3018"/>
        <v>5911491.8229999999</v>
      </c>
      <c r="L5072" s="1">
        <f t="shared" si="2989"/>
        <v>8269987.9450000003</v>
      </c>
      <c r="M5072" s="2">
        <f t="shared" si="2990"/>
        <v>0.28518737121327203</v>
      </c>
      <c r="N5072" s="2">
        <f t="shared" si="2991"/>
        <v>0.71481262878672791</v>
      </c>
      <c r="P5072" s="5">
        <f t="shared" si="2994"/>
        <v>10060.396461703531</v>
      </c>
    </row>
    <row r="5073" spans="1:16" x14ac:dyDescent="0.35">
      <c r="A5073" t="s">
        <v>38</v>
      </c>
      <c r="B5073" t="s">
        <v>25</v>
      </c>
      <c r="C5073">
        <v>2008</v>
      </c>
      <c r="D5073" t="s">
        <v>30</v>
      </c>
      <c r="E5073" s="3">
        <f t="shared" ref="E5073:F5073" si="3019">SUM(E273+E1233+E2193+E3153+E4113)</f>
        <v>394345</v>
      </c>
      <c r="F5073" s="3">
        <f t="shared" si="3019"/>
        <v>428751</v>
      </c>
      <c r="G5073" s="1">
        <f t="shared" si="2961"/>
        <v>823096</v>
      </c>
      <c r="H5073" s="2">
        <f t="shared" si="2962"/>
        <v>0.4790996432979871</v>
      </c>
      <c r="I5073" s="2">
        <f t="shared" si="2963"/>
        <v>0.52090035670201285</v>
      </c>
      <c r="J5073" s="3">
        <f t="shared" ref="J5073:K5073" si="3020">SUM(J273+J1233+J2193+J3153+J4113)</f>
        <v>2407199.5409999997</v>
      </c>
      <c r="K5073" s="3">
        <f t="shared" si="3020"/>
        <v>5972449.9939999999</v>
      </c>
      <c r="L5073" s="1">
        <f t="shared" si="2989"/>
        <v>8379649.5350000001</v>
      </c>
      <c r="M5073" s="2">
        <f t="shared" si="2990"/>
        <v>0.28726732913418912</v>
      </c>
      <c r="N5073" s="2">
        <f t="shared" si="2991"/>
        <v>0.71273267086581082</v>
      </c>
      <c r="P5073" s="5">
        <f t="shared" si="2994"/>
        <v>10180.646649965496</v>
      </c>
    </row>
    <row r="5074" spans="1:16" x14ac:dyDescent="0.35">
      <c r="A5074" t="s">
        <v>38</v>
      </c>
      <c r="B5074" t="s">
        <v>26</v>
      </c>
      <c r="C5074">
        <v>2008</v>
      </c>
      <c r="D5074" t="s">
        <v>30</v>
      </c>
      <c r="E5074" s="3">
        <f t="shared" ref="E5074:F5074" si="3021">SUM(E274+E1234+E2194+E3154+E4114)</f>
        <v>386723</v>
      </c>
      <c r="F5074" s="3">
        <f t="shared" si="3021"/>
        <v>433946</v>
      </c>
      <c r="G5074" s="1">
        <f t="shared" si="2961"/>
        <v>820669</v>
      </c>
      <c r="H5074" s="2">
        <f t="shared" si="2962"/>
        <v>0.47122896076249987</v>
      </c>
      <c r="I5074" s="2">
        <f t="shared" si="2963"/>
        <v>0.52877103923750013</v>
      </c>
      <c r="J5074" s="3">
        <f t="shared" ref="J5074:K5074" si="3022">SUM(J274+J1234+J2194+J3154+J4114)</f>
        <v>2310436.4440000001</v>
      </c>
      <c r="K5074" s="3">
        <f t="shared" si="3022"/>
        <v>5888962.4479999999</v>
      </c>
      <c r="L5074" s="1">
        <f t="shared" si="2989"/>
        <v>8199398.892</v>
      </c>
      <c r="M5074" s="2">
        <f t="shared" si="2990"/>
        <v>0.28178119816249575</v>
      </c>
      <c r="N5074" s="2">
        <f t="shared" si="2991"/>
        <v>0.71821880183750419</v>
      </c>
      <c r="P5074" s="5">
        <f t="shared" si="2994"/>
        <v>9991.1156532048844</v>
      </c>
    </row>
    <row r="5075" spans="1:16" x14ac:dyDescent="0.35">
      <c r="A5075" t="s">
        <v>38</v>
      </c>
      <c r="B5075" t="s">
        <v>27</v>
      </c>
      <c r="C5075">
        <v>2008</v>
      </c>
      <c r="D5075" t="s">
        <v>30</v>
      </c>
      <c r="E5075" s="3">
        <f t="shared" ref="E5075:F5075" si="3023">SUM(E275+E1235+E2195+E3155+E4115)</f>
        <v>383472</v>
      </c>
      <c r="F5075" s="3">
        <f t="shared" si="3023"/>
        <v>436051</v>
      </c>
      <c r="G5075" s="1">
        <f t="shared" si="2961"/>
        <v>819523</v>
      </c>
      <c r="H5075" s="2">
        <f t="shared" si="2962"/>
        <v>0.46792097354192624</v>
      </c>
      <c r="I5075" s="2">
        <f t="shared" si="2963"/>
        <v>0.53207902645807381</v>
      </c>
      <c r="J5075" s="3">
        <f t="shared" ref="J5075:K5075" si="3024">SUM(J275+J1235+J2195+J3155+J4115)</f>
        <v>1686243.92</v>
      </c>
      <c r="K5075" s="3">
        <f t="shared" si="3024"/>
        <v>4649360.79</v>
      </c>
      <c r="L5075" s="1">
        <f t="shared" si="2989"/>
        <v>6335604.71</v>
      </c>
      <c r="M5075" s="2">
        <f t="shared" si="2990"/>
        <v>0.26615358709776576</v>
      </c>
      <c r="N5075" s="2">
        <f t="shared" si="2991"/>
        <v>0.73384641290223429</v>
      </c>
      <c r="P5075" s="5">
        <f t="shared" si="2994"/>
        <v>7730.8442960112161</v>
      </c>
    </row>
    <row r="5076" spans="1:16" x14ac:dyDescent="0.35">
      <c r="A5076" t="s">
        <v>38</v>
      </c>
      <c r="B5076" t="s">
        <v>28</v>
      </c>
      <c r="C5076">
        <v>2008</v>
      </c>
      <c r="D5076" t="s">
        <v>30</v>
      </c>
      <c r="E5076" s="3">
        <f t="shared" ref="E5076:F5076" si="3025">SUM(E276+E1236+E2196+E3156+E4116)</f>
        <v>374046</v>
      </c>
      <c r="F5076" s="3">
        <f t="shared" si="3025"/>
        <v>434496</v>
      </c>
      <c r="G5076" s="1">
        <f t="shared" si="2961"/>
        <v>808542</v>
      </c>
      <c r="H5076" s="2">
        <f t="shared" si="2962"/>
        <v>0.46261789740050607</v>
      </c>
      <c r="I5076" s="2">
        <f t="shared" si="2963"/>
        <v>0.53738210259949393</v>
      </c>
      <c r="J5076" s="3">
        <f t="shared" ref="J5076:K5076" si="3026">SUM(J276+J1236+J2196+J3156+J4116)</f>
        <v>1922475.4200000002</v>
      </c>
      <c r="K5076" s="3">
        <f t="shared" si="3026"/>
        <v>4901204.6999999993</v>
      </c>
      <c r="L5076" s="1">
        <f t="shared" si="2989"/>
        <v>6823680.1199999992</v>
      </c>
      <c r="M5076" s="2">
        <f t="shared" si="2990"/>
        <v>0.28173586484004182</v>
      </c>
      <c r="N5076" s="2">
        <f t="shared" si="2991"/>
        <v>0.71826413515995824</v>
      </c>
      <c r="P5076" s="5">
        <f t="shared" si="2994"/>
        <v>8439.4875219840142</v>
      </c>
    </row>
    <row r="5077" spans="1:16" x14ac:dyDescent="0.35">
      <c r="A5077" t="s">
        <v>38</v>
      </c>
      <c r="B5077" t="s">
        <v>29</v>
      </c>
      <c r="C5077">
        <v>2008</v>
      </c>
      <c r="D5077" t="s">
        <v>30</v>
      </c>
      <c r="E5077" s="3">
        <f t="shared" ref="E5077:F5077" si="3027">SUM(E277+E1237+E2197+E3157+E4117)</f>
        <v>371693</v>
      </c>
      <c r="F5077" s="3">
        <f t="shared" si="3027"/>
        <v>445302</v>
      </c>
      <c r="G5077" s="1">
        <f t="shared" si="2961"/>
        <v>816995</v>
      </c>
      <c r="H5077" s="2">
        <f t="shared" si="2962"/>
        <v>0.45495137669141184</v>
      </c>
      <c r="I5077" s="2">
        <f t="shared" si="2963"/>
        <v>0.54504862330858816</v>
      </c>
      <c r="J5077" s="3">
        <f t="shared" ref="J5077:K5077" si="3028">SUM(J277+J1237+J2197+J3157+J4117)</f>
        <v>1830928.94</v>
      </c>
      <c r="K5077" s="3">
        <f t="shared" si="3028"/>
        <v>4813505.1599999992</v>
      </c>
      <c r="L5077" s="1">
        <f t="shared" si="2989"/>
        <v>6644434.0999999996</v>
      </c>
      <c r="M5077" s="2">
        <f t="shared" si="2990"/>
        <v>0.27555829622871869</v>
      </c>
      <c r="N5077" s="2">
        <f t="shared" si="2991"/>
        <v>0.72444170377128125</v>
      </c>
      <c r="P5077" s="5">
        <f t="shared" si="2994"/>
        <v>8132.7720487885481</v>
      </c>
    </row>
    <row r="5078" spans="1:16" x14ac:dyDescent="0.35">
      <c r="A5078" t="s">
        <v>38</v>
      </c>
      <c r="B5078" t="s">
        <v>17</v>
      </c>
      <c r="C5078">
        <v>2009</v>
      </c>
      <c r="D5078" t="s">
        <v>30</v>
      </c>
      <c r="E5078" s="3">
        <f t="shared" ref="E5078:F5078" si="3029">SUM(E278+E1238+E2198+E3158+E4118)</f>
        <v>369334</v>
      </c>
      <c r="F5078" s="3">
        <f t="shared" si="3029"/>
        <v>455209</v>
      </c>
      <c r="G5078" s="1">
        <f t="shared" si="2961"/>
        <v>824543</v>
      </c>
      <c r="H5078" s="2">
        <f t="shared" si="2962"/>
        <v>0.44792569944805788</v>
      </c>
      <c r="I5078" s="2">
        <f t="shared" si="2963"/>
        <v>0.55207430055194207</v>
      </c>
      <c r="J5078" s="3">
        <f t="shared" ref="J5078:K5078" si="3030">SUM(J278+J1238+J2198+J3158+J4118)</f>
        <v>1937293.64</v>
      </c>
      <c r="K5078" s="3">
        <f t="shared" si="3030"/>
        <v>5023325.1499999994</v>
      </c>
      <c r="L5078" s="1">
        <f t="shared" si="2989"/>
        <v>6960618.7899999991</v>
      </c>
      <c r="M5078" s="2">
        <f t="shared" si="2990"/>
        <v>0.2783220426872422</v>
      </c>
      <c r="N5078" s="2">
        <f t="shared" si="2991"/>
        <v>0.72167795731275786</v>
      </c>
      <c r="P5078" s="5">
        <f t="shared" si="2994"/>
        <v>8441.789924843215</v>
      </c>
    </row>
    <row r="5079" spans="1:16" x14ac:dyDescent="0.35">
      <c r="A5079" t="s">
        <v>38</v>
      </c>
      <c r="B5079" t="s">
        <v>19</v>
      </c>
      <c r="C5079">
        <v>2009</v>
      </c>
      <c r="D5079" t="s">
        <v>30</v>
      </c>
      <c r="E5079" s="3">
        <f t="shared" ref="E5079:F5079" si="3031">SUM(E279+E1239+E2199+E3159+E4119)</f>
        <v>366974</v>
      </c>
      <c r="F5079" s="3">
        <f t="shared" si="3031"/>
        <v>451301</v>
      </c>
      <c r="G5079" s="1">
        <f t="shared" si="2961"/>
        <v>818275</v>
      </c>
      <c r="H5079" s="2">
        <f t="shared" si="2962"/>
        <v>0.44847270172008186</v>
      </c>
      <c r="I5079" s="2">
        <f t="shared" si="2963"/>
        <v>0.55152729827991809</v>
      </c>
      <c r="J5079" s="3">
        <f t="shared" ref="J5079:K5079" si="3032">SUM(J279+J1239+J2199+J3159+J4119)</f>
        <v>1709470.2</v>
      </c>
      <c r="K5079" s="3">
        <f t="shared" si="3032"/>
        <v>4486407.55</v>
      </c>
      <c r="L5079" s="1">
        <f t="shared" si="2989"/>
        <v>6195877.75</v>
      </c>
      <c r="M5079" s="2">
        <f t="shared" si="2990"/>
        <v>0.27590444307911011</v>
      </c>
      <c r="N5079" s="2">
        <f t="shared" si="2991"/>
        <v>0.72409555692088978</v>
      </c>
      <c r="P5079" s="5">
        <f t="shared" si="2994"/>
        <v>7571.8771195502732</v>
      </c>
    </row>
    <row r="5080" spans="1:16" x14ac:dyDescent="0.35">
      <c r="A5080" t="s">
        <v>38</v>
      </c>
      <c r="B5080" t="s">
        <v>20</v>
      </c>
      <c r="C5080">
        <v>2009</v>
      </c>
      <c r="D5080" t="s">
        <v>30</v>
      </c>
      <c r="E5080" s="3">
        <f t="shared" ref="E5080:F5080" si="3033">SUM(E280+E1240+E2200+E3160+E4120)</f>
        <v>364243</v>
      </c>
      <c r="F5080" s="3">
        <f t="shared" si="3033"/>
        <v>453632</v>
      </c>
      <c r="G5080" s="1">
        <f t="shared" si="2961"/>
        <v>817875</v>
      </c>
      <c r="H5080" s="2">
        <f t="shared" si="2962"/>
        <v>0.44535289622497326</v>
      </c>
      <c r="I5080" s="2">
        <f t="shared" si="2963"/>
        <v>0.5546471037750268</v>
      </c>
      <c r="J5080" s="3">
        <f t="shared" ref="J5080:K5080" si="3034">SUM(J280+J1240+J2200+J3160+J4120)</f>
        <v>1633342.3599999999</v>
      </c>
      <c r="K5080" s="3">
        <f t="shared" si="3034"/>
        <v>4483672.29</v>
      </c>
      <c r="L5080" s="1">
        <f t="shared" si="2989"/>
        <v>6117014.6500000004</v>
      </c>
      <c r="M5080" s="2">
        <f t="shared" si="2990"/>
        <v>0.26701625767726417</v>
      </c>
      <c r="N5080" s="2">
        <f t="shared" si="2991"/>
        <v>0.73298374232273578</v>
      </c>
      <c r="P5080" s="5">
        <f t="shared" si="2994"/>
        <v>7479.1559223597742</v>
      </c>
    </row>
    <row r="5081" spans="1:16" x14ac:dyDescent="0.35">
      <c r="A5081" t="s">
        <v>38</v>
      </c>
      <c r="B5081" t="s">
        <v>21</v>
      </c>
      <c r="C5081">
        <v>2009</v>
      </c>
      <c r="D5081" t="s">
        <v>30</v>
      </c>
      <c r="E5081" s="3">
        <f t="shared" ref="E5081:F5081" si="3035">SUM(E281+E1241+E2201+E3161+E4121)</f>
        <v>361658</v>
      </c>
      <c r="F5081" s="3">
        <f t="shared" si="3035"/>
        <v>457752</v>
      </c>
      <c r="G5081" s="1">
        <f t="shared" si="2961"/>
        <v>819410</v>
      </c>
      <c r="H5081" s="2">
        <f t="shared" si="2962"/>
        <v>0.44136390817783527</v>
      </c>
      <c r="I5081" s="2">
        <f t="shared" si="2963"/>
        <v>0.55863609182216478</v>
      </c>
      <c r="J5081" s="3">
        <f t="shared" ref="J5081:K5081" si="3036">SUM(J281+J1241+J2201+J3161+J4121)</f>
        <v>1669107.97</v>
      </c>
      <c r="K5081" s="3">
        <f t="shared" si="3036"/>
        <v>4636031.7299999995</v>
      </c>
      <c r="L5081" s="1">
        <f t="shared" si="2989"/>
        <v>6305139.6999999993</v>
      </c>
      <c r="M5081" s="2">
        <f t="shared" si="2990"/>
        <v>0.26472180624324632</v>
      </c>
      <c r="N5081" s="2">
        <f t="shared" si="2991"/>
        <v>0.73527819375675374</v>
      </c>
      <c r="P5081" s="5">
        <f t="shared" si="2994"/>
        <v>7694.7312090406504</v>
      </c>
    </row>
    <row r="5082" spans="1:16" x14ac:dyDescent="0.35">
      <c r="A5082" t="s">
        <v>38</v>
      </c>
      <c r="B5082" t="s">
        <v>22</v>
      </c>
      <c r="C5082">
        <v>2009</v>
      </c>
      <c r="D5082" t="s">
        <v>30</v>
      </c>
      <c r="E5082" s="3">
        <f t="shared" ref="E5082:F5082" si="3037">SUM(E282+E1242+E2202+E3162+E4122)</f>
        <v>359015</v>
      </c>
      <c r="F5082" s="3">
        <f t="shared" si="3037"/>
        <v>462367</v>
      </c>
      <c r="G5082" s="1">
        <f t="shared" si="2961"/>
        <v>821382</v>
      </c>
      <c r="H5082" s="2">
        <f t="shared" si="2962"/>
        <v>0.43708652003574461</v>
      </c>
      <c r="I5082" s="2">
        <f t="shared" si="2963"/>
        <v>0.56291347996425534</v>
      </c>
      <c r="J5082" s="3">
        <f t="shared" ref="J5082:K5082" si="3038">SUM(J282+J1242+J2202+J3162+J4122)</f>
        <v>1735085.9899999998</v>
      </c>
      <c r="K5082" s="3">
        <f t="shared" si="3038"/>
        <v>4949166.1899999995</v>
      </c>
      <c r="L5082" s="1">
        <f t="shared" si="2989"/>
        <v>6684252.1799999997</v>
      </c>
      <c r="M5082" s="2">
        <f t="shared" si="2990"/>
        <v>0.25957817617826617</v>
      </c>
      <c r="N5082" s="2">
        <f t="shared" si="2991"/>
        <v>0.74042182382173372</v>
      </c>
      <c r="P5082" s="5">
        <f t="shared" si="2994"/>
        <v>8137.811858550589</v>
      </c>
    </row>
    <row r="5083" spans="1:16" x14ac:dyDescent="0.35">
      <c r="A5083" t="s">
        <v>38</v>
      </c>
      <c r="B5083" t="s">
        <v>23</v>
      </c>
      <c r="C5083">
        <v>2009</v>
      </c>
      <c r="D5083" t="s">
        <v>30</v>
      </c>
      <c r="E5083" s="3">
        <f t="shared" ref="E5083:F5083" si="3039">SUM(E283+E1243+E2203+E3163+E4123)</f>
        <v>357460</v>
      </c>
      <c r="F5083" s="3">
        <f t="shared" si="3039"/>
        <v>464521</v>
      </c>
      <c r="G5083" s="1">
        <f t="shared" si="2961"/>
        <v>821981</v>
      </c>
      <c r="H5083" s="2">
        <f t="shared" si="2962"/>
        <v>0.43487623193236824</v>
      </c>
      <c r="I5083" s="2">
        <f t="shared" si="2963"/>
        <v>0.56512376806763176</v>
      </c>
      <c r="J5083" s="3">
        <f t="shared" ref="J5083:K5083" si="3040">SUM(J283+J1243+J2203+J3163+J4123)</f>
        <v>1907977.7600000002</v>
      </c>
      <c r="K5083" s="3">
        <f t="shared" si="3040"/>
        <v>5537602.7200000007</v>
      </c>
      <c r="L5083" s="1">
        <f t="shared" si="2989"/>
        <v>7445580.4800000004</v>
      </c>
      <c r="M5083" s="2">
        <f t="shared" si="2990"/>
        <v>0.25625641481213296</v>
      </c>
      <c r="N5083" s="2">
        <f t="shared" si="2991"/>
        <v>0.7437435851878671</v>
      </c>
      <c r="P5083" s="5">
        <f t="shared" si="2994"/>
        <v>9058.0931676036307</v>
      </c>
    </row>
    <row r="5084" spans="1:16" x14ac:dyDescent="0.35">
      <c r="A5084" t="s">
        <v>38</v>
      </c>
      <c r="B5084" t="s">
        <v>24</v>
      </c>
      <c r="C5084">
        <v>2009</v>
      </c>
      <c r="D5084" t="s">
        <v>30</v>
      </c>
      <c r="E5084" s="3">
        <f t="shared" ref="E5084:F5084" si="3041">SUM(E284+E1244+E2204+E3164+E4124)</f>
        <v>353359</v>
      </c>
      <c r="F5084" s="3">
        <f t="shared" si="3041"/>
        <v>467261</v>
      </c>
      <c r="G5084" s="1">
        <f t="shared" si="2961"/>
        <v>820620</v>
      </c>
      <c r="H5084" s="2">
        <f t="shared" si="2962"/>
        <v>0.43060003412054298</v>
      </c>
      <c r="I5084" s="2">
        <f t="shared" si="2963"/>
        <v>0.56939996587945696</v>
      </c>
      <c r="J5084" s="3">
        <f t="shared" ref="J5084:K5084" si="3042">SUM(J284+J1244+J2204+J3164+J4124)</f>
        <v>2130301.2799999998</v>
      </c>
      <c r="K5084" s="3">
        <f t="shared" si="3042"/>
        <v>6154443.2799999993</v>
      </c>
      <c r="L5084" s="1">
        <f t="shared" si="2989"/>
        <v>8284744.5599999987</v>
      </c>
      <c r="M5084" s="2">
        <f t="shared" si="2990"/>
        <v>0.25713542096221254</v>
      </c>
      <c r="N5084" s="2">
        <f t="shared" si="2991"/>
        <v>0.74286457903778758</v>
      </c>
      <c r="P5084" s="5">
        <f t="shared" si="2994"/>
        <v>10095.713679900562</v>
      </c>
    </row>
    <row r="5085" spans="1:16" x14ac:dyDescent="0.35">
      <c r="A5085" t="s">
        <v>38</v>
      </c>
      <c r="B5085" t="s">
        <v>25</v>
      </c>
      <c r="C5085">
        <v>2009</v>
      </c>
      <c r="D5085" t="s">
        <v>30</v>
      </c>
      <c r="E5085" s="3">
        <f t="shared" ref="E5085:F5085" si="3043">SUM(E285+E1245+E2205+E3165+E4125)</f>
        <v>350254</v>
      </c>
      <c r="F5085" s="3">
        <f t="shared" si="3043"/>
        <v>471596</v>
      </c>
      <c r="G5085" s="1">
        <f t="shared" si="2961"/>
        <v>821850</v>
      </c>
      <c r="H5085" s="2">
        <f t="shared" si="2962"/>
        <v>0.42617752631258743</v>
      </c>
      <c r="I5085" s="2">
        <f t="shared" si="2963"/>
        <v>0.57382247368741257</v>
      </c>
      <c r="J5085" s="3">
        <f t="shared" ref="J5085:K5085" si="3044">SUM(J285+J1245+J2205+J3165+J4125)</f>
        <v>2103467.1800000002</v>
      </c>
      <c r="K5085" s="3">
        <f t="shared" si="3044"/>
        <v>6191958.4699999997</v>
      </c>
      <c r="L5085" s="1">
        <f t="shared" si="2989"/>
        <v>8295425.6500000004</v>
      </c>
      <c r="M5085" s="2">
        <f t="shared" si="2990"/>
        <v>0.2535695296117807</v>
      </c>
      <c r="N5085" s="2">
        <f t="shared" si="2991"/>
        <v>0.7464304703882193</v>
      </c>
      <c r="P5085" s="5">
        <f t="shared" si="2994"/>
        <v>10093.600596215854</v>
      </c>
    </row>
    <row r="5086" spans="1:16" x14ac:dyDescent="0.35">
      <c r="A5086" t="s">
        <v>38</v>
      </c>
      <c r="B5086" t="s">
        <v>26</v>
      </c>
      <c r="C5086">
        <v>2009</v>
      </c>
      <c r="D5086" t="s">
        <v>30</v>
      </c>
      <c r="E5086" s="3">
        <f t="shared" ref="E5086:F5086" si="3045">SUM(E286+E1246+E2206+E3166+E4126)</f>
        <v>346632</v>
      </c>
      <c r="F5086" s="3">
        <f t="shared" si="3045"/>
        <v>477900</v>
      </c>
      <c r="G5086" s="1">
        <f t="shared" si="2961"/>
        <v>824532</v>
      </c>
      <c r="H5086" s="2">
        <f t="shared" si="2962"/>
        <v>0.42039848059262708</v>
      </c>
      <c r="I5086" s="2">
        <f t="shared" si="2963"/>
        <v>0.57960151940737292</v>
      </c>
      <c r="J5086" s="3">
        <f t="shared" ref="J5086:K5086" si="3046">SUM(J286+J1246+J2206+J3166+J4126)</f>
        <v>1984850.8</v>
      </c>
      <c r="K5086" s="3">
        <f t="shared" si="3046"/>
        <v>6165669.5899999999</v>
      </c>
      <c r="L5086" s="1">
        <f t="shared" si="2989"/>
        <v>8150520.3899999997</v>
      </c>
      <c r="M5086" s="2">
        <f t="shared" si="2990"/>
        <v>0.24352442605201557</v>
      </c>
      <c r="N5086" s="2">
        <f t="shared" si="2991"/>
        <v>0.75647557394798448</v>
      </c>
      <c r="P5086" s="5">
        <f t="shared" si="2994"/>
        <v>9885.0261602945666</v>
      </c>
    </row>
    <row r="5087" spans="1:16" x14ac:dyDescent="0.35">
      <c r="A5087" t="s">
        <v>38</v>
      </c>
      <c r="B5087" t="s">
        <v>27</v>
      </c>
      <c r="C5087">
        <v>2009</v>
      </c>
      <c r="D5087" t="s">
        <v>30</v>
      </c>
      <c r="E5087" s="3">
        <f t="shared" ref="E5087:F5087" si="3047">SUM(E287+E1247+E2207+E3167+E4127)</f>
        <v>341570</v>
      </c>
      <c r="F5087" s="3">
        <f t="shared" si="3047"/>
        <v>482383</v>
      </c>
      <c r="G5087" s="1">
        <f t="shared" si="2961"/>
        <v>823953</v>
      </c>
      <c r="H5087" s="2">
        <f t="shared" si="2962"/>
        <v>0.41455034449780509</v>
      </c>
      <c r="I5087" s="2">
        <f t="shared" si="2963"/>
        <v>0.58544965550219485</v>
      </c>
      <c r="J5087" s="3">
        <f t="shared" ref="J5087:K5087" si="3048">SUM(J287+J1247+J2207+J3167+J4127)</f>
        <v>1713688.43</v>
      </c>
      <c r="K5087" s="3">
        <f t="shared" si="3048"/>
        <v>5479916.7599999998</v>
      </c>
      <c r="L5087" s="1">
        <f t="shared" si="2989"/>
        <v>7193605.1899999995</v>
      </c>
      <c r="M5087" s="2">
        <f t="shared" si="2990"/>
        <v>0.23822386477120522</v>
      </c>
      <c r="N5087" s="2">
        <f t="shared" si="2991"/>
        <v>0.76177613522879484</v>
      </c>
      <c r="P5087" s="5">
        <f t="shared" si="2994"/>
        <v>8730.6013692528559</v>
      </c>
    </row>
    <row r="5088" spans="1:16" x14ac:dyDescent="0.35">
      <c r="A5088" t="s">
        <v>38</v>
      </c>
      <c r="B5088" t="s">
        <v>28</v>
      </c>
      <c r="C5088">
        <v>2009</v>
      </c>
      <c r="D5088" t="s">
        <v>30</v>
      </c>
      <c r="E5088" s="3">
        <f t="shared" ref="E5088:F5088" si="3049">SUM(E288+E1248+E2208+E3168+E4128)</f>
        <v>337538</v>
      </c>
      <c r="F5088" s="3">
        <f t="shared" si="3049"/>
        <v>485778</v>
      </c>
      <c r="G5088" s="1">
        <f t="shared" si="2961"/>
        <v>823316</v>
      </c>
      <c r="H5088" s="2">
        <f t="shared" si="2962"/>
        <v>0.40997381321388143</v>
      </c>
      <c r="I5088" s="2">
        <f t="shared" si="2963"/>
        <v>0.59002618678611862</v>
      </c>
      <c r="J5088" s="3">
        <f t="shared" ref="J5088:K5088" si="3050">SUM(J288+J1248+J2208+J3168+J4128)</f>
        <v>1504235.39</v>
      </c>
      <c r="K5088" s="3">
        <f t="shared" si="3050"/>
        <v>4849637.42</v>
      </c>
      <c r="L5088" s="1">
        <f t="shared" si="2989"/>
        <v>6353872.8099999996</v>
      </c>
      <c r="M5088" s="2">
        <f t="shared" si="2990"/>
        <v>0.23674307544094514</v>
      </c>
      <c r="N5088" s="2">
        <f t="shared" si="2991"/>
        <v>0.76325692455905492</v>
      </c>
      <c r="P5088" s="5">
        <f t="shared" si="2994"/>
        <v>7717.4168970358887</v>
      </c>
    </row>
    <row r="5089" spans="1:16" x14ac:dyDescent="0.35">
      <c r="A5089" t="s">
        <v>38</v>
      </c>
      <c r="B5089" t="s">
        <v>29</v>
      </c>
      <c r="C5089">
        <v>2009</v>
      </c>
      <c r="D5089" t="s">
        <v>30</v>
      </c>
      <c r="E5089" s="3">
        <f t="shared" ref="E5089:F5089" si="3051">SUM(E289+E1249+E2209+E3169+E4129)</f>
        <v>334896</v>
      </c>
      <c r="F5089" s="3">
        <f t="shared" si="3051"/>
        <v>488863</v>
      </c>
      <c r="G5089" s="1">
        <f t="shared" si="2961"/>
        <v>823759</v>
      </c>
      <c r="H5089" s="2">
        <f t="shared" si="2962"/>
        <v>0.4065460893295248</v>
      </c>
      <c r="I5089" s="2">
        <f t="shared" si="2963"/>
        <v>0.59345391067047526</v>
      </c>
      <c r="J5089" s="3">
        <f t="shared" ref="J5089:K5089" si="3052">SUM(J289+J1249+J2209+J3169+J4129)</f>
        <v>1529836.42</v>
      </c>
      <c r="K5089" s="3">
        <f t="shared" si="3052"/>
        <v>4990618.01</v>
      </c>
      <c r="L5089" s="1">
        <f t="shared" si="2989"/>
        <v>6520454.4299999997</v>
      </c>
      <c r="M5089" s="2">
        <f t="shared" si="2990"/>
        <v>0.23462113514072974</v>
      </c>
      <c r="N5089" s="2">
        <f t="shared" si="2991"/>
        <v>0.7653788648592702</v>
      </c>
      <c r="P5089" s="5">
        <f t="shared" si="2994"/>
        <v>7915.4879400407162</v>
      </c>
    </row>
    <row r="5090" spans="1:16" x14ac:dyDescent="0.35">
      <c r="A5090" t="s">
        <v>38</v>
      </c>
      <c r="B5090" t="s">
        <v>17</v>
      </c>
      <c r="C5090">
        <v>2010</v>
      </c>
      <c r="D5090" t="s">
        <v>30</v>
      </c>
      <c r="E5090" s="3">
        <f t="shared" ref="E5090:F5090" si="3053">SUM(E290+E1250+E2210+E3170+E4130)</f>
        <v>329386</v>
      </c>
      <c r="F5090" s="3">
        <f t="shared" si="3053"/>
        <v>480495</v>
      </c>
      <c r="G5090" s="1">
        <f t="shared" si="2961"/>
        <v>809881</v>
      </c>
      <c r="H5090" s="2">
        <f t="shared" si="2962"/>
        <v>0.4067091338110167</v>
      </c>
      <c r="I5090" s="2">
        <f t="shared" si="2963"/>
        <v>0.5932908661889833</v>
      </c>
      <c r="J5090" s="3">
        <f t="shared" ref="J5090:K5090" si="3054">SUM(J290+J1250+J2210+J3170+J4130)</f>
        <v>1676769.3910000001</v>
      </c>
      <c r="K5090" s="3">
        <f t="shared" si="3054"/>
        <v>5191599.0780000007</v>
      </c>
      <c r="L5090" s="1">
        <f t="shared" si="2989"/>
        <v>6868368.4690000005</v>
      </c>
      <c r="M5090" s="2">
        <f t="shared" si="2990"/>
        <v>0.24412921330123821</v>
      </c>
      <c r="N5090" s="2">
        <f t="shared" si="2991"/>
        <v>0.75587078669876184</v>
      </c>
      <c r="P5090" s="5">
        <f t="shared" si="2994"/>
        <v>8480.7131776149836</v>
      </c>
    </row>
    <row r="5091" spans="1:16" x14ac:dyDescent="0.35">
      <c r="A5091" t="s">
        <v>38</v>
      </c>
      <c r="B5091" t="s">
        <v>19</v>
      </c>
      <c r="C5091">
        <v>2010</v>
      </c>
      <c r="D5091" t="s">
        <v>30</v>
      </c>
      <c r="E5091" s="3">
        <f t="shared" ref="E5091:F5091" si="3055">SUM(E291+E1251+E2211+E3171+E4131)</f>
        <v>331092</v>
      </c>
      <c r="F5091" s="3">
        <f t="shared" si="3055"/>
        <v>492984</v>
      </c>
      <c r="G5091" s="1">
        <f t="shared" si="2961"/>
        <v>824076</v>
      </c>
      <c r="H5091" s="2">
        <f t="shared" si="2962"/>
        <v>0.40177362282119611</v>
      </c>
      <c r="I5091" s="2">
        <f t="shared" si="2963"/>
        <v>0.59822637717880389</v>
      </c>
      <c r="J5091" s="3">
        <f t="shared" ref="J5091:K5091" si="3056">SUM(J291+J1251+J2211+J3171+J4131)</f>
        <v>1517272.3050000002</v>
      </c>
      <c r="K5091" s="3">
        <f t="shared" si="3056"/>
        <v>4836515.8909999998</v>
      </c>
      <c r="L5091" s="1">
        <f t="shared" si="2989"/>
        <v>6353788.1960000005</v>
      </c>
      <c r="M5091" s="2">
        <f t="shared" si="2990"/>
        <v>0.23879806159657516</v>
      </c>
      <c r="N5091" s="2">
        <f t="shared" si="2991"/>
        <v>0.76120193840342476</v>
      </c>
      <c r="P5091" s="5">
        <f t="shared" si="2994"/>
        <v>7710.1968701915839</v>
      </c>
    </row>
    <row r="5092" spans="1:16" x14ac:dyDescent="0.35">
      <c r="A5092" t="s">
        <v>38</v>
      </c>
      <c r="B5092" t="s">
        <v>20</v>
      </c>
      <c r="C5092">
        <v>2010</v>
      </c>
      <c r="D5092" t="s">
        <v>30</v>
      </c>
      <c r="E5092" s="3">
        <f t="shared" ref="E5092:F5092" si="3057">SUM(E292+E1252+E2212+E3172+E4132)</f>
        <v>326803</v>
      </c>
      <c r="F5092" s="3">
        <f t="shared" si="3057"/>
        <v>493414</v>
      </c>
      <c r="G5092" s="1">
        <f t="shared" si="2961"/>
        <v>820217</v>
      </c>
      <c r="H5092" s="2">
        <f t="shared" si="2962"/>
        <v>0.39843480444809115</v>
      </c>
      <c r="I5092" s="2">
        <f t="shared" si="2963"/>
        <v>0.60156519555190879</v>
      </c>
      <c r="J5092" s="3">
        <f t="shared" ref="J5092:K5092" si="3058">SUM(J292+J1252+J2212+J3172+J4132)</f>
        <v>1469258.324</v>
      </c>
      <c r="K5092" s="3">
        <f t="shared" si="3058"/>
        <v>4760109.5780000007</v>
      </c>
      <c r="L5092" s="1">
        <f t="shared" si="2989"/>
        <v>6229367.9020000007</v>
      </c>
      <c r="M5092" s="2">
        <f t="shared" si="2990"/>
        <v>0.23585993749514778</v>
      </c>
      <c r="N5092" s="2">
        <f t="shared" si="2991"/>
        <v>0.76414006250485222</v>
      </c>
      <c r="P5092" s="5">
        <f t="shared" si="2994"/>
        <v>7594.7802861925575</v>
      </c>
    </row>
    <row r="5093" spans="1:16" x14ac:dyDescent="0.35">
      <c r="A5093" t="s">
        <v>38</v>
      </c>
      <c r="B5093" t="s">
        <v>21</v>
      </c>
      <c r="C5093">
        <v>2010</v>
      </c>
      <c r="D5093" t="s">
        <v>30</v>
      </c>
      <c r="E5093" s="3">
        <f t="shared" ref="E5093:F5093" si="3059">SUM(E293+E1253+E2213+E3173+E4133)</f>
        <v>327845</v>
      </c>
      <c r="F5093" s="3">
        <f t="shared" si="3059"/>
        <v>498149</v>
      </c>
      <c r="G5093" s="1">
        <f t="shared" si="2961"/>
        <v>825994</v>
      </c>
      <c r="H5093" s="2">
        <f t="shared" si="2962"/>
        <v>0.39690966278205408</v>
      </c>
      <c r="I5093" s="2">
        <f t="shared" si="2963"/>
        <v>0.60309033721794592</v>
      </c>
      <c r="J5093" s="3">
        <f t="shared" ref="J5093:K5093" si="3060">SUM(J293+J1253+J2213+J3173+J4133)</f>
        <v>1459134.96</v>
      </c>
      <c r="K5093" s="3">
        <f t="shared" si="3060"/>
        <v>4845815.2500000009</v>
      </c>
      <c r="L5093" s="1">
        <f t="shared" si="2989"/>
        <v>6304950.2100000009</v>
      </c>
      <c r="M5093" s="2">
        <f t="shared" si="2990"/>
        <v>0.23142688068903874</v>
      </c>
      <c r="N5093" s="2">
        <f t="shared" si="2991"/>
        <v>0.76857311931096128</v>
      </c>
      <c r="P5093" s="5">
        <f t="shared" si="2994"/>
        <v>7633.1670811168133</v>
      </c>
    </row>
    <row r="5094" spans="1:16" x14ac:dyDescent="0.35">
      <c r="A5094" t="s">
        <v>38</v>
      </c>
      <c r="B5094" t="s">
        <v>22</v>
      </c>
      <c r="C5094">
        <v>2010</v>
      </c>
      <c r="D5094" t="s">
        <v>30</v>
      </c>
      <c r="E5094" s="3">
        <f t="shared" ref="E5094:F5094" si="3061">SUM(E294+E1254+E2214+E3174+E4134)</f>
        <v>325261</v>
      </c>
      <c r="F5094" s="3">
        <f t="shared" si="3061"/>
        <v>501154</v>
      </c>
      <c r="G5094" s="1">
        <f t="shared" si="2961"/>
        <v>826415</v>
      </c>
      <c r="H5094" s="2">
        <f t="shared" si="2962"/>
        <v>0.39358070702976106</v>
      </c>
      <c r="I5094" s="2">
        <f t="shared" si="2963"/>
        <v>0.60641929297023889</v>
      </c>
      <c r="J5094" s="3">
        <f t="shared" ref="J5094:K5094" si="3062">SUM(J294+J1254+J2214+J3174+J4134)</f>
        <v>1468510.8099999998</v>
      </c>
      <c r="K5094" s="3">
        <f t="shared" si="3062"/>
        <v>5043183.38</v>
      </c>
      <c r="L5094" s="1">
        <f t="shared" si="2989"/>
        <v>6511694.1899999995</v>
      </c>
      <c r="M5094" s="2">
        <f t="shared" si="2990"/>
        <v>0.22551900736603847</v>
      </c>
      <c r="N5094" s="2">
        <f t="shared" si="2991"/>
        <v>0.77448099263396153</v>
      </c>
      <c r="P5094" s="5">
        <f t="shared" si="2994"/>
        <v>7879.4482070146341</v>
      </c>
    </row>
    <row r="5095" spans="1:16" x14ac:dyDescent="0.35">
      <c r="A5095" t="s">
        <v>38</v>
      </c>
      <c r="B5095" t="s">
        <v>23</v>
      </c>
      <c r="C5095">
        <v>2010</v>
      </c>
      <c r="D5095" t="s">
        <v>30</v>
      </c>
      <c r="E5095" s="3">
        <f t="shared" ref="E5095:F5095" si="3063">SUM(E295+E1255+E2215+E3175+E4135)</f>
        <v>322332</v>
      </c>
      <c r="F5095" s="3">
        <f t="shared" si="3063"/>
        <v>504389</v>
      </c>
      <c r="G5095" s="1">
        <f t="shared" si="2961"/>
        <v>826721</v>
      </c>
      <c r="H5095" s="2">
        <f t="shared" si="2962"/>
        <v>0.38989211596173318</v>
      </c>
      <c r="I5095" s="2">
        <f t="shared" si="2963"/>
        <v>0.61010788403826688</v>
      </c>
      <c r="J5095" s="3">
        <f t="shared" ref="J5095:K5095" si="3064">SUM(J295+J1255+J2215+J3175+J4135)</f>
        <v>1771224.09</v>
      </c>
      <c r="K5095" s="3">
        <f t="shared" si="3064"/>
        <v>6052908.9200000009</v>
      </c>
      <c r="L5095" s="1">
        <f t="shared" si="2989"/>
        <v>7824133.0100000007</v>
      </c>
      <c r="M5095" s="2">
        <f t="shared" si="2990"/>
        <v>0.2263795985748458</v>
      </c>
      <c r="N5095" s="2">
        <f t="shared" si="2991"/>
        <v>0.7736204014251542</v>
      </c>
      <c r="P5095" s="5">
        <f t="shared" si="2994"/>
        <v>9464.0549955789211</v>
      </c>
    </row>
    <row r="5096" spans="1:16" x14ac:dyDescent="0.35">
      <c r="A5096" t="s">
        <v>38</v>
      </c>
      <c r="B5096" t="s">
        <v>24</v>
      </c>
      <c r="C5096">
        <v>2010</v>
      </c>
      <c r="D5096" t="s">
        <v>30</v>
      </c>
      <c r="E5096" s="3">
        <f t="shared" ref="E5096:F5096" si="3065">SUM(E296+E1256+E2216+E3176+E4136)</f>
        <v>317406</v>
      </c>
      <c r="F5096" s="3">
        <f t="shared" si="3065"/>
        <v>508754</v>
      </c>
      <c r="G5096" s="1">
        <f t="shared" si="2961"/>
        <v>826160</v>
      </c>
      <c r="H5096" s="2">
        <f t="shared" si="2962"/>
        <v>0.38419434492108068</v>
      </c>
      <c r="I5096" s="2">
        <f t="shared" si="2963"/>
        <v>0.61580565507891938</v>
      </c>
      <c r="J5096" s="3">
        <f t="shared" ref="J5096:K5096" si="3066">SUM(J296+J1256+J2216+J3176+J4136)</f>
        <v>1868081.4599999997</v>
      </c>
      <c r="K5096" s="3">
        <f t="shared" si="3066"/>
        <v>6424326.9199999999</v>
      </c>
      <c r="L5096" s="1">
        <f t="shared" si="2989"/>
        <v>8292408.3799999999</v>
      </c>
      <c r="M5096" s="2">
        <f t="shared" si="2990"/>
        <v>0.22527610488956645</v>
      </c>
      <c r="N5096" s="2">
        <f t="shared" si="2991"/>
        <v>0.77472389511043349</v>
      </c>
      <c r="P5096" s="5">
        <f t="shared" si="2994"/>
        <v>10037.291057422291</v>
      </c>
    </row>
    <row r="5097" spans="1:16" x14ac:dyDescent="0.35">
      <c r="A5097" t="s">
        <v>38</v>
      </c>
      <c r="B5097" t="s">
        <v>25</v>
      </c>
      <c r="C5097">
        <v>2010</v>
      </c>
      <c r="D5097" t="s">
        <v>30</v>
      </c>
      <c r="E5097" s="3">
        <f t="shared" ref="E5097:F5097" si="3067">SUM(E297+E1257+E2217+E3177+E4137)</f>
        <v>313286</v>
      </c>
      <c r="F5097" s="3">
        <f t="shared" si="3067"/>
        <v>507048</v>
      </c>
      <c r="G5097" s="1">
        <f t="shared" si="2961"/>
        <v>820334</v>
      </c>
      <c r="H5097" s="2">
        <f t="shared" si="2962"/>
        <v>0.38190054294957909</v>
      </c>
      <c r="I5097" s="2">
        <f t="shared" si="2963"/>
        <v>0.61809945705042091</v>
      </c>
      <c r="J5097" s="3">
        <f t="shared" ref="J5097:K5097" si="3068">SUM(J297+J1257+J2217+J3177+J4137)</f>
        <v>1861288.01</v>
      </c>
      <c r="K5097" s="3">
        <f t="shared" si="3068"/>
        <v>6414800.8900000006</v>
      </c>
      <c r="L5097" s="1">
        <f t="shared" si="2989"/>
        <v>8276088.9000000004</v>
      </c>
      <c r="M5097" s="2">
        <f t="shared" si="2990"/>
        <v>0.22489947032830929</v>
      </c>
      <c r="N5097" s="2">
        <f t="shared" si="2991"/>
        <v>0.77510052967169074</v>
      </c>
      <c r="P5097" s="5">
        <f t="shared" si="2994"/>
        <v>10088.682049019058</v>
      </c>
    </row>
    <row r="5098" spans="1:16" x14ac:dyDescent="0.35">
      <c r="A5098" t="s">
        <v>38</v>
      </c>
      <c r="B5098" t="s">
        <v>26</v>
      </c>
      <c r="C5098">
        <v>2010</v>
      </c>
      <c r="D5098" t="s">
        <v>30</v>
      </c>
      <c r="E5098" s="3">
        <f t="shared" ref="E5098:F5098" si="3069">SUM(E298+E1258+E2218+E3178+E4138)</f>
        <v>312683</v>
      </c>
      <c r="F5098" s="3">
        <f t="shared" si="3069"/>
        <v>514700</v>
      </c>
      <c r="G5098" s="1">
        <f t="shared" si="2961"/>
        <v>827383</v>
      </c>
      <c r="H5098" s="2">
        <f t="shared" si="2962"/>
        <v>0.37791808630344109</v>
      </c>
      <c r="I5098" s="2">
        <f t="shared" si="2963"/>
        <v>0.62208191369655896</v>
      </c>
      <c r="J5098" s="3">
        <f t="shared" ref="J5098:K5098" si="3070">SUM(J298+J1258+J2218+J3178+J4138)</f>
        <v>1892404.49</v>
      </c>
      <c r="K5098" s="3">
        <f t="shared" si="3070"/>
        <v>6688827.3900000006</v>
      </c>
      <c r="L5098" s="1">
        <f t="shared" si="2989"/>
        <v>8581231.8800000008</v>
      </c>
      <c r="M5098" s="2">
        <f t="shared" si="2990"/>
        <v>0.2205283013515304</v>
      </c>
      <c r="N5098" s="2">
        <f t="shared" si="2991"/>
        <v>0.77947169864846955</v>
      </c>
      <c r="P5098" s="5">
        <f t="shared" si="2994"/>
        <v>10371.535165697145</v>
      </c>
    </row>
    <row r="5099" spans="1:16" x14ac:dyDescent="0.35">
      <c r="A5099" t="s">
        <v>38</v>
      </c>
      <c r="B5099" t="s">
        <v>27</v>
      </c>
      <c r="C5099">
        <v>2010</v>
      </c>
      <c r="D5099" t="s">
        <v>30</v>
      </c>
      <c r="E5099" s="3">
        <f t="shared" ref="E5099:F5099" si="3071">SUM(E299+E1259+E2219+E3179+E4139)</f>
        <v>308054</v>
      </c>
      <c r="F5099" s="3">
        <f t="shared" si="3071"/>
        <v>511514</v>
      </c>
      <c r="G5099" s="1">
        <f t="shared" si="2961"/>
        <v>819568</v>
      </c>
      <c r="H5099" s="2">
        <f t="shared" si="2962"/>
        <v>0.37587363098608045</v>
      </c>
      <c r="I5099" s="2">
        <f t="shared" si="2963"/>
        <v>0.62412636901391949</v>
      </c>
      <c r="J5099" s="3">
        <f t="shared" ref="J5099:K5099" si="3072">SUM(J299+J1259+J2219+J3179+J4139)</f>
        <v>1578895.8</v>
      </c>
      <c r="K5099" s="3">
        <f t="shared" si="3072"/>
        <v>5843834.6799999997</v>
      </c>
      <c r="L5099" s="1">
        <f t="shared" si="2989"/>
        <v>7422730.4799999995</v>
      </c>
      <c r="M5099" s="2">
        <f t="shared" si="2990"/>
        <v>0.21271091605093551</v>
      </c>
      <c r="N5099" s="2">
        <f t="shared" si="2991"/>
        <v>0.78728908394906449</v>
      </c>
      <c r="P5099" s="5">
        <f t="shared" si="2994"/>
        <v>9056.8817718602968</v>
      </c>
    </row>
    <row r="5100" spans="1:16" x14ac:dyDescent="0.35">
      <c r="A5100" t="s">
        <v>38</v>
      </c>
      <c r="B5100" t="s">
        <v>28</v>
      </c>
      <c r="C5100">
        <v>2010</v>
      </c>
      <c r="D5100" t="s">
        <v>30</v>
      </c>
      <c r="E5100" s="3">
        <f t="shared" ref="E5100:F5100" si="3073">SUM(E300+E1260+E2220+E3180+E4140)</f>
        <v>304802</v>
      </c>
      <c r="F5100" s="3">
        <f t="shared" si="3073"/>
        <v>517589</v>
      </c>
      <c r="G5100" s="1">
        <f t="shared" si="2961"/>
        <v>822391</v>
      </c>
      <c r="H5100" s="2">
        <f t="shared" si="2962"/>
        <v>0.37062905600863821</v>
      </c>
      <c r="I5100" s="2">
        <f t="shared" si="2963"/>
        <v>0.62937094399136173</v>
      </c>
      <c r="J5100" s="3">
        <f t="shared" ref="J5100:K5100" si="3074">SUM(J300+J1260+J2220+J3180+J4140)</f>
        <v>1409829.3000000003</v>
      </c>
      <c r="K5100" s="3">
        <f t="shared" si="3074"/>
        <v>5148804.22</v>
      </c>
      <c r="L5100" s="1">
        <f t="shared" si="2989"/>
        <v>6558633.5199999996</v>
      </c>
      <c r="M5100" s="2">
        <f t="shared" si="2990"/>
        <v>0.21495777980288802</v>
      </c>
      <c r="N5100" s="2">
        <f t="shared" si="2991"/>
        <v>0.78504222019711201</v>
      </c>
      <c r="P5100" s="5">
        <f t="shared" si="2994"/>
        <v>7975.079396540089</v>
      </c>
    </row>
    <row r="5101" spans="1:16" x14ac:dyDescent="0.35">
      <c r="A5101" t="s">
        <v>38</v>
      </c>
      <c r="B5101" t="s">
        <v>29</v>
      </c>
      <c r="C5101">
        <v>2010</v>
      </c>
      <c r="D5101" t="s">
        <v>30</v>
      </c>
      <c r="E5101" s="3">
        <f t="shared" ref="E5101:F5101" si="3075">SUM(E301+E1261+E2221+E3181+E4141)</f>
        <v>302956</v>
      </c>
      <c r="F5101" s="3">
        <f t="shared" si="3075"/>
        <v>524868</v>
      </c>
      <c r="G5101" s="1">
        <f t="shared" si="2961"/>
        <v>827824</v>
      </c>
      <c r="H5101" s="2">
        <f t="shared" si="2962"/>
        <v>0.36596667890759388</v>
      </c>
      <c r="I5101" s="2">
        <f t="shared" si="2963"/>
        <v>0.63403332109240607</v>
      </c>
      <c r="J5101" s="3">
        <f t="shared" ref="J5101:K5101" si="3076">SUM(J301+J1261+J2221+J3181+J4141)</f>
        <v>1415062.85</v>
      </c>
      <c r="K5101" s="3">
        <f t="shared" si="3076"/>
        <v>5241800.1500000004</v>
      </c>
      <c r="L5101" s="1">
        <f t="shared" si="2989"/>
        <v>6656863</v>
      </c>
      <c r="M5101" s="2">
        <f t="shared" si="2990"/>
        <v>0.21257202529179287</v>
      </c>
      <c r="N5101" s="2">
        <f t="shared" si="2991"/>
        <v>0.78742797470820725</v>
      </c>
      <c r="P5101" s="5">
        <f t="shared" si="2994"/>
        <v>8041.3988963837728</v>
      </c>
    </row>
    <row r="5102" spans="1:16" x14ac:dyDescent="0.35">
      <c r="A5102" t="s">
        <v>38</v>
      </c>
      <c r="B5102" t="s">
        <v>17</v>
      </c>
      <c r="C5102">
        <v>2011</v>
      </c>
      <c r="D5102" t="s">
        <v>30</v>
      </c>
      <c r="E5102" s="3">
        <f t="shared" ref="E5102:F5102" si="3077">SUM(E302+E1262+E2222+E3182+E4142)</f>
        <v>299169</v>
      </c>
      <c r="F5102" s="3">
        <f t="shared" si="3077"/>
        <v>515021</v>
      </c>
      <c r="G5102" s="1">
        <f t="shared" si="2961"/>
        <v>814190</v>
      </c>
      <c r="H5102" s="2">
        <f t="shared" si="2962"/>
        <v>0.36744371706849754</v>
      </c>
      <c r="I5102" s="2">
        <f t="shared" si="2963"/>
        <v>0.63255628293150246</v>
      </c>
      <c r="J5102" s="3">
        <f t="shared" ref="J5102:K5102" si="3078">SUM(J302+J1262+J2222+J3182+J4142)</f>
        <v>1473299.69</v>
      </c>
      <c r="K5102" s="3">
        <f t="shared" si="3078"/>
        <v>5305628.2</v>
      </c>
      <c r="L5102" s="1">
        <f t="shared" si="2989"/>
        <v>6778927.8900000006</v>
      </c>
      <c r="M5102" s="2">
        <f t="shared" si="2990"/>
        <v>0.21733520608374546</v>
      </c>
      <c r="N5102" s="2">
        <f t="shared" si="2991"/>
        <v>0.78266479391625443</v>
      </c>
      <c r="P5102" s="5">
        <f t="shared" si="2994"/>
        <v>8325.9778307274719</v>
      </c>
    </row>
    <row r="5103" spans="1:16" x14ac:dyDescent="0.35">
      <c r="A5103" t="s">
        <v>38</v>
      </c>
      <c r="B5103" t="s">
        <v>19</v>
      </c>
      <c r="C5103">
        <v>2011</v>
      </c>
      <c r="D5103" t="s">
        <v>30</v>
      </c>
      <c r="E5103" s="3">
        <f t="shared" ref="E5103:F5103" si="3079">SUM(E303+E1263+E2223+E3183+E4143)</f>
        <v>299512</v>
      </c>
      <c r="F5103" s="3">
        <f t="shared" si="3079"/>
        <v>529085</v>
      </c>
      <c r="G5103" s="1">
        <f t="shared" si="2961"/>
        <v>828597</v>
      </c>
      <c r="H5103" s="2">
        <f t="shared" si="2962"/>
        <v>0.3614688443235976</v>
      </c>
      <c r="I5103" s="2">
        <f t="shared" si="2963"/>
        <v>0.6385311556764024</v>
      </c>
      <c r="J5103" s="3">
        <f t="shared" ref="J5103:K5103" si="3080">SUM(J303+J1263+J2223+J3183+J4143)</f>
        <v>1431315.03</v>
      </c>
      <c r="K5103" s="3">
        <f t="shared" si="3080"/>
        <v>5214695.68</v>
      </c>
      <c r="L5103" s="1">
        <f t="shared" si="2989"/>
        <v>6646010.71</v>
      </c>
      <c r="M5103" s="2">
        <f t="shared" si="2990"/>
        <v>0.21536453858648688</v>
      </c>
      <c r="N5103" s="2">
        <f t="shared" si="2991"/>
        <v>0.78463546141351304</v>
      </c>
      <c r="P5103" s="5">
        <f t="shared" si="2994"/>
        <v>8020.7998701419383</v>
      </c>
    </row>
    <row r="5104" spans="1:16" x14ac:dyDescent="0.35">
      <c r="A5104" t="s">
        <v>38</v>
      </c>
      <c r="B5104" t="s">
        <v>20</v>
      </c>
      <c r="C5104">
        <v>2011</v>
      </c>
      <c r="D5104" t="s">
        <v>30</v>
      </c>
      <c r="E5104" s="3">
        <f t="shared" ref="E5104:F5104" si="3081">SUM(E304+E1264+E2224+E3184+E4144)</f>
        <v>297666</v>
      </c>
      <c r="F5104" s="3">
        <f t="shared" si="3081"/>
        <v>531819</v>
      </c>
      <c r="G5104" s="1">
        <f t="shared" si="2961"/>
        <v>829485</v>
      </c>
      <c r="H5104" s="2">
        <f t="shared" si="2962"/>
        <v>0.35885639884988879</v>
      </c>
      <c r="I5104" s="2">
        <f t="shared" si="2963"/>
        <v>0.64114360115011126</v>
      </c>
      <c r="J5104" s="3">
        <f t="shared" ref="J5104:K5104" si="3082">SUM(J304+J1264+J2224+J3184+J4144)</f>
        <v>1295562.19</v>
      </c>
      <c r="K5104" s="3">
        <f t="shared" si="3082"/>
        <v>4975402.2</v>
      </c>
      <c r="L5104" s="1">
        <f t="shared" si="2989"/>
        <v>6270964.3900000006</v>
      </c>
      <c r="M5104" s="2">
        <f t="shared" si="2990"/>
        <v>0.206596961715485</v>
      </c>
      <c r="N5104" s="2">
        <f t="shared" si="2991"/>
        <v>0.79340303828451486</v>
      </c>
      <c r="P5104" s="5">
        <f t="shared" si="2994"/>
        <v>7560.0696697348367</v>
      </c>
    </row>
    <row r="5105" spans="1:16" x14ac:dyDescent="0.35">
      <c r="A5105" t="s">
        <v>38</v>
      </c>
      <c r="B5105" t="s">
        <v>21</v>
      </c>
      <c r="C5105">
        <v>2011</v>
      </c>
      <c r="D5105" t="s">
        <v>30</v>
      </c>
      <c r="E5105" s="3">
        <f t="shared" ref="E5105:F5105" si="3083">SUM(E305+E1265+E2225+E3185+E4145)</f>
        <v>294242</v>
      </c>
      <c r="F5105" s="3">
        <f t="shared" si="3083"/>
        <v>530715</v>
      </c>
      <c r="G5105" s="1">
        <f t="shared" si="2961"/>
        <v>824957</v>
      </c>
      <c r="H5105" s="2">
        <f t="shared" si="2962"/>
        <v>0.35667556005949402</v>
      </c>
      <c r="I5105" s="2">
        <f t="shared" si="2963"/>
        <v>0.64332443994050603</v>
      </c>
      <c r="J5105" s="3">
        <f t="shared" ref="J5105:K5105" si="3084">SUM(J305+J1265+J2225+J3185+J4145)</f>
        <v>1300748.27</v>
      </c>
      <c r="K5105" s="3">
        <f t="shared" si="3084"/>
        <v>5121428.59</v>
      </c>
      <c r="L5105" s="1">
        <f t="shared" si="2989"/>
        <v>6422176.8599999994</v>
      </c>
      <c r="M5105" s="2">
        <f t="shared" si="2990"/>
        <v>0.20254008856430031</v>
      </c>
      <c r="N5105" s="2">
        <f t="shared" si="2991"/>
        <v>0.79745991143569972</v>
      </c>
      <c r="P5105" s="5">
        <f t="shared" si="2994"/>
        <v>7784.862556472639</v>
      </c>
    </row>
    <row r="5106" spans="1:16" x14ac:dyDescent="0.35">
      <c r="A5106" t="s">
        <v>38</v>
      </c>
      <c r="B5106" t="s">
        <v>22</v>
      </c>
      <c r="C5106">
        <v>2011</v>
      </c>
      <c r="D5106" t="s">
        <v>30</v>
      </c>
      <c r="E5106" s="3">
        <f t="shared" ref="E5106:F5106" si="3085">SUM(E306+E1266+E2226+E3186+E4146)</f>
        <v>290706</v>
      </c>
      <c r="F5106" s="3">
        <f t="shared" si="3085"/>
        <v>529157</v>
      </c>
      <c r="G5106" s="1">
        <f t="shared" si="2961"/>
        <v>819863</v>
      </c>
      <c r="H5106" s="2">
        <f t="shared" si="2962"/>
        <v>0.35457875279162493</v>
      </c>
      <c r="I5106" s="2">
        <f t="shared" si="2963"/>
        <v>0.64542124720837502</v>
      </c>
      <c r="J5106" s="3">
        <f t="shared" ref="J5106:K5106" si="3086">SUM(J306+J1266+J2226+J3186+J4146)</f>
        <v>1397989.33</v>
      </c>
      <c r="K5106" s="3">
        <f t="shared" si="3086"/>
        <v>5614456.2199999997</v>
      </c>
      <c r="L5106" s="1">
        <f t="shared" si="2989"/>
        <v>7012445.5499999998</v>
      </c>
      <c r="M5106" s="2">
        <f t="shared" si="2990"/>
        <v>0.19935831516010846</v>
      </c>
      <c r="N5106" s="2">
        <f t="shared" si="2991"/>
        <v>0.80064168483989151</v>
      </c>
      <c r="P5106" s="5">
        <f t="shared" si="2994"/>
        <v>8553.1918747400487</v>
      </c>
    </row>
    <row r="5107" spans="1:16" x14ac:dyDescent="0.35">
      <c r="A5107" t="s">
        <v>38</v>
      </c>
      <c r="B5107" t="s">
        <v>23</v>
      </c>
      <c r="C5107">
        <v>2011</v>
      </c>
      <c r="D5107" t="s">
        <v>30</v>
      </c>
      <c r="E5107" s="3">
        <f t="shared" ref="E5107:F5107" si="3087">SUM(E307+E1267+E2227+E3187+E4147)</f>
        <v>291334</v>
      </c>
      <c r="F5107" s="3">
        <f t="shared" si="3087"/>
        <v>546123</v>
      </c>
      <c r="G5107" s="1">
        <f t="shared" si="2961"/>
        <v>837457</v>
      </c>
      <c r="H5107" s="2">
        <f t="shared" si="2962"/>
        <v>0.34787935380562823</v>
      </c>
      <c r="I5107" s="2">
        <f t="shared" si="2963"/>
        <v>0.65212064619437182</v>
      </c>
      <c r="J5107" s="3">
        <f t="shared" ref="J5107:K5107" si="3088">SUM(J307+J1267+J2227+J3187+J4147)</f>
        <v>1556517.3</v>
      </c>
      <c r="K5107" s="3">
        <f t="shared" si="3088"/>
        <v>6415941.7300000004</v>
      </c>
      <c r="L5107" s="1">
        <f t="shared" si="2989"/>
        <v>7972459.0300000003</v>
      </c>
      <c r="M5107" s="2">
        <f t="shared" si="2990"/>
        <v>0.19523678881796649</v>
      </c>
      <c r="N5107" s="2">
        <f t="shared" si="2991"/>
        <v>0.80476321118203353</v>
      </c>
      <c r="P5107" s="5">
        <f t="shared" si="2994"/>
        <v>9519.8428456625243</v>
      </c>
    </row>
    <row r="5108" spans="1:16" x14ac:dyDescent="0.35">
      <c r="A5108" t="s">
        <v>38</v>
      </c>
      <c r="B5108" t="s">
        <v>24</v>
      </c>
      <c r="C5108">
        <v>2011</v>
      </c>
      <c r="D5108" t="s">
        <v>30</v>
      </c>
      <c r="E5108" s="3">
        <f t="shared" ref="E5108:F5108" si="3089">SUM(E308+E1268+E2228+E3188+E4148)</f>
        <v>274351</v>
      </c>
      <c r="F5108" s="3">
        <f t="shared" si="3089"/>
        <v>543793</v>
      </c>
      <c r="G5108" s="1">
        <f t="shared" si="2961"/>
        <v>818144</v>
      </c>
      <c r="H5108" s="2">
        <f t="shared" si="2962"/>
        <v>0.33533338874330193</v>
      </c>
      <c r="I5108" s="2">
        <f t="shared" si="2963"/>
        <v>0.66466661125669813</v>
      </c>
      <c r="J5108" s="3">
        <f t="shared" ref="J5108:K5108" si="3090">SUM(J308+J1268+J2228+J3188+J4148)</f>
        <v>1725545.47</v>
      </c>
      <c r="K5108" s="3">
        <f t="shared" si="3090"/>
        <v>6963329.7200000007</v>
      </c>
      <c r="L5108" s="1">
        <f t="shared" si="2989"/>
        <v>8688875.1900000013</v>
      </c>
      <c r="M5108" s="2">
        <f t="shared" si="2990"/>
        <v>0.19859250274257878</v>
      </c>
      <c r="N5108" s="2">
        <f t="shared" si="2991"/>
        <v>0.80140749725742111</v>
      </c>
      <c r="P5108" s="5">
        <f t="shared" si="2994"/>
        <v>10620.227233836589</v>
      </c>
    </row>
    <row r="5109" spans="1:16" x14ac:dyDescent="0.35">
      <c r="A5109" t="s">
        <v>38</v>
      </c>
      <c r="B5109" t="s">
        <v>25</v>
      </c>
      <c r="C5109">
        <v>2011</v>
      </c>
      <c r="D5109" t="s">
        <v>30</v>
      </c>
      <c r="E5109" s="3">
        <f t="shared" ref="E5109:F5109" si="3091">SUM(E309+E1269+E2229+E3189+E4149)</f>
        <v>287421</v>
      </c>
      <c r="F5109" s="3">
        <f t="shared" si="3091"/>
        <v>551903</v>
      </c>
      <c r="G5109" s="1">
        <f t="shared" si="2961"/>
        <v>839324</v>
      </c>
      <c r="H5109" s="2">
        <f t="shared" si="2962"/>
        <v>0.34244344257998105</v>
      </c>
      <c r="I5109" s="2">
        <f t="shared" si="2963"/>
        <v>0.65755655742001895</v>
      </c>
      <c r="J5109" s="3">
        <f t="shared" ref="J5109:K5109" si="3092">SUM(J309+J1269+J2229+J3189+J4149)</f>
        <v>1749809.3399999999</v>
      </c>
      <c r="K5109" s="3">
        <f t="shared" si="3092"/>
        <v>7105249.2399999993</v>
      </c>
      <c r="L5109" s="1">
        <f t="shared" si="2989"/>
        <v>8855058.5799999982</v>
      </c>
      <c r="M5109" s="2">
        <f t="shared" si="2990"/>
        <v>0.19760561990545297</v>
      </c>
      <c r="N5109" s="2">
        <f t="shared" si="2991"/>
        <v>0.80239438009454711</v>
      </c>
      <c r="P5109" s="5">
        <f t="shared" si="2994"/>
        <v>10550.22682539758</v>
      </c>
    </row>
    <row r="5110" spans="1:16" x14ac:dyDescent="0.35">
      <c r="A5110" t="s">
        <v>38</v>
      </c>
      <c r="B5110" t="s">
        <v>26</v>
      </c>
      <c r="C5110">
        <v>2011</v>
      </c>
      <c r="D5110" t="s">
        <v>30</v>
      </c>
      <c r="E5110" s="3">
        <f t="shared" ref="E5110:F5110" si="3093">SUM(E310+E1270+E2230+E3190+E4150)</f>
        <v>284335</v>
      </c>
      <c r="F5110" s="3">
        <f t="shared" si="3093"/>
        <v>548474</v>
      </c>
      <c r="G5110" s="1">
        <f t="shared" si="2961"/>
        <v>832809</v>
      </c>
      <c r="H5110" s="2">
        <f t="shared" si="2962"/>
        <v>0.341416819462806</v>
      </c>
      <c r="I5110" s="2">
        <f t="shared" si="2963"/>
        <v>0.658583180537194</v>
      </c>
      <c r="J5110" s="3">
        <f t="shared" ref="J5110:K5110" si="3094">SUM(J310+J1270+J2230+J3190+J4150)</f>
        <v>1749358.4899999998</v>
      </c>
      <c r="K5110" s="3">
        <f t="shared" si="3094"/>
        <v>7125170.29</v>
      </c>
      <c r="L5110" s="1">
        <f t="shared" si="2989"/>
        <v>8874528.7799999993</v>
      </c>
      <c r="M5110" s="2">
        <f t="shared" si="2990"/>
        <v>0.19712128197075945</v>
      </c>
      <c r="N5110" s="2">
        <f t="shared" si="2991"/>
        <v>0.8028787180292406</v>
      </c>
      <c r="P5110" s="5">
        <f t="shared" si="2994"/>
        <v>10656.139378897202</v>
      </c>
    </row>
    <row r="5111" spans="1:16" x14ac:dyDescent="0.35">
      <c r="A5111" t="s">
        <v>38</v>
      </c>
      <c r="B5111" t="s">
        <v>27</v>
      </c>
      <c r="C5111">
        <v>2011</v>
      </c>
      <c r="D5111" t="s">
        <v>30</v>
      </c>
      <c r="E5111" s="3">
        <f t="shared" ref="E5111:F5111" si="3095">SUM(E311+E1271+E2231+E3191+E4151)</f>
        <v>281433</v>
      </c>
      <c r="F5111" s="3">
        <f t="shared" si="3095"/>
        <v>547785</v>
      </c>
      <c r="G5111" s="1">
        <f t="shared" ref="G5111:G5174" si="3096">SUM(E5111:F5111)</f>
        <v>829218</v>
      </c>
      <c r="H5111" s="2">
        <f t="shared" ref="H5111:H5174" si="3097">SUM(E5111)/G5111</f>
        <v>0.33939567158455314</v>
      </c>
      <c r="I5111" s="2">
        <f t="shared" ref="I5111:I5174" si="3098">SUM(F5111/G5111)</f>
        <v>0.66060432841544681</v>
      </c>
      <c r="J5111" s="3">
        <f t="shared" ref="J5111:K5111" si="3099">SUM(J311+J1271+J2231+J3191+J4151)</f>
        <v>1486090.43</v>
      </c>
      <c r="K5111" s="3">
        <f t="shared" si="3099"/>
        <v>6112341.5200000005</v>
      </c>
      <c r="L5111" s="1">
        <f t="shared" si="2989"/>
        <v>7598431.9500000002</v>
      </c>
      <c r="M5111" s="2">
        <f t="shared" si="2990"/>
        <v>0.19557856670677953</v>
      </c>
      <c r="N5111" s="2">
        <f t="shared" si="2991"/>
        <v>0.80442143329322047</v>
      </c>
      <c r="P5111" s="5">
        <f t="shared" si="2994"/>
        <v>9163.3707300130973</v>
      </c>
    </row>
    <row r="5112" spans="1:16" x14ac:dyDescent="0.35">
      <c r="A5112" t="s">
        <v>38</v>
      </c>
      <c r="B5112" t="s">
        <v>28</v>
      </c>
      <c r="C5112">
        <v>2011</v>
      </c>
      <c r="D5112" t="s">
        <v>30</v>
      </c>
      <c r="E5112" s="3">
        <f t="shared" ref="E5112:F5112" si="3100">SUM(E312+E1272+E2232+E3192+E4152)</f>
        <v>280416</v>
      </c>
      <c r="F5112" s="3">
        <f t="shared" si="3100"/>
        <v>555662</v>
      </c>
      <c r="G5112" s="1">
        <f t="shared" si="3096"/>
        <v>836078</v>
      </c>
      <c r="H5112" s="2">
        <f t="shared" si="3097"/>
        <v>0.3353945445281421</v>
      </c>
      <c r="I5112" s="2">
        <f t="shared" si="3098"/>
        <v>0.6646054554718579</v>
      </c>
      <c r="J5112" s="3">
        <f t="shared" ref="J5112:K5112" si="3101">SUM(J312+J1272+J2232+J3192+J4152)</f>
        <v>1275580.8</v>
      </c>
      <c r="K5112" s="3">
        <f t="shared" si="3101"/>
        <v>5359477.72</v>
      </c>
      <c r="L5112" s="1">
        <f t="shared" si="2989"/>
        <v>6635058.5199999996</v>
      </c>
      <c r="M5112" s="2">
        <f t="shared" si="2990"/>
        <v>0.19224861335510876</v>
      </c>
      <c r="N5112" s="2">
        <f t="shared" si="2991"/>
        <v>0.80775138664489132</v>
      </c>
      <c r="P5112" s="5">
        <f t="shared" si="2994"/>
        <v>7935.9324369257411</v>
      </c>
    </row>
    <row r="5113" spans="1:16" x14ac:dyDescent="0.35">
      <c r="A5113" t="s">
        <v>38</v>
      </c>
      <c r="B5113" t="s">
        <v>29</v>
      </c>
      <c r="C5113">
        <v>2011</v>
      </c>
      <c r="D5113" t="s">
        <v>30</v>
      </c>
      <c r="E5113" s="3">
        <f t="shared" ref="E5113:F5113" si="3102">SUM(E313+E1273+E2233+E3193+E4153)</f>
        <v>275435</v>
      </c>
      <c r="F5113" s="3">
        <f t="shared" si="3102"/>
        <v>547751</v>
      </c>
      <c r="G5113" s="1">
        <f t="shared" si="3096"/>
        <v>823186</v>
      </c>
      <c r="H5113" s="2">
        <f t="shared" si="3097"/>
        <v>0.33459631237654675</v>
      </c>
      <c r="I5113" s="2">
        <f t="shared" si="3098"/>
        <v>0.66540368762345325</v>
      </c>
      <c r="J5113" s="3">
        <f t="shared" ref="J5113:K5113" si="3103">SUM(J313+J1273+J2233+J3193+J4153)</f>
        <v>1291633.54</v>
      </c>
      <c r="K5113" s="3">
        <f t="shared" si="3103"/>
        <v>5388847.2599999998</v>
      </c>
      <c r="L5113" s="1">
        <f t="shared" si="2989"/>
        <v>6680480.7999999998</v>
      </c>
      <c r="M5113" s="2">
        <f t="shared" si="2990"/>
        <v>0.19334439820559024</v>
      </c>
      <c r="N5113" s="2">
        <f t="shared" si="2991"/>
        <v>0.80665560179440976</v>
      </c>
      <c r="P5113" s="5">
        <f t="shared" si="2994"/>
        <v>8115.3965203489852</v>
      </c>
    </row>
    <row r="5114" spans="1:16" x14ac:dyDescent="0.35">
      <c r="A5114" t="s">
        <v>38</v>
      </c>
      <c r="B5114" t="s">
        <v>17</v>
      </c>
      <c r="C5114">
        <v>2012</v>
      </c>
      <c r="D5114" t="s">
        <v>30</v>
      </c>
      <c r="E5114" s="3">
        <f t="shared" ref="E5114:F5114" si="3104">SUM(E314+E1274+E2234+E3194+E4154)</f>
        <v>274761</v>
      </c>
      <c r="F5114" s="3">
        <f t="shared" si="3104"/>
        <v>553487</v>
      </c>
      <c r="G5114" s="1">
        <f t="shared" si="3096"/>
        <v>828248</v>
      </c>
      <c r="H5114" s="2">
        <f t="shared" si="3097"/>
        <v>0.33173759550279625</v>
      </c>
      <c r="I5114" s="2">
        <f t="shared" si="3098"/>
        <v>0.66826240449720375</v>
      </c>
      <c r="J5114" s="3">
        <f t="shared" ref="J5114:K5114" si="3105">SUM(J314+J1274+J2234+J3194+J4154)</f>
        <v>1304578.53</v>
      </c>
      <c r="K5114" s="3">
        <f t="shared" si="3105"/>
        <v>5387766.5600000005</v>
      </c>
      <c r="L5114" s="1">
        <f t="shared" si="2989"/>
        <v>6692345.0900000008</v>
      </c>
      <c r="M5114" s="2">
        <f t="shared" si="2990"/>
        <v>0.19493593239077872</v>
      </c>
      <c r="N5114" s="2">
        <f t="shared" si="2991"/>
        <v>0.80506406760922122</v>
      </c>
      <c r="P5114" s="5">
        <f t="shared" si="2994"/>
        <v>8080.1222459939545</v>
      </c>
    </row>
    <row r="5115" spans="1:16" x14ac:dyDescent="0.35">
      <c r="A5115" t="s">
        <v>38</v>
      </c>
      <c r="B5115" t="s">
        <v>19</v>
      </c>
      <c r="C5115">
        <v>2012</v>
      </c>
      <c r="D5115" t="s">
        <v>30</v>
      </c>
      <c r="E5115" s="3">
        <f t="shared" ref="E5115:F5115" si="3106">SUM(E315+E1275+E2235+E3195+E4155)</f>
        <v>276177</v>
      </c>
      <c r="F5115" s="3">
        <f t="shared" si="3106"/>
        <v>561648</v>
      </c>
      <c r="G5115" s="1">
        <f t="shared" si="3096"/>
        <v>837825</v>
      </c>
      <c r="H5115" s="2">
        <f t="shared" si="3097"/>
        <v>0.3296356637722675</v>
      </c>
      <c r="I5115" s="2">
        <f t="shared" si="3098"/>
        <v>0.6703643362277325</v>
      </c>
      <c r="J5115" s="3">
        <f t="shared" ref="J5115:K5115" si="3107">SUM(J315+J1275+J2235+J3195+J4155)</f>
        <v>1207269.82</v>
      </c>
      <c r="K5115" s="3">
        <f t="shared" si="3107"/>
        <v>5099874.08</v>
      </c>
      <c r="L5115" s="1">
        <f t="shared" si="2989"/>
        <v>6307143.9000000004</v>
      </c>
      <c r="M5115" s="2">
        <f t="shared" si="2990"/>
        <v>0.19141307684449693</v>
      </c>
      <c r="N5115" s="2">
        <f t="shared" si="2991"/>
        <v>0.80858692315550307</v>
      </c>
      <c r="P5115" s="5">
        <f t="shared" si="2994"/>
        <v>7527.9967773699755</v>
      </c>
    </row>
    <row r="5116" spans="1:16" x14ac:dyDescent="0.35">
      <c r="A5116" t="s">
        <v>38</v>
      </c>
      <c r="B5116" t="s">
        <v>20</v>
      </c>
      <c r="C5116">
        <v>2012</v>
      </c>
      <c r="D5116" t="s">
        <v>30</v>
      </c>
      <c r="E5116" s="3">
        <f t="shared" ref="E5116:F5116" si="3108">SUM(E316+E1276+E2236+E3196+E4156)</f>
        <v>277822</v>
      </c>
      <c r="F5116" s="3">
        <f t="shared" si="3108"/>
        <v>568367</v>
      </c>
      <c r="G5116" s="1">
        <f t="shared" si="3096"/>
        <v>846189</v>
      </c>
      <c r="H5116" s="2">
        <f t="shared" si="3097"/>
        <v>0.32832145064518681</v>
      </c>
      <c r="I5116" s="2">
        <f t="shared" si="3098"/>
        <v>0.67167854935481319</v>
      </c>
      <c r="J5116" s="3">
        <f t="shared" ref="J5116:K5116" si="3109">SUM(J316+J1276+J2236+J3196+J4156)</f>
        <v>1175910.08</v>
      </c>
      <c r="K5116" s="3">
        <f t="shared" si="3109"/>
        <v>5073359.0100000007</v>
      </c>
      <c r="L5116" s="1">
        <f t="shared" si="2989"/>
        <v>6249269.0900000008</v>
      </c>
      <c r="M5116" s="2">
        <f t="shared" si="2990"/>
        <v>0.18816761817500804</v>
      </c>
      <c r="N5116" s="2">
        <f t="shared" si="2991"/>
        <v>0.81183238182499196</v>
      </c>
      <c r="P5116" s="5">
        <f t="shared" si="2994"/>
        <v>7385.1930124357568</v>
      </c>
    </row>
    <row r="5117" spans="1:16" x14ac:dyDescent="0.35">
      <c r="A5117" t="s">
        <v>38</v>
      </c>
      <c r="B5117" t="s">
        <v>21</v>
      </c>
      <c r="C5117">
        <v>2012</v>
      </c>
      <c r="D5117" t="s">
        <v>30</v>
      </c>
      <c r="E5117" s="3">
        <f t="shared" ref="E5117:F5117" si="3110">SUM(E317+E1277+E2237+E3197+E4157)</f>
        <v>277594</v>
      </c>
      <c r="F5117" s="3">
        <f t="shared" si="3110"/>
        <v>571013</v>
      </c>
      <c r="G5117" s="1">
        <f t="shared" si="3096"/>
        <v>848607</v>
      </c>
      <c r="H5117" s="2">
        <f t="shared" si="3097"/>
        <v>0.32711726393960927</v>
      </c>
      <c r="I5117" s="2">
        <f t="shared" si="3098"/>
        <v>0.67288273606039073</v>
      </c>
      <c r="J5117" s="3">
        <f t="shared" ref="J5117:K5117" si="3111">SUM(J317+J1277+J2237+J3197+J4157)</f>
        <v>1266226.27</v>
      </c>
      <c r="K5117" s="3">
        <f t="shared" si="3111"/>
        <v>5534063.8400000008</v>
      </c>
      <c r="L5117" s="1">
        <f t="shared" si="2989"/>
        <v>6800290.1100000013</v>
      </c>
      <c r="M5117" s="2">
        <f t="shared" si="2990"/>
        <v>0.18620180161696068</v>
      </c>
      <c r="N5117" s="2">
        <f t="shared" si="2991"/>
        <v>0.81379819838303924</v>
      </c>
      <c r="P5117" s="5">
        <f t="shared" si="2994"/>
        <v>8013.4739755858727</v>
      </c>
    </row>
    <row r="5118" spans="1:16" x14ac:dyDescent="0.35">
      <c r="A5118" t="s">
        <v>38</v>
      </c>
      <c r="B5118" t="s">
        <v>22</v>
      </c>
      <c r="C5118">
        <v>2012</v>
      </c>
      <c r="D5118" t="s">
        <v>30</v>
      </c>
      <c r="E5118" s="3">
        <f t="shared" ref="E5118:F5118" si="3112">SUM(E318+E1278+E2238+E3198+E4158)</f>
        <v>276383</v>
      </c>
      <c r="F5118" s="3">
        <f t="shared" si="3112"/>
        <v>573742</v>
      </c>
      <c r="G5118" s="1">
        <f t="shared" si="3096"/>
        <v>850125</v>
      </c>
      <c r="H5118" s="2">
        <f t="shared" si="3097"/>
        <v>0.32510866049110426</v>
      </c>
      <c r="I5118" s="2">
        <f t="shared" si="3098"/>
        <v>0.67489133950889579</v>
      </c>
      <c r="J5118" s="3">
        <f t="shared" ref="J5118:K5118" si="3113">SUM(J318+J1278+J2238+J3198+J4158)</f>
        <v>1323133.07</v>
      </c>
      <c r="K5118" s="3">
        <f t="shared" si="3113"/>
        <v>5845923.6699999999</v>
      </c>
      <c r="L5118" s="1">
        <f t="shared" si="2989"/>
        <v>7169056.7400000002</v>
      </c>
      <c r="M5118" s="2">
        <f t="shared" si="2990"/>
        <v>0.18456166801101367</v>
      </c>
      <c r="N5118" s="2">
        <f t="shared" si="2991"/>
        <v>0.8154383319889863</v>
      </c>
      <c r="P5118" s="5">
        <f t="shared" si="2994"/>
        <v>8432.9442611380673</v>
      </c>
    </row>
    <row r="5119" spans="1:16" x14ac:dyDescent="0.35">
      <c r="A5119" t="s">
        <v>38</v>
      </c>
      <c r="B5119" t="s">
        <v>23</v>
      </c>
      <c r="C5119">
        <v>2012</v>
      </c>
      <c r="D5119" t="s">
        <v>30</v>
      </c>
      <c r="E5119" s="3">
        <f t="shared" ref="E5119:F5119" si="3114">SUM(E319+E1279+E2239+E3199+E4159)</f>
        <v>270522</v>
      </c>
      <c r="F5119" s="3">
        <f t="shared" si="3114"/>
        <v>582296</v>
      </c>
      <c r="G5119" s="1">
        <f t="shared" si="3096"/>
        <v>852818</v>
      </c>
      <c r="H5119" s="2">
        <f t="shared" si="3097"/>
        <v>0.31720953356988246</v>
      </c>
      <c r="I5119" s="2">
        <f t="shared" si="3098"/>
        <v>0.68279046643011754</v>
      </c>
      <c r="J5119" s="3">
        <f t="shared" ref="J5119:K5119" si="3115">SUM(J319+J1279+J2239+J3199+J4159)</f>
        <v>1459910.5599999998</v>
      </c>
      <c r="K5119" s="3">
        <f t="shared" si="3115"/>
        <v>6519851.1600000001</v>
      </c>
      <c r="L5119" s="1">
        <f t="shared" si="2989"/>
        <v>7979761.7199999997</v>
      </c>
      <c r="M5119" s="2">
        <f t="shared" si="2990"/>
        <v>0.18295164833568486</v>
      </c>
      <c r="N5119" s="2">
        <f t="shared" si="2991"/>
        <v>0.81704835166431511</v>
      </c>
      <c r="P5119" s="5">
        <f t="shared" si="2994"/>
        <v>9356.9339765342665</v>
      </c>
    </row>
    <row r="5120" spans="1:16" x14ac:dyDescent="0.35">
      <c r="A5120" t="s">
        <v>38</v>
      </c>
      <c r="B5120" t="s">
        <v>24</v>
      </c>
      <c r="C5120">
        <v>2012</v>
      </c>
      <c r="D5120" t="s">
        <v>30</v>
      </c>
      <c r="E5120" s="3">
        <f t="shared" ref="E5120:F5120" si="3116">SUM(E320+E1280+E2240+E3200+E4160)</f>
        <v>274645</v>
      </c>
      <c r="F5120" s="3">
        <f t="shared" si="3116"/>
        <v>585947</v>
      </c>
      <c r="G5120" s="1">
        <f t="shared" si="3096"/>
        <v>860592</v>
      </c>
      <c r="H5120" s="2">
        <f t="shared" si="3097"/>
        <v>0.31913496755721643</v>
      </c>
      <c r="I5120" s="2">
        <f t="shared" si="3098"/>
        <v>0.68086503244278362</v>
      </c>
      <c r="J5120" s="3">
        <f t="shared" ref="J5120:K5120" si="3117">SUM(J320+J1280+J2240+J3200+J4160)</f>
        <v>1533171.72</v>
      </c>
      <c r="K5120" s="3">
        <f t="shared" si="3117"/>
        <v>6913206.9699999997</v>
      </c>
      <c r="L5120" s="1">
        <f t="shared" si="2989"/>
        <v>8446378.6899999995</v>
      </c>
      <c r="M5120" s="2">
        <f t="shared" si="2990"/>
        <v>0.18151823121726501</v>
      </c>
      <c r="N5120" s="2">
        <f t="shared" si="2991"/>
        <v>0.81848176878273504</v>
      </c>
      <c r="P5120" s="5">
        <f t="shared" si="2994"/>
        <v>9814.6144630672825</v>
      </c>
    </row>
    <row r="5121" spans="1:16" x14ac:dyDescent="0.35">
      <c r="A5121" t="s">
        <v>38</v>
      </c>
      <c r="B5121" t="s">
        <v>25</v>
      </c>
      <c r="C5121">
        <v>2012</v>
      </c>
      <c r="D5121" t="s">
        <v>30</v>
      </c>
      <c r="E5121" s="3">
        <f t="shared" ref="E5121:F5121" si="3118">SUM(E321+E1281+E2241+E3201+E4161)</f>
        <v>278561</v>
      </c>
      <c r="F5121" s="3">
        <f t="shared" si="3118"/>
        <v>580781</v>
      </c>
      <c r="G5121" s="1">
        <f t="shared" si="3096"/>
        <v>859342</v>
      </c>
      <c r="H5121" s="2">
        <f t="shared" si="3097"/>
        <v>0.32415615668732589</v>
      </c>
      <c r="I5121" s="2">
        <f t="shared" si="3098"/>
        <v>0.67584384331267411</v>
      </c>
      <c r="J5121" s="3">
        <f t="shared" ref="J5121:K5121" si="3119">SUM(J321+J1281+J2241+J3201+J4161)</f>
        <v>1562230.9500000002</v>
      </c>
      <c r="K5121" s="3">
        <f t="shared" si="3119"/>
        <v>6970383.29</v>
      </c>
      <c r="L5121" s="1">
        <f t="shared" si="2989"/>
        <v>8532614.2400000002</v>
      </c>
      <c r="M5121" s="2">
        <f t="shared" si="2990"/>
        <v>0.18308936816531859</v>
      </c>
      <c r="N5121" s="2">
        <f t="shared" si="2991"/>
        <v>0.81691063183468138</v>
      </c>
      <c r="P5121" s="5">
        <f t="shared" si="2994"/>
        <v>9929.2414894186477</v>
      </c>
    </row>
    <row r="5122" spans="1:16" x14ac:dyDescent="0.35">
      <c r="A5122" t="s">
        <v>38</v>
      </c>
      <c r="B5122" t="s">
        <v>26</v>
      </c>
      <c r="C5122">
        <v>2012</v>
      </c>
      <c r="D5122" t="s">
        <v>30</v>
      </c>
      <c r="E5122" s="3">
        <f t="shared" ref="E5122:F5122" si="3120">SUM(E322+E1282+E2242+E3202+E4162)</f>
        <v>278326</v>
      </c>
      <c r="F5122" s="3">
        <f t="shared" si="3120"/>
        <v>584552</v>
      </c>
      <c r="G5122" s="1">
        <f t="shared" si="3096"/>
        <v>862878</v>
      </c>
      <c r="H5122" s="2">
        <f t="shared" si="3097"/>
        <v>0.32255544816300796</v>
      </c>
      <c r="I5122" s="2">
        <f t="shared" si="3098"/>
        <v>0.67744455183699204</v>
      </c>
      <c r="J5122" s="3">
        <f t="shared" ref="J5122:K5122" si="3121">SUM(J322+J1282+J2242+J3202+J4162)</f>
        <v>1609516.55</v>
      </c>
      <c r="K5122" s="3">
        <f t="shared" si="3121"/>
        <v>7028027.3799999999</v>
      </c>
      <c r="L5122" s="1">
        <f t="shared" si="2989"/>
        <v>8637543.9299999997</v>
      </c>
      <c r="M5122" s="2">
        <f t="shared" si="2990"/>
        <v>0.18633960800011817</v>
      </c>
      <c r="N5122" s="2">
        <f t="shared" si="2991"/>
        <v>0.81366039199988183</v>
      </c>
      <c r="P5122" s="5">
        <f t="shared" si="2994"/>
        <v>10010.156627008684</v>
      </c>
    </row>
    <row r="5123" spans="1:16" x14ac:dyDescent="0.35">
      <c r="A5123" t="s">
        <v>38</v>
      </c>
      <c r="B5123" t="s">
        <v>27</v>
      </c>
      <c r="C5123">
        <v>2012</v>
      </c>
      <c r="D5123" t="s">
        <v>30</v>
      </c>
      <c r="E5123" s="3">
        <f t="shared" ref="E5123:F5123" si="3122">SUM(E323+E1283+E2243+E3203+E4163)</f>
        <v>277494</v>
      </c>
      <c r="F5123" s="3">
        <f t="shared" si="3122"/>
        <v>582744</v>
      </c>
      <c r="G5123" s="1">
        <f t="shared" si="3096"/>
        <v>860238</v>
      </c>
      <c r="H5123" s="2">
        <f t="shared" si="3097"/>
        <v>0.32257817022730917</v>
      </c>
      <c r="I5123" s="2">
        <f t="shared" si="3098"/>
        <v>0.67742182977269083</v>
      </c>
      <c r="J5123" s="3">
        <f t="shared" ref="J5123:K5123" si="3123">SUM(J323+J1283+J2243+J3203+J4163)</f>
        <v>1419549.53</v>
      </c>
      <c r="K5123" s="3">
        <f t="shared" si="3123"/>
        <v>6138346.4100000001</v>
      </c>
      <c r="L5123" s="1">
        <f t="shared" ref="L5123:L5186" si="3124">SUM(J5123:K5123)</f>
        <v>7557895.9400000004</v>
      </c>
      <c r="M5123" s="2">
        <f t="shared" ref="M5123:M5186" si="3125">SUM(J5123)/L5123</f>
        <v>0.18782337587992776</v>
      </c>
      <c r="N5123" s="2">
        <f t="shared" ref="N5123:N5186" si="3126">SUM(K5123/L5123)</f>
        <v>0.81217662412007219</v>
      </c>
      <c r="P5123" s="5">
        <f t="shared" si="2994"/>
        <v>8785.819668510343</v>
      </c>
    </row>
    <row r="5124" spans="1:16" x14ac:dyDescent="0.35">
      <c r="A5124" t="s">
        <v>38</v>
      </c>
      <c r="B5124" t="s">
        <v>28</v>
      </c>
      <c r="C5124">
        <v>2012</v>
      </c>
      <c r="D5124" t="s">
        <v>30</v>
      </c>
      <c r="E5124" s="3">
        <f t="shared" ref="E5124:F5124" si="3127">SUM(E324+E1284+E2244+E3204+E4164)</f>
        <v>276084</v>
      </c>
      <c r="F5124" s="3">
        <f t="shared" si="3127"/>
        <v>583900</v>
      </c>
      <c r="G5124" s="1">
        <f t="shared" si="3096"/>
        <v>859984</v>
      </c>
      <c r="H5124" s="2">
        <f t="shared" si="3097"/>
        <v>0.32103387970008745</v>
      </c>
      <c r="I5124" s="2">
        <f t="shared" si="3098"/>
        <v>0.67896612029991255</v>
      </c>
      <c r="J5124" s="3">
        <f t="shared" ref="J5124:K5124" si="3128">SUM(J324+J1284+J2244+J3204+J4164)</f>
        <v>1310906.4099999999</v>
      </c>
      <c r="K5124" s="3">
        <f t="shared" si="3128"/>
        <v>5651032.1699999999</v>
      </c>
      <c r="L5124" s="1">
        <f t="shared" si="3124"/>
        <v>6961938.5800000001</v>
      </c>
      <c r="M5124" s="2">
        <f t="shared" si="3125"/>
        <v>0.1882961756896166</v>
      </c>
      <c r="N5124" s="2">
        <f t="shared" si="3126"/>
        <v>0.81170382431038335</v>
      </c>
      <c r="P5124" s="5">
        <f t="shared" ref="P5124:P5185" si="3129">SUM(1000*L5124)/G5124</f>
        <v>8095.4280312191859</v>
      </c>
    </row>
    <row r="5125" spans="1:16" x14ac:dyDescent="0.35">
      <c r="A5125" t="s">
        <v>38</v>
      </c>
      <c r="B5125" t="s">
        <v>29</v>
      </c>
      <c r="C5125">
        <v>2012</v>
      </c>
      <c r="D5125" t="s">
        <v>30</v>
      </c>
      <c r="E5125" s="3">
        <f t="shared" ref="E5125:F5125" si="3130">SUM(E325+E1285+E2245+E3205+E4165)</f>
        <v>276308</v>
      </c>
      <c r="F5125" s="3">
        <f t="shared" si="3130"/>
        <v>584939</v>
      </c>
      <c r="G5125" s="1">
        <f t="shared" si="3096"/>
        <v>861247</v>
      </c>
      <c r="H5125" s="2">
        <f t="shared" si="3097"/>
        <v>0.32082317848422115</v>
      </c>
      <c r="I5125" s="2">
        <f t="shared" si="3098"/>
        <v>0.67917682151577885</v>
      </c>
      <c r="J5125" s="3">
        <f t="shared" ref="J5125:K5125" si="3131">SUM(J325+J1285+J2245+J3205+J4165)</f>
        <v>1260371.19</v>
      </c>
      <c r="K5125" s="3">
        <f t="shared" si="3131"/>
        <v>5467251.5</v>
      </c>
      <c r="L5125" s="1">
        <f t="shared" si="3124"/>
        <v>6727622.6899999995</v>
      </c>
      <c r="M5125" s="2">
        <f t="shared" si="3125"/>
        <v>0.1873427283419784</v>
      </c>
      <c r="N5125" s="2">
        <f t="shared" si="3126"/>
        <v>0.81265727165802171</v>
      </c>
      <c r="P5125" s="5">
        <f t="shared" si="3129"/>
        <v>7811.4904202859334</v>
      </c>
    </row>
    <row r="5126" spans="1:16" x14ac:dyDescent="0.35">
      <c r="A5126" t="s">
        <v>38</v>
      </c>
      <c r="B5126" t="s">
        <v>17</v>
      </c>
      <c r="C5126">
        <v>2013</v>
      </c>
      <c r="D5126" t="s">
        <v>30</v>
      </c>
      <c r="E5126" s="3">
        <f t="shared" ref="E5126:F5126" si="3132">SUM(E326+E1286+E2246+E3206+E4166)</f>
        <v>275761</v>
      </c>
      <c r="F5126" s="3">
        <f t="shared" si="3132"/>
        <v>586304</v>
      </c>
      <c r="G5126" s="1">
        <f t="shared" si="3096"/>
        <v>862065</v>
      </c>
      <c r="H5126" s="2">
        <f t="shared" si="3097"/>
        <v>0.31988423146746475</v>
      </c>
      <c r="I5126" s="2">
        <f t="shared" si="3098"/>
        <v>0.6801157685325353</v>
      </c>
      <c r="J5126" s="3">
        <f t="shared" ref="J5126:K5126" si="3133">SUM(J326+J1286+J2246+J3206+J4166)</f>
        <v>1291122.2600000002</v>
      </c>
      <c r="K5126" s="3">
        <f t="shared" si="3133"/>
        <v>5519290.9500000002</v>
      </c>
      <c r="L5126" s="1">
        <f t="shared" si="3124"/>
        <v>6810413.2100000009</v>
      </c>
      <c r="M5126" s="2">
        <f t="shared" si="3125"/>
        <v>0.18958060549163067</v>
      </c>
      <c r="N5126" s="2">
        <f t="shared" si="3126"/>
        <v>0.81041939450836931</v>
      </c>
      <c r="P5126" s="5">
        <f t="shared" si="3129"/>
        <v>7900.1156641320558</v>
      </c>
    </row>
    <row r="5127" spans="1:16" x14ac:dyDescent="0.35">
      <c r="A5127" t="s">
        <v>38</v>
      </c>
      <c r="B5127" t="s">
        <v>19</v>
      </c>
      <c r="C5127">
        <v>2013</v>
      </c>
      <c r="D5127" t="s">
        <v>30</v>
      </c>
      <c r="E5127" s="3">
        <f t="shared" ref="E5127:F5127" si="3134">SUM(E327+E1287+E2247+E3207+E4167)</f>
        <v>275338</v>
      </c>
      <c r="F5127" s="3">
        <f t="shared" si="3134"/>
        <v>587709</v>
      </c>
      <c r="G5127" s="1">
        <f t="shared" si="3096"/>
        <v>863047</v>
      </c>
      <c r="H5127" s="2">
        <f t="shared" si="3097"/>
        <v>0.31903013393245094</v>
      </c>
      <c r="I5127" s="2">
        <f t="shared" si="3098"/>
        <v>0.68096986606754906</v>
      </c>
      <c r="J5127" s="3">
        <f t="shared" ref="J5127:K5127" si="3135">SUM(J327+J1287+J2247+J3207+J4167)</f>
        <v>1206104.54</v>
      </c>
      <c r="K5127" s="3">
        <f t="shared" si="3135"/>
        <v>5342315.57</v>
      </c>
      <c r="L5127" s="1">
        <f t="shared" si="3124"/>
        <v>6548420.1100000003</v>
      </c>
      <c r="M5127" s="2">
        <f t="shared" si="3125"/>
        <v>0.18418252337814656</v>
      </c>
      <c r="N5127" s="2">
        <f t="shared" si="3126"/>
        <v>0.81581747662185344</v>
      </c>
      <c r="P5127" s="5">
        <f t="shared" si="3129"/>
        <v>7587.5590900611442</v>
      </c>
    </row>
    <row r="5128" spans="1:16" x14ac:dyDescent="0.35">
      <c r="A5128" t="s">
        <v>38</v>
      </c>
      <c r="B5128" t="s">
        <v>20</v>
      </c>
      <c r="C5128">
        <v>2013</v>
      </c>
      <c r="D5128" t="s">
        <v>30</v>
      </c>
      <c r="E5128" s="3">
        <f t="shared" ref="E5128:F5128" si="3136">SUM(E328+E1288+E2248+E3208+E4168)</f>
        <v>275080</v>
      </c>
      <c r="F5128" s="3">
        <f t="shared" si="3136"/>
        <v>588907</v>
      </c>
      <c r="G5128" s="1">
        <f t="shared" si="3096"/>
        <v>863987</v>
      </c>
      <c r="H5128" s="2">
        <f t="shared" si="3097"/>
        <v>0.31838442013595114</v>
      </c>
      <c r="I5128" s="2">
        <f t="shared" si="3098"/>
        <v>0.68161557986404886</v>
      </c>
      <c r="J5128" s="3">
        <f t="shared" ref="J5128:K5128" si="3137">SUM(J328+J1288+J2248+J3208+J4168)</f>
        <v>1134462.6699999997</v>
      </c>
      <c r="K5128" s="3">
        <f t="shared" si="3137"/>
        <v>5057670.3600000003</v>
      </c>
      <c r="L5128" s="1">
        <f t="shared" si="3124"/>
        <v>6192133.0300000003</v>
      </c>
      <c r="M5128" s="2">
        <f t="shared" si="3125"/>
        <v>0.18321031936873611</v>
      </c>
      <c r="N5128" s="2">
        <f t="shared" si="3126"/>
        <v>0.81678968063126389</v>
      </c>
      <c r="P5128" s="5">
        <f t="shared" si="3129"/>
        <v>7166.9284723034025</v>
      </c>
    </row>
    <row r="5129" spans="1:16" x14ac:dyDescent="0.35">
      <c r="A5129" t="s">
        <v>38</v>
      </c>
      <c r="B5129" t="s">
        <v>21</v>
      </c>
      <c r="C5129">
        <v>2013</v>
      </c>
      <c r="D5129" t="s">
        <v>30</v>
      </c>
      <c r="E5129" s="3">
        <f t="shared" ref="E5129:F5129" si="3138">SUM(E329+E1289+E2249+E3209+E4169)</f>
        <v>274685</v>
      </c>
      <c r="F5129" s="3">
        <f t="shared" si="3138"/>
        <v>591098</v>
      </c>
      <c r="G5129" s="1">
        <f t="shared" si="3096"/>
        <v>865783</v>
      </c>
      <c r="H5129" s="2">
        <f t="shared" si="3097"/>
        <v>0.31726772181943974</v>
      </c>
      <c r="I5129" s="2">
        <f t="shared" si="3098"/>
        <v>0.68273227818056026</v>
      </c>
      <c r="J5129" s="3">
        <f t="shared" ref="J5129:K5129" si="3139">SUM(J329+J1289+J2249+J3209+J4169)</f>
        <v>1178750.0100000002</v>
      </c>
      <c r="K5129" s="3">
        <f t="shared" si="3139"/>
        <v>5402772.5800000001</v>
      </c>
      <c r="L5129" s="1">
        <f t="shared" si="3124"/>
        <v>6581522.5899999999</v>
      </c>
      <c r="M5129" s="2">
        <f t="shared" si="3125"/>
        <v>0.17909989578870386</v>
      </c>
      <c r="N5129" s="2">
        <f t="shared" si="3126"/>
        <v>0.82090010421129622</v>
      </c>
      <c r="P5129" s="5">
        <f t="shared" si="3129"/>
        <v>7601.8154549119117</v>
      </c>
    </row>
    <row r="5130" spans="1:16" x14ac:dyDescent="0.35">
      <c r="A5130" t="s">
        <v>38</v>
      </c>
      <c r="B5130" t="s">
        <v>22</v>
      </c>
      <c r="C5130">
        <v>2013</v>
      </c>
      <c r="D5130" t="s">
        <v>30</v>
      </c>
      <c r="E5130" s="3">
        <f t="shared" ref="E5130:F5130" si="3140">SUM(E330+E1290+E2250+E3210+E4170)</f>
        <v>274291</v>
      </c>
      <c r="F5130" s="3">
        <f t="shared" si="3140"/>
        <v>592365</v>
      </c>
      <c r="G5130" s="1">
        <f t="shared" si="3096"/>
        <v>866656</v>
      </c>
      <c r="H5130" s="2">
        <f t="shared" si="3097"/>
        <v>0.31649351068936232</v>
      </c>
      <c r="I5130" s="2">
        <f t="shared" si="3098"/>
        <v>0.68350648931063762</v>
      </c>
      <c r="J5130" s="3">
        <f t="shared" ref="J5130:K5130" si="3141">SUM(J330+J1290+J2250+J3210+J4170)</f>
        <v>1207231.0799999998</v>
      </c>
      <c r="K5130" s="3">
        <f t="shared" si="3141"/>
        <v>5517692.1000000006</v>
      </c>
      <c r="L5130" s="1">
        <f t="shared" si="3124"/>
        <v>6724923.1800000006</v>
      </c>
      <c r="M5130" s="2">
        <f t="shared" si="3125"/>
        <v>0.17951596586118918</v>
      </c>
      <c r="N5130" s="2">
        <f t="shared" si="3126"/>
        <v>0.82048403413881077</v>
      </c>
      <c r="P5130" s="5">
        <f t="shared" si="3129"/>
        <v>7759.6222491969147</v>
      </c>
    </row>
    <row r="5131" spans="1:16" x14ac:dyDescent="0.35">
      <c r="A5131" t="s">
        <v>38</v>
      </c>
      <c r="B5131" t="s">
        <v>23</v>
      </c>
      <c r="C5131">
        <v>2013</v>
      </c>
      <c r="D5131" t="s">
        <v>30</v>
      </c>
      <c r="E5131" s="3">
        <f t="shared" ref="E5131:F5131" si="3142">SUM(E331+E1291+E2251+E3211+E4171)</f>
        <v>273948</v>
      </c>
      <c r="F5131" s="3">
        <f t="shared" si="3142"/>
        <v>602016</v>
      </c>
      <c r="G5131" s="1">
        <f t="shared" si="3096"/>
        <v>875964</v>
      </c>
      <c r="H5131" s="2">
        <f t="shared" si="3097"/>
        <v>0.31273887967998687</v>
      </c>
      <c r="I5131" s="2">
        <f t="shared" si="3098"/>
        <v>0.68726112032001319</v>
      </c>
      <c r="J5131" s="3">
        <f t="shared" ref="J5131:K5131" si="3143">SUM(J331+J1291+J2251+J3211+J4171)</f>
        <v>1368272.54</v>
      </c>
      <c r="K5131" s="3">
        <f t="shared" si="3143"/>
        <v>6453505.2999999998</v>
      </c>
      <c r="L5131" s="1">
        <f t="shared" si="3124"/>
        <v>7821777.8399999999</v>
      </c>
      <c r="M5131" s="2">
        <f t="shared" si="3125"/>
        <v>0.17493114327573386</v>
      </c>
      <c r="N5131" s="2">
        <f t="shared" si="3126"/>
        <v>0.82506885672426611</v>
      </c>
      <c r="P5131" s="5">
        <f t="shared" si="3129"/>
        <v>8929.3370960450429</v>
      </c>
    </row>
    <row r="5132" spans="1:16" x14ac:dyDescent="0.35">
      <c r="A5132" t="s">
        <v>38</v>
      </c>
      <c r="B5132" t="s">
        <v>24</v>
      </c>
      <c r="C5132">
        <v>2013</v>
      </c>
      <c r="D5132" t="s">
        <v>30</v>
      </c>
      <c r="E5132" s="3">
        <f t="shared" ref="E5132:F5132" si="3144">SUM(E332+E1292+E2252+E3212+E4172)</f>
        <v>273679</v>
      </c>
      <c r="F5132" s="3">
        <f t="shared" si="3144"/>
        <v>599481</v>
      </c>
      <c r="G5132" s="1">
        <f t="shared" si="3096"/>
        <v>873160</v>
      </c>
      <c r="H5132" s="2">
        <f t="shared" si="3097"/>
        <v>0.31343510925832607</v>
      </c>
      <c r="I5132" s="2">
        <f t="shared" si="3098"/>
        <v>0.68656489074167393</v>
      </c>
      <c r="J5132" s="3">
        <f t="shared" ref="J5132:K5132" si="3145">SUM(J332+J1292+J2252+J3212+J4172)</f>
        <v>1453805.32</v>
      </c>
      <c r="K5132" s="3">
        <f t="shared" si="3145"/>
        <v>6984639.2999999998</v>
      </c>
      <c r="L5132" s="1">
        <f t="shared" si="3124"/>
        <v>8438444.6199999992</v>
      </c>
      <c r="M5132" s="2">
        <f t="shared" si="3125"/>
        <v>0.17228356474063111</v>
      </c>
      <c r="N5132" s="2">
        <f t="shared" si="3126"/>
        <v>0.827716435259369</v>
      </c>
      <c r="P5132" s="5">
        <f t="shared" si="3129"/>
        <v>9664.259265197672</v>
      </c>
    </row>
    <row r="5133" spans="1:16" x14ac:dyDescent="0.35">
      <c r="A5133" t="s">
        <v>38</v>
      </c>
      <c r="B5133" t="s">
        <v>25</v>
      </c>
      <c r="C5133">
        <v>2013</v>
      </c>
      <c r="D5133" t="s">
        <v>30</v>
      </c>
      <c r="E5133" s="3">
        <f t="shared" ref="E5133:F5133" si="3146">SUM(E333+E1293+E2253+E3213+E4173)</f>
        <v>273276</v>
      </c>
      <c r="F5133" s="3">
        <f t="shared" si="3146"/>
        <v>600532</v>
      </c>
      <c r="G5133" s="1">
        <f t="shared" si="3096"/>
        <v>873808</v>
      </c>
      <c r="H5133" s="2">
        <f t="shared" si="3097"/>
        <v>0.31274147181074102</v>
      </c>
      <c r="I5133" s="2">
        <f t="shared" si="3098"/>
        <v>0.68725852818925892</v>
      </c>
      <c r="J5133" s="3">
        <f t="shared" ref="J5133:K5133" si="3147">SUM(J333+J1293+J2253+J3213+J4173)</f>
        <v>1469503.8299999998</v>
      </c>
      <c r="K5133" s="3">
        <f t="shared" si="3147"/>
        <v>7086421.4200000009</v>
      </c>
      <c r="L5133" s="1">
        <f t="shared" si="3124"/>
        <v>8555925.25</v>
      </c>
      <c r="M5133" s="2">
        <f t="shared" si="3125"/>
        <v>0.17175276630660136</v>
      </c>
      <c r="N5133" s="2">
        <f t="shared" si="3126"/>
        <v>0.8282472336933987</v>
      </c>
      <c r="P5133" s="5">
        <f t="shared" si="3129"/>
        <v>9791.5391596323225</v>
      </c>
    </row>
    <row r="5134" spans="1:16" x14ac:dyDescent="0.35">
      <c r="A5134" t="s">
        <v>38</v>
      </c>
      <c r="B5134" t="s">
        <v>26</v>
      </c>
      <c r="C5134">
        <v>2013</v>
      </c>
      <c r="D5134" t="s">
        <v>30</v>
      </c>
      <c r="E5134" s="3">
        <f t="shared" ref="E5134:F5134" si="3148">SUM(E334+E1294+E2254+E3214+E4174)</f>
        <v>272026</v>
      </c>
      <c r="F5134" s="3">
        <f t="shared" si="3148"/>
        <v>602152</v>
      </c>
      <c r="G5134" s="1">
        <f t="shared" si="3096"/>
        <v>874178</v>
      </c>
      <c r="H5134" s="2">
        <f t="shared" si="3097"/>
        <v>0.31117918776267534</v>
      </c>
      <c r="I5134" s="2">
        <f t="shared" si="3098"/>
        <v>0.68882081223732461</v>
      </c>
      <c r="J5134" s="3">
        <f t="shared" ref="J5134:K5134" si="3149">SUM(J334+J1294+J2254+J3214+J4174)</f>
        <v>1507722.33</v>
      </c>
      <c r="K5134" s="3">
        <f t="shared" si="3149"/>
        <v>7293339.8599999994</v>
      </c>
      <c r="L5134" s="1">
        <f t="shared" si="3124"/>
        <v>8801062.1899999995</v>
      </c>
      <c r="M5134" s="2">
        <f t="shared" si="3125"/>
        <v>0.17131140508393569</v>
      </c>
      <c r="N5134" s="2">
        <f t="shared" si="3126"/>
        <v>0.82868859491606428</v>
      </c>
      <c r="P5134" s="5">
        <f t="shared" si="3129"/>
        <v>10067.814781428953</v>
      </c>
    </row>
    <row r="5135" spans="1:16" x14ac:dyDescent="0.35">
      <c r="A5135" t="s">
        <v>38</v>
      </c>
      <c r="B5135" t="s">
        <v>27</v>
      </c>
      <c r="C5135">
        <v>2013</v>
      </c>
      <c r="D5135" t="s">
        <v>30</v>
      </c>
      <c r="E5135" s="3">
        <f t="shared" ref="E5135:F5135" si="3150">SUM(E335+E1295+E2255+E3215+E4175)</f>
        <v>271435</v>
      </c>
      <c r="F5135" s="3">
        <f t="shared" si="3150"/>
        <v>603952</v>
      </c>
      <c r="G5135" s="1">
        <f t="shared" si="3096"/>
        <v>875387</v>
      </c>
      <c r="H5135" s="2">
        <f t="shared" si="3097"/>
        <v>0.31007428714385754</v>
      </c>
      <c r="I5135" s="2">
        <f t="shared" si="3098"/>
        <v>0.68992571285614246</v>
      </c>
      <c r="J5135" s="3">
        <f t="shared" ref="J5135:K5135" si="3151">SUM(J335+J1295+J2255+J3215+J4175)</f>
        <v>1358768.6400000001</v>
      </c>
      <c r="K5135" s="3">
        <f t="shared" si="3151"/>
        <v>6732313.4899999993</v>
      </c>
      <c r="L5135" s="1">
        <f t="shared" si="3124"/>
        <v>8091082.129999999</v>
      </c>
      <c r="M5135" s="2">
        <f t="shared" si="3125"/>
        <v>0.16793410549646717</v>
      </c>
      <c r="N5135" s="2">
        <f t="shared" si="3126"/>
        <v>0.83206589450353285</v>
      </c>
      <c r="P5135" s="5">
        <f t="shared" si="3129"/>
        <v>9242.8630194416855</v>
      </c>
    </row>
    <row r="5136" spans="1:16" x14ac:dyDescent="0.35">
      <c r="A5136" t="s">
        <v>38</v>
      </c>
      <c r="B5136" t="s">
        <v>28</v>
      </c>
      <c r="C5136">
        <v>2013</v>
      </c>
      <c r="D5136" t="s">
        <v>30</v>
      </c>
      <c r="E5136" s="3">
        <f t="shared" ref="E5136:F5136" si="3152">SUM(E336+E1296+E2256+E3216+E4176)</f>
        <v>270549</v>
      </c>
      <c r="F5136" s="3">
        <f t="shared" si="3152"/>
        <v>616018</v>
      </c>
      <c r="G5136" s="1">
        <f t="shared" si="3096"/>
        <v>886567</v>
      </c>
      <c r="H5136" s="2">
        <f t="shared" si="3097"/>
        <v>0.30516475348168837</v>
      </c>
      <c r="I5136" s="2">
        <f t="shared" si="3098"/>
        <v>0.69483524651831163</v>
      </c>
      <c r="J5136" s="3">
        <f t="shared" ref="J5136:K5136" si="3153">SUM(J336+J1296+J2256+J3216+J4176)</f>
        <v>1163426.72</v>
      </c>
      <c r="K5136" s="3">
        <f t="shared" si="3153"/>
        <v>5755331.2039999999</v>
      </c>
      <c r="L5136" s="1">
        <f t="shared" si="3124"/>
        <v>6918757.9239999996</v>
      </c>
      <c r="M5136" s="2">
        <f t="shared" si="3125"/>
        <v>0.16815543089956503</v>
      </c>
      <c r="N5136" s="2">
        <f t="shared" si="3126"/>
        <v>0.83184456910043503</v>
      </c>
      <c r="P5136" s="5">
        <f t="shared" si="3129"/>
        <v>7803.9876557552898</v>
      </c>
    </row>
    <row r="5137" spans="1:16" x14ac:dyDescent="0.35">
      <c r="A5137" t="s">
        <v>38</v>
      </c>
      <c r="B5137" t="s">
        <v>29</v>
      </c>
      <c r="C5137">
        <v>2013</v>
      </c>
      <c r="D5137" t="s">
        <v>30</v>
      </c>
      <c r="E5137" s="3">
        <f t="shared" ref="E5137:F5137" si="3154">SUM(E337+E1297+E2257+E3217+E4177)</f>
        <v>269616</v>
      </c>
      <c r="F5137" s="3">
        <f t="shared" si="3154"/>
        <v>607762</v>
      </c>
      <c r="G5137" s="1">
        <f t="shared" si="3096"/>
        <v>877378</v>
      </c>
      <c r="H5137" s="2">
        <f t="shared" si="3097"/>
        <v>0.30729742482715544</v>
      </c>
      <c r="I5137" s="2">
        <f t="shared" si="3098"/>
        <v>0.6927025751728445</v>
      </c>
      <c r="J5137" s="3">
        <f t="shared" ref="J5137:K5137" si="3155">SUM(J337+J1297+J2257+J3217+J4177)</f>
        <v>1184182.6300000001</v>
      </c>
      <c r="K5137" s="3">
        <f t="shared" si="3155"/>
        <v>5907915.6699999999</v>
      </c>
      <c r="L5137" s="1">
        <f t="shared" si="3124"/>
        <v>7092098.2999999998</v>
      </c>
      <c r="M5137" s="2">
        <f t="shared" si="3125"/>
        <v>0.16697211176556875</v>
      </c>
      <c r="N5137" s="2">
        <f t="shared" si="3126"/>
        <v>0.8330278882344313</v>
      </c>
      <c r="P5137" s="5">
        <f t="shared" si="3129"/>
        <v>8083.2871350774694</v>
      </c>
    </row>
    <row r="5138" spans="1:16" x14ac:dyDescent="0.35">
      <c r="A5138" t="s">
        <v>38</v>
      </c>
      <c r="B5138" t="s">
        <v>17</v>
      </c>
      <c r="C5138">
        <v>2014</v>
      </c>
      <c r="D5138" t="s">
        <v>30</v>
      </c>
      <c r="E5138" s="3">
        <f t="shared" ref="E5138:F5138" si="3156">SUM(E338+E1298+E2258+E3218+E4178)</f>
        <v>267613</v>
      </c>
      <c r="F5138" s="3">
        <f t="shared" si="3156"/>
        <v>601176</v>
      </c>
      <c r="G5138" s="1">
        <f t="shared" si="3096"/>
        <v>868789</v>
      </c>
      <c r="H5138" s="2">
        <f t="shared" si="3097"/>
        <v>0.30802991290175175</v>
      </c>
      <c r="I5138" s="2">
        <f t="shared" si="3098"/>
        <v>0.69197008709824825</v>
      </c>
      <c r="J5138" s="3">
        <f t="shared" ref="J5138:K5138" si="3157">SUM(J338+J1298+J2258+J3218+J4178)</f>
        <v>1242931.0499999998</v>
      </c>
      <c r="K5138" s="3">
        <f t="shared" si="3157"/>
        <v>6019971.0599999996</v>
      </c>
      <c r="L5138" s="1">
        <f t="shared" si="3124"/>
        <v>7262902.1099999994</v>
      </c>
      <c r="M5138" s="2">
        <f t="shared" si="3125"/>
        <v>0.17113421483247829</v>
      </c>
      <c r="N5138" s="2">
        <f t="shared" si="3126"/>
        <v>0.82886578516752174</v>
      </c>
      <c r="P5138" s="5">
        <f t="shared" si="3129"/>
        <v>8359.7998017930695</v>
      </c>
    </row>
    <row r="5139" spans="1:16" x14ac:dyDescent="0.35">
      <c r="A5139" t="s">
        <v>38</v>
      </c>
      <c r="B5139" t="s">
        <v>19</v>
      </c>
      <c r="C5139">
        <v>2014</v>
      </c>
      <c r="D5139" t="s">
        <v>30</v>
      </c>
      <c r="E5139" s="3">
        <f t="shared" ref="E5139:F5139" si="3158">SUM(E339+E1299+E2259+E3219+E4179)</f>
        <v>263130</v>
      </c>
      <c r="F5139" s="3">
        <f t="shared" si="3158"/>
        <v>612701</v>
      </c>
      <c r="G5139" s="1">
        <f t="shared" si="3096"/>
        <v>875831</v>
      </c>
      <c r="H5139" s="2">
        <f t="shared" si="3097"/>
        <v>0.30043467289922371</v>
      </c>
      <c r="I5139" s="2">
        <f t="shared" si="3098"/>
        <v>0.69956532710077635</v>
      </c>
      <c r="J5139" s="3">
        <f t="shared" ref="J5139:K5139" si="3159">SUM(J339+J1299+J2259+J3219+J4179)</f>
        <v>1147070.6599999999</v>
      </c>
      <c r="K5139" s="3">
        <f t="shared" si="3159"/>
        <v>5791469</v>
      </c>
      <c r="L5139" s="1">
        <f t="shared" si="3124"/>
        <v>6938539.6600000001</v>
      </c>
      <c r="M5139" s="2">
        <f t="shared" si="3125"/>
        <v>0.16531874374268546</v>
      </c>
      <c r="N5139" s="2">
        <f t="shared" si="3126"/>
        <v>0.83468125625731449</v>
      </c>
      <c r="P5139" s="5">
        <f t="shared" si="3129"/>
        <v>7922.2357509610874</v>
      </c>
    </row>
    <row r="5140" spans="1:16" x14ac:dyDescent="0.35">
      <c r="A5140" t="s">
        <v>38</v>
      </c>
      <c r="B5140" t="s">
        <v>20</v>
      </c>
      <c r="C5140">
        <v>2014</v>
      </c>
      <c r="D5140" t="s">
        <v>30</v>
      </c>
      <c r="E5140" s="3">
        <f t="shared" ref="E5140:F5140" si="3160">SUM(E340+E1300+E2260+E3220+E4180)</f>
        <v>260038</v>
      </c>
      <c r="F5140" s="3">
        <f t="shared" si="3160"/>
        <v>617037</v>
      </c>
      <c r="G5140" s="1">
        <f t="shared" si="3096"/>
        <v>877075</v>
      </c>
      <c r="H5140" s="2">
        <f t="shared" si="3097"/>
        <v>0.29648319698999515</v>
      </c>
      <c r="I5140" s="2">
        <f t="shared" si="3098"/>
        <v>0.70351680301000485</v>
      </c>
      <c r="J5140" s="3">
        <f t="shared" ref="J5140:K5140" si="3161">SUM(J340+J1300+J2260+J3220+J4180)</f>
        <v>1082488.31</v>
      </c>
      <c r="K5140" s="3">
        <f t="shared" si="3161"/>
        <v>5641580.4699999997</v>
      </c>
      <c r="L5140" s="1">
        <f t="shared" si="3124"/>
        <v>6724068.7799999993</v>
      </c>
      <c r="M5140" s="2">
        <f t="shared" si="3125"/>
        <v>0.16098709656566007</v>
      </c>
      <c r="N5140" s="2">
        <f t="shared" si="3126"/>
        <v>0.83901290343433998</v>
      </c>
      <c r="P5140" s="5">
        <f t="shared" si="3129"/>
        <v>7666.4695493543868</v>
      </c>
    </row>
    <row r="5141" spans="1:16" x14ac:dyDescent="0.35">
      <c r="A5141" t="s">
        <v>38</v>
      </c>
      <c r="B5141" t="s">
        <v>21</v>
      </c>
      <c r="C5141">
        <v>2014</v>
      </c>
      <c r="D5141" t="s">
        <v>30</v>
      </c>
      <c r="E5141" s="3">
        <f t="shared" ref="E5141:F5141" si="3162">SUM(E341+E1301+E2261+E3221+E4181)</f>
        <v>260268</v>
      </c>
      <c r="F5141" s="3">
        <f t="shared" si="3162"/>
        <v>621156</v>
      </c>
      <c r="G5141" s="1">
        <f t="shared" si="3096"/>
        <v>881424</v>
      </c>
      <c r="H5141" s="2">
        <f t="shared" si="3097"/>
        <v>0.29528127212329142</v>
      </c>
      <c r="I5141" s="2">
        <f t="shared" si="3098"/>
        <v>0.70471872787670864</v>
      </c>
      <c r="J5141" s="3">
        <f t="shared" ref="J5141:K5141" si="3163">SUM(J341+J1301+J2261+J3221+J4181)</f>
        <v>1060378.28</v>
      </c>
      <c r="K5141" s="3">
        <f t="shared" si="3163"/>
        <v>5704880.1299999999</v>
      </c>
      <c r="L5141" s="1">
        <f t="shared" si="3124"/>
        <v>6765258.4100000001</v>
      </c>
      <c r="M5141" s="2">
        <f t="shared" si="3125"/>
        <v>0.15673876971685402</v>
      </c>
      <c r="N5141" s="2">
        <f t="shared" si="3126"/>
        <v>0.84326123028314592</v>
      </c>
      <c r="P5141" s="5">
        <f t="shared" si="3129"/>
        <v>7675.3734978852399</v>
      </c>
    </row>
    <row r="5142" spans="1:16" x14ac:dyDescent="0.35">
      <c r="A5142" t="s">
        <v>38</v>
      </c>
      <c r="B5142" t="s">
        <v>22</v>
      </c>
      <c r="C5142">
        <v>2014</v>
      </c>
      <c r="D5142" t="s">
        <v>30</v>
      </c>
      <c r="E5142" s="3">
        <f t="shared" ref="E5142:F5142" si="3164">SUM(E342+E1302+E2262+E3222+E4182)</f>
        <v>260987</v>
      </c>
      <c r="F5142" s="3">
        <f t="shared" si="3164"/>
        <v>622419</v>
      </c>
      <c r="G5142" s="1">
        <f t="shared" si="3096"/>
        <v>883406</v>
      </c>
      <c r="H5142" s="2">
        <f t="shared" si="3097"/>
        <v>0.29543267761369063</v>
      </c>
      <c r="I5142" s="2">
        <f t="shared" si="3098"/>
        <v>0.70456732238630937</v>
      </c>
      <c r="J5142" s="3">
        <f t="shared" ref="J5142:K5142" si="3165">SUM(J342+J1302+J2262+J3222+J4182)</f>
        <v>1157894.71</v>
      </c>
      <c r="K5142" s="3">
        <f t="shared" si="3165"/>
        <v>6083710.2000000002</v>
      </c>
      <c r="L5142" s="1">
        <f t="shared" si="3124"/>
        <v>7241604.9100000001</v>
      </c>
      <c r="M5142" s="2">
        <f t="shared" si="3125"/>
        <v>0.1598947642671105</v>
      </c>
      <c r="N5142" s="2">
        <f t="shared" si="3126"/>
        <v>0.84010523573288953</v>
      </c>
      <c r="P5142" s="5">
        <f t="shared" si="3129"/>
        <v>8197.3689447434135</v>
      </c>
    </row>
    <row r="5143" spans="1:16" x14ac:dyDescent="0.35">
      <c r="A5143" t="s">
        <v>38</v>
      </c>
      <c r="B5143" t="s">
        <v>23</v>
      </c>
      <c r="C5143">
        <v>2014</v>
      </c>
      <c r="D5143" t="s">
        <v>30</v>
      </c>
      <c r="E5143" s="3">
        <f t="shared" ref="E5143:F5143" si="3166">SUM(E343+E1303+E2263+E3223+E4183)</f>
        <v>261546</v>
      </c>
      <c r="F5143" s="3">
        <f t="shared" si="3166"/>
        <v>622789</v>
      </c>
      <c r="G5143" s="1">
        <f t="shared" si="3096"/>
        <v>884335</v>
      </c>
      <c r="H5143" s="2">
        <f t="shared" si="3097"/>
        <v>0.29575443694979842</v>
      </c>
      <c r="I5143" s="2">
        <f t="shared" si="3098"/>
        <v>0.70424556305020158</v>
      </c>
      <c r="J5143" s="3">
        <f t="shared" ref="J5143:K5143" si="3167">SUM(J343+J1303+J2263+J3223+J4183)</f>
        <v>1282702.21</v>
      </c>
      <c r="K5143" s="3">
        <f t="shared" si="3167"/>
        <v>6780824.0499999998</v>
      </c>
      <c r="L5143" s="1">
        <f t="shared" si="3124"/>
        <v>8063526.2599999998</v>
      </c>
      <c r="M5143" s="2">
        <f t="shared" si="3125"/>
        <v>0.15907459945445754</v>
      </c>
      <c r="N5143" s="2">
        <f t="shared" si="3126"/>
        <v>0.84092540054554243</v>
      </c>
      <c r="P5143" s="5">
        <f t="shared" si="3129"/>
        <v>9118.1806215970191</v>
      </c>
    </row>
    <row r="5144" spans="1:16" x14ac:dyDescent="0.35">
      <c r="A5144" t="s">
        <v>38</v>
      </c>
      <c r="B5144" t="s">
        <v>24</v>
      </c>
      <c r="C5144">
        <v>2014</v>
      </c>
      <c r="D5144" t="s">
        <v>30</v>
      </c>
      <c r="E5144" s="3">
        <f t="shared" ref="E5144:F5144" si="3168">SUM(E344+E1304+E2264+E3224+E4184)</f>
        <v>261138</v>
      </c>
      <c r="F5144" s="3">
        <f t="shared" si="3168"/>
        <v>625803</v>
      </c>
      <c r="G5144" s="1">
        <f t="shared" si="3096"/>
        <v>886941</v>
      </c>
      <c r="H5144" s="2">
        <f t="shared" si="3097"/>
        <v>0.29442544656296193</v>
      </c>
      <c r="I5144" s="2">
        <f t="shared" si="3098"/>
        <v>0.70557455343703812</v>
      </c>
      <c r="J5144" s="3">
        <f t="shared" ref="J5144:K5144" si="3169">SUM(J344+J1304+J2264+J3224+J4184)</f>
        <v>1378471.44</v>
      </c>
      <c r="K5144" s="3">
        <f t="shared" si="3169"/>
        <v>7136630.629999999</v>
      </c>
      <c r="L5144" s="1">
        <f t="shared" si="3124"/>
        <v>8515102.0699999984</v>
      </c>
      <c r="M5144" s="2">
        <f t="shared" si="3125"/>
        <v>0.16188548635917879</v>
      </c>
      <c r="N5144" s="2">
        <f t="shared" si="3126"/>
        <v>0.83811451364082123</v>
      </c>
      <c r="P5144" s="5">
        <f t="shared" si="3129"/>
        <v>9600.528186204041</v>
      </c>
    </row>
    <row r="5145" spans="1:16" x14ac:dyDescent="0.35">
      <c r="A5145" t="s">
        <v>38</v>
      </c>
      <c r="B5145" t="s">
        <v>25</v>
      </c>
      <c r="C5145">
        <v>2014</v>
      </c>
      <c r="D5145" t="s">
        <v>30</v>
      </c>
      <c r="E5145" s="3">
        <f t="shared" ref="E5145:F5145" si="3170">SUM(E345+E1305+E2265+E3225+E4185)</f>
        <v>261102</v>
      </c>
      <c r="F5145" s="3">
        <f t="shared" si="3170"/>
        <v>626659</v>
      </c>
      <c r="G5145" s="1">
        <f t="shared" si="3096"/>
        <v>887761</v>
      </c>
      <c r="H5145" s="2">
        <f t="shared" si="3097"/>
        <v>0.29411294255999082</v>
      </c>
      <c r="I5145" s="2">
        <f t="shared" si="3098"/>
        <v>0.70588705744000924</v>
      </c>
      <c r="J5145" s="3">
        <f t="shared" ref="J5145:K5145" si="3171">SUM(J345+J1305+J2265+J3225+J4185)</f>
        <v>1428244.02</v>
      </c>
      <c r="K5145" s="3">
        <f t="shared" si="3171"/>
        <v>7288401.8399999999</v>
      </c>
      <c r="L5145" s="1">
        <f t="shared" si="3124"/>
        <v>8716645.8599999994</v>
      </c>
      <c r="M5145" s="2">
        <f t="shared" si="3125"/>
        <v>0.1638524775400248</v>
      </c>
      <c r="N5145" s="2">
        <f t="shared" si="3126"/>
        <v>0.83614752245997526</v>
      </c>
      <c r="P5145" s="5">
        <f t="shared" si="3129"/>
        <v>9818.6852767805758</v>
      </c>
    </row>
    <row r="5146" spans="1:16" x14ac:dyDescent="0.35">
      <c r="A5146" t="s">
        <v>38</v>
      </c>
      <c r="B5146" t="s">
        <v>26</v>
      </c>
      <c r="C5146">
        <v>2014</v>
      </c>
      <c r="D5146" t="s">
        <v>30</v>
      </c>
      <c r="E5146" s="3">
        <f t="shared" ref="E5146:F5146" si="3172">SUM(E346+E1306+E2266+E3226+E4186)</f>
        <v>260848</v>
      </c>
      <c r="F5146" s="3">
        <f t="shared" si="3172"/>
        <v>627755</v>
      </c>
      <c r="G5146" s="1">
        <f t="shared" si="3096"/>
        <v>888603</v>
      </c>
      <c r="H5146" s="2">
        <f t="shared" si="3097"/>
        <v>0.29354841250817293</v>
      </c>
      <c r="I5146" s="2">
        <f t="shared" si="3098"/>
        <v>0.70645158749182702</v>
      </c>
      <c r="J5146" s="3">
        <f t="shared" ref="J5146:K5146" si="3173">SUM(J346+J1306+J2266+J3226+J4186)</f>
        <v>1481515.82</v>
      </c>
      <c r="K5146" s="3">
        <f t="shared" si="3173"/>
        <v>7620567.8799999999</v>
      </c>
      <c r="L5146" s="1">
        <f t="shared" si="3124"/>
        <v>9102083.6999999993</v>
      </c>
      <c r="M5146" s="2">
        <f t="shared" si="3125"/>
        <v>0.1627666662744488</v>
      </c>
      <c r="N5146" s="2">
        <f t="shared" si="3126"/>
        <v>0.83723333372555131</v>
      </c>
      <c r="P5146" s="5">
        <f t="shared" si="3129"/>
        <v>10243.13861195607</v>
      </c>
    </row>
    <row r="5147" spans="1:16" x14ac:dyDescent="0.35">
      <c r="A5147" t="s">
        <v>38</v>
      </c>
      <c r="B5147" t="s">
        <v>27</v>
      </c>
      <c r="C5147">
        <v>2014</v>
      </c>
      <c r="D5147" t="s">
        <v>30</v>
      </c>
      <c r="E5147" s="3">
        <f t="shared" ref="E5147:F5147" si="3174">SUM(E347+E1307+E2267+E3227+E4187)</f>
        <v>260711</v>
      </c>
      <c r="F5147" s="3">
        <f t="shared" si="3174"/>
        <v>627713</v>
      </c>
      <c r="G5147" s="1">
        <f t="shared" si="3096"/>
        <v>888424</v>
      </c>
      <c r="H5147" s="2">
        <f t="shared" si="3097"/>
        <v>0.29345335110262666</v>
      </c>
      <c r="I5147" s="2">
        <f t="shared" si="3098"/>
        <v>0.70654664889737329</v>
      </c>
      <c r="J5147" s="3">
        <f t="shared" ref="J5147:K5147" si="3175">SUM(J347+J1307+J2267+J3227+J4187)</f>
        <v>1312754.05</v>
      </c>
      <c r="K5147" s="3">
        <f t="shared" si="3175"/>
        <v>6692116.4799999995</v>
      </c>
      <c r="L5147" s="1">
        <f t="shared" si="3124"/>
        <v>8004870.5299999993</v>
      </c>
      <c r="M5147" s="2">
        <f t="shared" si="3125"/>
        <v>0.1639944137859779</v>
      </c>
      <c r="N5147" s="2">
        <f t="shared" si="3126"/>
        <v>0.8360055862140221</v>
      </c>
      <c r="P5147" s="5">
        <f t="shared" si="3129"/>
        <v>9010.1916764968064</v>
      </c>
    </row>
    <row r="5148" spans="1:16" x14ac:dyDescent="0.35">
      <c r="A5148" t="s">
        <v>38</v>
      </c>
      <c r="B5148" t="s">
        <v>28</v>
      </c>
      <c r="C5148">
        <v>2014</v>
      </c>
      <c r="D5148" t="s">
        <v>30</v>
      </c>
      <c r="E5148" s="3">
        <f t="shared" ref="E5148:F5148" si="3176">SUM(E348+E1308+E2268+E3228+E4188)</f>
        <v>260367</v>
      </c>
      <c r="F5148" s="3">
        <f t="shared" si="3176"/>
        <v>631490</v>
      </c>
      <c r="G5148" s="1">
        <f t="shared" si="3096"/>
        <v>891857</v>
      </c>
      <c r="H5148" s="2">
        <f t="shared" si="3097"/>
        <v>0.29193805733430361</v>
      </c>
      <c r="I5148" s="2">
        <f t="shared" si="3098"/>
        <v>0.70806194266569644</v>
      </c>
      <c r="J5148" s="3">
        <f t="shared" ref="J5148:K5148" si="3177">SUM(J348+J1308+J2268+J3228+J4188)</f>
        <v>1186055.54</v>
      </c>
      <c r="K5148" s="3">
        <f t="shared" si="3177"/>
        <v>6043643.959999999</v>
      </c>
      <c r="L5148" s="1">
        <f t="shared" si="3124"/>
        <v>7229699.4999999991</v>
      </c>
      <c r="M5148" s="2">
        <f t="shared" si="3125"/>
        <v>0.16405322793845031</v>
      </c>
      <c r="N5148" s="2">
        <f t="shared" si="3126"/>
        <v>0.83594677206154966</v>
      </c>
      <c r="P5148" s="5">
        <f t="shared" si="3129"/>
        <v>8106.3438421181863</v>
      </c>
    </row>
    <row r="5149" spans="1:16" x14ac:dyDescent="0.35">
      <c r="A5149" t="s">
        <v>38</v>
      </c>
      <c r="B5149" t="s">
        <v>29</v>
      </c>
      <c r="C5149">
        <v>2014</v>
      </c>
      <c r="D5149" t="s">
        <v>30</v>
      </c>
      <c r="E5149" s="3">
        <f t="shared" ref="E5149:F5149" si="3178">SUM(E349+E1309+E2269+E3229+E4189)</f>
        <v>259732</v>
      </c>
      <c r="F5149" s="3">
        <f t="shared" si="3178"/>
        <v>632838</v>
      </c>
      <c r="G5149" s="1">
        <f t="shared" si="3096"/>
        <v>892570</v>
      </c>
      <c r="H5149" s="2">
        <f t="shared" si="3097"/>
        <v>0.2909934234849928</v>
      </c>
      <c r="I5149" s="2">
        <f t="shared" si="3098"/>
        <v>0.7090065765150072</v>
      </c>
      <c r="J5149" s="3">
        <f t="shared" ref="J5149:K5149" si="3179">SUM(J349+J1309+J2269+J3229+J4189)</f>
        <v>1119419.3699999999</v>
      </c>
      <c r="K5149" s="3">
        <f t="shared" si="3179"/>
        <v>5750494.4299999997</v>
      </c>
      <c r="L5149" s="1">
        <f t="shared" si="3124"/>
        <v>6869913.7999999998</v>
      </c>
      <c r="M5149" s="2">
        <f t="shared" si="3125"/>
        <v>0.16294518426126395</v>
      </c>
      <c r="N5149" s="2">
        <f t="shared" si="3126"/>
        <v>0.83705481573873608</v>
      </c>
      <c r="P5149" s="5">
        <f t="shared" si="3129"/>
        <v>7696.7787400427978</v>
      </c>
    </row>
    <row r="5150" spans="1:16" x14ac:dyDescent="0.35">
      <c r="A5150" t="s">
        <v>38</v>
      </c>
      <c r="B5150" t="s">
        <v>17</v>
      </c>
      <c r="C5150">
        <v>2015</v>
      </c>
      <c r="D5150" t="s">
        <v>30</v>
      </c>
      <c r="E5150" s="3">
        <f t="shared" ref="E5150:F5150" si="3180">SUM(E350+E1310+E2270+E3230+E4190)</f>
        <v>259342</v>
      </c>
      <c r="F5150" s="3">
        <f t="shared" si="3180"/>
        <v>631889</v>
      </c>
      <c r="G5150" s="1">
        <f t="shared" si="3096"/>
        <v>891231</v>
      </c>
      <c r="H5150" s="2">
        <f t="shared" si="3097"/>
        <v>0.29099301976704134</v>
      </c>
      <c r="I5150" s="2">
        <f t="shared" si="3098"/>
        <v>0.70900698023295872</v>
      </c>
      <c r="J5150" s="3">
        <f t="shared" ref="J5150:K5150" si="3181">SUM(J350+J1310+J2270+J3230+J4190)</f>
        <v>1196257.0699999998</v>
      </c>
      <c r="K5150" s="3">
        <f t="shared" si="3181"/>
        <v>5992247.9100000001</v>
      </c>
      <c r="L5150" s="1">
        <f t="shared" si="3124"/>
        <v>7188504.9800000004</v>
      </c>
      <c r="M5150" s="2">
        <f t="shared" si="3125"/>
        <v>0.1664124979155262</v>
      </c>
      <c r="N5150" s="2">
        <f t="shared" si="3126"/>
        <v>0.83358750208447374</v>
      </c>
      <c r="P5150" s="5">
        <f t="shared" si="3129"/>
        <v>8065.8156863933145</v>
      </c>
    </row>
    <row r="5151" spans="1:16" x14ac:dyDescent="0.35">
      <c r="A5151" t="s">
        <v>38</v>
      </c>
      <c r="B5151" t="s">
        <v>19</v>
      </c>
      <c r="C5151">
        <v>2015</v>
      </c>
      <c r="D5151" t="s">
        <v>30</v>
      </c>
      <c r="E5151" s="3">
        <f t="shared" ref="E5151:F5151" si="3182">SUM(E351+E1311+E2271+E3231+E4191)</f>
        <v>262728</v>
      </c>
      <c r="F5151" s="3">
        <f t="shared" si="3182"/>
        <v>630298</v>
      </c>
      <c r="G5151" s="1">
        <f t="shared" si="3096"/>
        <v>893026</v>
      </c>
      <c r="H5151" s="2">
        <f t="shared" si="3097"/>
        <v>0.29419972094877417</v>
      </c>
      <c r="I5151" s="2">
        <f t="shared" si="3098"/>
        <v>0.70580027905122589</v>
      </c>
      <c r="J5151" s="3">
        <f t="shared" ref="J5151:K5151" si="3183">SUM(J351+J1311+J2271+J3231+J4191)</f>
        <v>1176300.2300000002</v>
      </c>
      <c r="K5151" s="3">
        <f t="shared" si="3183"/>
        <v>5883788.04</v>
      </c>
      <c r="L5151" s="1">
        <f t="shared" si="3124"/>
        <v>7060088.2700000005</v>
      </c>
      <c r="M5151" s="2">
        <f t="shared" si="3125"/>
        <v>0.16661268032559601</v>
      </c>
      <c r="N5151" s="2">
        <f t="shared" si="3126"/>
        <v>0.83338731967440394</v>
      </c>
      <c r="P5151" s="5">
        <f t="shared" si="3129"/>
        <v>7905.8037168010796</v>
      </c>
    </row>
    <row r="5152" spans="1:16" x14ac:dyDescent="0.35">
      <c r="A5152" t="s">
        <v>38</v>
      </c>
      <c r="B5152" t="s">
        <v>20</v>
      </c>
      <c r="C5152">
        <v>2015</v>
      </c>
      <c r="D5152" t="s">
        <v>30</v>
      </c>
      <c r="E5152" s="3">
        <f t="shared" ref="E5152:F5152" si="3184">SUM(E352+E1312+E2272+E3232+E4192)</f>
        <v>262710</v>
      </c>
      <c r="F5152" s="3">
        <f t="shared" si="3184"/>
        <v>631258</v>
      </c>
      <c r="G5152" s="1">
        <f t="shared" si="3096"/>
        <v>893968</v>
      </c>
      <c r="H5152" s="2">
        <f t="shared" si="3097"/>
        <v>0.29386957922431228</v>
      </c>
      <c r="I5152" s="2">
        <f t="shared" si="3098"/>
        <v>0.70613042077568777</v>
      </c>
      <c r="J5152" s="3">
        <f t="shared" ref="J5152:K5152" si="3185">SUM(J352+J1312+J2272+J3232+J4192)</f>
        <v>1132882.57</v>
      </c>
      <c r="K5152" s="3">
        <f t="shared" si="3185"/>
        <v>5738856.2299999995</v>
      </c>
      <c r="L5152" s="1">
        <f t="shared" si="3124"/>
        <v>6871738.7999999998</v>
      </c>
      <c r="M5152" s="2">
        <f t="shared" si="3125"/>
        <v>0.16486112219515678</v>
      </c>
      <c r="N5152" s="2">
        <f t="shared" si="3126"/>
        <v>0.83513887780484319</v>
      </c>
      <c r="P5152" s="5">
        <f t="shared" si="3129"/>
        <v>7686.783866984053</v>
      </c>
    </row>
    <row r="5153" spans="1:16" x14ac:dyDescent="0.35">
      <c r="A5153" t="s">
        <v>38</v>
      </c>
      <c r="B5153" t="s">
        <v>21</v>
      </c>
      <c r="C5153">
        <v>2015</v>
      </c>
      <c r="D5153" t="s">
        <v>30</v>
      </c>
      <c r="E5153" s="3">
        <f t="shared" ref="E5153:F5153" si="3186">SUM(E353+E1313+E2273+E3233+E4193)</f>
        <v>263017</v>
      </c>
      <c r="F5153" s="3">
        <f t="shared" si="3186"/>
        <v>632912</v>
      </c>
      <c r="G5153" s="1">
        <f t="shared" si="3096"/>
        <v>895929</v>
      </c>
      <c r="H5153" s="2">
        <f t="shared" si="3097"/>
        <v>0.29356902165238541</v>
      </c>
      <c r="I5153" s="2">
        <f t="shared" si="3098"/>
        <v>0.70643097834761459</v>
      </c>
      <c r="J5153" s="3">
        <f t="shared" ref="J5153:K5153" si="3187">SUM(J353+J1313+J2273+J3233+J4193)</f>
        <v>1132451.08</v>
      </c>
      <c r="K5153" s="3">
        <f t="shared" si="3187"/>
        <v>5922982.0999999996</v>
      </c>
      <c r="L5153" s="1">
        <f t="shared" si="3124"/>
        <v>7055433.1799999997</v>
      </c>
      <c r="M5153" s="2">
        <f t="shared" si="3125"/>
        <v>0.16050766141619105</v>
      </c>
      <c r="N5153" s="2">
        <f t="shared" si="3126"/>
        <v>0.83949233858380889</v>
      </c>
      <c r="P5153" s="5">
        <f t="shared" si="3129"/>
        <v>7874.9914111497674</v>
      </c>
    </row>
    <row r="5154" spans="1:16" x14ac:dyDescent="0.35">
      <c r="A5154" t="s">
        <v>38</v>
      </c>
      <c r="B5154" t="s">
        <v>22</v>
      </c>
      <c r="C5154">
        <v>2015</v>
      </c>
      <c r="D5154" t="s">
        <v>30</v>
      </c>
      <c r="E5154" s="3">
        <f t="shared" ref="E5154:F5154" si="3188">SUM(E354+E1314+E2274+E3234+E4194)</f>
        <v>262930</v>
      </c>
      <c r="F5154" s="3">
        <f t="shared" si="3188"/>
        <v>634202</v>
      </c>
      <c r="G5154" s="1">
        <f t="shared" si="3096"/>
        <v>897132</v>
      </c>
      <c r="H5154" s="2">
        <f t="shared" si="3097"/>
        <v>0.29307838757284321</v>
      </c>
      <c r="I5154" s="2">
        <f t="shared" si="3098"/>
        <v>0.70692161242715679</v>
      </c>
      <c r="J5154" s="3">
        <f t="shared" ref="J5154:K5154" si="3189">SUM(J354+J1314+J2274+J3234+J4194)</f>
        <v>1149918.92</v>
      </c>
      <c r="K5154" s="3">
        <f t="shared" si="3189"/>
        <v>6008002.8200000003</v>
      </c>
      <c r="L5154" s="1">
        <f t="shared" si="3124"/>
        <v>7157921.7400000002</v>
      </c>
      <c r="M5154" s="2">
        <f t="shared" si="3125"/>
        <v>0.16064983130145258</v>
      </c>
      <c r="N5154" s="2">
        <f t="shared" si="3126"/>
        <v>0.83935016869854739</v>
      </c>
      <c r="P5154" s="5">
        <f t="shared" si="3129"/>
        <v>7978.6717450720744</v>
      </c>
    </row>
    <row r="5155" spans="1:16" x14ac:dyDescent="0.35">
      <c r="A5155" t="s">
        <v>38</v>
      </c>
      <c r="B5155" t="s">
        <v>23</v>
      </c>
      <c r="C5155">
        <v>2015</v>
      </c>
      <c r="D5155" t="s">
        <v>30</v>
      </c>
      <c r="E5155" s="3">
        <f t="shared" ref="E5155:F5155" si="3190">SUM(E355+E1315+E2275+E3235+E4195)</f>
        <v>260606</v>
      </c>
      <c r="F5155" s="3">
        <f t="shared" si="3190"/>
        <v>638981</v>
      </c>
      <c r="G5155" s="1">
        <f t="shared" si="3096"/>
        <v>899587</v>
      </c>
      <c r="H5155" s="2">
        <f t="shared" si="3097"/>
        <v>0.28969516011236268</v>
      </c>
      <c r="I5155" s="2">
        <f t="shared" si="3098"/>
        <v>0.71030483988763737</v>
      </c>
      <c r="J5155" s="3">
        <f t="shared" ref="J5155:K5155" si="3191">SUM(J355+J1315+J2275+J3235+J4195)</f>
        <v>1261729.5</v>
      </c>
      <c r="K5155" s="3">
        <f t="shared" si="3191"/>
        <v>6682924.21</v>
      </c>
      <c r="L5155" s="1">
        <f t="shared" si="3124"/>
        <v>7944653.71</v>
      </c>
      <c r="M5155" s="2">
        <f t="shared" si="3125"/>
        <v>0.15881491453955393</v>
      </c>
      <c r="N5155" s="2">
        <f t="shared" si="3126"/>
        <v>0.84118508546044612</v>
      </c>
      <c r="P5155" s="5">
        <f t="shared" si="3129"/>
        <v>8831.4456633988702</v>
      </c>
    </row>
    <row r="5156" spans="1:16" x14ac:dyDescent="0.35">
      <c r="A5156" t="s">
        <v>38</v>
      </c>
      <c r="B5156" t="s">
        <v>24</v>
      </c>
      <c r="C5156">
        <v>2015</v>
      </c>
      <c r="D5156" t="s">
        <v>30</v>
      </c>
      <c r="E5156" s="3">
        <f t="shared" ref="E5156:F5156" si="3192">SUM(E356+E1316+E2276+E3236+E4196)</f>
        <v>256945</v>
      </c>
      <c r="F5156" s="3">
        <f t="shared" si="3192"/>
        <v>643570</v>
      </c>
      <c r="G5156" s="1">
        <f t="shared" si="3096"/>
        <v>900515</v>
      </c>
      <c r="H5156" s="2">
        <f t="shared" si="3097"/>
        <v>0.28533117160735799</v>
      </c>
      <c r="I5156" s="2">
        <f t="shared" si="3098"/>
        <v>0.71466882839264201</v>
      </c>
      <c r="J5156" s="3">
        <f t="shared" ref="J5156:K5156" si="3193">SUM(J356+J1316+J2276+J3236+J4196)</f>
        <v>1398957.42</v>
      </c>
      <c r="K5156" s="3">
        <f t="shared" si="3193"/>
        <v>7148801.1299999999</v>
      </c>
      <c r="L5156" s="1">
        <f t="shared" si="3124"/>
        <v>8547758.5500000007</v>
      </c>
      <c r="M5156" s="2">
        <f t="shared" si="3125"/>
        <v>0.16366365659685134</v>
      </c>
      <c r="N5156" s="2">
        <f t="shared" si="3126"/>
        <v>0.83633634340314855</v>
      </c>
      <c r="P5156" s="5">
        <f t="shared" si="3129"/>
        <v>9492.0779220779223</v>
      </c>
    </row>
    <row r="5157" spans="1:16" x14ac:dyDescent="0.35">
      <c r="A5157" t="s">
        <v>38</v>
      </c>
      <c r="B5157" t="s">
        <v>25</v>
      </c>
      <c r="C5157">
        <v>2015</v>
      </c>
      <c r="D5157" t="s">
        <v>30</v>
      </c>
      <c r="E5157" s="3">
        <f t="shared" ref="E5157:F5157" si="3194">SUM(E357+E1317+E2277+E3237+E4197)</f>
        <v>253006</v>
      </c>
      <c r="F5157" s="3">
        <f t="shared" si="3194"/>
        <v>648376</v>
      </c>
      <c r="G5157" s="1">
        <f t="shared" si="3096"/>
        <v>901382</v>
      </c>
      <c r="H5157" s="2">
        <f t="shared" si="3097"/>
        <v>0.2806867676523383</v>
      </c>
      <c r="I5157" s="2">
        <f t="shared" si="3098"/>
        <v>0.71931323234766165</v>
      </c>
      <c r="J5157" s="3">
        <f t="shared" ref="J5157:K5157" si="3195">SUM(J357+J1317+J2277+J3237+J4197)</f>
        <v>1497691.67</v>
      </c>
      <c r="K5157" s="3">
        <f t="shared" si="3195"/>
        <v>7572893.3600000003</v>
      </c>
      <c r="L5157" s="1">
        <f t="shared" si="3124"/>
        <v>9070585.0300000012</v>
      </c>
      <c r="M5157" s="2">
        <f t="shared" si="3125"/>
        <v>0.16511522300342735</v>
      </c>
      <c r="N5157" s="2">
        <f t="shared" si="3126"/>
        <v>0.8348847769965726</v>
      </c>
      <c r="P5157" s="5">
        <f t="shared" si="3129"/>
        <v>10062.975553095139</v>
      </c>
    </row>
    <row r="5158" spans="1:16" x14ac:dyDescent="0.35">
      <c r="A5158" t="s">
        <v>38</v>
      </c>
      <c r="B5158" t="s">
        <v>26</v>
      </c>
      <c r="C5158">
        <v>2015</v>
      </c>
      <c r="D5158" t="s">
        <v>30</v>
      </c>
      <c r="E5158" s="3">
        <f t="shared" ref="E5158:F5158" si="3196">SUM(E358+E1318+E2278+E3238+E4198)</f>
        <v>251843</v>
      </c>
      <c r="F5158" s="3">
        <f t="shared" si="3196"/>
        <v>649499</v>
      </c>
      <c r="G5158" s="1">
        <f t="shared" si="3096"/>
        <v>901342</v>
      </c>
      <c r="H5158" s="2">
        <f t="shared" si="3097"/>
        <v>0.27940892580174898</v>
      </c>
      <c r="I5158" s="2">
        <f t="shared" si="3098"/>
        <v>0.72059107419825108</v>
      </c>
      <c r="J5158" s="3">
        <f t="shared" ref="J5158:K5158" si="3197">SUM(J358+J1318+J2278+J3238+J4198)</f>
        <v>1414407.07</v>
      </c>
      <c r="K5158" s="3">
        <f t="shared" si="3197"/>
        <v>7442627.2999999998</v>
      </c>
      <c r="L5158" s="1">
        <f t="shared" si="3124"/>
        <v>8857034.3699999992</v>
      </c>
      <c r="M5158" s="2">
        <f t="shared" si="3125"/>
        <v>0.15969307681483008</v>
      </c>
      <c r="N5158" s="2">
        <f t="shared" si="3126"/>
        <v>0.84030692318516997</v>
      </c>
      <c r="P5158" s="5">
        <f t="shared" si="3129"/>
        <v>9826.4969012871916</v>
      </c>
    </row>
    <row r="5159" spans="1:16" x14ac:dyDescent="0.35">
      <c r="A5159" t="s">
        <v>38</v>
      </c>
      <c r="B5159" t="s">
        <v>27</v>
      </c>
      <c r="C5159">
        <v>2015</v>
      </c>
      <c r="D5159" t="s">
        <v>30</v>
      </c>
      <c r="E5159" s="3">
        <f t="shared" ref="E5159:F5159" si="3198">SUM(E359+E1319+E2279+E3239+E4199)</f>
        <v>251170</v>
      </c>
      <c r="F5159" s="3">
        <f t="shared" si="3198"/>
        <v>650629</v>
      </c>
      <c r="G5159" s="1">
        <f t="shared" si="3096"/>
        <v>901799</v>
      </c>
      <c r="H5159" s="2">
        <f t="shared" si="3097"/>
        <v>0.27852104515529513</v>
      </c>
      <c r="I5159" s="2">
        <f t="shared" si="3098"/>
        <v>0.72147895484470481</v>
      </c>
      <c r="J5159" s="3">
        <f t="shared" ref="J5159:K5159" si="3199">SUM(J359+J1319+J2279+J3239+J4199)</f>
        <v>1282859.7100000002</v>
      </c>
      <c r="K5159" s="3">
        <f t="shared" si="3199"/>
        <v>6897722.3099999996</v>
      </c>
      <c r="L5159" s="1">
        <f t="shared" si="3124"/>
        <v>8180582.0199999996</v>
      </c>
      <c r="M5159" s="2">
        <f t="shared" si="3125"/>
        <v>0.15681765757786514</v>
      </c>
      <c r="N5159" s="2">
        <f t="shared" si="3126"/>
        <v>0.84318234242213486</v>
      </c>
      <c r="P5159" s="5">
        <f t="shared" si="3129"/>
        <v>9071.4028514114561</v>
      </c>
    </row>
    <row r="5160" spans="1:16" x14ac:dyDescent="0.35">
      <c r="A5160" t="s">
        <v>38</v>
      </c>
      <c r="B5160" t="s">
        <v>28</v>
      </c>
      <c r="C5160">
        <v>2015</v>
      </c>
      <c r="D5160" t="s">
        <v>30</v>
      </c>
      <c r="E5160" s="3">
        <f t="shared" ref="E5160:F5160" si="3200">SUM(E360+E1320+E2280+E3240+E4200)</f>
        <v>250287</v>
      </c>
      <c r="F5160" s="3">
        <f t="shared" si="3200"/>
        <v>652358</v>
      </c>
      <c r="G5160" s="1">
        <f t="shared" si="3096"/>
        <v>902645</v>
      </c>
      <c r="H5160" s="2">
        <f t="shared" si="3097"/>
        <v>0.27728176636440682</v>
      </c>
      <c r="I5160" s="2">
        <f t="shared" si="3098"/>
        <v>0.72271823363559318</v>
      </c>
      <c r="J5160" s="3">
        <f t="shared" ref="J5160:K5160" si="3201">SUM(J360+J1320+J2280+J3240+J4200)</f>
        <v>1109768.3999999999</v>
      </c>
      <c r="K5160" s="3">
        <f t="shared" si="3201"/>
        <v>5995281.4699999997</v>
      </c>
      <c r="L5160" s="1">
        <f t="shared" si="3124"/>
        <v>7105049.8699999992</v>
      </c>
      <c r="M5160" s="2">
        <f t="shared" si="3125"/>
        <v>0.15619431535390477</v>
      </c>
      <c r="N5160" s="2">
        <f t="shared" si="3126"/>
        <v>0.84380568464609529</v>
      </c>
      <c r="P5160" s="5">
        <f t="shared" si="3129"/>
        <v>7871.3667831761095</v>
      </c>
    </row>
    <row r="5161" spans="1:16" x14ac:dyDescent="0.35">
      <c r="A5161" t="s">
        <v>38</v>
      </c>
      <c r="B5161" t="s">
        <v>29</v>
      </c>
      <c r="C5161">
        <v>2015</v>
      </c>
      <c r="D5161" t="s">
        <v>30</v>
      </c>
      <c r="E5161" s="3">
        <f t="shared" ref="E5161:F5161" si="3202">SUM(E361+E1321+E2281+E3241+E4201)</f>
        <v>249192</v>
      </c>
      <c r="F5161" s="3">
        <f t="shared" si="3202"/>
        <v>653318</v>
      </c>
      <c r="G5161" s="1">
        <f t="shared" si="3096"/>
        <v>902510</v>
      </c>
      <c r="H5161" s="2">
        <f t="shared" si="3097"/>
        <v>0.27610996000044319</v>
      </c>
      <c r="I5161" s="2">
        <f t="shared" si="3098"/>
        <v>0.72389003999955681</v>
      </c>
      <c r="J5161" s="3">
        <f t="shared" ref="J5161:K5161" si="3203">SUM(J361+J1321+J2281+J3241+J4201)</f>
        <v>1077635.5399999998</v>
      </c>
      <c r="K5161" s="3">
        <f t="shared" si="3203"/>
        <v>5773840.5600000005</v>
      </c>
      <c r="L5161" s="1">
        <f t="shared" si="3124"/>
        <v>6851476.1000000006</v>
      </c>
      <c r="M5161" s="2">
        <f t="shared" si="3125"/>
        <v>0.15728516370362872</v>
      </c>
      <c r="N5161" s="2">
        <f t="shared" si="3126"/>
        <v>0.84271483629637123</v>
      </c>
      <c r="P5161" s="5">
        <f t="shared" si="3129"/>
        <v>7591.5791514775474</v>
      </c>
    </row>
    <row r="5162" spans="1:16" x14ac:dyDescent="0.35">
      <c r="A5162" t="s">
        <v>38</v>
      </c>
      <c r="B5162" t="s">
        <v>17</v>
      </c>
      <c r="C5162">
        <v>2016</v>
      </c>
      <c r="D5162" t="s">
        <v>30</v>
      </c>
      <c r="E5162" s="3">
        <f t="shared" ref="E5162:F5162" si="3204">SUM(E362+E1322+E2282+E3242+E4202)</f>
        <v>247822</v>
      </c>
      <c r="F5162" s="3">
        <f t="shared" si="3204"/>
        <v>654375</v>
      </c>
      <c r="G5162" s="1">
        <f t="shared" si="3096"/>
        <v>902197</v>
      </c>
      <c r="H5162" s="2">
        <f t="shared" si="3097"/>
        <v>0.27468723571459447</v>
      </c>
      <c r="I5162" s="2">
        <f t="shared" si="3098"/>
        <v>0.72531276428540548</v>
      </c>
      <c r="J5162" s="3">
        <f t="shared" ref="J5162:K5162" si="3205">SUM(J362+J1322+J2282+J3242+J4202)</f>
        <v>1122389.53</v>
      </c>
      <c r="K5162" s="3">
        <f t="shared" si="3205"/>
        <v>5855984.0299999993</v>
      </c>
      <c r="L5162" s="1">
        <f t="shared" si="3124"/>
        <v>6978373.5599999996</v>
      </c>
      <c r="M5162" s="2">
        <f t="shared" si="3125"/>
        <v>0.16083826988476668</v>
      </c>
      <c r="N5162" s="2">
        <f t="shared" si="3126"/>
        <v>0.83916173011523332</v>
      </c>
      <c r="P5162" s="5">
        <f t="shared" si="3129"/>
        <v>7734.8667308802842</v>
      </c>
    </row>
    <row r="5163" spans="1:16" x14ac:dyDescent="0.35">
      <c r="A5163" t="s">
        <v>38</v>
      </c>
      <c r="B5163" t="s">
        <v>19</v>
      </c>
      <c r="C5163">
        <v>2016</v>
      </c>
      <c r="D5163" t="s">
        <v>30</v>
      </c>
      <c r="E5163" s="3">
        <f t="shared" ref="E5163:F5163" si="3206">SUM(E363+E1323+E2283+E3243+E4203)</f>
        <v>241750</v>
      </c>
      <c r="F5163" s="3">
        <f t="shared" si="3206"/>
        <v>663518</v>
      </c>
      <c r="G5163" s="1">
        <f t="shared" si="3096"/>
        <v>905268</v>
      </c>
      <c r="H5163" s="2">
        <f t="shared" si="3097"/>
        <v>0.26704799020842446</v>
      </c>
      <c r="I5163" s="2">
        <f t="shared" si="3098"/>
        <v>0.73295200979157549</v>
      </c>
      <c r="J5163" s="3">
        <f t="shared" ref="J5163:K5163" si="3207">SUM(J363+J1323+J2283+J3243+J4203)</f>
        <v>1062513.44</v>
      </c>
      <c r="K5163" s="3">
        <f t="shared" si="3207"/>
        <v>5534565.96</v>
      </c>
      <c r="L5163" s="1">
        <f t="shared" si="3124"/>
        <v>6597079.4000000004</v>
      </c>
      <c r="M5163" s="2">
        <f t="shared" si="3125"/>
        <v>0.16105815552257866</v>
      </c>
      <c r="N5163" s="2">
        <f t="shared" si="3126"/>
        <v>0.83894184447742126</v>
      </c>
      <c r="P5163" s="5">
        <f t="shared" si="3129"/>
        <v>7287.4324509427042</v>
      </c>
    </row>
    <row r="5164" spans="1:16" x14ac:dyDescent="0.35">
      <c r="A5164" t="s">
        <v>38</v>
      </c>
      <c r="B5164" t="s">
        <v>20</v>
      </c>
      <c r="C5164">
        <v>2016</v>
      </c>
      <c r="D5164" t="s">
        <v>30</v>
      </c>
      <c r="E5164" s="3">
        <f t="shared" ref="E5164:F5164" si="3208">SUM(E364+E1324+E2284+E3244+E4204)</f>
        <v>239996</v>
      </c>
      <c r="F5164" s="3">
        <f t="shared" si="3208"/>
        <v>666243</v>
      </c>
      <c r="G5164" s="1">
        <f t="shared" si="3096"/>
        <v>906239</v>
      </c>
      <c r="H5164" s="2">
        <f t="shared" si="3097"/>
        <v>0.26482638685821291</v>
      </c>
      <c r="I5164" s="2">
        <f t="shared" si="3098"/>
        <v>0.73517361314178709</v>
      </c>
      <c r="J5164" s="3">
        <f t="shared" ref="J5164:K5164" si="3209">SUM(J364+J1324+J2284+J3244+J4204)</f>
        <v>1001283.5599999999</v>
      </c>
      <c r="K5164" s="3">
        <f t="shared" si="3209"/>
        <v>5398998.4399999995</v>
      </c>
      <c r="L5164" s="1">
        <f t="shared" si="3124"/>
        <v>6400281.9999999991</v>
      </c>
      <c r="M5164" s="2">
        <f t="shared" si="3125"/>
        <v>0.15644366295110124</v>
      </c>
      <c r="N5164" s="2">
        <f t="shared" si="3126"/>
        <v>0.84355633704889887</v>
      </c>
      <c r="P5164" s="5">
        <f t="shared" si="3129"/>
        <v>7062.4658616545958</v>
      </c>
    </row>
    <row r="5165" spans="1:16" x14ac:dyDescent="0.35">
      <c r="A5165" t="s">
        <v>38</v>
      </c>
      <c r="B5165" t="s">
        <v>21</v>
      </c>
      <c r="C5165">
        <v>2016</v>
      </c>
      <c r="D5165" t="s">
        <v>30</v>
      </c>
      <c r="E5165" s="3">
        <f t="shared" ref="E5165:F5165" si="3210">SUM(E365+E1325+E2285+E3245+E4205)</f>
        <v>239830</v>
      </c>
      <c r="F5165" s="3">
        <f t="shared" si="3210"/>
        <v>667357</v>
      </c>
      <c r="G5165" s="1">
        <f t="shared" si="3096"/>
        <v>907187</v>
      </c>
      <c r="H5165" s="2">
        <f t="shared" si="3097"/>
        <v>0.26436666310253565</v>
      </c>
      <c r="I5165" s="2">
        <f t="shared" si="3098"/>
        <v>0.73563333689746435</v>
      </c>
      <c r="J5165" s="3">
        <f t="shared" ref="J5165:K5165" si="3211">SUM(J365+J1325+J2285+J3245+J4205)</f>
        <v>1045917.9600000001</v>
      </c>
      <c r="K5165" s="3">
        <f t="shared" si="3211"/>
        <v>5699756.4199999999</v>
      </c>
      <c r="L5165" s="1">
        <f t="shared" si="3124"/>
        <v>6745674.3799999999</v>
      </c>
      <c r="M5165" s="2">
        <f t="shared" si="3125"/>
        <v>0.15505017009137048</v>
      </c>
      <c r="N5165" s="2">
        <f t="shared" si="3126"/>
        <v>0.84494982990862955</v>
      </c>
      <c r="P5165" s="5">
        <f t="shared" si="3129"/>
        <v>7435.8146446102073</v>
      </c>
    </row>
    <row r="5166" spans="1:16" x14ac:dyDescent="0.35">
      <c r="A5166" t="s">
        <v>38</v>
      </c>
      <c r="B5166" t="s">
        <v>22</v>
      </c>
      <c r="C5166">
        <v>2016</v>
      </c>
      <c r="D5166" t="s">
        <v>30</v>
      </c>
      <c r="E5166" s="3">
        <f t="shared" ref="E5166:F5166" si="3212">SUM(E366+E1326+E2286+E3246+E4206)</f>
        <v>238695</v>
      </c>
      <c r="F5166" s="3">
        <f t="shared" si="3212"/>
        <v>669699</v>
      </c>
      <c r="G5166" s="1">
        <f t="shared" si="3096"/>
        <v>908394</v>
      </c>
      <c r="H5166" s="2">
        <f t="shared" si="3097"/>
        <v>0.26276593636681883</v>
      </c>
      <c r="I5166" s="2">
        <f t="shared" si="3098"/>
        <v>0.73723406363318122</v>
      </c>
      <c r="J5166" s="3">
        <f t="shared" ref="J5166:K5166" si="3213">SUM(J366+J1326+J2286+J3246+J4206)</f>
        <v>1053713.25</v>
      </c>
      <c r="K5166" s="3">
        <f t="shared" si="3213"/>
        <v>5864234.29</v>
      </c>
      <c r="L5166" s="1">
        <f t="shared" si="3124"/>
        <v>6917947.54</v>
      </c>
      <c r="M5166" s="2">
        <f t="shared" si="3125"/>
        <v>0.15231587749218461</v>
      </c>
      <c r="N5166" s="2">
        <f t="shared" si="3126"/>
        <v>0.84768412250781533</v>
      </c>
      <c r="P5166" s="5">
        <f t="shared" si="3129"/>
        <v>7615.5803979330558</v>
      </c>
    </row>
    <row r="5167" spans="1:16" x14ac:dyDescent="0.35">
      <c r="A5167" t="s">
        <v>38</v>
      </c>
      <c r="B5167" t="s">
        <v>23</v>
      </c>
      <c r="C5167">
        <v>2016</v>
      </c>
      <c r="D5167" t="s">
        <v>30</v>
      </c>
      <c r="E5167" s="3">
        <f t="shared" ref="E5167:F5167" si="3214">SUM(E367+E1327+E2287+E3247+E4207)</f>
        <v>238755</v>
      </c>
      <c r="F5167" s="3">
        <f t="shared" si="3214"/>
        <v>671726</v>
      </c>
      <c r="G5167" s="1">
        <f t="shared" si="3096"/>
        <v>910481</v>
      </c>
      <c r="H5167" s="2">
        <f t="shared" si="3097"/>
        <v>0.26222952483357698</v>
      </c>
      <c r="I5167" s="2">
        <f t="shared" si="3098"/>
        <v>0.73777047516642302</v>
      </c>
      <c r="J5167" s="3">
        <f t="shared" ref="J5167:K5167" si="3215">SUM(J367+J1327+J2287+J3247+J4207)</f>
        <v>1196075.7</v>
      </c>
      <c r="K5167" s="3">
        <f t="shared" si="3215"/>
        <v>6816550.6400000006</v>
      </c>
      <c r="L5167" s="1">
        <f t="shared" si="3124"/>
        <v>8012626.3400000008</v>
      </c>
      <c r="M5167" s="2">
        <f t="shared" si="3125"/>
        <v>0.1492738646789312</v>
      </c>
      <c r="N5167" s="2">
        <f t="shared" si="3126"/>
        <v>0.85072613532106878</v>
      </c>
      <c r="P5167" s="5">
        <f t="shared" si="3129"/>
        <v>8800.4322330724099</v>
      </c>
    </row>
    <row r="5168" spans="1:16" x14ac:dyDescent="0.35">
      <c r="A5168" t="s">
        <v>38</v>
      </c>
      <c r="B5168" t="s">
        <v>24</v>
      </c>
      <c r="C5168">
        <v>2016</v>
      </c>
      <c r="D5168" t="s">
        <v>30</v>
      </c>
      <c r="E5168" s="3">
        <f t="shared" ref="E5168:F5168" si="3216">SUM(E368+E1328+E2288+E3248+E4208)</f>
        <v>238773</v>
      </c>
      <c r="F5168" s="3">
        <f t="shared" si="3216"/>
        <v>673455</v>
      </c>
      <c r="G5168" s="1">
        <f t="shared" si="3096"/>
        <v>912228</v>
      </c>
      <c r="H5168" s="2">
        <f t="shared" si="3097"/>
        <v>0.26174706323419145</v>
      </c>
      <c r="I5168" s="2">
        <f t="shared" si="3098"/>
        <v>0.7382529367658085</v>
      </c>
      <c r="J5168" s="3">
        <f t="shared" ref="J5168:K5168" si="3217">SUM(J368+J1328+J2288+J3248+J4208)</f>
        <v>1374976.79</v>
      </c>
      <c r="K5168" s="3">
        <f t="shared" si="3217"/>
        <v>7452564.9100000001</v>
      </c>
      <c r="L5168" s="1">
        <f t="shared" si="3124"/>
        <v>8827541.6999999993</v>
      </c>
      <c r="M5168" s="2">
        <f t="shared" si="3125"/>
        <v>0.15575987480183753</v>
      </c>
      <c r="N5168" s="2">
        <f t="shared" si="3126"/>
        <v>0.84424012519816261</v>
      </c>
      <c r="P5168" s="5">
        <f t="shared" si="3129"/>
        <v>9676.9028137702408</v>
      </c>
    </row>
    <row r="5169" spans="1:16" x14ac:dyDescent="0.35">
      <c r="A5169" t="s">
        <v>38</v>
      </c>
      <c r="B5169" t="s">
        <v>25</v>
      </c>
      <c r="C5169">
        <v>2016</v>
      </c>
      <c r="D5169" t="s">
        <v>30</v>
      </c>
      <c r="E5169" s="3">
        <f t="shared" ref="E5169:F5169" si="3218">SUM(E369+E1329+E2289+E3249+E4209)</f>
        <v>238276</v>
      </c>
      <c r="F5169" s="3">
        <f t="shared" si="3218"/>
        <v>674813</v>
      </c>
      <c r="G5169" s="1">
        <f t="shared" si="3096"/>
        <v>913089</v>
      </c>
      <c r="H5169" s="2">
        <f t="shared" si="3097"/>
        <v>0.26095594186327947</v>
      </c>
      <c r="I5169" s="2">
        <f t="shared" si="3098"/>
        <v>0.73904405813672047</v>
      </c>
      <c r="J5169" s="3">
        <f t="shared" ref="J5169:K5169" si="3219">SUM(J369+J1329+J2289+J3249+J4209)</f>
        <v>1419212.73</v>
      </c>
      <c r="K5169" s="3">
        <f t="shared" si="3219"/>
        <v>7682380.5299999993</v>
      </c>
      <c r="L5169" s="1">
        <f t="shared" si="3124"/>
        <v>9101593.2599999998</v>
      </c>
      <c r="M5169" s="2">
        <f t="shared" si="3125"/>
        <v>0.15593014205954531</v>
      </c>
      <c r="N5169" s="2">
        <f t="shared" si="3126"/>
        <v>0.84406985794045464</v>
      </c>
      <c r="P5169" s="5">
        <f t="shared" si="3129"/>
        <v>9967.914693967401</v>
      </c>
    </row>
    <row r="5170" spans="1:16" x14ac:dyDescent="0.35">
      <c r="A5170" t="s">
        <v>38</v>
      </c>
      <c r="B5170" t="s">
        <v>26</v>
      </c>
      <c r="C5170">
        <v>2016</v>
      </c>
      <c r="D5170" t="s">
        <v>30</v>
      </c>
      <c r="E5170" s="3">
        <f t="shared" ref="E5170:F5170" si="3220">SUM(E370+E1330+E2290+E3250+E4210)</f>
        <v>238034</v>
      </c>
      <c r="F5170" s="3">
        <f t="shared" si="3220"/>
        <v>676003</v>
      </c>
      <c r="G5170" s="1">
        <f t="shared" si="3096"/>
        <v>914037</v>
      </c>
      <c r="H5170" s="2">
        <f t="shared" si="3097"/>
        <v>0.26042053002230764</v>
      </c>
      <c r="I5170" s="2">
        <f t="shared" si="3098"/>
        <v>0.73957946997769242</v>
      </c>
      <c r="J5170" s="3">
        <f t="shared" ref="J5170:K5170" si="3221">SUM(J370+J1330+J2290+J3250+J4210)</f>
        <v>1373413.9899999998</v>
      </c>
      <c r="K5170" s="3">
        <f t="shared" si="3221"/>
        <v>7590187.7999999998</v>
      </c>
      <c r="L5170" s="1">
        <f t="shared" si="3124"/>
        <v>8963601.7899999991</v>
      </c>
      <c r="M5170" s="2">
        <f t="shared" si="3125"/>
        <v>0.15322121867709609</v>
      </c>
      <c r="N5170" s="2">
        <f t="shared" si="3126"/>
        <v>0.84677878132290396</v>
      </c>
      <c r="P5170" s="5">
        <f t="shared" si="3129"/>
        <v>9806.6071614168795</v>
      </c>
    </row>
    <row r="5171" spans="1:16" x14ac:dyDescent="0.35">
      <c r="A5171" t="s">
        <v>38</v>
      </c>
      <c r="B5171" t="s">
        <v>27</v>
      </c>
      <c r="C5171">
        <v>2016</v>
      </c>
      <c r="D5171" t="s">
        <v>30</v>
      </c>
      <c r="E5171" s="3">
        <f t="shared" ref="E5171:F5171" si="3222">SUM(E371+E1331+E2291+E3251+E4211)</f>
        <v>237352</v>
      </c>
      <c r="F5171" s="3">
        <f t="shared" si="3222"/>
        <v>676968</v>
      </c>
      <c r="G5171" s="1">
        <f t="shared" si="3096"/>
        <v>914320</v>
      </c>
      <c r="H5171" s="2">
        <f t="shared" si="3097"/>
        <v>0.2595940152244291</v>
      </c>
      <c r="I5171" s="2">
        <f t="shared" si="3098"/>
        <v>0.74040598477557096</v>
      </c>
      <c r="J5171" s="3">
        <f t="shared" ref="J5171:K5171" si="3223">SUM(J371+J1331+J2291+J3251+J4211)</f>
        <v>1274015.27</v>
      </c>
      <c r="K5171" s="3">
        <f t="shared" si="3223"/>
        <v>7014901.0599999996</v>
      </c>
      <c r="L5171" s="1">
        <f t="shared" si="3124"/>
        <v>8288916.3300000001</v>
      </c>
      <c r="M5171" s="2">
        <f t="shared" si="3125"/>
        <v>0.15370106528750543</v>
      </c>
      <c r="N5171" s="2">
        <f t="shared" si="3126"/>
        <v>0.84629893471249451</v>
      </c>
      <c r="P5171" s="5">
        <f t="shared" si="3129"/>
        <v>9065.66227360224</v>
      </c>
    </row>
    <row r="5172" spans="1:16" x14ac:dyDescent="0.35">
      <c r="A5172" t="s">
        <v>38</v>
      </c>
      <c r="B5172" t="s">
        <v>28</v>
      </c>
      <c r="C5172">
        <v>2016</v>
      </c>
      <c r="D5172" t="s">
        <v>30</v>
      </c>
      <c r="E5172" s="3">
        <f t="shared" ref="E5172:F5172" si="3224">SUM(E372+E1332+E2292+E3252+E4212)</f>
        <v>236056</v>
      </c>
      <c r="F5172" s="3">
        <f t="shared" si="3224"/>
        <v>672255</v>
      </c>
      <c r="G5172" s="1">
        <f t="shared" si="3096"/>
        <v>908311</v>
      </c>
      <c r="H5172" s="2">
        <f t="shared" si="3097"/>
        <v>0.25988455495969992</v>
      </c>
      <c r="I5172" s="2">
        <f t="shared" si="3098"/>
        <v>0.74011544504030002</v>
      </c>
      <c r="J5172" s="3">
        <f t="shared" ref="J5172:K5172" si="3225">SUM(J372+J1332+J2292+J3252+J4212)</f>
        <v>1128241.6700000002</v>
      </c>
      <c r="K5172" s="3">
        <f t="shared" si="3225"/>
        <v>6236936.0899999999</v>
      </c>
      <c r="L5172" s="1">
        <f t="shared" si="3124"/>
        <v>7365177.7599999998</v>
      </c>
      <c r="M5172" s="2">
        <f t="shared" si="3125"/>
        <v>0.15318593885505896</v>
      </c>
      <c r="N5172" s="2">
        <f t="shared" si="3126"/>
        <v>0.84681406114494107</v>
      </c>
      <c r="P5172" s="5">
        <f t="shared" si="3129"/>
        <v>8108.6519485066237</v>
      </c>
    </row>
    <row r="5173" spans="1:16" x14ac:dyDescent="0.35">
      <c r="A5173" t="s">
        <v>38</v>
      </c>
      <c r="B5173" t="s">
        <v>29</v>
      </c>
      <c r="C5173">
        <v>2016</v>
      </c>
      <c r="D5173" t="s">
        <v>30</v>
      </c>
      <c r="E5173" s="3">
        <f t="shared" ref="E5173:F5173" si="3226">SUM(E373+E1333+E2293+E3253+E4213)</f>
        <v>235825</v>
      </c>
      <c r="F5173" s="3">
        <f t="shared" si="3226"/>
        <v>680102</v>
      </c>
      <c r="G5173" s="1">
        <f t="shared" si="3096"/>
        <v>915927</v>
      </c>
      <c r="H5173" s="2">
        <f t="shared" si="3097"/>
        <v>0.25747139237078936</v>
      </c>
      <c r="I5173" s="2">
        <f t="shared" si="3098"/>
        <v>0.74252860762921058</v>
      </c>
      <c r="J5173" s="3">
        <f t="shared" ref="J5173:K5173" si="3227">SUM(J373+J1333+J2293+J3253+J4213)</f>
        <v>1077352.6199999999</v>
      </c>
      <c r="K5173" s="3">
        <f t="shared" si="3227"/>
        <v>5929026.8199999994</v>
      </c>
      <c r="L5173" s="1">
        <f t="shared" si="3124"/>
        <v>7006379.4399999995</v>
      </c>
      <c r="M5173" s="2">
        <f t="shared" si="3125"/>
        <v>0.15376738145943178</v>
      </c>
      <c r="N5173" s="2">
        <f t="shared" si="3126"/>
        <v>0.84623261854056819</v>
      </c>
      <c r="P5173" s="5">
        <f t="shared" si="3129"/>
        <v>7649.4954728924895</v>
      </c>
    </row>
    <row r="5174" spans="1:16" x14ac:dyDescent="0.35">
      <c r="A5174" t="s">
        <v>38</v>
      </c>
      <c r="B5174" t="s">
        <v>17</v>
      </c>
      <c r="C5174">
        <v>2017</v>
      </c>
      <c r="D5174" t="s">
        <v>30</v>
      </c>
      <c r="E5174" s="3">
        <f t="shared" ref="E5174:F5174" si="3228">SUM(E374+E1334+E2294+E3254+E4214)</f>
        <v>235383</v>
      </c>
      <c r="F5174" s="3">
        <f t="shared" si="3228"/>
        <v>679338</v>
      </c>
      <c r="G5174" s="1">
        <f t="shared" si="3096"/>
        <v>914721</v>
      </c>
      <c r="H5174" s="2">
        <f t="shared" si="3097"/>
        <v>0.2573276441669099</v>
      </c>
      <c r="I5174" s="2">
        <f t="shared" si="3098"/>
        <v>0.7426723558330901</v>
      </c>
      <c r="J5174" s="3">
        <f t="shared" ref="J5174:K5174" si="3229">SUM(J374+J1334+J2294+J3254+J4214)</f>
        <v>1119430.1300000001</v>
      </c>
      <c r="K5174" s="3">
        <f t="shared" si="3229"/>
        <v>5992228.3300000001</v>
      </c>
      <c r="L5174" s="1">
        <f t="shared" si="3124"/>
        <v>7111658.46</v>
      </c>
      <c r="M5174" s="2">
        <f t="shared" si="3125"/>
        <v>0.15740774620945452</v>
      </c>
      <c r="N5174" s="2">
        <f t="shared" si="3126"/>
        <v>0.84259225379054548</v>
      </c>
      <c r="P5174" s="5">
        <f t="shared" si="3129"/>
        <v>7774.6749664651843</v>
      </c>
    </row>
    <row r="5175" spans="1:16" x14ac:dyDescent="0.35">
      <c r="A5175" t="s">
        <v>38</v>
      </c>
      <c r="B5175" t="s">
        <v>19</v>
      </c>
      <c r="C5175">
        <v>2017</v>
      </c>
      <c r="D5175" t="s">
        <v>30</v>
      </c>
      <c r="E5175" s="3">
        <f t="shared" ref="E5175:F5175" si="3230">SUM(E375+E1335+E2295+E3255+E4215)</f>
        <v>233770</v>
      </c>
      <c r="F5175" s="3">
        <f t="shared" si="3230"/>
        <v>668064</v>
      </c>
      <c r="G5175" s="1">
        <f t="shared" ref="G5175:G5238" si="3231">SUM(E5175:F5175)</f>
        <v>901834</v>
      </c>
      <c r="H5175" s="2">
        <f t="shared" ref="H5175:H5238" si="3232">SUM(E5175)/G5175</f>
        <v>0.259216219392926</v>
      </c>
      <c r="I5175" s="2">
        <f t="shared" ref="I5175:I5238" si="3233">SUM(F5175/G5175)</f>
        <v>0.74078378060707406</v>
      </c>
      <c r="J5175" s="3">
        <f t="shared" ref="J5175:K5175" si="3234">SUM(J375+J1335+J2295+J3255+J4215)</f>
        <v>1015896.419</v>
      </c>
      <c r="K5175" s="3">
        <f t="shared" si="3234"/>
        <v>5481976.0300000003</v>
      </c>
      <c r="L5175" s="1">
        <f t="shared" si="3124"/>
        <v>6497872.449</v>
      </c>
      <c r="M5175" s="2">
        <f t="shared" si="3125"/>
        <v>0.15634293023962681</v>
      </c>
      <c r="N5175" s="2">
        <f t="shared" si="3126"/>
        <v>0.84365706976037325</v>
      </c>
      <c r="P5175" s="5">
        <f t="shared" si="3129"/>
        <v>7205.1757296797414</v>
      </c>
    </row>
    <row r="5176" spans="1:16" x14ac:dyDescent="0.35">
      <c r="A5176" t="s">
        <v>38</v>
      </c>
      <c r="B5176" t="s">
        <v>20</v>
      </c>
      <c r="C5176">
        <v>2017</v>
      </c>
      <c r="D5176" t="s">
        <v>30</v>
      </c>
      <c r="E5176" s="3">
        <f t="shared" ref="E5176:F5176" si="3235">SUM(E376+E1336+E2296+E3256+E4216)</f>
        <v>234507</v>
      </c>
      <c r="F5176" s="3">
        <f t="shared" si="3235"/>
        <v>683366</v>
      </c>
      <c r="G5176" s="1">
        <f t="shared" si="3231"/>
        <v>917873</v>
      </c>
      <c r="H5176" s="2">
        <f t="shared" si="3232"/>
        <v>0.25548959387627701</v>
      </c>
      <c r="I5176" s="2">
        <f t="shared" si="3233"/>
        <v>0.74451040612372299</v>
      </c>
      <c r="J5176" s="3">
        <f t="shared" ref="J5176:K5176" si="3236">SUM(J376+J1336+J2296+J3256+J4216)</f>
        <v>989658.64999999991</v>
      </c>
      <c r="K5176" s="3">
        <f t="shared" si="3236"/>
        <v>5499672.75</v>
      </c>
      <c r="L5176" s="1">
        <f t="shared" si="3124"/>
        <v>6489331.4000000004</v>
      </c>
      <c r="M5176" s="2">
        <f t="shared" si="3125"/>
        <v>0.15250548769939531</v>
      </c>
      <c r="N5176" s="2">
        <f t="shared" si="3126"/>
        <v>0.84749451230060457</v>
      </c>
      <c r="P5176" s="5">
        <f t="shared" si="3129"/>
        <v>7069.9665422122671</v>
      </c>
    </row>
    <row r="5177" spans="1:16" x14ac:dyDescent="0.35">
      <c r="A5177" t="s">
        <v>38</v>
      </c>
      <c r="B5177" t="s">
        <v>21</v>
      </c>
      <c r="C5177">
        <v>2017</v>
      </c>
      <c r="D5177" t="s">
        <v>30</v>
      </c>
      <c r="E5177" s="3">
        <f t="shared" ref="E5177:F5177" si="3237">SUM(E377+E1337+E2297+E3257+E4217)</f>
        <v>231866</v>
      </c>
      <c r="F5177" s="3">
        <f t="shared" si="3237"/>
        <v>681296</v>
      </c>
      <c r="G5177" s="1">
        <f t="shared" si="3231"/>
        <v>913162</v>
      </c>
      <c r="H5177" s="2">
        <f t="shared" si="3232"/>
        <v>0.25391551553831632</v>
      </c>
      <c r="I5177" s="2">
        <f t="shared" si="3233"/>
        <v>0.74608448446168374</v>
      </c>
      <c r="J5177" s="3">
        <f t="shared" ref="J5177:K5177" si="3238">SUM(J377+J1337+J2297+J3257+J4217)</f>
        <v>929944.57000000007</v>
      </c>
      <c r="K5177" s="3">
        <f t="shared" si="3238"/>
        <v>4986331.7</v>
      </c>
      <c r="L5177" s="1">
        <f t="shared" si="3124"/>
        <v>5916276.2700000005</v>
      </c>
      <c r="M5177" s="2">
        <f t="shared" si="3125"/>
        <v>0.15718410154636001</v>
      </c>
      <c r="N5177" s="2">
        <f t="shared" si="3126"/>
        <v>0.84281589845363991</v>
      </c>
      <c r="P5177" s="5">
        <f t="shared" si="3129"/>
        <v>6478.8901312143971</v>
      </c>
    </row>
    <row r="5178" spans="1:16" x14ac:dyDescent="0.35">
      <c r="A5178" t="s">
        <v>38</v>
      </c>
      <c r="B5178" t="s">
        <v>22</v>
      </c>
      <c r="C5178">
        <v>2017</v>
      </c>
      <c r="D5178" t="s">
        <v>30</v>
      </c>
      <c r="E5178" s="3">
        <f t="shared" ref="E5178:F5178" si="3239">SUM(E378+E1338+E2298+E3258+E4218)</f>
        <v>232195</v>
      </c>
      <c r="F5178" s="3">
        <f t="shared" si="3239"/>
        <v>682524</v>
      </c>
      <c r="G5178" s="1">
        <f t="shared" si="3231"/>
        <v>914719</v>
      </c>
      <c r="H5178" s="2">
        <f t="shared" si="3232"/>
        <v>0.25384298347361323</v>
      </c>
      <c r="I5178" s="2">
        <f t="shared" si="3233"/>
        <v>0.74615701652638677</v>
      </c>
      <c r="J5178" s="3">
        <f t="shared" ref="J5178:K5178" si="3240">SUM(J378+J1338+J2298+J3258+J4218)</f>
        <v>1447895.0899999999</v>
      </c>
      <c r="K5178" s="3">
        <f t="shared" si="3240"/>
        <v>8777883.6900000013</v>
      </c>
      <c r="L5178" s="1">
        <f t="shared" si="3124"/>
        <v>10225778.780000001</v>
      </c>
      <c r="M5178" s="2">
        <f t="shared" si="3125"/>
        <v>0.14159264747951056</v>
      </c>
      <c r="N5178" s="2">
        <f t="shared" si="3126"/>
        <v>0.85840735252048939</v>
      </c>
      <c r="P5178" s="5">
        <f t="shared" si="3129"/>
        <v>11179.147672673249</v>
      </c>
    </row>
    <row r="5179" spans="1:16" x14ac:dyDescent="0.35">
      <c r="A5179" t="s">
        <v>38</v>
      </c>
      <c r="B5179" t="s">
        <v>23</v>
      </c>
      <c r="C5179">
        <v>2017</v>
      </c>
      <c r="D5179" t="s">
        <v>30</v>
      </c>
      <c r="E5179" s="3">
        <f t="shared" ref="E5179:F5179" si="3241">SUM(E379+E1339+E2299+E3259+E4219)</f>
        <v>231928</v>
      </c>
      <c r="F5179" s="3">
        <f t="shared" si="3241"/>
        <v>683716</v>
      </c>
      <c r="G5179" s="1">
        <f t="shared" si="3231"/>
        <v>915644</v>
      </c>
      <c r="H5179" s="2">
        <f t="shared" si="3232"/>
        <v>0.25329494869184965</v>
      </c>
      <c r="I5179" s="2">
        <f t="shared" si="3233"/>
        <v>0.74670505130815035</v>
      </c>
      <c r="J5179" s="3">
        <f t="shared" ref="J5179:K5179" si="3242">SUM(J379+J1339+J2299+J3259+J4219)</f>
        <v>1179453.9099999999</v>
      </c>
      <c r="K5179" s="3">
        <f t="shared" si="3242"/>
        <v>6756053</v>
      </c>
      <c r="L5179" s="1">
        <f t="shared" si="3124"/>
        <v>7935506.9100000001</v>
      </c>
      <c r="M5179" s="2">
        <f t="shared" si="3125"/>
        <v>0.1486299392561426</v>
      </c>
      <c r="N5179" s="2">
        <f t="shared" si="3126"/>
        <v>0.85137006074385735</v>
      </c>
      <c r="P5179" s="5">
        <f t="shared" si="3129"/>
        <v>8666.5853868970917</v>
      </c>
    </row>
    <row r="5180" spans="1:16" x14ac:dyDescent="0.35">
      <c r="A5180" t="s">
        <v>38</v>
      </c>
      <c r="B5180" t="s">
        <v>24</v>
      </c>
      <c r="C5180">
        <v>2017</v>
      </c>
      <c r="D5180" t="s">
        <v>30</v>
      </c>
      <c r="E5180" s="3">
        <f t="shared" ref="E5180:F5180" si="3243">SUM(E380+E1340+E2300+E3260+E4220)</f>
        <v>231946</v>
      </c>
      <c r="F5180" s="3">
        <f t="shared" si="3243"/>
        <v>685920</v>
      </c>
      <c r="G5180" s="1">
        <f t="shared" si="3231"/>
        <v>917866</v>
      </c>
      <c r="H5180" s="2">
        <f t="shared" si="3232"/>
        <v>0.25270137471046972</v>
      </c>
      <c r="I5180" s="2">
        <f t="shared" si="3233"/>
        <v>0.74729862528953028</v>
      </c>
      <c r="J5180" s="3">
        <f t="shared" ref="J5180:K5180" si="3244">SUM(J380+J1340+J2300+J3260+J4220)</f>
        <v>1331206.1299999999</v>
      </c>
      <c r="K5180" s="3">
        <f t="shared" si="3244"/>
        <v>7477698.1000000006</v>
      </c>
      <c r="L5180" s="1">
        <f t="shared" si="3124"/>
        <v>8808904.2300000004</v>
      </c>
      <c r="M5180" s="2">
        <f t="shared" si="3125"/>
        <v>0.15112051343076072</v>
      </c>
      <c r="N5180" s="2">
        <f t="shared" si="3126"/>
        <v>0.84887948656923928</v>
      </c>
      <c r="P5180" s="5">
        <f t="shared" si="3129"/>
        <v>9597.1571340478895</v>
      </c>
    </row>
    <row r="5181" spans="1:16" x14ac:dyDescent="0.35">
      <c r="A5181" t="s">
        <v>38</v>
      </c>
      <c r="B5181" t="s">
        <v>25</v>
      </c>
      <c r="C5181">
        <v>2017</v>
      </c>
      <c r="D5181" t="s">
        <v>30</v>
      </c>
      <c r="E5181" s="3">
        <f t="shared" ref="E5181:F5181" si="3245">SUM(E381+E1341+E2301+E3261+E4221)</f>
        <v>231511</v>
      </c>
      <c r="F5181" s="3">
        <f t="shared" si="3245"/>
        <v>689208</v>
      </c>
      <c r="G5181" s="1">
        <f t="shared" si="3231"/>
        <v>920719</v>
      </c>
      <c r="H5181" s="2">
        <f t="shared" si="3232"/>
        <v>0.25144588088222358</v>
      </c>
      <c r="I5181" s="2">
        <f t="shared" si="3233"/>
        <v>0.74855411911777647</v>
      </c>
      <c r="J5181" s="3">
        <f t="shared" ref="J5181:K5181" si="3246">SUM(J381+J1341+J2301+J3261+J4221)</f>
        <v>1408931.79</v>
      </c>
      <c r="K5181" s="3">
        <f t="shared" si="3246"/>
        <v>7548395.2700000005</v>
      </c>
      <c r="L5181" s="1">
        <f t="shared" si="3124"/>
        <v>8957327.0600000005</v>
      </c>
      <c r="M5181" s="2">
        <f t="shared" si="3125"/>
        <v>0.15729377531515523</v>
      </c>
      <c r="N5181" s="2">
        <f t="shared" si="3126"/>
        <v>0.8427062246848448</v>
      </c>
      <c r="P5181" s="5">
        <f t="shared" si="3129"/>
        <v>9728.6219356828733</v>
      </c>
    </row>
    <row r="5182" spans="1:16" x14ac:dyDescent="0.35">
      <c r="A5182" t="s">
        <v>38</v>
      </c>
      <c r="B5182" t="s">
        <v>26</v>
      </c>
      <c r="C5182">
        <v>2017</v>
      </c>
      <c r="D5182" t="s">
        <v>30</v>
      </c>
      <c r="E5182" s="3">
        <f t="shared" ref="E5182:F5182" si="3247">SUM(E382+E1342+E2302+E3262+E4222)</f>
        <v>231227</v>
      </c>
      <c r="F5182" s="3">
        <f t="shared" si="3247"/>
        <v>691826</v>
      </c>
      <c r="G5182" s="1">
        <f t="shared" si="3231"/>
        <v>923053</v>
      </c>
      <c r="H5182" s="2">
        <f t="shared" si="3232"/>
        <v>0.25050240885409614</v>
      </c>
      <c r="I5182" s="2">
        <f t="shared" si="3233"/>
        <v>0.74949759114590386</v>
      </c>
      <c r="J5182" s="3">
        <f t="shared" ref="J5182:K5182" si="3248">SUM(J382+J1342+J2302+J3262+J4222)</f>
        <v>1357302.9600000002</v>
      </c>
      <c r="K5182" s="3">
        <f t="shared" si="3248"/>
        <v>7480198.1799999997</v>
      </c>
      <c r="L5182" s="1">
        <f t="shared" si="3124"/>
        <v>8837501.1400000006</v>
      </c>
      <c r="M5182" s="2">
        <f t="shared" si="3125"/>
        <v>0.15358447354044699</v>
      </c>
      <c r="N5182" s="2">
        <f t="shared" si="3126"/>
        <v>0.84641552645955298</v>
      </c>
      <c r="P5182" s="5">
        <f t="shared" si="3129"/>
        <v>9574.2076998828888</v>
      </c>
    </row>
    <row r="5183" spans="1:16" x14ac:dyDescent="0.35">
      <c r="A5183" t="s">
        <v>38</v>
      </c>
      <c r="B5183" t="s">
        <v>27</v>
      </c>
      <c r="C5183">
        <v>2017</v>
      </c>
      <c r="D5183" t="s">
        <v>30</v>
      </c>
      <c r="E5183" s="3">
        <f t="shared" ref="E5183:F5183" si="3249">SUM(E383+E1343+E2303+E3263+E4223)</f>
        <v>230551</v>
      </c>
      <c r="F5183" s="3">
        <f t="shared" si="3249"/>
        <v>691742</v>
      </c>
      <c r="G5183" s="1">
        <f t="shared" si="3231"/>
        <v>922293</v>
      </c>
      <c r="H5183" s="2">
        <f t="shared" si="3232"/>
        <v>0.24997587534547047</v>
      </c>
      <c r="I5183" s="2">
        <f t="shared" si="3233"/>
        <v>0.7500241246545295</v>
      </c>
      <c r="J5183" s="3">
        <f t="shared" ref="J5183:K5183" si="3250">SUM(J383+J1343+J2303+J3263+J4223)</f>
        <v>1239787.1599999999</v>
      </c>
      <c r="K5183" s="3">
        <f t="shared" si="3250"/>
        <v>6859989.7600000007</v>
      </c>
      <c r="L5183" s="1">
        <f t="shared" si="3124"/>
        <v>8099776.9200000009</v>
      </c>
      <c r="M5183" s="2">
        <f t="shared" si="3125"/>
        <v>0.15306435871569654</v>
      </c>
      <c r="N5183" s="2">
        <f t="shared" si="3126"/>
        <v>0.84693564128430343</v>
      </c>
      <c r="P5183" s="5">
        <f t="shared" si="3129"/>
        <v>8782.2166274708816</v>
      </c>
    </row>
    <row r="5184" spans="1:16" x14ac:dyDescent="0.35">
      <c r="A5184" t="s">
        <v>38</v>
      </c>
      <c r="B5184" t="s">
        <v>28</v>
      </c>
      <c r="C5184">
        <v>2017</v>
      </c>
      <c r="D5184" t="s">
        <v>30</v>
      </c>
      <c r="E5184" s="3">
        <f t="shared" ref="E5184:F5184" si="3251">SUM(E384+E1344+E2304+E3264+E4224)</f>
        <v>227982</v>
      </c>
      <c r="F5184" s="3">
        <f t="shared" si="3251"/>
        <v>695433</v>
      </c>
      <c r="G5184" s="1">
        <f t="shared" si="3231"/>
        <v>923415</v>
      </c>
      <c r="H5184" s="2">
        <f t="shared" si="3232"/>
        <v>0.24689007650947839</v>
      </c>
      <c r="I5184" s="2">
        <f t="shared" si="3233"/>
        <v>0.75310992349052164</v>
      </c>
      <c r="J5184" s="3">
        <f t="shared" ref="J5184:K5184" si="3252">SUM(J384+J1344+J2304+J3264+J4224)</f>
        <v>1070670.8699999999</v>
      </c>
      <c r="K5184" s="3">
        <f t="shared" si="3252"/>
        <v>5855045.2800000003</v>
      </c>
      <c r="L5184" s="1">
        <f t="shared" si="3124"/>
        <v>6925716.1500000004</v>
      </c>
      <c r="M5184" s="2">
        <f t="shared" si="3125"/>
        <v>0.1545935245988965</v>
      </c>
      <c r="N5184" s="2">
        <f t="shared" si="3126"/>
        <v>0.84540647540110347</v>
      </c>
      <c r="P5184" s="5">
        <f t="shared" si="3129"/>
        <v>7500.11224638976</v>
      </c>
    </row>
    <row r="5185" spans="1:16" x14ac:dyDescent="0.35">
      <c r="A5185" t="s">
        <v>38</v>
      </c>
      <c r="B5185" t="s">
        <v>29</v>
      </c>
      <c r="C5185">
        <v>2017</v>
      </c>
      <c r="D5185" t="s">
        <v>30</v>
      </c>
      <c r="E5185" s="3">
        <f t="shared" ref="E5185:F5185" si="3253">SUM(E385+E1345+E2305+E3265+E4225)</f>
        <v>226633</v>
      </c>
      <c r="F5185" s="3">
        <f t="shared" si="3253"/>
        <v>706298</v>
      </c>
      <c r="G5185" s="1">
        <f t="shared" si="3231"/>
        <v>932931</v>
      </c>
      <c r="H5185" s="2">
        <f t="shared" si="3232"/>
        <v>0.24292578979581556</v>
      </c>
      <c r="I5185" s="2">
        <f t="shared" si="3233"/>
        <v>0.75707421020418442</v>
      </c>
      <c r="J5185" s="3">
        <f t="shared" ref="J5185:K5185" si="3254">SUM(J385+J1345+J2305+J3265+J4225)</f>
        <v>1063644.1399999999</v>
      </c>
      <c r="K5185" s="3">
        <f t="shared" si="3254"/>
        <v>5911571.0199999996</v>
      </c>
      <c r="L5185" s="1">
        <f t="shared" si="3124"/>
        <v>6975215.1599999992</v>
      </c>
      <c r="M5185" s="2">
        <f t="shared" si="3125"/>
        <v>0.15248907963435496</v>
      </c>
      <c r="N5185" s="2">
        <f t="shared" si="3126"/>
        <v>0.84751092036564502</v>
      </c>
      <c r="P5185" s="5">
        <f t="shared" si="3129"/>
        <v>7476.6677921518303</v>
      </c>
    </row>
    <row r="5186" spans="1:16" x14ac:dyDescent="0.35">
      <c r="A5186" t="s">
        <v>38</v>
      </c>
      <c r="B5186" t="s">
        <v>17</v>
      </c>
      <c r="C5186">
        <v>2002</v>
      </c>
      <c r="D5186" t="s">
        <v>31</v>
      </c>
      <c r="E5186" s="3">
        <f t="shared" ref="E5186:F5186" si="3255">SUM(E386+E1346+E2306+E3266+E4226)</f>
        <v>5196</v>
      </c>
      <c r="F5186" s="3">
        <f t="shared" si="3255"/>
        <v>266</v>
      </c>
      <c r="G5186" s="1">
        <f t="shared" si="3231"/>
        <v>5462</v>
      </c>
      <c r="H5186" s="2">
        <f t="shared" si="3232"/>
        <v>0.95129989015012817</v>
      </c>
      <c r="I5186" s="2">
        <f t="shared" si="3233"/>
        <v>4.8700109849871845E-2</v>
      </c>
      <c r="J5186" s="3">
        <f t="shared" ref="J5186:K5186" si="3256">SUM(J386+J1346+J2306+J3266+J4226)</f>
        <v>973125.16040000017</v>
      </c>
      <c r="K5186" s="3">
        <f t="shared" si="3256"/>
        <v>62670.746999999988</v>
      </c>
      <c r="L5186" s="1">
        <f t="shared" si="3124"/>
        <v>1035795.9074000001</v>
      </c>
      <c r="M5186" s="2">
        <f t="shared" si="3125"/>
        <v>0.93949508146125738</v>
      </c>
      <c r="N5186" s="2">
        <f t="shared" si="3126"/>
        <v>6.0504918538742604E-2</v>
      </c>
    </row>
    <row r="5187" spans="1:16" x14ac:dyDescent="0.35">
      <c r="A5187" t="s">
        <v>38</v>
      </c>
      <c r="B5187" t="s">
        <v>19</v>
      </c>
      <c r="C5187">
        <v>2002</v>
      </c>
      <c r="D5187" t="s">
        <v>31</v>
      </c>
      <c r="E5187" s="3">
        <f t="shared" ref="E5187:F5187" si="3257">SUM(E387+E1347+E2307+E3267+E4227)</f>
        <v>5188</v>
      </c>
      <c r="F5187" s="3">
        <f t="shared" si="3257"/>
        <v>565</v>
      </c>
      <c r="G5187" s="1">
        <f t="shared" si="3231"/>
        <v>5753</v>
      </c>
      <c r="H5187" s="2">
        <f t="shared" si="3232"/>
        <v>0.90179037024161313</v>
      </c>
      <c r="I5187" s="2">
        <f t="shared" si="3233"/>
        <v>9.8209629758386929E-2</v>
      </c>
      <c r="J5187" s="3">
        <f t="shared" ref="J5187:K5187" si="3258">SUM(J387+J1347+J2307+J3267+J4227)</f>
        <v>973125.16040000017</v>
      </c>
      <c r="K5187" s="3">
        <f t="shared" si="3258"/>
        <v>703076.43599999987</v>
      </c>
      <c r="L5187" s="1">
        <f t="shared" ref="L5187:L5250" si="3259">SUM(J5187:K5187)</f>
        <v>1676201.5964000002</v>
      </c>
      <c r="M5187" s="2">
        <f t="shared" ref="M5187:M5250" si="3260">SUM(J5187)/L5187</f>
        <v>0.58055377258319862</v>
      </c>
      <c r="N5187" s="2">
        <f t="shared" ref="N5187:N5250" si="3261">SUM(K5187/L5187)</f>
        <v>0.41944622741680132</v>
      </c>
    </row>
    <row r="5188" spans="1:16" x14ac:dyDescent="0.35">
      <c r="A5188" t="s">
        <v>38</v>
      </c>
      <c r="B5188" t="s">
        <v>20</v>
      </c>
      <c r="C5188">
        <v>2002</v>
      </c>
      <c r="D5188" t="s">
        <v>31</v>
      </c>
      <c r="E5188" s="3">
        <f t="shared" ref="E5188:F5188" si="3262">SUM(E388+E1348+E2308+E3268+E4228)</f>
        <v>6374</v>
      </c>
      <c r="F5188" s="3">
        <f t="shared" si="3262"/>
        <v>772</v>
      </c>
      <c r="G5188" s="1">
        <f t="shared" si="3231"/>
        <v>7146</v>
      </c>
      <c r="H5188" s="2">
        <f t="shared" si="3232"/>
        <v>0.8919675342849146</v>
      </c>
      <c r="I5188" s="2">
        <f t="shared" si="3233"/>
        <v>0.10803246571508536</v>
      </c>
      <c r="J5188" s="3">
        <f t="shared" ref="J5188:K5188" si="3263">SUM(J388+J1348+J2308+J3268+J4228)</f>
        <v>1128905.1374300001</v>
      </c>
      <c r="K5188" s="3">
        <f t="shared" si="3263"/>
        <v>1648890.3315399997</v>
      </c>
      <c r="L5188" s="1">
        <f t="shared" si="3259"/>
        <v>2777795.4689699998</v>
      </c>
      <c r="M5188" s="2">
        <f t="shared" si="3260"/>
        <v>0.40640326116184339</v>
      </c>
      <c r="N5188" s="2">
        <f t="shared" si="3261"/>
        <v>0.59359673883815656</v>
      </c>
    </row>
    <row r="5189" spans="1:16" x14ac:dyDescent="0.35">
      <c r="A5189" t="s">
        <v>38</v>
      </c>
      <c r="B5189" t="s">
        <v>21</v>
      </c>
      <c r="C5189">
        <v>2002</v>
      </c>
      <c r="D5189" t="s">
        <v>31</v>
      </c>
      <c r="E5189" s="3">
        <f t="shared" ref="E5189:F5189" si="3264">SUM(E389+E1349+E2309+E3269+E4229)</f>
        <v>6455</v>
      </c>
      <c r="F5189" s="3">
        <f t="shared" si="3264"/>
        <v>876</v>
      </c>
      <c r="G5189" s="1">
        <f t="shared" si="3231"/>
        <v>7331</v>
      </c>
      <c r="H5189" s="2">
        <f t="shared" si="3232"/>
        <v>0.88050743418360389</v>
      </c>
      <c r="I5189" s="2">
        <f t="shared" si="3233"/>
        <v>0.11949256581639613</v>
      </c>
      <c r="J5189" s="3">
        <f t="shared" ref="J5189:K5189" si="3265">SUM(J389+J1349+J2309+J3269+J4229)</f>
        <v>1821259.6008900001</v>
      </c>
      <c r="K5189" s="3">
        <f t="shared" si="3265"/>
        <v>1408139.7861199998</v>
      </c>
      <c r="L5189" s="1">
        <f t="shared" si="3259"/>
        <v>3229399.3870099997</v>
      </c>
      <c r="M5189" s="2">
        <f t="shared" si="3260"/>
        <v>0.56396232940895163</v>
      </c>
      <c r="N5189" s="2">
        <f t="shared" si="3261"/>
        <v>0.43603767059104837</v>
      </c>
    </row>
    <row r="5190" spans="1:16" x14ac:dyDescent="0.35">
      <c r="A5190" t="s">
        <v>38</v>
      </c>
      <c r="B5190" t="s">
        <v>22</v>
      </c>
      <c r="C5190">
        <v>2002</v>
      </c>
      <c r="D5190" t="s">
        <v>31</v>
      </c>
      <c r="E5190" s="3">
        <f t="shared" ref="E5190:F5190" si="3266">SUM(E390+E1350+E2310+E3270+E4230)</f>
        <v>6285</v>
      </c>
      <c r="F5190" s="3">
        <f t="shared" si="3266"/>
        <v>922</v>
      </c>
      <c r="G5190" s="1">
        <f t="shared" si="3231"/>
        <v>7207</v>
      </c>
      <c r="H5190" s="2">
        <f t="shared" si="3232"/>
        <v>0.87206882197863189</v>
      </c>
      <c r="I5190" s="2">
        <f t="shared" si="3233"/>
        <v>0.12793117802136811</v>
      </c>
      <c r="J5190" s="3">
        <f t="shared" ref="J5190:K5190" si="3267">SUM(J390+J1350+J2310+J3270+J4230)</f>
        <v>1971075.7980899997</v>
      </c>
      <c r="K5190" s="3">
        <f t="shared" si="3267"/>
        <v>1468558.6190799999</v>
      </c>
      <c r="L5190" s="1">
        <f t="shared" si="3259"/>
        <v>3439634.4171699993</v>
      </c>
      <c r="M5190" s="2">
        <f t="shared" si="3260"/>
        <v>0.57304805076108234</v>
      </c>
      <c r="N5190" s="2">
        <f t="shared" si="3261"/>
        <v>0.42695194923891772</v>
      </c>
    </row>
    <row r="5191" spans="1:16" x14ac:dyDescent="0.35">
      <c r="A5191" t="s">
        <v>38</v>
      </c>
      <c r="B5191" t="s">
        <v>23</v>
      </c>
      <c r="C5191">
        <v>2002</v>
      </c>
      <c r="D5191" t="s">
        <v>31</v>
      </c>
      <c r="E5191" s="3">
        <f t="shared" ref="E5191:F5191" si="3268">SUM(E391+E1351+E2311+E3271+E4231)</f>
        <v>6771</v>
      </c>
      <c r="F5191" s="3">
        <f t="shared" si="3268"/>
        <v>1176</v>
      </c>
      <c r="G5191" s="1">
        <f t="shared" si="3231"/>
        <v>7947</v>
      </c>
      <c r="H5191" s="2">
        <f t="shared" si="3232"/>
        <v>0.85201963004907511</v>
      </c>
      <c r="I5191" s="2">
        <f t="shared" si="3233"/>
        <v>0.14798036995092487</v>
      </c>
      <c r="J5191" s="3">
        <f t="shared" ref="J5191:K5191" si="3269">SUM(J391+J1351+J2311+J3271+J4231)</f>
        <v>1727644.6971800004</v>
      </c>
      <c r="K5191" s="3">
        <f t="shared" si="3269"/>
        <v>2056014.868</v>
      </c>
      <c r="L5191" s="1">
        <f t="shared" si="3259"/>
        <v>3783659.5651800004</v>
      </c>
      <c r="M5191" s="2">
        <f t="shared" si="3260"/>
        <v>0.45660680286330435</v>
      </c>
      <c r="N5191" s="2">
        <f t="shared" si="3261"/>
        <v>0.54339319713669565</v>
      </c>
    </row>
    <row r="5192" spans="1:16" x14ac:dyDescent="0.35">
      <c r="A5192" t="s">
        <v>38</v>
      </c>
      <c r="B5192" t="s">
        <v>24</v>
      </c>
      <c r="C5192">
        <v>2002</v>
      </c>
      <c r="D5192" t="s">
        <v>31</v>
      </c>
      <c r="E5192" s="3">
        <f t="shared" ref="E5192:F5192" si="3270">SUM(E392+E1352+E2312+E3272+E4232)</f>
        <v>7006</v>
      </c>
      <c r="F5192" s="3">
        <f t="shared" si="3270"/>
        <v>1184</v>
      </c>
      <c r="G5192" s="1">
        <f t="shared" si="3231"/>
        <v>8190</v>
      </c>
      <c r="H5192" s="2">
        <f t="shared" si="3232"/>
        <v>0.85543345543345539</v>
      </c>
      <c r="I5192" s="2">
        <f t="shared" si="3233"/>
        <v>0.14456654456654458</v>
      </c>
      <c r="J5192" s="3">
        <f t="shared" ref="J5192:K5192" si="3271">SUM(J392+J1352+J2312+J3272+J4232)</f>
        <v>2626893.3558900002</v>
      </c>
      <c r="K5192" s="3">
        <f t="shared" si="3271"/>
        <v>3343789.227</v>
      </c>
      <c r="L5192" s="1">
        <f t="shared" si="3259"/>
        <v>5970682.5828900002</v>
      </c>
      <c r="M5192" s="2">
        <f t="shared" si="3260"/>
        <v>0.43996533384940056</v>
      </c>
      <c r="N5192" s="2">
        <f t="shared" si="3261"/>
        <v>0.56003466615059938</v>
      </c>
    </row>
    <row r="5193" spans="1:16" x14ac:dyDescent="0.35">
      <c r="A5193" t="s">
        <v>38</v>
      </c>
      <c r="B5193" t="s">
        <v>25</v>
      </c>
      <c r="C5193">
        <v>2002</v>
      </c>
      <c r="D5193" t="s">
        <v>31</v>
      </c>
      <c r="E5193" s="3">
        <f t="shared" ref="E5193:F5193" si="3272">SUM(E393+E1353+E2313+E3273+E4233)</f>
        <v>6596</v>
      </c>
      <c r="F5193" s="3">
        <f t="shared" si="3272"/>
        <v>1272</v>
      </c>
      <c r="G5193" s="1">
        <f t="shared" si="3231"/>
        <v>7868</v>
      </c>
      <c r="H5193" s="2">
        <f t="shared" si="3232"/>
        <v>0.83833248601931876</v>
      </c>
      <c r="I5193" s="2">
        <f t="shared" si="3233"/>
        <v>0.16166751398068124</v>
      </c>
      <c r="J5193" s="3">
        <f t="shared" ref="J5193:K5193" si="3273">SUM(J393+J1353+J2313+J3273+J4233)</f>
        <v>1601747.6540000001</v>
      </c>
      <c r="K5193" s="3">
        <f t="shared" si="3273"/>
        <v>1729292.1920000003</v>
      </c>
      <c r="L5193" s="1">
        <f t="shared" si="3259"/>
        <v>3331039.8460000004</v>
      </c>
      <c r="M5193" s="2">
        <f t="shared" si="3260"/>
        <v>0.48085514675647623</v>
      </c>
      <c r="N5193" s="2">
        <f t="shared" si="3261"/>
        <v>0.51914485324352377</v>
      </c>
    </row>
    <row r="5194" spans="1:16" x14ac:dyDescent="0.35">
      <c r="A5194" t="s">
        <v>38</v>
      </c>
      <c r="B5194" t="s">
        <v>26</v>
      </c>
      <c r="C5194">
        <v>2002</v>
      </c>
      <c r="D5194" t="s">
        <v>31</v>
      </c>
      <c r="E5194" s="3">
        <f t="shared" ref="E5194:F5194" si="3274">SUM(E394+E1354+E2314+E3274+E4234)</f>
        <v>6547</v>
      </c>
      <c r="F5194" s="3">
        <f t="shared" si="3274"/>
        <v>1322</v>
      </c>
      <c r="G5194" s="1">
        <f t="shared" si="3231"/>
        <v>7869</v>
      </c>
      <c r="H5194" s="2">
        <f t="shared" si="3232"/>
        <v>0.83199898335239553</v>
      </c>
      <c r="I5194" s="2">
        <f t="shared" si="3233"/>
        <v>0.16800101664760453</v>
      </c>
      <c r="J5194" s="3">
        <f t="shared" ref="J5194:K5194" si="3275">SUM(J394+J1354+J2314+J3274+J4234)</f>
        <v>3232822.4310000003</v>
      </c>
      <c r="K5194" s="3">
        <f t="shared" si="3275"/>
        <v>2847967.1830000002</v>
      </c>
      <c r="L5194" s="1">
        <f t="shared" si="3259"/>
        <v>6080789.6140000001</v>
      </c>
      <c r="M5194" s="2">
        <f t="shared" si="3260"/>
        <v>0.53164517048196636</v>
      </c>
      <c r="N5194" s="2">
        <f t="shared" si="3261"/>
        <v>0.46835482951803376</v>
      </c>
    </row>
    <row r="5195" spans="1:16" x14ac:dyDescent="0.35">
      <c r="A5195" t="s">
        <v>38</v>
      </c>
      <c r="B5195" t="s">
        <v>27</v>
      </c>
      <c r="C5195">
        <v>2002</v>
      </c>
      <c r="D5195" t="s">
        <v>31</v>
      </c>
      <c r="E5195" s="3">
        <f t="shared" ref="E5195:F5195" si="3276">SUM(E395+E1355+E2315+E3275+E4235)</f>
        <v>6555</v>
      </c>
      <c r="F5195" s="3">
        <f t="shared" si="3276"/>
        <v>1436</v>
      </c>
      <c r="G5195" s="1">
        <f t="shared" si="3231"/>
        <v>7991</v>
      </c>
      <c r="H5195" s="2">
        <f t="shared" si="3232"/>
        <v>0.82029783506444753</v>
      </c>
      <c r="I5195" s="2">
        <f t="shared" si="3233"/>
        <v>0.17970216493555249</v>
      </c>
      <c r="J5195" s="3">
        <f t="shared" ref="J5195:K5195" si="3277">SUM(J395+J1355+J2315+J3275+J4235)</f>
        <v>2045511.7289999998</v>
      </c>
      <c r="K5195" s="3">
        <f t="shared" si="3277"/>
        <v>2542095.6933999998</v>
      </c>
      <c r="L5195" s="1">
        <f t="shared" si="3259"/>
        <v>4587607.4223999996</v>
      </c>
      <c r="M5195" s="2">
        <f t="shared" si="3260"/>
        <v>0.44587767449593446</v>
      </c>
      <c r="N5195" s="2">
        <f t="shared" si="3261"/>
        <v>0.55412232550406559</v>
      </c>
    </row>
    <row r="5196" spans="1:16" x14ac:dyDescent="0.35">
      <c r="A5196" t="s">
        <v>38</v>
      </c>
      <c r="B5196" t="s">
        <v>28</v>
      </c>
      <c r="C5196">
        <v>2002</v>
      </c>
      <c r="D5196" t="s">
        <v>31</v>
      </c>
      <c r="E5196" s="3">
        <f t="shared" ref="E5196:F5196" si="3278">SUM(E396+E1356+E2316+E3276+E4236)</f>
        <v>6472</v>
      </c>
      <c r="F5196" s="3">
        <f t="shared" si="3278"/>
        <v>1454</v>
      </c>
      <c r="G5196" s="1">
        <f t="shared" si="3231"/>
        <v>7926</v>
      </c>
      <c r="H5196" s="2">
        <f t="shared" si="3232"/>
        <v>0.81655311632601568</v>
      </c>
      <c r="I5196" s="2">
        <f t="shared" si="3233"/>
        <v>0.18344688367398435</v>
      </c>
      <c r="J5196" s="3">
        <f t="shared" ref="J5196:K5196" si="3279">SUM(J396+J1356+J2316+J3276+J4236)</f>
        <v>1898994.7289999998</v>
      </c>
      <c r="K5196" s="3">
        <f t="shared" si="3279"/>
        <v>2948083.9610000001</v>
      </c>
      <c r="L5196" s="1">
        <f t="shared" si="3259"/>
        <v>4847078.6899999995</v>
      </c>
      <c r="M5196" s="2">
        <f t="shared" si="3260"/>
        <v>0.39178128733866296</v>
      </c>
      <c r="N5196" s="2">
        <f t="shared" si="3261"/>
        <v>0.60821871266133709</v>
      </c>
    </row>
    <row r="5197" spans="1:16" x14ac:dyDescent="0.35">
      <c r="A5197" t="s">
        <v>38</v>
      </c>
      <c r="B5197" t="s">
        <v>29</v>
      </c>
      <c r="C5197">
        <v>2002</v>
      </c>
      <c r="D5197" t="s">
        <v>31</v>
      </c>
      <c r="E5197" s="3">
        <f t="shared" ref="E5197:F5197" si="3280">SUM(E397+E1357+E2317+E3277+E4237)</f>
        <v>6437</v>
      </c>
      <c r="F5197" s="3">
        <f t="shared" si="3280"/>
        <v>1459</v>
      </c>
      <c r="G5197" s="1">
        <f t="shared" si="3231"/>
        <v>7896</v>
      </c>
      <c r="H5197" s="2">
        <f t="shared" si="3232"/>
        <v>0.81522289766970613</v>
      </c>
      <c r="I5197" s="2">
        <f t="shared" si="3233"/>
        <v>0.18477710233029382</v>
      </c>
      <c r="J5197" s="3">
        <f t="shared" ref="J5197:K5197" si="3281">SUM(J397+J1357+J2317+J3277+J4237)</f>
        <v>1742827.531</v>
      </c>
      <c r="K5197" s="3">
        <f t="shared" si="3281"/>
        <v>2089165.3310000002</v>
      </c>
      <c r="L5197" s="1">
        <f t="shared" si="3259"/>
        <v>3831992.8620000002</v>
      </c>
      <c r="M5197" s="2">
        <f t="shared" si="3260"/>
        <v>0.45480970183498215</v>
      </c>
      <c r="N5197" s="2">
        <f t="shared" si="3261"/>
        <v>0.54519029816501785</v>
      </c>
    </row>
    <row r="5198" spans="1:16" x14ac:dyDescent="0.35">
      <c r="A5198" t="s">
        <v>38</v>
      </c>
      <c r="B5198" t="s">
        <v>17</v>
      </c>
      <c r="C5198">
        <v>2003</v>
      </c>
      <c r="D5198" t="s">
        <v>31</v>
      </c>
      <c r="E5198" s="3">
        <f t="shared" ref="E5198:F5198" si="3282">SUM(E398+E1358+E2318+E3278+E4238)</f>
        <v>5893</v>
      </c>
      <c r="F5198" s="3">
        <f t="shared" si="3282"/>
        <v>2045</v>
      </c>
      <c r="G5198" s="1">
        <f t="shared" si="3231"/>
        <v>7938</v>
      </c>
      <c r="H5198" s="2">
        <f t="shared" si="3232"/>
        <v>0.74237843285462335</v>
      </c>
      <c r="I5198" s="2">
        <f t="shared" si="3233"/>
        <v>0.25762156714537665</v>
      </c>
      <c r="J5198" s="3">
        <f t="shared" ref="J5198:K5198" si="3283">SUM(J398+J1358+J2318+J3278+J4238)</f>
        <v>2101666</v>
      </c>
      <c r="K5198" s="3">
        <f t="shared" si="3283"/>
        <v>2016153</v>
      </c>
      <c r="L5198" s="1">
        <f t="shared" si="3259"/>
        <v>4117819</v>
      </c>
      <c r="M5198" s="2">
        <f t="shared" si="3260"/>
        <v>0.51038328785213727</v>
      </c>
      <c r="N5198" s="2">
        <f t="shared" si="3261"/>
        <v>0.48961671214786273</v>
      </c>
    </row>
    <row r="5199" spans="1:16" x14ac:dyDescent="0.35">
      <c r="A5199" t="s">
        <v>38</v>
      </c>
      <c r="B5199" t="s">
        <v>19</v>
      </c>
      <c r="C5199">
        <v>2003</v>
      </c>
      <c r="D5199" t="s">
        <v>31</v>
      </c>
      <c r="E5199" s="3">
        <f t="shared" ref="E5199:F5199" si="3284">SUM(E399+E1359+E2319+E3279+E4239)</f>
        <v>5661</v>
      </c>
      <c r="F5199" s="3">
        <f t="shared" si="3284"/>
        <v>2205</v>
      </c>
      <c r="G5199" s="1">
        <f t="shared" si="3231"/>
        <v>7866</v>
      </c>
      <c r="H5199" s="2">
        <f t="shared" si="3232"/>
        <v>0.71967963386727685</v>
      </c>
      <c r="I5199" s="2">
        <f t="shared" si="3233"/>
        <v>0.2803203661327231</v>
      </c>
      <c r="J5199" s="3">
        <f t="shared" ref="J5199:K5199" si="3285">SUM(J399+J1359+J2319+J3279+J4239)</f>
        <v>1819219</v>
      </c>
      <c r="K5199" s="3">
        <f t="shared" si="3285"/>
        <v>2018583</v>
      </c>
      <c r="L5199" s="1">
        <f t="shared" si="3259"/>
        <v>3837802</v>
      </c>
      <c r="M5199" s="2">
        <f t="shared" si="3260"/>
        <v>0.47402627858341834</v>
      </c>
      <c r="N5199" s="2">
        <f t="shared" si="3261"/>
        <v>0.52597372141658172</v>
      </c>
    </row>
    <row r="5200" spans="1:16" x14ac:dyDescent="0.35">
      <c r="A5200" t="s">
        <v>38</v>
      </c>
      <c r="B5200" t="s">
        <v>20</v>
      </c>
      <c r="C5200">
        <v>2003</v>
      </c>
      <c r="D5200" t="s">
        <v>31</v>
      </c>
      <c r="E5200" s="3">
        <f t="shared" ref="E5200:F5200" si="3286">SUM(E400+E1360+E2320+E3280+E4240)</f>
        <v>5680</v>
      </c>
      <c r="F5200" s="3">
        <f t="shared" si="3286"/>
        <v>2239</v>
      </c>
      <c r="G5200" s="1">
        <f t="shared" si="3231"/>
        <v>7919</v>
      </c>
      <c r="H5200" s="2">
        <f t="shared" si="3232"/>
        <v>0.71726228059098374</v>
      </c>
      <c r="I5200" s="2">
        <f t="shared" si="3233"/>
        <v>0.28273771940901626</v>
      </c>
      <c r="J5200" s="3">
        <f t="shared" ref="J5200:K5200" si="3287">SUM(J400+J1360+J2320+J3280+J4240)</f>
        <v>1588961</v>
      </c>
      <c r="K5200" s="3">
        <f t="shared" si="3287"/>
        <v>1911636</v>
      </c>
      <c r="L5200" s="1">
        <f t="shared" si="3259"/>
        <v>3500597</v>
      </c>
      <c r="M5200" s="2">
        <f t="shared" si="3260"/>
        <v>0.45391143282131591</v>
      </c>
      <c r="N5200" s="2">
        <f t="shared" si="3261"/>
        <v>0.54608856717868415</v>
      </c>
    </row>
    <row r="5201" spans="1:14" x14ac:dyDescent="0.35">
      <c r="A5201" t="s">
        <v>38</v>
      </c>
      <c r="B5201" t="s">
        <v>21</v>
      </c>
      <c r="C5201">
        <v>2003</v>
      </c>
      <c r="D5201" t="s">
        <v>31</v>
      </c>
      <c r="E5201" s="3">
        <f t="shared" ref="E5201:F5201" si="3288">SUM(E401+E1361+E2321+E3281+E4241)</f>
        <v>5660</v>
      </c>
      <c r="F5201" s="3">
        <f t="shared" si="3288"/>
        <v>2272</v>
      </c>
      <c r="G5201" s="1">
        <f t="shared" si="3231"/>
        <v>7932</v>
      </c>
      <c r="H5201" s="2">
        <f t="shared" si="3232"/>
        <v>0.71356530509329297</v>
      </c>
      <c r="I5201" s="2">
        <f t="shared" si="3233"/>
        <v>0.28643469490670703</v>
      </c>
      <c r="J5201" s="3">
        <f t="shared" ref="J5201:K5201" si="3289">SUM(J401+J1361+J2321+J3281+J4241)</f>
        <v>1610955.6880000003</v>
      </c>
      <c r="K5201" s="3">
        <f t="shared" si="3289"/>
        <v>2176481.2410000004</v>
      </c>
      <c r="L5201" s="1">
        <f t="shared" si="3259"/>
        <v>3787436.9290000005</v>
      </c>
      <c r="M5201" s="2">
        <f t="shared" si="3260"/>
        <v>0.42534191808319882</v>
      </c>
      <c r="N5201" s="2">
        <f t="shared" si="3261"/>
        <v>0.57465808191680123</v>
      </c>
    </row>
    <row r="5202" spans="1:14" x14ac:dyDescent="0.35">
      <c r="A5202" t="s">
        <v>38</v>
      </c>
      <c r="B5202" t="s">
        <v>22</v>
      </c>
      <c r="C5202">
        <v>2003</v>
      </c>
      <c r="D5202" t="s">
        <v>31</v>
      </c>
      <c r="E5202" s="3">
        <f t="shared" ref="E5202:F5202" si="3290">SUM(E402+E1362+E2322+E3282+E4242)</f>
        <v>5570</v>
      </c>
      <c r="F5202" s="3">
        <f t="shared" si="3290"/>
        <v>2349</v>
      </c>
      <c r="G5202" s="1">
        <f t="shared" si="3231"/>
        <v>7919</v>
      </c>
      <c r="H5202" s="2">
        <f t="shared" si="3232"/>
        <v>0.70337163783305978</v>
      </c>
      <c r="I5202" s="2">
        <f t="shared" si="3233"/>
        <v>0.29662836216694027</v>
      </c>
      <c r="J5202" s="3">
        <f t="shared" ref="J5202:K5202" si="3291">SUM(J402+J1362+J2322+J3282+J4242)</f>
        <v>1709708.4090000002</v>
      </c>
      <c r="K5202" s="3">
        <f t="shared" si="3291"/>
        <v>2519986.6980000003</v>
      </c>
      <c r="L5202" s="1">
        <f t="shared" si="3259"/>
        <v>4229695.1070000008</v>
      </c>
      <c r="M5202" s="2">
        <f t="shared" si="3260"/>
        <v>0.4042155204450768</v>
      </c>
      <c r="N5202" s="2">
        <f t="shared" si="3261"/>
        <v>0.59578447955492309</v>
      </c>
    </row>
    <row r="5203" spans="1:14" x14ac:dyDescent="0.35">
      <c r="A5203" t="s">
        <v>38</v>
      </c>
      <c r="B5203" t="s">
        <v>23</v>
      </c>
      <c r="C5203">
        <v>2003</v>
      </c>
      <c r="D5203" t="s">
        <v>31</v>
      </c>
      <c r="E5203" s="3">
        <f t="shared" ref="E5203:F5203" si="3292">SUM(E403+E1363+E2323+E3283+E4243)</f>
        <v>5388</v>
      </c>
      <c r="F5203" s="3">
        <f t="shared" si="3292"/>
        <v>2482</v>
      </c>
      <c r="G5203" s="1">
        <f t="shared" si="3231"/>
        <v>7870</v>
      </c>
      <c r="H5203" s="2">
        <f t="shared" si="3232"/>
        <v>0.68462515883100383</v>
      </c>
      <c r="I5203" s="2">
        <f t="shared" si="3233"/>
        <v>0.31537484116899617</v>
      </c>
      <c r="J5203" s="3">
        <f t="shared" ref="J5203:K5203" si="3293">SUM(J403+J1363+J2323+J3283+J4243)</f>
        <v>1757263.32</v>
      </c>
      <c r="K5203" s="3">
        <f t="shared" si="3293"/>
        <v>2507343.5020000003</v>
      </c>
      <c r="L5203" s="1">
        <f t="shared" si="3259"/>
        <v>4264606.8220000006</v>
      </c>
      <c r="M5203" s="2">
        <f t="shared" si="3260"/>
        <v>0.41205752214594188</v>
      </c>
      <c r="N5203" s="2">
        <f t="shared" si="3261"/>
        <v>0.58794247785405807</v>
      </c>
    </row>
    <row r="5204" spans="1:14" x14ac:dyDescent="0.35">
      <c r="A5204" t="s">
        <v>38</v>
      </c>
      <c r="B5204" t="s">
        <v>24</v>
      </c>
      <c r="C5204">
        <v>2003</v>
      </c>
      <c r="D5204" t="s">
        <v>31</v>
      </c>
      <c r="E5204" s="3">
        <f t="shared" ref="E5204:F5204" si="3294">SUM(E404+E1364+E2324+E3284+E4244)</f>
        <v>5354</v>
      </c>
      <c r="F5204" s="3">
        <f t="shared" si="3294"/>
        <v>2551</v>
      </c>
      <c r="G5204" s="1">
        <f t="shared" si="3231"/>
        <v>7905</v>
      </c>
      <c r="H5204" s="2">
        <f t="shared" si="3232"/>
        <v>0.67729285262492089</v>
      </c>
      <c r="I5204" s="2">
        <f t="shared" si="3233"/>
        <v>0.32270714737507905</v>
      </c>
      <c r="J5204" s="3">
        <f t="shared" ref="J5204:K5204" si="3295">SUM(J404+J1364+J2324+J3284+J4244)</f>
        <v>1760416.014</v>
      </c>
      <c r="K5204" s="3">
        <f t="shared" si="3295"/>
        <v>2456061.8160000001</v>
      </c>
      <c r="L5204" s="1">
        <f t="shared" si="3259"/>
        <v>4216477.83</v>
      </c>
      <c r="M5204" s="2">
        <f t="shared" si="3260"/>
        <v>0.41750866125151664</v>
      </c>
      <c r="N5204" s="2">
        <f t="shared" si="3261"/>
        <v>0.58249133874848336</v>
      </c>
    </row>
    <row r="5205" spans="1:14" x14ac:dyDescent="0.35">
      <c r="A5205" t="s">
        <v>38</v>
      </c>
      <c r="B5205" t="s">
        <v>25</v>
      </c>
      <c r="C5205">
        <v>2003</v>
      </c>
      <c r="D5205" t="s">
        <v>31</v>
      </c>
      <c r="E5205" s="3">
        <f t="shared" ref="E5205:F5205" si="3296">SUM(E405+E1365+E2325+E3285+E4245)</f>
        <v>5335</v>
      </c>
      <c r="F5205" s="3">
        <f t="shared" si="3296"/>
        <v>2554</v>
      </c>
      <c r="G5205" s="1">
        <f t="shared" si="3231"/>
        <v>7889</v>
      </c>
      <c r="H5205" s="2">
        <f t="shared" si="3232"/>
        <v>0.67625808087210038</v>
      </c>
      <c r="I5205" s="2">
        <f t="shared" si="3233"/>
        <v>0.32374191912789962</v>
      </c>
      <c r="J5205" s="3">
        <f t="shared" ref="J5205:K5205" si="3297">SUM(J405+J1365+J2325+J3285+J4245)</f>
        <v>1718605.9469999999</v>
      </c>
      <c r="K5205" s="3">
        <f t="shared" si="3297"/>
        <v>2550556.3280000002</v>
      </c>
      <c r="L5205" s="1">
        <f t="shared" si="3259"/>
        <v>4269162.2750000004</v>
      </c>
      <c r="M5205" s="2">
        <f t="shared" si="3260"/>
        <v>0.40256280654030652</v>
      </c>
      <c r="N5205" s="2">
        <f t="shared" si="3261"/>
        <v>0.59743719345969348</v>
      </c>
    </row>
    <row r="5206" spans="1:14" x14ac:dyDescent="0.35">
      <c r="A5206" t="s">
        <v>38</v>
      </c>
      <c r="B5206" t="s">
        <v>26</v>
      </c>
      <c r="C5206">
        <v>2003</v>
      </c>
      <c r="D5206" t="s">
        <v>31</v>
      </c>
      <c r="E5206" s="3">
        <f t="shared" ref="E5206:F5206" si="3298">SUM(E406+E1366+E2326+E3286+E4246)</f>
        <v>5222</v>
      </c>
      <c r="F5206" s="3">
        <f t="shared" si="3298"/>
        <v>2615</v>
      </c>
      <c r="G5206" s="1">
        <f t="shared" si="3231"/>
        <v>7837</v>
      </c>
      <c r="H5206" s="2">
        <f t="shared" si="3232"/>
        <v>0.66632640040831947</v>
      </c>
      <c r="I5206" s="2">
        <f t="shared" si="3233"/>
        <v>0.33367359959168047</v>
      </c>
      <c r="J5206" s="3">
        <f t="shared" ref="J5206:K5206" si="3299">SUM(J406+J1366+J2326+J3286+J4246)</f>
        <v>1764943.5889999999</v>
      </c>
      <c r="K5206" s="3">
        <f t="shared" si="3299"/>
        <v>2548634.1870000004</v>
      </c>
      <c r="L5206" s="1">
        <f t="shared" si="3259"/>
        <v>4313577.7760000005</v>
      </c>
      <c r="M5206" s="2">
        <f t="shared" si="3260"/>
        <v>0.40916002461340567</v>
      </c>
      <c r="N5206" s="2">
        <f t="shared" si="3261"/>
        <v>0.59083997538659427</v>
      </c>
    </row>
    <row r="5207" spans="1:14" x14ac:dyDescent="0.35">
      <c r="A5207" t="s">
        <v>38</v>
      </c>
      <c r="B5207" t="s">
        <v>27</v>
      </c>
      <c r="C5207">
        <v>2003</v>
      </c>
      <c r="D5207" t="s">
        <v>31</v>
      </c>
      <c r="E5207" s="3">
        <f t="shared" ref="E5207:F5207" si="3300">SUM(E407+E1367+E2327+E3287+E4247)</f>
        <v>5223</v>
      </c>
      <c r="F5207" s="3">
        <f t="shared" si="3300"/>
        <v>2700</v>
      </c>
      <c r="G5207" s="1">
        <f t="shared" si="3231"/>
        <v>7923</v>
      </c>
      <c r="H5207" s="2">
        <f t="shared" si="3232"/>
        <v>0.65921999242711093</v>
      </c>
      <c r="I5207" s="2">
        <f t="shared" si="3233"/>
        <v>0.34078000757288907</v>
      </c>
      <c r="J5207" s="3">
        <f t="shared" ref="J5207:K5207" si="3301">SUM(J407+J1367+J2327+J3287+J4247)</f>
        <v>1674680.2999999998</v>
      </c>
      <c r="K5207" s="3">
        <f t="shared" si="3301"/>
        <v>2493431.73</v>
      </c>
      <c r="L5207" s="1">
        <f t="shared" si="3259"/>
        <v>4168112.03</v>
      </c>
      <c r="M5207" s="2">
        <f t="shared" si="3260"/>
        <v>0.40178389830851063</v>
      </c>
      <c r="N5207" s="2">
        <f t="shared" si="3261"/>
        <v>0.59821610169148931</v>
      </c>
    </row>
    <row r="5208" spans="1:14" x14ac:dyDescent="0.35">
      <c r="A5208" t="s">
        <v>38</v>
      </c>
      <c r="B5208" t="s">
        <v>28</v>
      </c>
      <c r="C5208">
        <v>2003</v>
      </c>
      <c r="D5208" t="s">
        <v>31</v>
      </c>
      <c r="E5208" s="3">
        <f t="shared" ref="E5208:F5208" si="3302">SUM(E408+E1368+E2328+E3288+E4248)</f>
        <v>5081</v>
      </c>
      <c r="F5208" s="3">
        <f t="shared" si="3302"/>
        <v>2604</v>
      </c>
      <c r="G5208" s="1">
        <f t="shared" si="3231"/>
        <v>7685</v>
      </c>
      <c r="H5208" s="2">
        <f t="shared" si="3232"/>
        <v>0.66115810019518539</v>
      </c>
      <c r="I5208" s="2">
        <f t="shared" si="3233"/>
        <v>0.33884189980481455</v>
      </c>
      <c r="J5208" s="3">
        <f t="shared" ref="J5208:K5208" si="3303">SUM(J408+J1368+J2328+J3288+J4248)</f>
        <v>1648179.5899999999</v>
      </c>
      <c r="K5208" s="3">
        <f t="shared" si="3303"/>
        <v>2527741.98</v>
      </c>
      <c r="L5208" s="1">
        <f t="shared" si="3259"/>
        <v>4175921.57</v>
      </c>
      <c r="M5208" s="2">
        <f t="shared" si="3260"/>
        <v>0.39468643325118768</v>
      </c>
      <c r="N5208" s="2">
        <f t="shared" si="3261"/>
        <v>0.60531356674881232</v>
      </c>
    </row>
    <row r="5209" spans="1:14" x14ac:dyDescent="0.35">
      <c r="A5209" t="s">
        <v>38</v>
      </c>
      <c r="B5209" t="s">
        <v>29</v>
      </c>
      <c r="C5209">
        <v>2003</v>
      </c>
      <c r="D5209" t="s">
        <v>31</v>
      </c>
      <c r="E5209" s="3">
        <f t="shared" ref="E5209:F5209" si="3304">SUM(E409+E1369+E2329+E3289+E4249)</f>
        <v>5072</v>
      </c>
      <c r="F5209" s="3">
        <f t="shared" si="3304"/>
        <v>2733</v>
      </c>
      <c r="G5209" s="1">
        <f t="shared" si="3231"/>
        <v>7805</v>
      </c>
      <c r="H5209" s="2">
        <f t="shared" si="3232"/>
        <v>0.64983984625240232</v>
      </c>
      <c r="I5209" s="2">
        <f t="shared" si="3233"/>
        <v>0.35016015374759768</v>
      </c>
      <c r="J5209" s="3">
        <f t="shared" ref="J5209:K5209" si="3305">SUM(J409+J1369+J2329+J3289+J4249)</f>
        <v>1422126.0899999999</v>
      </c>
      <c r="K5209" s="3">
        <f t="shared" si="3305"/>
        <v>2463559.5700000003</v>
      </c>
      <c r="L5209" s="1">
        <f t="shared" si="3259"/>
        <v>3885685.66</v>
      </c>
      <c r="M5209" s="2">
        <f t="shared" si="3260"/>
        <v>0.36599102820890556</v>
      </c>
      <c r="N5209" s="2">
        <f t="shared" si="3261"/>
        <v>0.6340089717910945</v>
      </c>
    </row>
    <row r="5210" spans="1:14" x14ac:dyDescent="0.35">
      <c r="A5210" t="s">
        <v>38</v>
      </c>
      <c r="B5210" t="s">
        <v>17</v>
      </c>
      <c r="C5210">
        <v>2004</v>
      </c>
      <c r="D5210" t="s">
        <v>31</v>
      </c>
      <c r="E5210" s="3">
        <f t="shared" ref="E5210:F5210" si="3306">SUM(E410+E1370+E2330+E3290+E4250)</f>
        <v>5154</v>
      </c>
      <c r="F5210" s="3">
        <f t="shared" si="3306"/>
        <v>2958</v>
      </c>
      <c r="G5210" s="1">
        <f t="shared" si="3231"/>
        <v>8112</v>
      </c>
      <c r="H5210" s="2">
        <f t="shared" si="3232"/>
        <v>0.63535502958579881</v>
      </c>
      <c r="I5210" s="2">
        <f t="shared" si="3233"/>
        <v>0.36464497041420119</v>
      </c>
      <c r="J5210" s="3">
        <f t="shared" ref="J5210:K5210" si="3307">SUM(J410+J1370+J2330+J3290+J4250)</f>
        <v>1568392.6199999999</v>
      </c>
      <c r="K5210" s="3">
        <f t="shared" si="3307"/>
        <v>2605561.54</v>
      </c>
      <c r="L5210" s="1">
        <f t="shared" si="3259"/>
        <v>4173954.16</v>
      </c>
      <c r="M5210" s="2">
        <f t="shared" si="3260"/>
        <v>0.37575703035512009</v>
      </c>
      <c r="N5210" s="2">
        <f t="shared" si="3261"/>
        <v>0.6242429696448798</v>
      </c>
    </row>
    <row r="5211" spans="1:14" x14ac:dyDescent="0.35">
      <c r="A5211" t="s">
        <v>38</v>
      </c>
      <c r="B5211" t="s">
        <v>19</v>
      </c>
      <c r="C5211">
        <v>2004</v>
      </c>
      <c r="D5211" t="s">
        <v>31</v>
      </c>
      <c r="E5211" s="3">
        <f t="shared" ref="E5211:F5211" si="3308">SUM(E411+E1371+E2331+E3291+E4251)</f>
        <v>5091</v>
      </c>
      <c r="F5211" s="3">
        <f t="shared" si="3308"/>
        <v>2929</v>
      </c>
      <c r="G5211" s="1">
        <f t="shared" si="3231"/>
        <v>8020</v>
      </c>
      <c r="H5211" s="2">
        <f t="shared" si="3232"/>
        <v>0.63478802992518701</v>
      </c>
      <c r="I5211" s="2">
        <f t="shared" si="3233"/>
        <v>0.36521197007481299</v>
      </c>
      <c r="J5211" s="3">
        <f t="shared" ref="J5211:K5211" si="3309">SUM(J411+J1371+J2331+J3291+J4251)</f>
        <v>1397009.2999999998</v>
      </c>
      <c r="K5211" s="3">
        <f t="shared" si="3309"/>
        <v>2607057.3400000003</v>
      </c>
      <c r="L5211" s="1">
        <f t="shared" si="3259"/>
        <v>4004066.64</v>
      </c>
      <c r="M5211" s="2">
        <f t="shared" si="3260"/>
        <v>0.34889761475098718</v>
      </c>
      <c r="N5211" s="2">
        <f t="shared" si="3261"/>
        <v>0.65110238524901276</v>
      </c>
    </row>
    <row r="5212" spans="1:14" x14ac:dyDescent="0.35">
      <c r="A5212" t="s">
        <v>38</v>
      </c>
      <c r="B5212" t="s">
        <v>20</v>
      </c>
      <c r="C5212">
        <v>2004</v>
      </c>
      <c r="D5212" t="s">
        <v>31</v>
      </c>
      <c r="E5212" s="3">
        <f t="shared" ref="E5212:F5212" si="3310">SUM(E412+E1372+E2332+E3292+E4252)</f>
        <v>5162</v>
      </c>
      <c r="F5212" s="3">
        <f t="shared" si="3310"/>
        <v>3143</v>
      </c>
      <c r="G5212" s="1">
        <f t="shared" si="3231"/>
        <v>8305</v>
      </c>
      <c r="H5212" s="2">
        <f t="shared" si="3232"/>
        <v>0.62155328115593012</v>
      </c>
      <c r="I5212" s="2">
        <f t="shared" si="3233"/>
        <v>0.37844671884406983</v>
      </c>
      <c r="J5212" s="3">
        <f t="shared" ref="J5212:K5212" si="3311">SUM(J412+J1372+J2332+J3292+J4252)</f>
        <v>1385299.79</v>
      </c>
      <c r="K5212" s="3">
        <f t="shared" si="3311"/>
        <v>2452616.5300000003</v>
      </c>
      <c r="L5212" s="1">
        <f t="shared" si="3259"/>
        <v>3837916.3200000003</v>
      </c>
      <c r="M5212" s="2">
        <f t="shared" si="3260"/>
        <v>0.36095101469017959</v>
      </c>
      <c r="N5212" s="2">
        <f t="shared" si="3261"/>
        <v>0.63904898530982046</v>
      </c>
    </row>
    <row r="5213" spans="1:14" x14ac:dyDescent="0.35">
      <c r="A5213" t="s">
        <v>38</v>
      </c>
      <c r="B5213" t="s">
        <v>21</v>
      </c>
      <c r="C5213">
        <v>2004</v>
      </c>
      <c r="D5213" t="s">
        <v>31</v>
      </c>
      <c r="E5213" s="3">
        <f t="shared" ref="E5213:F5213" si="3312">SUM(E413+E1373+E2333+E3293+E4253)</f>
        <v>5027</v>
      </c>
      <c r="F5213" s="3">
        <f t="shared" si="3312"/>
        <v>3141</v>
      </c>
      <c r="G5213" s="1">
        <f t="shared" si="3231"/>
        <v>8168</v>
      </c>
      <c r="H5213" s="2">
        <f t="shared" si="3232"/>
        <v>0.61545053868756117</v>
      </c>
      <c r="I5213" s="2">
        <f t="shared" si="3233"/>
        <v>0.38454946131243878</v>
      </c>
      <c r="J5213" s="3">
        <f t="shared" ref="J5213:K5213" si="3313">SUM(J413+J1373+J2333+J3293+J4253)</f>
        <v>1565065.32</v>
      </c>
      <c r="K5213" s="3">
        <f t="shared" si="3313"/>
        <v>2811587.95</v>
      </c>
      <c r="L5213" s="1">
        <f t="shared" si="3259"/>
        <v>4376653.2700000005</v>
      </c>
      <c r="M5213" s="2">
        <f t="shared" si="3260"/>
        <v>0.35759408466917458</v>
      </c>
      <c r="N5213" s="2">
        <f t="shared" si="3261"/>
        <v>0.64240591533082536</v>
      </c>
    </row>
    <row r="5214" spans="1:14" x14ac:dyDescent="0.35">
      <c r="A5214" t="s">
        <v>38</v>
      </c>
      <c r="B5214" t="s">
        <v>22</v>
      </c>
      <c r="C5214">
        <v>2004</v>
      </c>
      <c r="D5214" t="s">
        <v>31</v>
      </c>
      <c r="E5214" s="3">
        <f t="shared" ref="E5214:F5214" si="3314">SUM(E414+E1374+E2334+E3294+E4254)</f>
        <v>4940</v>
      </c>
      <c r="F5214" s="3">
        <f t="shared" si="3314"/>
        <v>3191</v>
      </c>
      <c r="G5214" s="1">
        <f t="shared" si="3231"/>
        <v>8131</v>
      </c>
      <c r="H5214" s="2">
        <f t="shared" si="3232"/>
        <v>0.60755134669782318</v>
      </c>
      <c r="I5214" s="2">
        <f t="shared" si="3233"/>
        <v>0.39244865330217688</v>
      </c>
      <c r="J5214" s="3">
        <f t="shared" ref="J5214:K5214" si="3315">SUM(J414+J1374+J2334+J3294+J4254)</f>
        <v>1458634.99</v>
      </c>
      <c r="K5214" s="3">
        <f t="shared" si="3315"/>
        <v>2749033.84</v>
      </c>
      <c r="L5214" s="1">
        <f t="shared" si="3259"/>
        <v>4207668.83</v>
      </c>
      <c r="M5214" s="2">
        <f t="shared" si="3260"/>
        <v>0.34666107265861035</v>
      </c>
      <c r="N5214" s="2">
        <f t="shared" si="3261"/>
        <v>0.65333892734138965</v>
      </c>
    </row>
    <row r="5215" spans="1:14" x14ac:dyDescent="0.35">
      <c r="A5215" t="s">
        <v>38</v>
      </c>
      <c r="B5215" t="s">
        <v>23</v>
      </c>
      <c r="C5215">
        <v>2004</v>
      </c>
      <c r="D5215" t="s">
        <v>31</v>
      </c>
      <c r="E5215" s="3">
        <f t="shared" ref="E5215:F5215" si="3316">SUM(E415+E1375+E2335+E3295+E4255)</f>
        <v>4900</v>
      </c>
      <c r="F5215" s="3">
        <f t="shared" si="3316"/>
        <v>3334</v>
      </c>
      <c r="G5215" s="1">
        <f t="shared" si="3231"/>
        <v>8234</v>
      </c>
      <c r="H5215" s="2">
        <f t="shared" si="3232"/>
        <v>0.59509351469516636</v>
      </c>
      <c r="I5215" s="2">
        <f t="shared" si="3233"/>
        <v>0.40490648530483364</v>
      </c>
      <c r="J5215" s="3">
        <f t="shared" ref="J5215:K5215" si="3317">SUM(J415+J1375+J2335+J3295+J4255)</f>
        <v>1471451.86</v>
      </c>
      <c r="K5215" s="3">
        <f t="shared" si="3317"/>
        <v>3190449.11</v>
      </c>
      <c r="L5215" s="1">
        <f t="shared" si="3259"/>
        <v>4661900.97</v>
      </c>
      <c r="M5215" s="2">
        <f t="shared" si="3260"/>
        <v>0.31563344426855128</v>
      </c>
      <c r="N5215" s="2">
        <f t="shared" si="3261"/>
        <v>0.68436655573144878</v>
      </c>
    </row>
    <row r="5216" spans="1:14" x14ac:dyDescent="0.35">
      <c r="A5216" t="s">
        <v>38</v>
      </c>
      <c r="B5216" t="s">
        <v>24</v>
      </c>
      <c r="C5216">
        <v>2004</v>
      </c>
      <c r="D5216" t="s">
        <v>31</v>
      </c>
      <c r="E5216" s="3">
        <f t="shared" ref="E5216:F5216" si="3318">SUM(E416+E1376+E2336+E3296+E4256)</f>
        <v>4823</v>
      </c>
      <c r="F5216" s="3">
        <f t="shared" si="3318"/>
        <v>3416</v>
      </c>
      <c r="G5216" s="1">
        <f t="shared" si="3231"/>
        <v>8239</v>
      </c>
      <c r="H5216" s="2">
        <f t="shared" si="3232"/>
        <v>0.5853865760407817</v>
      </c>
      <c r="I5216" s="2">
        <f t="shared" si="3233"/>
        <v>0.41461342395921835</v>
      </c>
      <c r="J5216" s="3">
        <f t="shared" ref="J5216:K5216" si="3319">SUM(J416+J1376+J2336+J3296+J4256)</f>
        <v>1460192.33</v>
      </c>
      <c r="K5216" s="3">
        <f t="shared" si="3319"/>
        <v>3095301.94</v>
      </c>
      <c r="L5216" s="1">
        <f t="shared" si="3259"/>
        <v>4555494.2699999996</v>
      </c>
      <c r="M5216" s="2">
        <f t="shared" si="3260"/>
        <v>0.32053433578350221</v>
      </c>
      <c r="N5216" s="2">
        <f t="shared" si="3261"/>
        <v>0.6794656642164979</v>
      </c>
    </row>
    <row r="5217" spans="1:14" x14ac:dyDescent="0.35">
      <c r="A5217" t="s">
        <v>38</v>
      </c>
      <c r="B5217" t="s">
        <v>25</v>
      </c>
      <c r="C5217">
        <v>2004</v>
      </c>
      <c r="D5217" t="s">
        <v>31</v>
      </c>
      <c r="E5217" s="3">
        <f t="shared" ref="E5217:F5217" si="3320">SUM(E417+E1377+E2337+E3297+E4257)</f>
        <v>4784</v>
      </c>
      <c r="F5217" s="3">
        <f t="shared" si="3320"/>
        <v>3469</v>
      </c>
      <c r="G5217" s="1">
        <f t="shared" si="3231"/>
        <v>8253</v>
      </c>
      <c r="H5217" s="2">
        <f t="shared" si="3232"/>
        <v>0.57966799951532777</v>
      </c>
      <c r="I5217" s="2">
        <f t="shared" si="3233"/>
        <v>0.42033200048467223</v>
      </c>
      <c r="J5217" s="3">
        <f t="shared" ref="J5217:K5217" si="3321">SUM(J417+J1377+J2337+J3297+J4257)</f>
        <v>1438236.59</v>
      </c>
      <c r="K5217" s="3">
        <f t="shared" si="3321"/>
        <v>3213344.9</v>
      </c>
      <c r="L5217" s="1">
        <f t="shared" si="3259"/>
        <v>4651581.49</v>
      </c>
      <c r="M5217" s="2">
        <f t="shared" si="3260"/>
        <v>0.30919303318493513</v>
      </c>
      <c r="N5217" s="2">
        <f t="shared" si="3261"/>
        <v>0.69080696681506482</v>
      </c>
    </row>
    <row r="5218" spans="1:14" x14ac:dyDescent="0.35">
      <c r="A5218" t="s">
        <v>38</v>
      </c>
      <c r="B5218" t="s">
        <v>26</v>
      </c>
      <c r="C5218">
        <v>2004</v>
      </c>
      <c r="D5218" t="s">
        <v>31</v>
      </c>
      <c r="E5218" s="3">
        <f t="shared" ref="E5218:F5218" si="3322">SUM(E418+E1378+E2338+E3298+E4258)</f>
        <v>4702</v>
      </c>
      <c r="F5218" s="3">
        <f t="shared" si="3322"/>
        <v>3413</v>
      </c>
      <c r="G5218" s="1">
        <f t="shared" si="3231"/>
        <v>8115</v>
      </c>
      <c r="H5218" s="2">
        <f t="shared" si="3232"/>
        <v>0.57942082563154651</v>
      </c>
      <c r="I5218" s="2">
        <f t="shared" si="3233"/>
        <v>0.42057917436845349</v>
      </c>
      <c r="J5218" s="3">
        <f t="shared" ref="J5218:K5218" si="3323">SUM(J418+J1378+J2338+J3298+J4258)</f>
        <v>1380560.87</v>
      </c>
      <c r="K5218" s="3">
        <f t="shared" si="3323"/>
        <v>3088129.0500000003</v>
      </c>
      <c r="L5218" s="1">
        <f t="shared" si="3259"/>
        <v>4468689.92</v>
      </c>
      <c r="M5218" s="2">
        <f t="shared" si="3260"/>
        <v>0.30894085172953778</v>
      </c>
      <c r="N5218" s="2">
        <f t="shared" si="3261"/>
        <v>0.69105914827046233</v>
      </c>
    </row>
    <row r="5219" spans="1:14" x14ac:dyDescent="0.35">
      <c r="A5219" t="s">
        <v>38</v>
      </c>
      <c r="B5219" t="s">
        <v>27</v>
      </c>
      <c r="C5219">
        <v>2004</v>
      </c>
      <c r="D5219" t="s">
        <v>31</v>
      </c>
      <c r="E5219" s="3">
        <f t="shared" ref="E5219:F5219" si="3324">SUM(E419+E1379+E2339+E3299+E4259)</f>
        <v>4634</v>
      </c>
      <c r="F5219" s="3">
        <f t="shared" si="3324"/>
        <v>3572</v>
      </c>
      <c r="G5219" s="1">
        <f t="shared" si="3231"/>
        <v>8206</v>
      </c>
      <c r="H5219" s="2">
        <f t="shared" si="3232"/>
        <v>0.5647087496953449</v>
      </c>
      <c r="I5219" s="2">
        <f t="shared" si="3233"/>
        <v>0.43529125030465515</v>
      </c>
      <c r="J5219" s="3">
        <f t="shared" ref="J5219:K5219" si="3325">SUM(J419+J1379+J2339+J3299+J4259)</f>
        <v>1378845.371</v>
      </c>
      <c r="K5219" s="3">
        <f t="shared" si="3325"/>
        <v>3284916.861</v>
      </c>
      <c r="L5219" s="1">
        <f t="shared" si="3259"/>
        <v>4663762.2319999998</v>
      </c>
      <c r="M5219" s="2">
        <f t="shared" si="3260"/>
        <v>0.29565087206615553</v>
      </c>
      <c r="N5219" s="2">
        <f t="shared" si="3261"/>
        <v>0.70434912793384452</v>
      </c>
    </row>
    <row r="5220" spans="1:14" x14ac:dyDescent="0.35">
      <c r="A5220" t="s">
        <v>38</v>
      </c>
      <c r="B5220" t="s">
        <v>28</v>
      </c>
      <c r="C5220">
        <v>2004</v>
      </c>
      <c r="D5220" t="s">
        <v>31</v>
      </c>
      <c r="E5220" s="3">
        <f t="shared" ref="E5220:F5220" si="3326">SUM(E420+E1380+E2340+E3300+E4260)</f>
        <v>4591</v>
      </c>
      <c r="F5220" s="3">
        <f t="shared" si="3326"/>
        <v>3567</v>
      </c>
      <c r="G5220" s="1">
        <f t="shared" si="3231"/>
        <v>8158</v>
      </c>
      <c r="H5220" s="2">
        <f t="shared" si="3232"/>
        <v>0.56276048050992888</v>
      </c>
      <c r="I5220" s="2">
        <f t="shared" si="3233"/>
        <v>0.43723951949007112</v>
      </c>
      <c r="J5220" s="3">
        <f t="shared" ref="J5220:K5220" si="3327">SUM(J420+J1380+J2340+J3300+J4260)</f>
        <v>1328663.1410000001</v>
      </c>
      <c r="K5220" s="3">
        <f t="shared" si="3327"/>
        <v>2974588.8509999998</v>
      </c>
      <c r="L5220" s="1">
        <f t="shared" si="3259"/>
        <v>4303251.9919999996</v>
      </c>
      <c r="M5220" s="2">
        <f t="shared" si="3260"/>
        <v>0.30875792156026732</v>
      </c>
      <c r="N5220" s="2">
        <f t="shared" si="3261"/>
        <v>0.69124207843973273</v>
      </c>
    </row>
    <row r="5221" spans="1:14" x14ac:dyDescent="0.35">
      <c r="A5221" t="s">
        <v>38</v>
      </c>
      <c r="B5221" t="s">
        <v>29</v>
      </c>
      <c r="C5221">
        <v>2004</v>
      </c>
      <c r="D5221" t="s">
        <v>31</v>
      </c>
      <c r="E5221" s="3">
        <f t="shared" ref="E5221:F5221" si="3328">SUM(E421+E1381+E2341+E3301+E4261)</f>
        <v>4495</v>
      </c>
      <c r="F5221" s="3">
        <f t="shared" si="3328"/>
        <v>3631</v>
      </c>
      <c r="G5221" s="1">
        <f t="shared" si="3231"/>
        <v>8126</v>
      </c>
      <c r="H5221" s="2">
        <f t="shared" si="3232"/>
        <v>0.55316268766920995</v>
      </c>
      <c r="I5221" s="2">
        <f t="shared" si="3233"/>
        <v>0.44683731233079005</v>
      </c>
      <c r="J5221" s="3">
        <f t="shared" ref="J5221:K5221" si="3329">SUM(J421+J1381+J2341+J3301+J4261)</f>
        <v>1214132.0190000001</v>
      </c>
      <c r="K5221" s="3">
        <f t="shared" si="3329"/>
        <v>3111226.4540000004</v>
      </c>
      <c r="L5221" s="1">
        <f t="shared" si="3259"/>
        <v>4325358.4730000002</v>
      </c>
      <c r="M5221" s="2">
        <f t="shared" si="3260"/>
        <v>0.28070090064879577</v>
      </c>
      <c r="N5221" s="2">
        <f t="shared" si="3261"/>
        <v>0.71929909935120429</v>
      </c>
    </row>
    <row r="5222" spans="1:14" x14ac:dyDescent="0.35">
      <c r="A5222" t="s">
        <v>38</v>
      </c>
      <c r="B5222" t="s">
        <v>17</v>
      </c>
      <c r="C5222">
        <v>2005</v>
      </c>
      <c r="D5222" t="s">
        <v>31</v>
      </c>
      <c r="E5222" s="3">
        <f t="shared" ref="E5222:F5222" si="3330">SUM(E422+E1382+E2342+E3302+E4262)</f>
        <v>4320</v>
      </c>
      <c r="F5222" s="3">
        <f t="shared" si="3330"/>
        <v>3772</v>
      </c>
      <c r="G5222" s="1">
        <f t="shared" si="3231"/>
        <v>8092</v>
      </c>
      <c r="H5222" s="2">
        <f t="shared" si="3232"/>
        <v>0.53386060306475536</v>
      </c>
      <c r="I5222" s="2">
        <f t="shared" si="3233"/>
        <v>0.4661393969352447</v>
      </c>
      <c r="J5222" s="3">
        <f t="shared" ref="J5222:K5222" si="3331">SUM(J422+J1382+J2342+J3302+J4262)</f>
        <v>1272138.6400000001</v>
      </c>
      <c r="K5222" s="3">
        <f t="shared" si="3331"/>
        <v>2928707.17</v>
      </c>
      <c r="L5222" s="1">
        <f t="shared" si="3259"/>
        <v>4200845.8100000005</v>
      </c>
      <c r="M5222" s="2">
        <f t="shared" si="3260"/>
        <v>0.30282916763374373</v>
      </c>
      <c r="N5222" s="2">
        <f t="shared" si="3261"/>
        <v>0.69717083236625621</v>
      </c>
    </row>
    <row r="5223" spans="1:14" x14ac:dyDescent="0.35">
      <c r="A5223" t="s">
        <v>38</v>
      </c>
      <c r="B5223" t="s">
        <v>19</v>
      </c>
      <c r="C5223">
        <v>2005</v>
      </c>
      <c r="D5223" t="s">
        <v>31</v>
      </c>
      <c r="E5223" s="3">
        <f t="shared" ref="E5223:F5223" si="3332">SUM(E423+E1383+E2343+E3303+E4263)</f>
        <v>4217</v>
      </c>
      <c r="F5223" s="3">
        <f t="shared" si="3332"/>
        <v>3705</v>
      </c>
      <c r="G5223" s="1">
        <f t="shared" si="3231"/>
        <v>7922</v>
      </c>
      <c r="H5223" s="2">
        <f t="shared" si="3232"/>
        <v>0.53231507195152739</v>
      </c>
      <c r="I5223" s="2">
        <f t="shared" si="3233"/>
        <v>0.46768492804847261</v>
      </c>
      <c r="J5223" s="3">
        <f t="shared" ref="J5223:K5223" si="3333">SUM(J423+J1383+J2343+J3303+J4263)</f>
        <v>1260911.6600000001</v>
      </c>
      <c r="K5223" s="3">
        <f t="shared" si="3333"/>
        <v>2788702.38</v>
      </c>
      <c r="L5223" s="1">
        <f t="shared" si="3259"/>
        <v>4049614.04</v>
      </c>
      <c r="M5223" s="2">
        <f t="shared" si="3260"/>
        <v>0.31136588513012964</v>
      </c>
      <c r="N5223" s="2">
        <f t="shared" si="3261"/>
        <v>0.68863411486987036</v>
      </c>
    </row>
    <row r="5224" spans="1:14" x14ac:dyDescent="0.35">
      <c r="A5224" t="s">
        <v>38</v>
      </c>
      <c r="B5224" t="s">
        <v>20</v>
      </c>
      <c r="C5224">
        <v>2005</v>
      </c>
      <c r="D5224" t="s">
        <v>31</v>
      </c>
      <c r="E5224" s="3">
        <f t="shared" ref="E5224:F5224" si="3334">SUM(E424+E1384+E2344+E3304+E4264)</f>
        <v>4115</v>
      </c>
      <c r="F5224" s="3">
        <f t="shared" si="3334"/>
        <v>3905</v>
      </c>
      <c r="G5224" s="1">
        <f t="shared" si="3231"/>
        <v>8020</v>
      </c>
      <c r="H5224" s="2">
        <f t="shared" si="3232"/>
        <v>0.51309226932668328</v>
      </c>
      <c r="I5224" s="2">
        <f t="shared" si="3233"/>
        <v>0.48690773067331672</v>
      </c>
      <c r="J5224" s="3">
        <f t="shared" ref="J5224:K5224" si="3335">SUM(J424+J1384+J2344+J3304+J4264)</f>
        <v>1146621.1200000001</v>
      </c>
      <c r="K5224" s="3">
        <f t="shared" si="3335"/>
        <v>3157519.72</v>
      </c>
      <c r="L5224" s="1">
        <f t="shared" si="3259"/>
        <v>4304140.84</v>
      </c>
      <c r="M5224" s="2">
        <f t="shared" si="3260"/>
        <v>0.26639953538323347</v>
      </c>
      <c r="N5224" s="2">
        <f t="shared" si="3261"/>
        <v>0.73360046461676665</v>
      </c>
    </row>
    <row r="5225" spans="1:14" x14ac:dyDescent="0.35">
      <c r="A5225" t="s">
        <v>38</v>
      </c>
      <c r="B5225" t="s">
        <v>21</v>
      </c>
      <c r="C5225">
        <v>2005</v>
      </c>
      <c r="D5225" t="s">
        <v>31</v>
      </c>
      <c r="E5225" s="3">
        <f t="shared" ref="E5225:F5225" si="3336">SUM(E425+E1385+E2345+E3305+E4265)</f>
        <v>4049</v>
      </c>
      <c r="F5225" s="3">
        <f t="shared" si="3336"/>
        <v>3911</v>
      </c>
      <c r="G5225" s="1">
        <f t="shared" si="3231"/>
        <v>7960</v>
      </c>
      <c r="H5225" s="2">
        <f t="shared" si="3232"/>
        <v>0.50866834170854269</v>
      </c>
      <c r="I5225" s="2">
        <f t="shared" si="3233"/>
        <v>0.49133165829145731</v>
      </c>
      <c r="J5225" s="3">
        <f t="shared" ref="J5225:K5225" si="3337">SUM(J425+J1385+J2345+J3305+J4265)</f>
        <v>1268565.93</v>
      </c>
      <c r="K5225" s="3">
        <f t="shared" si="3337"/>
        <v>3044661.53</v>
      </c>
      <c r="L5225" s="1">
        <f t="shared" si="3259"/>
        <v>4313227.46</v>
      </c>
      <c r="M5225" s="2">
        <f t="shared" si="3260"/>
        <v>0.29411060320013821</v>
      </c>
      <c r="N5225" s="2">
        <f t="shared" si="3261"/>
        <v>0.70588939679986173</v>
      </c>
    </row>
    <row r="5226" spans="1:14" x14ac:dyDescent="0.35">
      <c r="A5226" t="s">
        <v>38</v>
      </c>
      <c r="B5226" t="s">
        <v>22</v>
      </c>
      <c r="C5226">
        <v>2005</v>
      </c>
      <c r="D5226" t="s">
        <v>31</v>
      </c>
      <c r="E5226" s="3">
        <f t="shared" ref="E5226:F5226" si="3338">SUM(E426+E1386+E2346+E3306+E4266)</f>
        <v>3997</v>
      </c>
      <c r="F5226" s="3">
        <f t="shared" si="3338"/>
        <v>3968</v>
      </c>
      <c r="G5226" s="1">
        <f t="shared" si="3231"/>
        <v>7965</v>
      </c>
      <c r="H5226" s="2">
        <f t="shared" si="3232"/>
        <v>0.50182046453232898</v>
      </c>
      <c r="I5226" s="2">
        <f t="shared" si="3233"/>
        <v>0.49817953546767108</v>
      </c>
      <c r="J5226" s="3">
        <f t="shared" ref="J5226:K5226" si="3339">SUM(J426+J1386+J2346+J3306+J4266)</f>
        <v>1259596.94</v>
      </c>
      <c r="K5226" s="3">
        <f t="shared" si="3339"/>
        <v>2922659.7199999997</v>
      </c>
      <c r="L5226" s="1">
        <f t="shared" si="3259"/>
        <v>4182256.6599999997</v>
      </c>
      <c r="M5226" s="2">
        <f t="shared" si="3260"/>
        <v>0.30117638452155637</v>
      </c>
      <c r="N5226" s="2">
        <f t="shared" si="3261"/>
        <v>0.69882361547844363</v>
      </c>
    </row>
    <row r="5227" spans="1:14" x14ac:dyDescent="0.35">
      <c r="A5227" t="s">
        <v>38</v>
      </c>
      <c r="B5227" t="s">
        <v>23</v>
      </c>
      <c r="C5227">
        <v>2005</v>
      </c>
      <c r="D5227" t="s">
        <v>31</v>
      </c>
      <c r="E5227" s="3">
        <f t="shared" ref="E5227:F5227" si="3340">SUM(E427+E1387+E2347+E3307+E4267)</f>
        <v>3709</v>
      </c>
      <c r="F5227" s="3">
        <f t="shared" si="3340"/>
        <v>4326</v>
      </c>
      <c r="G5227" s="1">
        <f t="shared" si="3231"/>
        <v>8035</v>
      </c>
      <c r="H5227" s="2">
        <f t="shared" si="3232"/>
        <v>0.46160547604231489</v>
      </c>
      <c r="I5227" s="2">
        <f t="shared" si="3233"/>
        <v>0.53839452395768517</v>
      </c>
      <c r="J5227" s="3">
        <f t="shared" ref="J5227:K5227" si="3341">SUM(J427+J1387+J2347+J3307+J4267)</f>
        <v>1165862.95</v>
      </c>
      <c r="K5227" s="3">
        <f t="shared" si="3341"/>
        <v>3292707.0200000005</v>
      </c>
      <c r="L5227" s="1">
        <f t="shared" si="3259"/>
        <v>4458569.9700000007</v>
      </c>
      <c r="M5227" s="2">
        <f t="shared" si="3260"/>
        <v>0.26148809098985604</v>
      </c>
      <c r="N5227" s="2">
        <f t="shared" si="3261"/>
        <v>0.73851190901014385</v>
      </c>
    </row>
    <row r="5228" spans="1:14" x14ac:dyDescent="0.35">
      <c r="A5228" t="s">
        <v>38</v>
      </c>
      <c r="B5228" t="s">
        <v>24</v>
      </c>
      <c r="C5228">
        <v>2005</v>
      </c>
      <c r="D5228" t="s">
        <v>31</v>
      </c>
      <c r="E5228" s="3">
        <f t="shared" ref="E5228:F5228" si="3342">SUM(E428+E1388+E2348+E3308+E4268)</f>
        <v>3580</v>
      </c>
      <c r="F5228" s="3">
        <f t="shared" si="3342"/>
        <v>4357</v>
      </c>
      <c r="G5228" s="1">
        <f t="shared" si="3231"/>
        <v>7937</v>
      </c>
      <c r="H5228" s="2">
        <f t="shared" si="3232"/>
        <v>0.45105203477384403</v>
      </c>
      <c r="I5228" s="2">
        <f t="shared" si="3233"/>
        <v>0.54894796522615597</v>
      </c>
      <c r="J5228" s="3">
        <f t="shared" ref="J5228:K5228" si="3343">SUM(J428+J1388+J2348+J3308+J4268)</f>
        <v>1197207.83</v>
      </c>
      <c r="K5228" s="3">
        <f t="shared" si="3343"/>
        <v>3190049.6599999997</v>
      </c>
      <c r="L5228" s="1">
        <f t="shared" si="3259"/>
        <v>4387257.49</v>
      </c>
      <c r="M5228" s="2">
        <f t="shared" si="3260"/>
        <v>0.27288296452369837</v>
      </c>
      <c r="N5228" s="2">
        <f t="shared" si="3261"/>
        <v>0.72711703547630147</v>
      </c>
    </row>
    <row r="5229" spans="1:14" x14ac:dyDescent="0.35">
      <c r="A5229" t="s">
        <v>38</v>
      </c>
      <c r="B5229" t="s">
        <v>25</v>
      </c>
      <c r="C5229">
        <v>2005</v>
      </c>
      <c r="D5229" t="s">
        <v>31</v>
      </c>
      <c r="E5229" s="3">
        <f t="shared" ref="E5229:F5229" si="3344">SUM(E429+E1389+E2349+E3309+E4269)</f>
        <v>3582</v>
      </c>
      <c r="F5229" s="3">
        <f t="shared" si="3344"/>
        <v>4532</v>
      </c>
      <c r="G5229" s="1">
        <f t="shared" si="3231"/>
        <v>8114</v>
      </c>
      <c r="H5229" s="2">
        <f t="shared" si="3232"/>
        <v>0.44145920631008134</v>
      </c>
      <c r="I5229" s="2">
        <f t="shared" si="3233"/>
        <v>0.55854079368991871</v>
      </c>
      <c r="J5229" s="3">
        <f t="shared" ref="J5229:K5229" si="3345">SUM(J429+J1389+J2349+J3309+J4269)</f>
        <v>1221733.04</v>
      </c>
      <c r="K5229" s="3">
        <f t="shared" si="3345"/>
        <v>3326135.55</v>
      </c>
      <c r="L5229" s="1">
        <f t="shared" si="3259"/>
        <v>4547868.59</v>
      </c>
      <c r="M5229" s="2">
        <f t="shared" si="3260"/>
        <v>0.2686385975809385</v>
      </c>
      <c r="N5229" s="2">
        <f t="shared" si="3261"/>
        <v>0.73136140241906156</v>
      </c>
    </row>
    <row r="5230" spans="1:14" x14ac:dyDescent="0.35">
      <c r="A5230" t="s">
        <v>38</v>
      </c>
      <c r="B5230" t="s">
        <v>26</v>
      </c>
      <c r="C5230">
        <v>2005</v>
      </c>
      <c r="D5230" t="s">
        <v>31</v>
      </c>
      <c r="E5230" s="3">
        <f t="shared" ref="E5230:F5230" si="3346">SUM(E430+E1390+E2350+E3310+E4270)</f>
        <v>3498</v>
      </c>
      <c r="F5230" s="3">
        <f t="shared" si="3346"/>
        <v>4511</v>
      </c>
      <c r="G5230" s="1">
        <f t="shared" si="3231"/>
        <v>8009</v>
      </c>
      <c r="H5230" s="2">
        <f t="shared" si="3232"/>
        <v>0.436758646522662</v>
      </c>
      <c r="I5230" s="2">
        <f t="shared" si="3233"/>
        <v>0.56324135347733795</v>
      </c>
      <c r="J5230" s="3">
        <f t="shared" ref="J5230:K5230" si="3347">SUM(J430+J1390+J2350+J3310+J4270)</f>
        <v>1230434.1100000001</v>
      </c>
      <c r="K5230" s="3">
        <f t="shared" si="3347"/>
        <v>3381890.06</v>
      </c>
      <c r="L5230" s="1">
        <f t="shared" si="3259"/>
        <v>4612324.17</v>
      </c>
      <c r="M5230" s="2">
        <f t="shared" si="3260"/>
        <v>0.26677095205127355</v>
      </c>
      <c r="N5230" s="2">
        <f t="shared" si="3261"/>
        <v>0.73322904794872645</v>
      </c>
    </row>
    <row r="5231" spans="1:14" x14ac:dyDescent="0.35">
      <c r="A5231" t="s">
        <v>38</v>
      </c>
      <c r="B5231" t="s">
        <v>27</v>
      </c>
      <c r="C5231">
        <v>2005</v>
      </c>
      <c r="D5231" t="s">
        <v>31</v>
      </c>
      <c r="E5231" s="3">
        <f t="shared" ref="E5231:F5231" si="3348">SUM(E431+E1391+E2351+E3311+E4271)</f>
        <v>3454</v>
      </c>
      <c r="F5231" s="3">
        <f t="shared" si="3348"/>
        <v>4538</v>
      </c>
      <c r="G5231" s="1">
        <f t="shared" si="3231"/>
        <v>7992</v>
      </c>
      <c r="H5231" s="2">
        <f t="shared" si="3232"/>
        <v>0.43218218218218218</v>
      </c>
      <c r="I5231" s="2">
        <f t="shared" si="3233"/>
        <v>0.56781781781781782</v>
      </c>
      <c r="J5231" s="3">
        <f t="shared" ref="J5231:K5231" si="3349">SUM(J431+J1391+J2351+J3311+J4271)</f>
        <v>1072125.5599999998</v>
      </c>
      <c r="K5231" s="3">
        <f t="shared" si="3349"/>
        <v>3140119.55</v>
      </c>
      <c r="L5231" s="1">
        <f t="shared" si="3259"/>
        <v>4212245.1099999994</v>
      </c>
      <c r="M5231" s="2">
        <f t="shared" si="3260"/>
        <v>0.25452591955172332</v>
      </c>
      <c r="N5231" s="2">
        <f t="shared" si="3261"/>
        <v>0.74547408044827668</v>
      </c>
    </row>
    <row r="5232" spans="1:14" x14ac:dyDescent="0.35">
      <c r="A5232" t="s">
        <v>38</v>
      </c>
      <c r="B5232" t="s">
        <v>28</v>
      </c>
      <c r="C5232">
        <v>2005</v>
      </c>
      <c r="D5232" t="s">
        <v>31</v>
      </c>
      <c r="E5232" s="3">
        <f t="shared" ref="E5232:F5232" si="3350">SUM(E432+E1392+E2352+E3312+E4272)</f>
        <v>3397</v>
      </c>
      <c r="F5232" s="3">
        <f t="shared" si="3350"/>
        <v>4573</v>
      </c>
      <c r="G5232" s="1">
        <f t="shared" si="3231"/>
        <v>7970</v>
      </c>
      <c r="H5232" s="2">
        <f t="shared" si="3232"/>
        <v>0.42622333751568381</v>
      </c>
      <c r="I5232" s="2">
        <f t="shared" si="3233"/>
        <v>0.57377666248431614</v>
      </c>
      <c r="J5232" s="3">
        <f t="shared" ref="J5232:K5232" si="3351">SUM(J432+J1392+J2352+J3312+J4272)</f>
        <v>1102278.9099999999</v>
      </c>
      <c r="K5232" s="3">
        <f t="shared" si="3351"/>
        <v>3122786.7299999995</v>
      </c>
      <c r="L5232" s="1">
        <f t="shared" si="3259"/>
        <v>4225065.6399999997</v>
      </c>
      <c r="M5232" s="2">
        <f t="shared" si="3260"/>
        <v>0.26089036335066262</v>
      </c>
      <c r="N5232" s="2">
        <f t="shared" si="3261"/>
        <v>0.73910963664933726</v>
      </c>
    </row>
    <row r="5233" spans="1:14" x14ac:dyDescent="0.35">
      <c r="A5233" t="s">
        <v>38</v>
      </c>
      <c r="B5233" t="s">
        <v>29</v>
      </c>
      <c r="C5233">
        <v>2005</v>
      </c>
      <c r="D5233" t="s">
        <v>31</v>
      </c>
      <c r="E5233" s="3">
        <f t="shared" ref="E5233:F5233" si="3352">SUM(E433+E1393+E2353+E3313+E4273)</f>
        <v>3372</v>
      </c>
      <c r="F5233" s="3">
        <f t="shared" si="3352"/>
        <v>4573</v>
      </c>
      <c r="G5233" s="1">
        <f t="shared" si="3231"/>
        <v>7945</v>
      </c>
      <c r="H5233" s="2">
        <f t="shared" si="3232"/>
        <v>0.42441787287602267</v>
      </c>
      <c r="I5233" s="2">
        <f t="shared" si="3233"/>
        <v>0.57558212712397738</v>
      </c>
      <c r="J5233" s="3">
        <f t="shared" ref="J5233:K5233" si="3353">SUM(J433+J1393+J2353+J3313+J4273)</f>
        <v>1050645.77</v>
      </c>
      <c r="K5233" s="3">
        <f t="shared" si="3353"/>
        <v>3167630.59</v>
      </c>
      <c r="L5233" s="1">
        <f t="shared" si="3259"/>
        <v>4218276.3599999994</v>
      </c>
      <c r="M5233" s="2">
        <f t="shared" si="3260"/>
        <v>0.24906992343194892</v>
      </c>
      <c r="N5233" s="2">
        <f t="shared" si="3261"/>
        <v>0.75093007656805122</v>
      </c>
    </row>
    <row r="5234" spans="1:14" x14ac:dyDescent="0.35">
      <c r="A5234" t="s">
        <v>38</v>
      </c>
      <c r="B5234" t="s">
        <v>17</v>
      </c>
      <c r="C5234">
        <v>2006</v>
      </c>
      <c r="D5234" t="s">
        <v>31</v>
      </c>
      <c r="E5234" s="3">
        <f t="shared" ref="E5234:F5234" si="3354">SUM(E434+E1394+E2354+E3314+E4274)</f>
        <v>3384</v>
      </c>
      <c r="F5234" s="3">
        <f t="shared" si="3354"/>
        <v>4810</v>
      </c>
      <c r="G5234" s="1">
        <f t="shared" si="3231"/>
        <v>8194</v>
      </c>
      <c r="H5234" s="2">
        <f t="shared" si="3232"/>
        <v>0.41298511105687086</v>
      </c>
      <c r="I5234" s="2">
        <f t="shared" si="3233"/>
        <v>0.58701488894312914</v>
      </c>
      <c r="J5234" s="3">
        <f t="shared" ref="J5234:K5234" si="3355">SUM(J434+J1394+J2354+J3314+J4274)</f>
        <v>1115248.8799999999</v>
      </c>
      <c r="K5234" s="3">
        <f t="shared" si="3355"/>
        <v>3032729.72</v>
      </c>
      <c r="L5234" s="1">
        <f t="shared" si="3259"/>
        <v>4147978.6</v>
      </c>
      <c r="M5234" s="2">
        <f t="shared" si="3260"/>
        <v>0.26886563011679954</v>
      </c>
      <c r="N5234" s="2">
        <f t="shared" si="3261"/>
        <v>0.73113436988320046</v>
      </c>
    </row>
    <row r="5235" spans="1:14" x14ac:dyDescent="0.35">
      <c r="A5235" t="s">
        <v>38</v>
      </c>
      <c r="B5235" t="s">
        <v>19</v>
      </c>
      <c r="C5235">
        <v>2006</v>
      </c>
      <c r="D5235" t="s">
        <v>31</v>
      </c>
      <c r="E5235" s="3">
        <f t="shared" ref="E5235:F5235" si="3356">SUM(E435+E1395+E2355+E3315+E4275)</f>
        <v>3348</v>
      </c>
      <c r="F5235" s="3">
        <f t="shared" si="3356"/>
        <v>4780</v>
      </c>
      <c r="G5235" s="1">
        <f t="shared" si="3231"/>
        <v>8128</v>
      </c>
      <c r="H5235" s="2">
        <f t="shared" si="3232"/>
        <v>0.41190944881889763</v>
      </c>
      <c r="I5235" s="2">
        <f t="shared" si="3233"/>
        <v>0.58809055118110232</v>
      </c>
      <c r="J5235" s="3">
        <f t="shared" ref="J5235:K5235" si="3357">SUM(J435+J1395+J2355+J3315+J4275)</f>
        <v>1205874.0900000001</v>
      </c>
      <c r="K5235" s="3">
        <f t="shared" si="3357"/>
        <v>2883842.96</v>
      </c>
      <c r="L5235" s="1">
        <f t="shared" si="3259"/>
        <v>4089717.05</v>
      </c>
      <c r="M5235" s="2">
        <f t="shared" si="3260"/>
        <v>0.29485513918377315</v>
      </c>
      <c r="N5235" s="2">
        <f t="shared" si="3261"/>
        <v>0.70514486081622696</v>
      </c>
    </row>
    <row r="5236" spans="1:14" x14ac:dyDescent="0.35">
      <c r="A5236" t="s">
        <v>38</v>
      </c>
      <c r="B5236" t="s">
        <v>20</v>
      </c>
      <c r="C5236">
        <v>2006</v>
      </c>
      <c r="D5236" t="s">
        <v>31</v>
      </c>
      <c r="E5236" s="3">
        <f t="shared" ref="E5236:F5236" si="3358">SUM(E436+E1396+E2356+E3316+E4276)</f>
        <v>3396</v>
      </c>
      <c r="F5236" s="3">
        <f t="shared" si="3358"/>
        <v>4978</v>
      </c>
      <c r="G5236" s="1">
        <f t="shared" si="3231"/>
        <v>8374</v>
      </c>
      <c r="H5236" s="2">
        <f t="shared" si="3232"/>
        <v>0.40554096011464058</v>
      </c>
      <c r="I5236" s="2">
        <f t="shared" si="3233"/>
        <v>0.59445903988535942</v>
      </c>
      <c r="J5236" s="3">
        <f t="shared" ref="J5236:K5236" si="3359">SUM(J436+J1396+J2356+J3316+J4276)</f>
        <v>1080205.71</v>
      </c>
      <c r="K5236" s="3">
        <f t="shared" si="3359"/>
        <v>3354858.53</v>
      </c>
      <c r="L5236" s="1">
        <f t="shared" si="3259"/>
        <v>4435064.24</v>
      </c>
      <c r="M5236" s="2">
        <f t="shared" si="3260"/>
        <v>0.24356033003030411</v>
      </c>
      <c r="N5236" s="2">
        <f t="shared" si="3261"/>
        <v>0.7564396699696958</v>
      </c>
    </row>
    <row r="5237" spans="1:14" x14ac:dyDescent="0.35">
      <c r="A5237" t="s">
        <v>38</v>
      </c>
      <c r="B5237" t="s">
        <v>21</v>
      </c>
      <c r="C5237">
        <v>2006</v>
      </c>
      <c r="D5237" t="s">
        <v>31</v>
      </c>
      <c r="E5237" s="3">
        <f t="shared" ref="E5237:F5237" si="3360">SUM(E437+E1397+E2357+E3317+E4277)</f>
        <v>3310</v>
      </c>
      <c r="F5237" s="3">
        <f t="shared" si="3360"/>
        <v>4797</v>
      </c>
      <c r="G5237" s="1">
        <f t="shared" si="3231"/>
        <v>8107</v>
      </c>
      <c r="H5237" s="2">
        <f t="shared" si="3232"/>
        <v>0.40828913284815593</v>
      </c>
      <c r="I5237" s="2">
        <f t="shared" si="3233"/>
        <v>0.59171086715184407</v>
      </c>
      <c r="J5237" s="3">
        <f t="shared" ref="J5237:K5237" si="3361">SUM(J437+J1397+J2357+J3317+J4277)</f>
        <v>1169039.31</v>
      </c>
      <c r="K5237" s="3">
        <f t="shared" si="3361"/>
        <v>3406118.39</v>
      </c>
      <c r="L5237" s="1">
        <f t="shared" si="3259"/>
        <v>4575157.7</v>
      </c>
      <c r="M5237" s="2">
        <f t="shared" si="3260"/>
        <v>0.25551891030991131</v>
      </c>
      <c r="N5237" s="2">
        <f t="shared" si="3261"/>
        <v>0.74448108969008875</v>
      </c>
    </row>
    <row r="5238" spans="1:14" x14ac:dyDescent="0.35">
      <c r="A5238" t="s">
        <v>38</v>
      </c>
      <c r="B5238" t="s">
        <v>22</v>
      </c>
      <c r="C5238">
        <v>2006</v>
      </c>
      <c r="D5238" t="s">
        <v>31</v>
      </c>
      <c r="E5238" s="3">
        <f t="shared" ref="E5238:F5238" si="3362">SUM(E438+E1398+E2358+E3318+E4278)</f>
        <v>3375</v>
      </c>
      <c r="F5238" s="3">
        <f t="shared" si="3362"/>
        <v>4936</v>
      </c>
      <c r="G5238" s="1">
        <f t="shared" si="3231"/>
        <v>8311</v>
      </c>
      <c r="H5238" s="2">
        <f t="shared" si="3232"/>
        <v>0.4060883166887258</v>
      </c>
      <c r="I5238" s="2">
        <f t="shared" si="3233"/>
        <v>0.5939116833112742</v>
      </c>
      <c r="J5238" s="3">
        <f t="shared" ref="J5238:K5238" si="3363">SUM(J438+J1398+J2358+J3318+J4278)</f>
        <v>1086106.71</v>
      </c>
      <c r="K5238" s="3">
        <f t="shared" si="3363"/>
        <v>3479624.28</v>
      </c>
      <c r="L5238" s="1">
        <f t="shared" si="3259"/>
        <v>4565730.99</v>
      </c>
      <c r="M5238" s="2">
        <f t="shared" si="3260"/>
        <v>0.23788232648371602</v>
      </c>
      <c r="N5238" s="2">
        <f t="shared" si="3261"/>
        <v>0.7621176735162839</v>
      </c>
    </row>
    <row r="5239" spans="1:14" x14ac:dyDescent="0.35">
      <c r="A5239" t="s">
        <v>38</v>
      </c>
      <c r="B5239" t="s">
        <v>23</v>
      </c>
      <c r="C5239">
        <v>2006</v>
      </c>
      <c r="D5239" t="s">
        <v>31</v>
      </c>
      <c r="E5239" s="3">
        <f t="shared" ref="E5239:F5239" si="3364">SUM(E439+E1399+E2359+E3319+E4279)</f>
        <v>3342</v>
      </c>
      <c r="F5239" s="3">
        <f t="shared" si="3364"/>
        <v>4951</v>
      </c>
      <c r="G5239" s="1">
        <f t="shared" ref="G5239:G5302" si="3365">SUM(E5239:F5239)</f>
        <v>8293</v>
      </c>
      <c r="H5239" s="2">
        <f t="shared" ref="H5239:H5302" si="3366">SUM(E5239)/G5239</f>
        <v>0.40299047389364523</v>
      </c>
      <c r="I5239" s="2">
        <f t="shared" ref="I5239:I5302" si="3367">SUM(F5239/G5239)</f>
        <v>0.59700952610635472</v>
      </c>
      <c r="J5239" s="3">
        <f t="shared" ref="J5239:K5239" si="3368">SUM(J439+J1399+J2359+J3319+J4279)</f>
        <v>1189744.0299999998</v>
      </c>
      <c r="K5239" s="3">
        <f t="shared" si="3368"/>
        <v>3627752.83</v>
      </c>
      <c r="L5239" s="1">
        <f t="shared" si="3259"/>
        <v>4817496.8599999994</v>
      </c>
      <c r="M5239" s="2">
        <f t="shared" si="3260"/>
        <v>0.24696311478239344</v>
      </c>
      <c r="N5239" s="2">
        <f t="shared" si="3261"/>
        <v>0.7530368852176067</v>
      </c>
    </row>
    <row r="5240" spans="1:14" x14ac:dyDescent="0.35">
      <c r="A5240" t="s">
        <v>38</v>
      </c>
      <c r="B5240" t="s">
        <v>24</v>
      </c>
      <c r="C5240">
        <v>2006</v>
      </c>
      <c r="D5240" t="s">
        <v>31</v>
      </c>
      <c r="E5240" s="3">
        <f t="shared" ref="E5240:F5240" si="3369">SUM(E440+E1400+E2360+E3320+E4280)</f>
        <v>3301</v>
      </c>
      <c r="F5240" s="3">
        <f t="shared" si="3369"/>
        <v>5009</v>
      </c>
      <c r="G5240" s="1">
        <f t="shared" si="3365"/>
        <v>8310</v>
      </c>
      <c r="H5240" s="2">
        <f t="shared" si="3366"/>
        <v>0.39723225030084236</v>
      </c>
      <c r="I5240" s="2">
        <f t="shared" si="3367"/>
        <v>0.6027677496991577</v>
      </c>
      <c r="J5240" s="3">
        <f t="shared" ref="J5240:K5240" si="3370">SUM(J440+J1400+J2360+J3320+J4280)</f>
        <v>1285287.03</v>
      </c>
      <c r="K5240" s="3">
        <f t="shared" si="3370"/>
        <v>3573188.17</v>
      </c>
      <c r="L5240" s="1">
        <f t="shared" si="3259"/>
        <v>4858475.2</v>
      </c>
      <c r="M5240" s="2">
        <f t="shared" si="3260"/>
        <v>0.2645453515950848</v>
      </c>
      <c r="N5240" s="2">
        <f t="shared" si="3261"/>
        <v>0.73545464840491515</v>
      </c>
    </row>
    <row r="5241" spans="1:14" x14ac:dyDescent="0.35">
      <c r="A5241" t="s">
        <v>38</v>
      </c>
      <c r="B5241" t="s">
        <v>25</v>
      </c>
      <c r="C5241">
        <v>2006</v>
      </c>
      <c r="D5241" t="s">
        <v>31</v>
      </c>
      <c r="E5241" s="3">
        <f t="shared" ref="E5241:F5241" si="3371">SUM(E441+E1401+E2361+E3321+E4281)</f>
        <v>3335</v>
      </c>
      <c r="F5241" s="3">
        <f t="shared" si="3371"/>
        <v>5140</v>
      </c>
      <c r="G5241" s="1">
        <f t="shared" si="3365"/>
        <v>8475</v>
      </c>
      <c r="H5241" s="2">
        <f t="shared" si="3366"/>
        <v>0.39351032448377582</v>
      </c>
      <c r="I5241" s="2">
        <f t="shared" si="3367"/>
        <v>0.60648967551622424</v>
      </c>
      <c r="J5241" s="3">
        <f t="shared" ref="J5241:K5241" si="3372">SUM(J441+J1401+J2361+J3321+J4281)</f>
        <v>1205264.7799999998</v>
      </c>
      <c r="K5241" s="3">
        <f t="shared" si="3372"/>
        <v>3481382.85</v>
      </c>
      <c r="L5241" s="1">
        <f t="shared" si="3259"/>
        <v>4686647.63</v>
      </c>
      <c r="M5241" s="2">
        <f t="shared" si="3260"/>
        <v>0.25716991656998112</v>
      </c>
      <c r="N5241" s="2">
        <f t="shared" si="3261"/>
        <v>0.74283008343001888</v>
      </c>
    </row>
    <row r="5242" spans="1:14" x14ac:dyDescent="0.35">
      <c r="A5242" t="s">
        <v>38</v>
      </c>
      <c r="B5242" t="s">
        <v>26</v>
      </c>
      <c r="C5242">
        <v>2006</v>
      </c>
      <c r="D5242" t="s">
        <v>31</v>
      </c>
      <c r="E5242" s="3">
        <f t="shared" ref="E5242:F5242" si="3373">SUM(E442+E1402+E2362+E3322+E4282)</f>
        <v>3250</v>
      </c>
      <c r="F5242" s="3">
        <f t="shared" si="3373"/>
        <v>5074</v>
      </c>
      <c r="G5242" s="1">
        <f t="shared" si="3365"/>
        <v>8324</v>
      </c>
      <c r="H5242" s="2">
        <f t="shared" si="3366"/>
        <v>0.39043728976453629</v>
      </c>
      <c r="I5242" s="2">
        <f t="shared" si="3367"/>
        <v>0.60956271023546371</v>
      </c>
      <c r="J5242" s="3">
        <f t="shared" ref="J5242:K5242" si="3374">SUM(J442+J1402+J2362+J3322+J4282)</f>
        <v>1280534.27</v>
      </c>
      <c r="K5242" s="3">
        <f t="shared" si="3374"/>
        <v>3539802.8800000004</v>
      </c>
      <c r="L5242" s="1">
        <f t="shared" si="3259"/>
        <v>4820337.1500000004</v>
      </c>
      <c r="M5242" s="2">
        <f t="shared" si="3260"/>
        <v>0.26565242848210313</v>
      </c>
      <c r="N5242" s="2">
        <f t="shared" si="3261"/>
        <v>0.73434757151789687</v>
      </c>
    </row>
    <row r="5243" spans="1:14" x14ac:dyDescent="0.35">
      <c r="A5243" t="s">
        <v>38</v>
      </c>
      <c r="B5243" t="s">
        <v>27</v>
      </c>
      <c r="C5243">
        <v>2006</v>
      </c>
      <c r="D5243" t="s">
        <v>31</v>
      </c>
      <c r="E5243" s="3">
        <f t="shared" ref="E5243:F5243" si="3375">SUM(E443+E1403+E2363+E3323+E4283)</f>
        <v>3272</v>
      </c>
      <c r="F5243" s="3">
        <f t="shared" si="3375"/>
        <v>5037</v>
      </c>
      <c r="G5243" s="1">
        <f t="shared" si="3365"/>
        <v>8309</v>
      </c>
      <c r="H5243" s="2">
        <f t="shared" si="3366"/>
        <v>0.39378986640991698</v>
      </c>
      <c r="I5243" s="2">
        <f t="shared" si="3367"/>
        <v>0.60621013359008302</v>
      </c>
      <c r="J5243" s="3">
        <f t="shared" ref="J5243:K5243" si="3376">SUM(J443+J1403+J2363+J3323+J4283)</f>
        <v>1207253.6400000001</v>
      </c>
      <c r="K5243" s="3">
        <f t="shared" si="3376"/>
        <v>3533272.9400000004</v>
      </c>
      <c r="L5243" s="1">
        <f t="shared" si="3259"/>
        <v>4740526.58</v>
      </c>
      <c r="M5243" s="2">
        <f t="shared" si="3260"/>
        <v>0.25466656913038554</v>
      </c>
      <c r="N5243" s="2">
        <f t="shared" si="3261"/>
        <v>0.74533343086961457</v>
      </c>
    </row>
    <row r="5244" spans="1:14" x14ac:dyDescent="0.35">
      <c r="A5244" t="s">
        <v>38</v>
      </c>
      <c r="B5244" t="s">
        <v>28</v>
      </c>
      <c r="C5244">
        <v>2006</v>
      </c>
      <c r="D5244" t="s">
        <v>31</v>
      </c>
      <c r="E5244" s="3">
        <f t="shared" ref="E5244:F5244" si="3377">SUM(E444+E1404+E2364+E3324+E4284)</f>
        <v>3215</v>
      </c>
      <c r="F5244" s="3">
        <f t="shared" si="3377"/>
        <v>4994</v>
      </c>
      <c r="G5244" s="1">
        <f t="shared" si="3365"/>
        <v>8209</v>
      </c>
      <c r="H5244" s="2">
        <f t="shared" si="3366"/>
        <v>0.39164331830917287</v>
      </c>
      <c r="I5244" s="2">
        <f t="shared" si="3367"/>
        <v>0.60835668169082713</v>
      </c>
      <c r="J5244" s="3">
        <f t="shared" ref="J5244:K5244" si="3378">SUM(J444+J1404+J2364+J3324+J4284)</f>
        <v>1199786.1000000001</v>
      </c>
      <c r="K5244" s="3">
        <f t="shared" si="3378"/>
        <v>3218119.21</v>
      </c>
      <c r="L5244" s="1">
        <f t="shared" si="3259"/>
        <v>4417905.3100000005</v>
      </c>
      <c r="M5244" s="2">
        <f t="shared" si="3260"/>
        <v>0.27157352089105774</v>
      </c>
      <c r="N5244" s="2">
        <f t="shared" si="3261"/>
        <v>0.72842647910894209</v>
      </c>
    </row>
    <row r="5245" spans="1:14" x14ac:dyDescent="0.35">
      <c r="A5245" t="s">
        <v>38</v>
      </c>
      <c r="B5245" t="s">
        <v>29</v>
      </c>
      <c r="C5245">
        <v>2006</v>
      </c>
      <c r="D5245" t="s">
        <v>31</v>
      </c>
      <c r="E5245" s="3">
        <f t="shared" ref="E5245:F5245" si="3379">SUM(E445+E1405+E2365+E3325+E4285)</f>
        <v>3167</v>
      </c>
      <c r="F5245" s="3">
        <f t="shared" si="3379"/>
        <v>4939</v>
      </c>
      <c r="G5245" s="1">
        <f t="shared" si="3365"/>
        <v>8106</v>
      </c>
      <c r="H5245" s="2">
        <f t="shared" si="3366"/>
        <v>0.39069824821120158</v>
      </c>
      <c r="I5245" s="2">
        <f t="shared" si="3367"/>
        <v>0.60930175178879842</v>
      </c>
      <c r="J5245" s="3">
        <f t="shared" ref="J5245:K5245" si="3380">SUM(J445+J1405+J2365+J3325+J4285)</f>
        <v>1141742.3799999999</v>
      </c>
      <c r="K5245" s="3">
        <f t="shared" si="3380"/>
        <v>3056014.8499999996</v>
      </c>
      <c r="L5245" s="1">
        <f t="shared" si="3259"/>
        <v>4197757.2299999995</v>
      </c>
      <c r="M5245" s="2">
        <f t="shared" si="3260"/>
        <v>0.2719886638132239</v>
      </c>
      <c r="N5245" s="2">
        <f t="shared" si="3261"/>
        <v>0.72801133618677605</v>
      </c>
    </row>
    <row r="5246" spans="1:14" x14ac:dyDescent="0.35">
      <c r="A5246" t="s">
        <v>38</v>
      </c>
      <c r="B5246" t="s">
        <v>17</v>
      </c>
      <c r="C5246">
        <v>2007</v>
      </c>
      <c r="D5246" t="s">
        <v>31</v>
      </c>
      <c r="E5246" s="3">
        <f t="shared" ref="E5246:F5246" si="3381">SUM(E446+E1406+E2366+E3326+E4286)</f>
        <v>3205</v>
      </c>
      <c r="F5246" s="3">
        <f t="shared" si="3381"/>
        <v>5131</v>
      </c>
      <c r="G5246" s="1">
        <f t="shared" si="3365"/>
        <v>8336</v>
      </c>
      <c r="H5246" s="2">
        <f t="shared" si="3366"/>
        <v>0.38447696737044146</v>
      </c>
      <c r="I5246" s="2">
        <f t="shared" si="3367"/>
        <v>0.61552303262955854</v>
      </c>
      <c r="J5246" s="3">
        <f t="shared" ref="J5246:K5246" si="3382">SUM(J446+J1406+J2366+J3326+J4286)</f>
        <v>1172622.53</v>
      </c>
      <c r="K5246" s="3">
        <f t="shared" si="3382"/>
        <v>3020598.03</v>
      </c>
      <c r="L5246" s="1">
        <f t="shared" si="3259"/>
        <v>4193220.5599999996</v>
      </c>
      <c r="M5246" s="2">
        <f t="shared" si="3260"/>
        <v>0.27964723372433337</v>
      </c>
      <c r="N5246" s="2">
        <f t="shared" si="3261"/>
        <v>0.72035276627566669</v>
      </c>
    </row>
    <row r="5247" spans="1:14" x14ac:dyDescent="0.35">
      <c r="A5247" t="s">
        <v>38</v>
      </c>
      <c r="B5247" t="s">
        <v>19</v>
      </c>
      <c r="C5247">
        <v>2007</v>
      </c>
      <c r="D5247" t="s">
        <v>31</v>
      </c>
      <c r="E5247" s="3">
        <f t="shared" ref="E5247:F5247" si="3383">SUM(E447+E1407+E2367+E3327+E4287)</f>
        <v>3094</v>
      </c>
      <c r="F5247" s="3">
        <f t="shared" si="3383"/>
        <v>5118</v>
      </c>
      <c r="G5247" s="1">
        <f t="shared" si="3365"/>
        <v>8212</v>
      </c>
      <c r="H5247" s="2">
        <f t="shared" si="3366"/>
        <v>0.37676570871894788</v>
      </c>
      <c r="I5247" s="2">
        <f t="shared" si="3367"/>
        <v>0.62323429128105212</v>
      </c>
      <c r="J5247" s="3">
        <f t="shared" ref="J5247:K5247" si="3384">SUM(J447+J1407+J2367+J3327+J4287)</f>
        <v>1145671.3899999999</v>
      </c>
      <c r="K5247" s="3">
        <f t="shared" si="3384"/>
        <v>2999539.41</v>
      </c>
      <c r="L5247" s="1">
        <f t="shared" si="3259"/>
        <v>4145210.8</v>
      </c>
      <c r="M5247" s="2">
        <f t="shared" si="3260"/>
        <v>0.27638434937977097</v>
      </c>
      <c r="N5247" s="2">
        <f t="shared" si="3261"/>
        <v>0.72361565062022903</v>
      </c>
    </row>
    <row r="5248" spans="1:14" x14ac:dyDescent="0.35">
      <c r="A5248" t="s">
        <v>38</v>
      </c>
      <c r="B5248" t="s">
        <v>20</v>
      </c>
      <c r="C5248">
        <v>2007</v>
      </c>
      <c r="D5248" t="s">
        <v>31</v>
      </c>
      <c r="E5248" s="3">
        <f t="shared" ref="E5248:F5248" si="3385">SUM(E448+E1408+E2368+E3328+E4288)</f>
        <v>3123</v>
      </c>
      <c r="F5248" s="3">
        <f t="shared" si="3385"/>
        <v>5260</v>
      </c>
      <c r="G5248" s="1">
        <f t="shared" si="3365"/>
        <v>8383</v>
      </c>
      <c r="H5248" s="2">
        <f t="shared" si="3366"/>
        <v>0.37253966360491469</v>
      </c>
      <c r="I5248" s="2">
        <f t="shared" si="3367"/>
        <v>0.62746033639508525</v>
      </c>
      <c r="J5248" s="3">
        <f t="shared" ref="J5248:K5248" si="3386">SUM(J448+J1408+J2368+J3328+J4288)</f>
        <v>1076624.9000000001</v>
      </c>
      <c r="K5248" s="3">
        <f t="shared" si="3386"/>
        <v>2914492.29</v>
      </c>
      <c r="L5248" s="1">
        <f t="shared" si="3259"/>
        <v>3991117.1900000004</v>
      </c>
      <c r="M5248" s="2">
        <f t="shared" si="3260"/>
        <v>0.26975527120515347</v>
      </c>
      <c r="N5248" s="2">
        <f t="shared" si="3261"/>
        <v>0.73024472879484648</v>
      </c>
    </row>
    <row r="5249" spans="1:14" x14ac:dyDescent="0.35">
      <c r="A5249" t="s">
        <v>38</v>
      </c>
      <c r="B5249" t="s">
        <v>21</v>
      </c>
      <c r="C5249">
        <v>2007</v>
      </c>
      <c r="D5249" t="s">
        <v>31</v>
      </c>
      <c r="E5249" s="3">
        <f t="shared" ref="E5249:F5249" si="3387">SUM(E449+E1409+E2369+E3329+E4289)</f>
        <v>3062</v>
      </c>
      <c r="F5249" s="3">
        <f t="shared" si="3387"/>
        <v>5164</v>
      </c>
      <c r="G5249" s="1">
        <f t="shared" si="3365"/>
        <v>8226</v>
      </c>
      <c r="H5249" s="2">
        <f t="shared" si="3366"/>
        <v>0.37223437879893023</v>
      </c>
      <c r="I5249" s="2">
        <f t="shared" si="3367"/>
        <v>0.62776562120106982</v>
      </c>
      <c r="J5249" s="3">
        <f t="shared" ref="J5249:K5249" si="3388">SUM(J449+J1409+J2369+J3329+J4289)</f>
        <v>1249989.797</v>
      </c>
      <c r="K5249" s="3">
        <f t="shared" si="3388"/>
        <v>3327136.2119999998</v>
      </c>
      <c r="L5249" s="1">
        <f t="shared" si="3259"/>
        <v>4577126.0089999996</v>
      </c>
      <c r="M5249" s="2">
        <f t="shared" si="3260"/>
        <v>0.2730949059611088</v>
      </c>
      <c r="N5249" s="2">
        <f t="shared" si="3261"/>
        <v>0.72690509403889125</v>
      </c>
    </row>
    <row r="5250" spans="1:14" x14ac:dyDescent="0.35">
      <c r="A5250" t="s">
        <v>38</v>
      </c>
      <c r="B5250" t="s">
        <v>22</v>
      </c>
      <c r="C5250">
        <v>2007</v>
      </c>
      <c r="D5250" t="s">
        <v>31</v>
      </c>
      <c r="E5250" s="3">
        <f t="shared" ref="E5250:F5250" si="3389">SUM(E450+E1410+E2370+E3330+E4290)</f>
        <v>3089</v>
      </c>
      <c r="F5250" s="3">
        <f t="shared" si="3389"/>
        <v>5318</v>
      </c>
      <c r="G5250" s="1">
        <f t="shared" si="3365"/>
        <v>8407</v>
      </c>
      <c r="H5250" s="2">
        <f t="shared" si="3366"/>
        <v>0.36743190198643988</v>
      </c>
      <c r="I5250" s="2">
        <f t="shared" si="3367"/>
        <v>0.63256809801356018</v>
      </c>
      <c r="J5250" s="3">
        <f t="shared" ref="J5250:K5250" si="3390">SUM(J450+J1410+J2370+J3330+J4290)</f>
        <v>1140907.27</v>
      </c>
      <c r="K5250" s="3">
        <f t="shared" si="3390"/>
        <v>3367245.9509999999</v>
      </c>
      <c r="L5250" s="1">
        <f t="shared" si="3259"/>
        <v>4508153.2209999999</v>
      </c>
      <c r="M5250" s="2">
        <f t="shared" si="3260"/>
        <v>0.25307641822939719</v>
      </c>
      <c r="N5250" s="2">
        <f t="shared" si="3261"/>
        <v>0.74692358177060281</v>
      </c>
    </row>
    <row r="5251" spans="1:14" x14ac:dyDescent="0.35">
      <c r="A5251" t="s">
        <v>38</v>
      </c>
      <c r="B5251" t="s">
        <v>23</v>
      </c>
      <c r="C5251">
        <v>2007</v>
      </c>
      <c r="D5251" t="s">
        <v>31</v>
      </c>
      <c r="E5251" s="3">
        <f t="shared" ref="E5251:F5251" si="3391">SUM(E451+E1411+E2371+E3331+E4291)</f>
        <v>3068</v>
      </c>
      <c r="F5251" s="3">
        <f t="shared" si="3391"/>
        <v>5295</v>
      </c>
      <c r="G5251" s="1">
        <f t="shared" si="3365"/>
        <v>8363</v>
      </c>
      <c r="H5251" s="2">
        <f t="shared" si="3366"/>
        <v>0.36685399976085137</v>
      </c>
      <c r="I5251" s="2">
        <f t="shared" si="3367"/>
        <v>0.63314600023914858</v>
      </c>
      <c r="J5251" s="3">
        <f t="shared" ref="J5251:K5251" si="3392">SUM(J451+J1411+J2371+J3331+J4291)</f>
        <v>1326554.351</v>
      </c>
      <c r="K5251" s="3">
        <f t="shared" si="3392"/>
        <v>3603409.159</v>
      </c>
      <c r="L5251" s="1">
        <f t="shared" ref="L5251:L5314" si="3393">SUM(J5251:K5251)</f>
        <v>4929963.51</v>
      </c>
      <c r="M5251" s="2">
        <f t="shared" ref="M5251:M5314" si="3394">SUM(J5251)/L5251</f>
        <v>0.2690799532915813</v>
      </c>
      <c r="N5251" s="2">
        <f t="shared" ref="N5251:N5314" si="3395">SUM(K5251/L5251)</f>
        <v>0.73092004670841881</v>
      </c>
    </row>
    <row r="5252" spans="1:14" x14ac:dyDescent="0.35">
      <c r="A5252" t="s">
        <v>38</v>
      </c>
      <c r="B5252" t="s">
        <v>24</v>
      </c>
      <c r="C5252">
        <v>2007</v>
      </c>
      <c r="D5252" t="s">
        <v>31</v>
      </c>
      <c r="E5252" s="3">
        <f t="shared" ref="E5252:F5252" si="3396">SUM(E452+E1412+E2372+E3332+E4292)</f>
        <v>3058</v>
      </c>
      <c r="F5252" s="3">
        <f t="shared" si="3396"/>
        <v>5257</v>
      </c>
      <c r="G5252" s="1">
        <f t="shared" si="3365"/>
        <v>8315</v>
      </c>
      <c r="H5252" s="2">
        <f t="shared" si="3366"/>
        <v>0.36776909200240532</v>
      </c>
      <c r="I5252" s="2">
        <f t="shared" si="3367"/>
        <v>0.63223090799759474</v>
      </c>
      <c r="J5252" s="3">
        <f t="shared" ref="J5252:K5252" si="3397">SUM(J452+J1412+J2372+J3332+J4292)</f>
        <v>1311298.25</v>
      </c>
      <c r="K5252" s="3">
        <f t="shared" si="3397"/>
        <v>3570925.3000000003</v>
      </c>
      <c r="L5252" s="1">
        <f t="shared" si="3393"/>
        <v>4882223.5500000007</v>
      </c>
      <c r="M5252" s="2">
        <f t="shared" si="3394"/>
        <v>0.26858627766030907</v>
      </c>
      <c r="N5252" s="2">
        <f t="shared" si="3395"/>
        <v>0.73141372233969082</v>
      </c>
    </row>
    <row r="5253" spans="1:14" x14ac:dyDescent="0.35">
      <c r="A5253" t="s">
        <v>38</v>
      </c>
      <c r="B5253" t="s">
        <v>25</v>
      </c>
      <c r="C5253">
        <v>2007</v>
      </c>
      <c r="D5253" t="s">
        <v>31</v>
      </c>
      <c r="E5253" s="3">
        <f t="shared" ref="E5253:F5253" si="3398">SUM(E453+E1413+E2373+E3333+E4293)</f>
        <v>3058</v>
      </c>
      <c r="F5253" s="3">
        <f t="shared" si="3398"/>
        <v>5408</v>
      </c>
      <c r="G5253" s="1">
        <f t="shared" si="3365"/>
        <v>8466</v>
      </c>
      <c r="H5253" s="2">
        <f t="shared" si="3366"/>
        <v>0.3612095440585873</v>
      </c>
      <c r="I5253" s="2">
        <f t="shared" si="3367"/>
        <v>0.6387904559414127</v>
      </c>
      <c r="J5253" s="3">
        <f t="shared" ref="J5253:K5253" si="3399">SUM(J453+J1413+J2373+J3333+J4293)</f>
        <v>1282196.76</v>
      </c>
      <c r="K5253" s="3">
        <f t="shared" si="3399"/>
        <v>3431986.36</v>
      </c>
      <c r="L5253" s="1">
        <f t="shared" si="3393"/>
        <v>4714183.12</v>
      </c>
      <c r="M5253" s="2">
        <f t="shared" si="3394"/>
        <v>0.27198705000666157</v>
      </c>
      <c r="N5253" s="2">
        <f t="shared" si="3395"/>
        <v>0.72801294999333832</v>
      </c>
    </row>
    <row r="5254" spans="1:14" x14ac:dyDescent="0.35">
      <c r="A5254" t="s">
        <v>38</v>
      </c>
      <c r="B5254" t="s">
        <v>26</v>
      </c>
      <c r="C5254">
        <v>2007</v>
      </c>
      <c r="D5254" t="s">
        <v>31</v>
      </c>
      <c r="E5254" s="3">
        <f t="shared" ref="E5254:F5254" si="3400">SUM(E454+E1414+E2374+E3334+E4294)</f>
        <v>2969</v>
      </c>
      <c r="F5254" s="3">
        <f t="shared" si="3400"/>
        <v>5234</v>
      </c>
      <c r="G5254" s="1">
        <f t="shared" si="3365"/>
        <v>8203</v>
      </c>
      <c r="H5254" s="2">
        <f t="shared" si="3366"/>
        <v>0.36194075338290871</v>
      </c>
      <c r="I5254" s="2">
        <f t="shared" si="3367"/>
        <v>0.63805924661709135</v>
      </c>
      <c r="J5254" s="3">
        <f t="shared" ref="J5254:K5254" si="3401">SUM(J454+J1414+J2374+J3334+J4294)</f>
        <v>1335239.3</v>
      </c>
      <c r="K5254" s="3">
        <f t="shared" si="3401"/>
        <v>3443282.32</v>
      </c>
      <c r="L5254" s="1">
        <f t="shared" si="3393"/>
        <v>4778521.62</v>
      </c>
      <c r="M5254" s="2">
        <f t="shared" si="3394"/>
        <v>0.27942518757506429</v>
      </c>
      <c r="N5254" s="2">
        <f t="shared" si="3395"/>
        <v>0.72057481242493571</v>
      </c>
    </row>
    <row r="5255" spans="1:14" x14ac:dyDescent="0.35">
      <c r="A5255" t="s">
        <v>38</v>
      </c>
      <c r="B5255" t="s">
        <v>27</v>
      </c>
      <c r="C5255">
        <v>2007</v>
      </c>
      <c r="D5255" t="s">
        <v>31</v>
      </c>
      <c r="E5255" s="3">
        <f t="shared" ref="E5255:F5255" si="3402">SUM(E455+E1415+E2375+E3335+E4295)</f>
        <v>2973</v>
      </c>
      <c r="F5255" s="3">
        <f t="shared" si="3402"/>
        <v>5380</v>
      </c>
      <c r="G5255" s="1">
        <f t="shared" si="3365"/>
        <v>8353</v>
      </c>
      <c r="H5255" s="2">
        <f t="shared" si="3366"/>
        <v>0.35592002873219203</v>
      </c>
      <c r="I5255" s="2">
        <f t="shared" si="3367"/>
        <v>0.64407997126780803</v>
      </c>
      <c r="J5255" s="3">
        <f t="shared" ref="J5255:K5255" si="3403">SUM(J455+J1415+J2375+J3335+J4295)</f>
        <v>1277173.0699999998</v>
      </c>
      <c r="K5255" s="3">
        <f t="shared" si="3403"/>
        <v>3384751.5900000003</v>
      </c>
      <c r="L5255" s="1">
        <f t="shared" si="3393"/>
        <v>4661924.66</v>
      </c>
      <c r="M5255" s="2">
        <f t="shared" si="3394"/>
        <v>0.27395832475765486</v>
      </c>
      <c r="N5255" s="2">
        <f t="shared" si="3395"/>
        <v>0.72604167524234509</v>
      </c>
    </row>
    <row r="5256" spans="1:14" x14ac:dyDescent="0.35">
      <c r="A5256" t="s">
        <v>38</v>
      </c>
      <c r="B5256" t="s">
        <v>28</v>
      </c>
      <c r="C5256">
        <v>2007</v>
      </c>
      <c r="D5256" t="s">
        <v>31</v>
      </c>
      <c r="E5256" s="3">
        <f t="shared" ref="E5256:F5256" si="3404">SUM(E456+E1416+E2376+E3336+E4296)</f>
        <v>2963</v>
      </c>
      <c r="F5256" s="3">
        <f t="shared" si="3404"/>
        <v>5402</v>
      </c>
      <c r="G5256" s="1">
        <f t="shared" si="3365"/>
        <v>8365</v>
      </c>
      <c r="H5256" s="2">
        <f t="shared" si="3366"/>
        <v>0.35421398684997013</v>
      </c>
      <c r="I5256" s="2">
        <f t="shared" si="3367"/>
        <v>0.64578601315002993</v>
      </c>
      <c r="J5256" s="3">
        <f t="shared" ref="J5256:K5256" si="3405">SUM(J456+J1416+J2376+J3336+J4296)</f>
        <v>1242288.8399999999</v>
      </c>
      <c r="K5256" s="3">
        <f t="shared" si="3405"/>
        <v>3402329.27</v>
      </c>
      <c r="L5256" s="1">
        <f t="shared" si="3393"/>
        <v>4644618.1099999994</v>
      </c>
      <c r="M5256" s="2">
        <f t="shared" si="3394"/>
        <v>0.26746845716450085</v>
      </c>
      <c r="N5256" s="2">
        <f t="shared" si="3395"/>
        <v>0.73253154283549926</v>
      </c>
    </row>
    <row r="5257" spans="1:14" x14ac:dyDescent="0.35">
      <c r="A5257" t="s">
        <v>38</v>
      </c>
      <c r="B5257" t="s">
        <v>29</v>
      </c>
      <c r="C5257">
        <v>2007</v>
      </c>
      <c r="D5257" t="s">
        <v>31</v>
      </c>
      <c r="E5257" s="3">
        <f t="shared" ref="E5257:F5257" si="3406">SUM(E457+E1417+E2377+E3337+E4297)</f>
        <v>2962</v>
      </c>
      <c r="F5257" s="3">
        <f t="shared" si="3406"/>
        <v>5428</v>
      </c>
      <c r="G5257" s="1">
        <f t="shared" si="3365"/>
        <v>8390</v>
      </c>
      <c r="H5257" s="2">
        <f t="shared" si="3366"/>
        <v>0.35303933253873659</v>
      </c>
      <c r="I5257" s="2">
        <f t="shared" si="3367"/>
        <v>0.64696066746126346</v>
      </c>
      <c r="J5257" s="3">
        <f t="shared" ref="J5257:K5257" si="3407">SUM(J457+J1417+J2377+J3337+J4297)</f>
        <v>1280712.99</v>
      </c>
      <c r="K5257" s="3">
        <f t="shared" si="3407"/>
        <v>3405154.52</v>
      </c>
      <c r="L5257" s="1">
        <f t="shared" si="3393"/>
        <v>4685867.51</v>
      </c>
      <c r="M5257" s="2">
        <f t="shared" si="3394"/>
        <v>0.27331395675760367</v>
      </c>
      <c r="N5257" s="2">
        <f t="shared" si="3395"/>
        <v>0.72668604324239638</v>
      </c>
    </row>
    <row r="5258" spans="1:14" x14ac:dyDescent="0.35">
      <c r="A5258" t="s">
        <v>38</v>
      </c>
      <c r="B5258" t="s">
        <v>17</v>
      </c>
      <c r="C5258">
        <v>2008</v>
      </c>
      <c r="D5258" t="s">
        <v>31</v>
      </c>
      <c r="E5258" s="3">
        <f t="shared" ref="E5258:F5258" si="3408">SUM(E458+E1418+E2378+E3338+E4298)</f>
        <v>2943</v>
      </c>
      <c r="F5258" s="3">
        <f t="shared" si="3408"/>
        <v>5478</v>
      </c>
      <c r="G5258" s="1">
        <f t="shared" si="3365"/>
        <v>8421</v>
      </c>
      <c r="H5258" s="2">
        <f t="shared" si="3366"/>
        <v>0.34948343427146422</v>
      </c>
      <c r="I5258" s="2">
        <f t="shared" si="3367"/>
        <v>0.65051656572853578</v>
      </c>
      <c r="J5258" s="3">
        <f t="shared" ref="J5258:K5258" si="3409">SUM(J458+J1418+J2378+J3338+J4298)</f>
        <v>1206647.71</v>
      </c>
      <c r="K5258" s="3">
        <f t="shared" si="3409"/>
        <v>3168630.67</v>
      </c>
      <c r="L5258" s="1">
        <f t="shared" si="3393"/>
        <v>4375278.38</v>
      </c>
      <c r="M5258" s="2">
        <f t="shared" si="3394"/>
        <v>0.27578764256824273</v>
      </c>
      <c r="N5258" s="2">
        <f t="shared" si="3395"/>
        <v>0.72421235743175727</v>
      </c>
    </row>
    <row r="5259" spans="1:14" x14ac:dyDescent="0.35">
      <c r="A5259" t="s">
        <v>38</v>
      </c>
      <c r="B5259" t="s">
        <v>19</v>
      </c>
      <c r="C5259">
        <v>2008</v>
      </c>
      <c r="D5259" t="s">
        <v>31</v>
      </c>
      <c r="E5259" s="3">
        <f t="shared" ref="E5259:F5259" si="3410">SUM(E459+E1419+E2379+E3339+E4299)</f>
        <v>2946</v>
      </c>
      <c r="F5259" s="3">
        <f t="shared" si="3410"/>
        <v>5213</v>
      </c>
      <c r="G5259" s="1">
        <f t="shared" si="3365"/>
        <v>8159</v>
      </c>
      <c r="H5259" s="2">
        <f t="shared" si="3366"/>
        <v>0.36107366098786614</v>
      </c>
      <c r="I5259" s="2">
        <f t="shared" si="3367"/>
        <v>0.6389263390121338</v>
      </c>
      <c r="J5259" s="3">
        <f t="shared" ref="J5259:K5259" si="3411">SUM(J459+J1419+J2379+J3339+J4299)</f>
        <v>1281343.72</v>
      </c>
      <c r="K5259" s="3">
        <f t="shared" si="3411"/>
        <v>3044004.9</v>
      </c>
      <c r="L5259" s="1">
        <f t="shared" si="3393"/>
        <v>4325348.62</v>
      </c>
      <c r="M5259" s="2">
        <f t="shared" si="3394"/>
        <v>0.29624056522870518</v>
      </c>
      <c r="N5259" s="2">
        <f t="shared" si="3395"/>
        <v>0.70375943477129477</v>
      </c>
    </row>
    <row r="5260" spans="1:14" x14ac:dyDescent="0.35">
      <c r="A5260" t="s">
        <v>38</v>
      </c>
      <c r="B5260" t="s">
        <v>20</v>
      </c>
      <c r="C5260">
        <v>2008</v>
      </c>
      <c r="D5260" t="s">
        <v>31</v>
      </c>
      <c r="E5260" s="3">
        <f t="shared" ref="E5260:F5260" si="3412">SUM(E460+E1420+E2380+E3340+E4300)</f>
        <v>2950</v>
      </c>
      <c r="F5260" s="3">
        <f t="shared" si="3412"/>
        <v>5555</v>
      </c>
      <c r="G5260" s="1">
        <f t="shared" si="3365"/>
        <v>8505</v>
      </c>
      <c r="H5260" s="2">
        <f t="shared" si="3366"/>
        <v>0.34685479129923574</v>
      </c>
      <c r="I5260" s="2">
        <f t="shared" si="3367"/>
        <v>0.6531452087007642</v>
      </c>
      <c r="J5260" s="3">
        <f t="shared" ref="J5260:K5260" si="3413">SUM(J460+J1420+J2380+J3340+J4300)</f>
        <v>1293153.5999999999</v>
      </c>
      <c r="K5260" s="3">
        <f t="shared" si="3413"/>
        <v>3153795.15</v>
      </c>
      <c r="L5260" s="1">
        <f t="shared" si="3393"/>
        <v>4446948.75</v>
      </c>
      <c r="M5260" s="2">
        <f t="shared" si="3394"/>
        <v>0.29079570570719976</v>
      </c>
      <c r="N5260" s="2">
        <f t="shared" si="3395"/>
        <v>0.70920429429280019</v>
      </c>
    </row>
    <row r="5261" spans="1:14" x14ac:dyDescent="0.35">
      <c r="A5261" t="s">
        <v>38</v>
      </c>
      <c r="B5261" t="s">
        <v>21</v>
      </c>
      <c r="C5261">
        <v>2008</v>
      </c>
      <c r="D5261" t="s">
        <v>31</v>
      </c>
      <c r="E5261" s="3">
        <f t="shared" ref="E5261:F5261" si="3414">SUM(E461+E1421+E2381+E3341+E4301)</f>
        <v>2948</v>
      </c>
      <c r="F5261" s="3">
        <f t="shared" si="3414"/>
        <v>5534</v>
      </c>
      <c r="G5261" s="1">
        <f t="shared" si="3365"/>
        <v>8482</v>
      </c>
      <c r="H5261" s="2">
        <f t="shared" si="3366"/>
        <v>0.34755953784484789</v>
      </c>
      <c r="I5261" s="2">
        <f t="shared" si="3367"/>
        <v>0.65244046215515206</v>
      </c>
      <c r="J5261" s="3">
        <f t="shared" ref="J5261:K5261" si="3415">SUM(J461+J1421+J2381+J3341+J4301)</f>
        <v>1268511.6100000001</v>
      </c>
      <c r="K5261" s="3">
        <f t="shared" si="3415"/>
        <v>3387043.19</v>
      </c>
      <c r="L5261" s="1">
        <f t="shared" si="3393"/>
        <v>4655554.8</v>
      </c>
      <c r="M5261" s="2">
        <f t="shared" si="3394"/>
        <v>0.27247270507910254</v>
      </c>
      <c r="N5261" s="2">
        <f t="shared" si="3395"/>
        <v>0.72752729492089752</v>
      </c>
    </row>
    <row r="5262" spans="1:14" x14ac:dyDescent="0.35">
      <c r="A5262" t="s">
        <v>38</v>
      </c>
      <c r="B5262" t="s">
        <v>22</v>
      </c>
      <c r="C5262">
        <v>2008</v>
      </c>
      <c r="D5262" t="s">
        <v>31</v>
      </c>
      <c r="E5262" s="3">
        <f t="shared" ref="E5262:F5262" si="3416">SUM(E462+E1422+E2382+E3342+E4302)</f>
        <v>2952</v>
      </c>
      <c r="F5262" s="3">
        <f t="shared" si="3416"/>
        <v>5525</v>
      </c>
      <c r="G5262" s="1">
        <f t="shared" si="3365"/>
        <v>8477</v>
      </c>
      <c r="H5262" s="2">
        <f t="shared" si="3366"/>
        <v>0.34823640438834491</v>
      </c>
      <c r="I5262" s="2">
        <f t="shared" si="3367"/>
        <v>0.65176359561165509</v>
      </c>
      <c r="J5262" s="3">
        <f t="shared" ref="J5262:K5262" si="3417">SUM(J462+J1422+J2382+J3342+J4302)</f>
        <v>1231767.9300000002</v>
      </c>
      <c r="K5262" s="3">
        <f t="shared" si="3417"/>
        <v>3337624.84</v>
      </c>
      <c r="L5262" s="1">
        <f t="shared" si="3393"/>
        <v>4569392.7699999996</v>
      </c>
      <c r="M5262" s="2">
        <f t="shared" si="3394"/>
        <v>0.26956928239723205</v>
      </c>
      <c r="N5262" s="2">
        <f t="shared" si="3395"/>
        <v>0.73043071760276812</v>
      </c>
    </row>
    <row r="5263" spans="1:14" x14ac:dyDescent="0.35">
      <c r="A5263" t="s">
        <v>38</v>
      </c>
      <c r="B5263" t="s">
        <v>23</v>
      </c>
      <c r="C5263">
        <v>2008</v>
      </c>
      <c r="D5263" t="s">
        <v>31</v>
      </c>
      <c r="E5263" s="3">
        <f t="shared" ref="E5263:F5263" si="3418">SUM(E463+E1423+E2383+E3343+E4303)</f>
        <v>2935</v>
      </c>
      <c r="F5263" s="3">
        <f t="shared" si="3418"/>
        <v>5556</v>
      </c>
      <c r="G5263" s="1">
        <f t="shared" si="3365"/>
        <v>8491</v>
      </c>
      <c r="H5263" s="2">
        <f t="shared" si="3366"/>
        <v>0.34566011070545283</v>
      </c>
      <c r="I5263" s="2">
        <f t="shared" si="3367"/>
        <v>0.65433988929454712</v>
      </c>
      <c r="J5263" s="3">
        <f t="shared" ref="J5263:K5263" si="3419">SUM(J463+J1423+J2383+J3343+J4303)</f>
        <v>1713545.567</v>
      </c>
      <c r="K5263" s="3">
        <f t="shared" si="3419"/>
        <v>3694653.11</v>
      </c>
      <c r="L5263" s="1">
        <f t="shared" si="3393"/>
        <v>5408198.6770000001</v>
      </c>
      <c r="M5263" s="2">
        <f t="shared" si="3394"/>
        <v>0.31684220002629909</v>
      </c>
      <c r="N5263" s="2">
        <f t="shared" si="3395"/>
        <v>0.68315779997370085</v>
      </c>
    </row>
    <row r="5264" spans="1:14" x14ac:dyDescent="0.35">
      <c r="A5264" t="s">
        <v>38</v>
      </c>
      <c r="B5264" t="s">
        <v>24</v>
      </c>
      <c r="C5264">
        <v>2008</v>
      </c>
      <c r="D5264" t="s">
        <v>31</v>
      </c>
      <c r="E5264" s="3">
        <f t="shared" ref="E5264:F5264" si="3420">SUM(E464+E1424+E2384+E3344+E4304)</f>
        <v>2929</v>
      </c>
      <c r="F5264" s="3">
        <f t="shared" si="3420"/>
        <v>5583</v>
      </c>
      <c r="G5264" s="1">
        <f t="shared" si="3365"/>
        <v>8512</v>
      </c>
      <c r="H5264" s="2">
        <f t="shared" si="3366"/>
        <v>0.34410244360902253</v>
      </c>
      <c r="I5264" s="2">
        <f t="shared" si="3367"/>
        <v>0.65589755639097747</v>
      </c>
      <c r="J5264" s="3">
        <f t="shared" ref="J5264:K5264" si="3421">SUM(J464+J1424+J2384+J3344+J4304)</f>
        <v>1343924.1780000001</v>
      </c>
      <c r="K5264" s="3">
        <f t="shared" si="3421"/>
        <v>3527541.6679999996</v>
      </c>
      <c r="L5264" s="1">
        <f t="shared" si="3393"/>
        <v>4871465.8459999999</v>
      </c>
      <c r="M5264" s="2">
        <f t="shared" si="3394"/>
        <v>0.27587675260076128</v>
      </c>
      <c r="N5264" s="2">
        <f t="shared" si="3395"/>
        <v>0.72412324739923872</v>
      </c>
    </row>
    <row r="5265" spans="1:14" x14ac:dyDescent="0.35">
      <c r="A5265" t="s">
        <v>38</v>
      </c>
      <c r="B5265" t="s">
        <v>25</v>
      </c>
      <c r="C5265">
        <v>2008</v>
      </c>
      <c r="D5265" t="s">
        <v>31</v>
      </c>
      <c r="E5265" s="3">
        <f t="shared" ref="E5265:F5265" si="3422">SUM(E465+E1425+E2385+E3345+E4305)</f>
        <v>2935</v>
      </c>
      <c r="F5265" s="3">
        <f t="shared" si="3422"/>
        <v>5580</v>
      </c>
      <c r="G5265" s="1">
        <f t="shared" si="3365"/>
        <v>8515</v>
      </c>
      <c r="H5265" s="2">
        <f t="shared" si="3366"/>
        <v>0.34468584850264239</v>
      </c>
      <c r="I5265" s="2">
        <f t="shared" si="3367"/>
        <v>0.65531415149735761</v>
      </c>
      <c r="J5265" s="3">
        <f t="shared" ref="J5265:K5265" si="3423">SUM(J465+J1425+J2385+J3345+J4305)</f>
        <v>1301879.7629999998</v>
      </c>
      <c r="K5265" s="3">
        <f t="shared" si="3423"/>
        <v>4013174.3650000002</v>
      </c>
      <c r="L5265" s="1">
        <f t="shared" si="3393"/>
        <v>5315054.1280000005</v>
      </c>
      <c r="M5265" s="2">
        <f t="shared" si="3394"/>
        <v>0.24494195762591106</v>
      </c>
      <c r="N5265" s="2">
        <f t="shared" si="3395"/>
        <v>0.7550580423740888</v>
      </c>
    </row>
    <row r="5266" spans="1:14" x14ac:dyDescent="0.35">
      <c r="A5266" t="s">
        <v>38</v>
      </c>
      <c r="B5266" t="s">
        <v>26</v>
      </c>
      <c r="C5266">
        <v>2008</v>
      </c>
      <c r="D5266" t="s">
        <v>31</v>
      </c>
      <c r="E5266" s="3">
        <f t="shared" ref="E5266:F5266" si="3424">SUM(E466+E1426+E2386+E3346+E4306)</f>
        <v>2931</v>
      </c>
      <c r="F5266" s="3">
        <f t="shared" si="3424"/>
        <v>5577</v>
      </c>
      <c r="G5266" s="1">
        <f t="shared" si="3365"/>
        <v>8508</v>
      </c>
      <c r="H5266" s="2">
        <f t="shared" si="3366"/>
        <v>0.34449929478138225</v>
      </c>
      <c r="I5266" s="2">
        <f t="shared" si="3367"/>
        <v>0.65550070521861781</v>
      </c>
      <c r="J5266" s="3">
        <f t="shared" ref="J5266:K5266" si="3425">SUM(J466+J1426+J2386+J3346+J4306)</f>
        <v>1275655.5090000001</v>
      </c>
      <c r="K5266" s="3">
        <f t="shared" si="3425"/>
        <v>3556018.9619999998</v>
      </c>
      <c r="L5266" s="1">
        <f t="shared" si="3393"/>
        <v>4831674.4709999999</v>
      </c>
      <c r="M5266" s="2">
        <f t="shared" si="3394"/>
        <v>0.26401934084271633</v>
      </c>
      <c r="N5266" s="2">
        <f t="shared" si="3395"/>
        <v>0.73598065915728372</v>
      </c>
    </row>
    <row r="5267" spans="1:14" x14ac:dyDescent="0.35">
      <c r="A5267" t="s">
        <v>38</v>
      </c>
      <c r="B5267" t="s">
        <v>27</v>
      </c>
      <c r="C5267">
        <v>2008</v>
      </c>
      <c r="D5267" t="s">
        <v>31</v>
      </c>
      <c r="E5267" s="3">
        <f t="shared" ref="E5267:F5267" si="3426">SUM(E467+E1427+E2387+E3347+E4307)</f>
        <v>2909</v>
      </c>
      <c r="F5267" s="3">
        <f t="shared" si="3426"/>
        <v>5593</v>
      </c>
      <c r="G5267" s="1">
        <f t="shared" si="3365"/>
        <v>8502</v>
      </c>
      <c r="H5267" s="2">
        <f t="shared" si="3366"/>
        <v>0.34215478710891556</v>
      </c>
      <c r="I5267" s="2">
        <f t="shared" si="3367"/>
        <v>0.65784521289108444</v>
      </c>
      <c r="J5267" s="3">
        <f t="shared" ref="J5267:K5267" si="3427">SUM(J467+J1427+J2387+J3347+J4307)</f>
        <v>939268.92</v>
      </c>
      <c r="K5267" s="3">
        <f t="shared" si="3427"/>
        <v>3035121.2699999996</v>
      </c>
      <c r="L5267" s="1">
        <f t="shared" si="3393"/>
        <v>3974390.1899999995</v>
      </c>
      <c r="M5267" s="2">
        <f t="shared" si="3394"/>
        <v>0.23633032367161719</v>
      </c>
      <c r="N5267" s="2">
        <f t="shared" si="3395"/>
        <v>0.76366967632838278</v>
      </c>
    </row>
    <row r="5268" spans="1:14" x14ac:dyDescent="0.35">
      <c r="A5268" t="s">
        <v>38</v>
      </c>
      <c r="B5268" t="s">
        <v>28</v>
      </c>
      <c r="C5268">
        <v>2008</v>
      </c>
      <c r="D5268" t="s">
        <v>31</v>
      </c>
      <c r="E5268" s="3">
        <f t="shared" ref="E5268:F5268" si="3428">SUM(E468+E1428+E2388+E3348+E4308)</f>
        <v>2897</v>
      </c>
      <c r="F5268" s="3">
        <f t="shared" si="3428"/>
        <v>5607</v>
      </c>
      <c r="G5268" s="1">
        <f t="shared" si="3365"/>
        <v>8504</v>
      </c>
      <c r="H5268" s="2">
        <f t="shared" si="3366"/>
        <v>0.34066321730950139</v>
      </c>
      <c r="I5268" s="2">
        <f t="shared" si="3367"/>
        <v>0.65933678269049856</v>
      </c>
      <c r="J5268" s="3">
        <f t="shared" ref="J5268:K5268" si="3429">SUM(J468+J1428+J2388+J3348+J4308)</f>
        <v>1036675.75</v>
      </c>
      <c r="K5268" s="3">
        <f t="shared" si="3429"/>
        <v>3543175.8600000003</v>
      </c>
      <c r="L5268" s="1">
        <f t="shared" si="3393"/>
        <v>4579851.6100000003</v>
      </c>
      <c r="M5268" s="2">
        <f t="shared" si="3394"/>
        <v>0.22635575085805015</v>
      </c>
      <c r="N5268" s="2">
        <f t="shared" si="3395"/>
        <v>0.77364424914194985</v>
      </c>
    </row>
    <row r="5269" spans="1:14" x14ac:dyDescent="0.35">
      <c r="A5269" t="s">
        <v>38</v>
      </c>
      <c r="B5269" t="s">
        <v>29</v>
      </c>
      <c r="C5269">
        <v>2008</v>
      </c>
      <c r="D5269" t="s">
        <v>31</v>
      </c>
      <c r="E5269" s="3">
        <f t="shared" ref="E5269:F5269" si="3430">SUM(E469+E1429+E2389+E3349+E4309)</f>
        <v>2904</v>
      </c>
      <c r="F5269" s="3">
        <f t="shared" si="3430"/>
        <v>5646</v>
      </c>
      <c r="G5269" s="1">
        <f t="shared" si="3365"/>
        <v>8550</v>
      </c>
      <c r="H5269" s="2">
        <f t="shared" si="3366"/>
        <v>0.33964912280701753</v>
      </c>
      <c r="I5269" s="2">
        <f t="shared" si="3367"/>
        <v>0.66035087719298247</v>
      </c>
      <c r="J5269" s="3">
        <f t="shared" ref="J5269:K5269" si="3431">SUM(J469+J1429+J2389+J3349+J4309)</f>
        <v>888448.77</v>
      </c>
      <c r="K5269" s="3">
        <f t="shared" si="3431"/>
        <v>3176828.1999999997</v>
      </c>
      <c r="L5269" s="1">
        <f t="shared" si="3393"/>
        <v>4065276.9699999997</v>
      </c>
      <c r="M5269" s="2">
        <f t="shared" si="3394"/>
        <v>0.21854569234922266</v>
      </c>
      <c r="N5269" s="2">
        <f t="shared" si="3395"/>
        <v>0.78145430765077739</v>
      </c>
    </row>
    <row r="5270" spans="1:14" x14ac:dyDescent="0.35">
      <c r="A5270" t="s">
        <v>38</v>
      </c>
      <c r="B5270" t="s">
        <v>17</v>
      </c>
      <c r="C5270">
        <v>2009</v>
      </c>
      <c r="D5270" t="s">
        <v>31</v>
      </c>
      <c r="E5270" s="3">
        <f t="shared" ref="E5270:F5270" si="3432">SUM(E470+E1430+E2390+E3350+E4310)</f>
        <v>2916</v>
      </c>
      <c r="F5270" s="3">
        <f t="shared" si="3432"/>
        <v>5643</v>
      </c>
      <c r="G5270" s="1">
        <f t="shared" si="3365"/>
        <v>8559</v>
      </c>
      <c r="H5270" s="2">
        <f t="shared" si="3366"/>
        <v>0.34069400630914826</v>
      </c>
      <c r="I5270" s="2">
        <f t="shared" si="3367"/>
        <v>0.65930599369085174</v>
      </c>
      <c r="J5270" s="3">
        <f t="shared" ref="J5270:K5270" si="3433">SUM(J470+J1430+J2390+J3350+J4310)</f>
        <v>954256.74000000011</v>
      </c>
      <c r="K5270" s="3">
        <f t="shared" si="3433"/>
        <v>3218000.2899999996</v>
      </c>
      <c r="L5270" s="1">
        <f t="shared" si="3393"/>
        <v>4172257.03</v>
      </c>
      <c r="M5270" s="2">
        <f t="shared" si="3394"/>
        <v>0.22871475394218466</v>
      </c>
      <c r="N5270" s="2">
        <f t="shared" si="3395"/>
        <v>0.77128524605781534</v>
      </c>
    </row>
    <row r="5271" spans="1:14" x14ac:dyDescent="0.35">
      <c r="A5271" t="s">
        <v>38</v>
      </c>
      <c r="B5271" t="s">
        <v>19</v>
      </c>
      <c r="C5271">
        <v>2009</v>
      </c>
      <c r="D5271" t="s">
        <v>31</v>
      </c>
      <c r="E5271" s="3">
        <f t="shared" ref="E5271:F5271" si="3434">SUM(E471+E1431+E2391+E3351+E4311)</f>
        <v>2892</v>
      </c>
      <c r="F5271" s="3">
        <f t="shared" si="3434"/>
        <v>5689</v>
      </c>
      <c r="G5271" s="1">
        <f t="shared" si="3365"/>
        <v>8581</v>
      </c>
      <c r="H5271" s="2">
        <f t="shared" si="3366"/>
        <v>0.33702365691644331</v>
      </c>
      <c r="I5271" s="2">
        <f t="shared" si="3367"/>
        <v>0.66297634308355669</v>
      </c>
      <c r="J5271" s="3">
        <f t="shared" ref="J5271:K5271" si="3435">SUM(J471+J1431+J2391+J3351+J4311)</f>
        <v>946216.94</v>
      </c>
      <c r="K5271" s="3">
        <f t="shared" si="3435"/>
        <v>3009141.69</v>
      </c>
      <c r="L5271" s="1">
        <f t="shared" si="3393"/>
        <v>3955358.63</v>
      </c>
      <c r="M5271" s="2">
        <f t="shared" si="3394"/>
        <v>0.23922405741499095</v>
      </c>
      <c r="N5271" s="2">
        <f t="shared" si="3395"/>
        <v>0.76077594258500902</v>
      </c>
    </row>
    <row r="5272" spans="1:14" x14ac:dyDescent="0.35">
      <c r="A5272" t="s">
        <v>38</v>
      </c>
      <c r="B5272" t="s">
        <v>20</v>
      </c>
      <c r="C5272">
        <v>2009</v>
      </c>
      <c r="D5272" t="s">
        <v>31</v>
      </c>
      <c r="E5272" s="3">
        <f t="shared" ref="E5272:F5272" si="3436">SUM(E472+E1432+E2392+E3352+E4312)</f>
        <v>2892</v>
      </c>
      <c r="F5272" s="3">
        <f t="shared" si="3436"/>
        <v>5704</v>
      </c>
      <c r="G5272" s="1">
        <f t="shared" si="3365"/>
        <v>8596</v>
      </c>
      <c r="H5272" s="2">
        <f t="shared" si="3366"/>
        <v>0.33643555141926479</v>
      </c>
      <c r="I5272" s="2">
        <f t="shared" si="3367"/>
        <v>0.66356444858073527</v>
      </c>
      <c r="J5272" s="3">
        <f t="shared" ref="J5272:K5272" si="3437">SUM(J472+J1432+J2392+J3352+J4312)</f>
        <v>918809.36</v>
      </c>
      <c r="K5272" s="3">
        <f t="shared" si="3437"/>
        <v>2951713.01</v>
      </c>
      <c r="L5272" s="1">
        <f t="shared" si="3393"/>
        <v>3870522.3699999996</v>
      </c>
      <c r="M5272" s="2">
        <f t="shared" si="3394"/>
        <v>0.23738639702010042</v>
      </c>
      <c r="N5272" s="2">
        <f t="shared" si="3395"/>
        <v>0.76261360297989955</v>
      </c>
    </row>
    <row r="5273" spans="1:14" x14ac:dyDescent="0.35">
      <c r="A5273" t="s">
        <v>38</v>
      </c>
      <c r="B5273" t="s">
        <v>21</v>
      </c>
      <c r="C5273">
        <v>2009</v>
      </c>
      <c r="D5273" t="s">
        <v>31</v>
      </c>
      <c r="E5273" s="3">
        <f t="shared" ref="E5273:F5273" si="3438">SUM(E473+E1433+E2393+E3353+E4313)</f>
        <v>2876</v>
      </c>
      <c r="F5273" s="3">
        <f t="shared" si="3438"/>
        <v>5710</v>
      </c>
      <c r="G5273" s="1">
        <f t="shared" si="3365"/>
        <v>8586</v>
      </c>
      <c r="H5273" s="2">
        <f t="shared" si="3366"/>
        <v>0.33496389471232241</v>
      </c>
      <c r="I5273" s="2">
        <f t="shared" si="3367"/>
        <v>0.66503610528767765</v>
      </c>
      <c r="J5273" s="3">
        <f t="shared" ref="J5273:K5273" si="3439">SUM(J473+J1433+J2393+J3353+J4313)</f>
        <v>942447.22</v>
      </c>
      <c r="K5273" s="3">
        <f t="shared" si="3439"/>
        <v>2995014.75</v>
      </c>
      <c r="L5273" s="1">
        <f t="shared" si="3393"/>
        <v>3937461.9699999997</v>
      </c>
      <c r="M5273" s="2">
        <f t="shared" si="3394"/>
        <v>0.23935398670021948</v>
      </c>
      <c r="N5273" s="2">
        <f t="shared" si="3395"/>
        <v>0.76064601329978054</v>
      </c>
    </row>
    <row r="5274" spans="1:14" x14ac:dyDescent="0.35">
      <c r="A5274" t="s">
        <v>38</v>
      </c>
      <c r="B5274" t="s">
        <v>22</v>
      </c>
      <c r="C5274">
        <v>2009</v>
      </c>
      <c r="D5274" t="s">
        <v>31</v>
      </c>
      <c r="E5274" s="3">
        <f t="shared" ref="E5274:F5274" si="3440">SUM(E474+E1434+E2394+E3354+E4314)</f>
        <v>2850</v>
      </c>
      <c r="F5274" s="3">
        <f t="shared" si="3440"/>
        <v>5729</v>
      </c>
      <c r="G5274" s="1">
        <f t="shared" si="3365"/>
        <v>8579</v>
      </c>
      <c r="H5274" s="2">
        <f t="shared" si="3366"/>
        <v>0.33220655088005596</v>
      </c>
      <c r="I5274" s="2">
        <f t="shared" si="3367"/>
        <v>0.66779344911994409</v>
      </c>
      <c r="J5274" s="3">
        <f t="shared" ref="J5274:K5274" si="3441">SUM(J474+J1434+J2394+J3354+J4314)</f>
        <v>996206.97</v>
      </c>
      <c r="K5274" s="3">
        <f t="shared" si="3441"/>
        <v>3045669.42</v>
      </c>
      <c r="L5274" s="1">
        <f t="shared" si="3393"/>
        <v>4041876.3899999997</v>
      </c>
      <c r="M5274" s="2">
        <f t="shared" si="3394"/>
        <v>0.24647140928523054</v>
      </c>
      <c r="N5274" s="2">
        <f t="shared" si="3395"/>
        <v>0.75352859071476952</v>
      </c>
    </row>
    <row r="5275" spans="1:14" x14ac:dyDescent="0.35">
      <c r="A5275" t="s">
        <v>38</v>
      </c>
      <c r="B5275" t="s">
        <v>23</v>
      </c>
      <c r="C5275">
        <v>2009</v>
      </c>
      <c r="D5275" t="s">
        <v>31</v>
      </c>
      <c r="E5275" s="3">
        <f t="shared" ref="E5275:F5275" si="3442">SUM(E475+E1435+E2395+E3355+E4315)</f>
        <v>2843</v>
      </c>
      <c r="F5275" s="3">
        <f t="shared" si="3442"/>
        <v>5761</v>
      </c>
      <c r="G5275" s="1">
        <f t="shared" si="3365"/>
        <v>8604</v>
      </c>
      <c r="H5275" s="2">
        <f t="shared" si="3366"/>
        <v>0.33042770804277083</v>
      </c>
      <c r="I5275" s="2">
        <f t="shared" si="3367"/>
        <v>0.66957229195722923</v>
      </c>
      <c r="J5275" s="3">
        <f t="shared" ref="J5275:K5275" si="3443">SUM(J475+J1435+J2395+J3355+J4315)</f>
        <v>1095475.73</v>
      </c>
      <c r="K5275" s="3">
        <f t="shared" si="3443"/>
        <v>3352488.8200000003</v>
      </c>
      <c r="L5275" s="1">
        <f t="shared" si="3393"/>
        <v>4447964.5500000007</v>
      </c>
      <c r="M5275" s="2">
        <f t="shared" si="3394"/>
        <v>0.2462869741171835</v>
      </c>
      <c r="N5275" s="2">
        <f t="shared" si="3395"/>
        <v>0.75371302588281641</v>
      </c>
    </row>
    <row r="5276" spans="1:14" x14ac:dyDescent="0.35">
      <c r="A5276" t="s">
        <v>38</v>
      </c>
      <c r="B5276" t="s">
        <v>24</v>
      </c>
      <c r="C5276">
        <v>2009</v>
      </c>
      <c r="D5276" t="s">
        <v>31</v>
      </c>
      <c r="E5276" s="3">
        <f t="shared" ref="E5276:F5276" si="3444">SUM(E476+E1436+E2396+E3356+E4316)</f>
        <v>2820</v>
      </c>
      <c r="F5276" s="3">
        <f t="shared" si="3444"/>
        <v>5772</v>
      </c>
      <c r="G5276" s="1">
        <f t="shared" si="3365"/>
        <v>8592</v>
      </c>
      <c r="H5276" s="2">
        <f t="shared" si="3366"/>
        <v>0.32821229050279327</v>
      </c>
      <c r="I5276" s="2">
        <f t="shared" si="3367"/>
        <v>0.67178770949720668</v>
      </c>
      <c r="J5276" s="3">
        <f t="shared" ref="J5276:K5276" si="3445">SUM(J476+J1436+J2396+J3356+J4316)</f>
        <v>1062986.21</v>
      </c>
      <c r="K5276" s="3">
        <f t="shared" si="3445"/>
        <v>3612412.3600000003</v>
      </c>
      <c r="L5276" s="1">
        <f t="shared" si="3393"/>
        <v>4675398.57</v>
      </c>
      <c r="M5276" s="2">
        <f t="shared" si="3394"/>
        <v>0.22735734592141946</v>
      </c>
      <c r="N5276" s="2">
        <f t="shared" si="3395"/>
        <v>0.77264265407858057</v>
      </c>
    </row>
    <row r="5277" spans="1:14" x14ac:dyDescent="0.35">
      <c r="A5277" t="s">
        <v>38</v>
      </c>
      <c r="B5277" t="s">
        <v>25</v>
      </c>
      <c r="C5277">
        <v>2009</v>
      </c>
      <c r="D5277" t="s">
        <v>31</v>
      </c>
      <c r="E5277" s="3">
        <f t="shared" ref="E5277:F5277" si="3446">SUM(E477+E1437+E2397+E3357+E4317)</f>
        <v>2741</v>
      </c>
      <c r="F5277" s="3">
        <f t="shared" si="3446"/>
        <v>5876</v>
      </c>
      <c r="G5277" s="1">
        <f t="shared" si="3365"/>
        <v>8617</v>
      </c>
      <c r="H5277" s="2">
        <f t="shared" si="3366"/>
        <v>0.31809214343739123</v>
      </c>
      <c r="I5277" s="2">
        <f t="shared" si="3367"/>
        <v>0.68190785656260877</v>
      </c>
      <c r="J5277" s="3">
        <f t="shared" ref="J5277:K5277" si="3447">SUM(J477+J1437+J2397+J3357+J4317)</f>
        <v>1130631.6900000002</v>
      </c>
      <c r="K5277" s="3">
        <f t="shared" si="3447"/>
        <v>3586737.6700000004</v>
      </c>
      <c r="L5277" s="1">
        <f t="shared" si="3393"/>
        <v>4717369.3600000003</v>
      </c>
      <c r="M5277" s="2">
        <f t="shared" si="3394"/>
        <v>0.23967419205860108</v>
      </c>
      <c r="N5277" s="2">
        <f t="shared" si="3395"/>
        <v>0.76032580794139892</v>
      </c>
    </row>
    <row r="5278" spans="1:14" x14ac:dyDescent="0.35">
      <c r="A5278" t="s">
        <v>38</v>
      </c>
      <c r="B5278" t="s">
        <v>26</v>
      </c>
      <c r="C5278">
        <v>2009</v>
      </c>
      <c r="D5278" t="s">
        <v>31</v>
      </c>
      <c r="E5278" s="3">
        <f t="shared" ref="E5278:F5278" si="3448">SUM(E478+E1438+E2398+E3358+E4318)</f>
        <v>2719</v>
      </c>
      <c r="F5278" s="3">
        <f t="shared" si="3448"/>
        <v>5896</v>
      </c>
      <c r="G5278" s="1">
        <f t="shared" si="3365"/>
        <v>8615</v>
      </c>
      <c r="H5278" s="2">
        <f t="shared" si="3366"/>
        <v>0.31561230412071967</v>
      </c>
      <c r="I5278" s="2">
        <f t="shared" si="3367"/>
        <v>0.68438769587928028</v>
      </c>
      <c r="J5278" s="3">
        <f t="shared" ref="J5278:K5278" si="3449">SUM(J478+J1438+J2398+J3358+J4318)</f>
        <v>1080682.6599999999</v>
      </c>
      <c r="K5278" s="3">
        <f t="shared" si="3449"/>
        <v>3446911.28</v>
      </c>
      <c r="L5278" s="1">
        <f t="shared" si="3393"/>
        <v>4527593.9399999995</v>
      </c>
      <c r="M5278" s="2">
        <f t="shared" si="3394"/>
        <v>0.23868807015851781</v>
      </c>
      <c r="N5278" s="2">
        <f t="shared" si="3395"/>
        <v>0.76131192984148222</v>
      </c>
    </row>
    <row r="5279" spans="1:14" x14ac:dyDescent="0.35">
      <c r="A5279" t="s">
        <v>38</v>
      </c>
      <c r="B5279" t="s">
        <v>27</v>
      </c>
      <c r="C5279">
        <v>2009</v>
      </c>
      <c r="D5279" t="s">
        <v>31</v>
      </c>
      <c r="E5279" s="3">
        <f t="shared" ref="E5279:F5279" si="3450">SUM(E479+E1439+E2399+E3359+E4319)</f>
        <v>2666</v>
      </c>
      <c r="F5279" s="3">
        <f t="shared" si="3450"/>
        <v>5942</v>
      </c>
      <c r="G5279" s="1">
        <f t="shared" si="3365"/>
        <v>8608</v>
      </c>
      <c r="H5279" s="2">
        <f t="shared" si="3366"/>
        <v>0.30971189591078069</v>
      </c>
      <c r="I5279" s="2">
        <f t="shared" si="3367"/>
        <v>0.69028810408921937</v>
      </c>
      <c r="J5279" s="3">
        <f t="shared" ref="J5279:K5279" si="3451">SUM(J479+J1439+J2399+J3359+J4319)</f>
        <v>995327.83000000007</v>
      </c>
      <c r="K5279" s="3">
        <f t="shared" si="3451"/>
        <v>3177042.7399999998</v>
      </c>
      <c r="L5279" s="1">
        <f t="shared" si="3393"/>
        <v>4172370.57</v>
      </c>
      <c r="M5279" s="2">
        <f t="shared" si="3394"/>
        <v>0.23855211642910235</v>
      </c>
      <c r="N5279" s="2">
        <f t="shared" si="3395"/>
        <v>0.76144788357089765</v>
      </c>
    </row>
    <row r="5280" spans="1:14" x14ac:dyDescent="0.35">
      <c r="A5280" t="s">
        <v>38</v>
      </c>
      <c r="B5280" t="s">
        <v>28</v>
      </c>
      <c r="C5280">
        <v>2009</v>
      </c>
      <c r="D5280" t="s">
        <v>31</v>
      </c>
      <c r="E5280" s="3">
        <f t="shared" ref="E5280:F5280" si="3452">SUM(E480+E1440+E2400+E3360+E4320)</f>
        <v>2657</v>
      </c>
      <c r="F5280" s="3">
        <f t="shared" si="3452"/>
        <v>5954</v>
      </c>
      <c r="G5280" s="1">
        <f t="shared" si="3365"/>
        <v>8611</v>
      </c>
      <c r="H5280" s="2">
        <f t="shared" si="3366"/>
        <v>0.30855882011380792</v>
      </c>
      <c r="I5280" s="2">
        <f t="shared" si="3367"/>
        <v>0.69144117988619203</v>
      </c>
      <c r="J5280" s="3">
        <f t="shared" ref="J5280:K5280" si="3453">SUM(J480+J1440+J2400+J3360+J4320)</f>
        <v>977734.5199999999</v>
      </c>
      <c r="K5280" s="3">
        <f t="shared" si="3453"/>
        <v>3347632.5999999996</v>
      </c>
      <c r="L5280" s="1">
        <f t="shared" si="3393"/>
        <v>4325367.1199999992</v>
      </c>
      <c r="M5280" s="2">
        <f t="shared" si="3394"/>
        <v>0.22604659740419908</v>
      </c>
      <c r="N5280" s="2">
        <f t="shared" si="3395"/>
        <v>0.77395340259580103</v>
      </c>
    </row>
    <row r="5281" spans="1:14" x14ac:dyDescent="0.35">
      <c r="A5281" t="s">
        <v>38</v>
      </c>
      <c r="B5281" t="s">
        <v>29</v>
      </c>
      <c r="C5281">
        <v>2009</v>
      </c>
      <c r="D5281" t="s">
        <v>31</v>
      </c>
      <c r="E5281" s="3">
        <f t="shared" ref="E5281:F5281" si="3454">SUM(E481+E1441+E2401+E3361+E4321)</f>
        <v>2652</v>
      </c>
      <c r="F5281" s="3">
        <f t="shared" si="3454"/>
        <v>6015</v>
      </c>
      <c r="G5281" s="1">
        <f t="shared" si="3365"/>
        <v>8667</v>
      </c>
      <c r="H5281" s="2">
        <f t="shared" si="3366"/>
        <v>0.30598823122187607</v>
      </c>
      <c r="I5281" s="2">
        <f t="shared" si="3367"/>
        <v>0.69401176877812387</v>
      </c>
      <c r="J5281" s="3">
        <f t="shared" ref="J5281:K5281" si="3455">SUM(J481+J1441+J2401+J3361+J4321)</f>
        <v>922041.47999999986</v>
      </c>
      <c r="K5281" s="3">
        <f t="shared" si="3455"/>
        <v>3353997.79</v>
      </c>
      <c r="L5281" s="1">
        <f t="shared" si="3393"/>
        <v>4276039.2699999996</v>
      </c>
      <c r="M5281" s="2">
        <f t="shared" si="3394"/>
        <v>0.21562979705749988</v>
      </c>
      <c r="N5281" s="2">
        <f t="shared" si="3395"/>
        <v>0.78437020294250015</v>
      </c>
    </row>
    <row r="5282" spans="1:14" x14ac:dyDescent="0.35">
      <c r="A5282" t="s">
        <v>38</v>
      </c>
      <c r="B5282" t="s">
        <v>17</v>
      </c>
      <c r="C5282">
        <v>2010</v>
      </c>
      <c r="D5282" t="s">
        <v>31</v>
      </c>
      <c r="E5282" s="3">
        <f t="shared" ref="E5282:F5282" si="3456">SUM(E482+E1442+E2402+E3362+E4322)</f>
        <v>2654</v>
      </c>
      <c r="F5282" s="3">
        <f t="shared" si="3456"/>
        <v>5860</v>
      </c>
      <c r="G5282" s="1">
        <f t="shared" si="3365"/>
        <v>8514</v>
      </c>
      <c r="H5282" s="2">
        <f t="shared" si="3366"/>
        <v>0.31172186986140477</v>
      </c>
      <c r="I5282" s="2">
        <f t="shared" si="3367"/>
        <v>0.68827813013859529</v>
      </c>
      <c r="J5282" s="3">
        <f t="shared" ref="J5282:K5282" si="3457">SUM(J482+J1442+J2402+J3362+J4322)</f>
        <v>971214.27800000005</v>
      </c>
      <c r="K5282" s="3">
        <f t="shared" si="3457"/>
        <v>3100022.1329999999</v>
      </c>
      <c r="L5282" s="1">
        <f t="shared" si="3393"/>
        <v>4071236.4109999998</v>
      </c>
      <c r="M5282" s="2">
        <f t="shared" si="3394"/>
        <v>0.23855511691138687</v>
      </c>
      <c r="N5282" s="2">
        <f t="shared" si="3395"/>
        <v>0.76144488308861313</v>
      </c>
    </row>
    <row r="5283" spans="1:14" x14ac:dyDescent="0.35">
      <c r="A5283" t="s">
        <v>38</v>
      </c>
      <c r="B5283" t="s">
        <v>19</v>
      </c>
      <c r="C5283">
        <v>2010</v>
      </c>
      <c r="D5283" t="s">
        <v>31</v>
      </c>
      <c r="E5283" s="3">
        <f t="shared" ref="E5283:F5283" si="3458">SUM(E483+E1443+E2403+E3363+E4323)</f>
        <v>2686</v>
      </c>
      <c r="F5283" s="3">
        <f t="shared" si="3458"/>
        <v>5966</v>
      </c>
      <c r="G5283" s="1">
        <f t="shared" si="3365"/>
        <v>8652</v>
      </c>
      <c r="H5283" s="2">
        <f t="shared" si="3366"/>
        <v>0.31044845122515025</v>
      </c>
      <c r="I5283" s="2">
        <f t="shared" si="3367"/>
        <v>0.6895515487748497</v>
      </c>
      <c r="J5283" s="3">
        <f t="shared" ref="J5283:K5283" si="3459">SUM(J483+J1443+J2403+J3363+J4323)</f>
        <v>875046.78500000003</v>
      </c>
      <c r="K5283" s="3">
        <f t="shared" si="3459"/>
        <v>3071351.0420000004</v>
      </c>
      <c r="L5283" s="1">
        <f t="shared" si="3393"/>
        <v>3946397.8270000005</v>
      </c>
      <c r="M5283" s="2">
        <f t="shared" si="3394"/>
        <v>0.22173303943490133</v>
      </c>
      <c r="N5283" s="2">
        <f t="shared" si="3395"/>
        <v>0.77826696056509859</v>
      </c>
    </row>
    <row r="5284" spans="1:14" x14ac:dyDescent="0.35">
      <c r="A5284" t="s">
        <v>38</v>
      </c>
      <c r="B5284" t="s">
        <v>20</v>
      </c>
      <c r="C5284">
        <v>2010</v>
      </c>
      <c r="D5284" t="s">
        <v>31</v>
      </c>
      <c r="E5284" s="3">
        <f t="shared" ref="E5284:F5284" si="3460">SUM(E484+E1444+E2404+E3364+E4324)</f>
        <v>2664</v>
      </c>
      <c r="F5284" s="3">
        <f t="shared" si="3460"/>
        <v>5965</v>
      </c>
      <c r="G5284" s="1">
        <f t="shared" si="3365"/>
        <v>8629</v>
      </c>
      <c r="H5284" s="2">
        <f t="shared" si="3366"/>
        <v>0.30872638776219724</v>
      </c>
      <c r="I5284" s="2">
        <f t="shared" si="3367"/>
        <v>0.6912736122378027</v>
      </c>
      <c r="J5284" s="3">
        <f t="shared" ref="J5284:K5284" si="3461">SUM(J484+J1444+J2404+J3364+J4324)</f>
        <v>857501.27599999995</v>
      </c>
      <c r="K5284" s="3">
        <f t="shared" si="3461"/>
        <v>3103835.9929999998</v>
      </c>
      <c r="L5284" s="1">
        <f t="shared" si="3393"/>
        <v>3961337.2689999999</v>
      </c>
      <c r="M5284" s="2">
        <f t="shared" si="3394"/>
        <v>0.21646762640245162</v>
      </c>
      <c r="N5284" s="2">
        <f t="shared" si="3395"/>
        <v>0.78353237359754835</v>
      </c>
    </row>
    <row r="5285" spans="1:14" x14ac:dyDescent="0.35">
      <c r="A5285" t="s">
        <v>38</v>
      </c>
      <c r="B5285" t="s">
        <v>21</v>
      </c>
      <c r="C5285">
        <v>2010</v>
      </c>
      <c r="D5285" t="s">
        <v>31</v>
      </c>
      <c r="E5285" s="3">
        <f t="shared" ref="E5285:F5285" si="3462">SUM(E485+E1445+E2405+E3365+E4325)</f>
        <v>2656</v>
      </c>
      <c r="F5285" s="3">
        <f t="shared" si="3462"/>
        <v>5983</v>
      </c>
      <c r="G5285" s="1">
        <f t="shared" si="3365"/>
        <v>8639</v>
      </c>
      <c r="H5285" s="2">
        <f t="shared" si="3366"/>
        <v>0.30744299108693135</v>
      </c>
      <c r="I5285" s="2">
        <f t="shared" si="3367"/>
        <v>0.69255700891306859</v>
      </c>
      <c r="J5285" s="3">
        <f t="shared" ref="J5285:K5285" si="3463">SUM(J485+J1445+J2405+J3365+J4325)</f>
        <v>941700.47000000009</v>
      </c>
      <c r="K5285" s="3">
        <f t="shared" si="3463"/>
        <v>3434647.8710000003</v>
      </c>
      <c r="L5285" s="1">
        <f t="shared" si="3393"/>
        <v>4376348.341</v>
      </c>
      <c r="M5285" s="2">
        <f t="shared" si="3394"/>
        <v>0.21517950506307745</v>
      </c>
      <c r="N5285" s="2">
        <f t="shared" si="3395"/>
        <v>0.78482049493692263</v>
      </c>
    </row>
    <row r="5286" spans="1:14" x14ac:dyDescent="0.35">
      <c r="A5286" t="s">
        <v>38</v>
      </c>
      <c r="B5286" t="s">
        <v>22</v>
      </c>
      <c r="C5286">
        <v>2010</v>
      </c>
      <c r="D5286" t="s">
        <v>31</v>
      </c>
      <c r="E5286" s="3">
        <f t="shared" ref="E5286:F5286" si="3464">SUM(E486+E1446+E2406+E3366+E4326)</f>
        <v>2632</v>
      </c>
      <c r="F5286" s="3">
        <f t="shared" si="3464"/>
        <v>5981</v>
      </c>
      <c r="G5286" s="1">
        <f t="shared" si="3365"/>
        <v>8613</v>
      </c>
      <c r="H5286" s="2">
        <f t="shared" si="3366"/>
        <v>0.30558458144665041</v>
      </c>
      <c r="I5286" s="2">
        <f t="shared" si="3367"/>
        <v>0.69441541855334954</v>
      </c>
      <c r="J5286" s="3">
        <f t="shared" ref="J5286:K5286" si="3465">SUM(J486+J1446+J2406+J3366+J4326)</f>
        <v>897565.01000000013</v>
      </c>
      <c r="K5286" s="3">
        <f t="shared" si="3465"/>
        <v>3558106.8289999999</v>
      </c>
      <c r="L5286" s="1">
        <f t="shared" si="3393"/>
        <v>4455671.8389999997</v>
      </c>
      <c r="M5286" s="2">
        <f t="shared" si="3394"/>
        <v>0.20144324861263649</v>
      </c>
      <c r="N5286" s="2">
        <f t="shared" si="3395"/>
        <v>0.79855675138736359</v>
      </c>
    </row>
    <row r="5287" spans="1:14" x14ac:dyDescent="0.35">
      <c r="A5287" t="s">
        <v>38</v>
      </c>
      <c r="B5287" t="s">
        <v>23</v>
      </c>
      <c r="C5287">
        <v>2010</v>
      </c>
      <c r="D5287" t="s">
        <v>31</v>
      </c>
      <c r="E5287" s="3">
        <f t="shared" ref="E5287:F5287" si="3466">SUM(E487+E1447+E2407+E3367+E4327)</f>
        <v>2601</v>
      </c>
      <c r="F5287" s="3">
        <f t="shared" si="3466"/>
        <v>6032</v>
      </c>
      <c r="G5287" s="1">
        <f t="shared" si="3365"/>
        <v>8633</v>
      </c>
      <c r="H5287" s="2">
        <f t="shared" si="3366"/>
        <v>0.30128576392910922</v>
      </c>
      <c r="I5287" s="2">
        <f t="shared" si="3367"/>
        <v>0.69871423607089078</v>
      </c>
      <c r="J5287" s="3">
        <f t="shared" ref="J5287:K5287" si="3467">SUM(J487+J1447+J2407+J3367+J4327)</f>
        <v>953154.75999999989</v>
      </c>
      <c r="K5287" s="3">
        <f t="shared" si="3467"/>
        <v>3521341.9219999998</v>
      </c>
      <c r="L5287" s="1">
        <f t="shared" si="3393"/>
        <v>4474496.682</v>
      </c>
      <c r="M5287" s="2">
        <f t="shared" si="3394"/>
        <v>0.21301943609308052</v>
      </c>
      <c r="N5287" s="2">
        <f t="shared" si="3395"/>
        <v>0.78698056390691939</v>
      </c>
    </row>
    <row r="5288" spans="1:14" x14ac:dyDescent="0.35">
      <c r="A5288" t="s">
        <v>38</v>
      </c>
      <c r="B5288" t="s">
        <v>24</v>
      </c>
      <c r="C5288">
        <v>2010</v>
      </c>
      <c r="D5288" t="s">
        <v>31</v>
      </c>
      <c r="E5288" s="3">
        <f t="shared" ref="E5288:F5288" si="3468">SUM(E488+E1448+E2408+E3368+E4328)</f>
        <v>2580</v>
      </c>
      <c r="F5288" s="3">
        <f t="shared" si="3468"/>
        <v>6084</v>
      </c>
      <c r="G5288" s="1">
        <f t="shared" si="3365"/>
        <v>8664</v>
      </c>
      <c r="H5288" s="2">
        <f t="shared" si="3366"/>
        <v>0.29778393351800553</v>
      </c>
      <c r="I5288" s="2">
        <f t="shared" si="3367"/>
        <v>0.70221606648199442</v>
      </c>
      <c r="J5288" s="3">
        <f t="shared" ref="J5288:K5288" si="3469">SUM(J488+J1448+J2408+J3368+J4328)</f>
        <v>1007170.05</v>
      </c>
      <c r="K5288" s="3">
        <f t="shared" si="3469"/>
        <v>3605030.29</v>
      </c>
      <c r="L5288" s="1">
        <f t="shared" si="3393"/>
        <v>4612200.34</v>
      </c>
      <c r="M5288" s="2">
        <f t="shared" si="3394"/>
        <v>0.21837083729107917</v>
      </c>
      <c r="N5288" s="2">
        <f t="shared" si="3395"/>
        <v>0.78162916270892091</v>
      </c>
    </row>
    <row r="5289" spans="1:14" x14ac:dyDescent="0.35">
      <c r="A5289" t="s">
        <v>38</v>
      </c>
      <c r="B5289" t="s">
        <v>25</v>
      </c>
      <c r="C5289">
        <v>2010</v>
      </c>
      <c r="D5289" t="s">
        <v>31</v>
      </c>
      <c r="E5289" s="3">
        <f t="shared" ref="E5289:F5289" si="3470">SUM(E489+E1449+E2409+E3369+E4329)</f>
        <v>2544</v>
      </c>
      <c r="F5289" s="3">
        <f t="shared" si="3470"/>
        <v>6070</v>
      </c>
      <c r="G5289" s="1">
        <f t="shared" si="3365"/>
        <v>8614</v>
      </c>
      <c r="H5289" s="2">
        <f t="shared" si="3366"/>
        <v>0.29533317854655211</v>
      </c>
      <c r="I5289" s="2">
        <f t="shared" si="3367"/>
        <v>0.70466682145344783</v>
      </c>
      <c r="J5289" s="3">
        <f t="shared" ref="J5289:K5289" si="3471">SUM(J489+J1449+J2409+J3369+J4329)</f>
        <v>987606.33</v>
      </c>
      <c r="K5289" s="3">
        <f t="shared" si="3471"/>
        <v>3708613.0900000003</v>
      </c>
      <c r="L5289" s="1">
        <f t="shared" si="3393"/>
        <v>4696219.42</v>
      </c>
      <c r="M5289" s="2">
        <f t="shared" si="3394"/>
        <v>0.21029816575308144</v>
      </c>
      <c r="N5289" s="2">
        <f t="shared" si="3395"/>
        <v>0.78970183424691864</v>
      </c>
    </row>
    <row r="5290" spans="1:14" x14ac:dyDescent="0.35">
      <c r="A5290" t="s">
        <v>38</v>
      </c>
      <c r="B5290" t="s">
        <v>26</v>
      </c>
      <c r="C5290">
        <v>2010</v>
      </c>
      <c r="D5290" t="s">
        <v>31</v>
      </c>
      <c r="E5290" s="3">
        <f t="shared" ref="E5290:F5290" si="3472">SUM(E490+E1450+E2410+E3370+E4330)</f>
        <v>2531</v>
      </c>
      <c r="F5290" s="3">
        <f t="shared" si="3472"/>
        <v>6129</v>
      </c>
      <c r="G5290" s="1">
        <f t="shared" si="3365"/>
        <v>8660</v>
      </c>
      <c r="H5290" s="2">
        <f t="shared" si="3366"/>
        <v>0.2922632794457275</v>
      </c>
      <c r="I5290" s="2">
        <f t="shared" si="3367"/>
        <v>0.7077367205542725</v>
      </c>
      <c r="J5290" s="3">
        <f t="shared" ref="J5290:K5290" si="3473">SUM(J490+J1450+J2410+J3370+J4330)</f>
        <v>1029736.23</v>
      </c>
      <c r="K5290" s="3">
        <f t="shared" si="3473"/>
        <v>3724705.56</v>
      </c>
      <c r="L5290" s="1">
        <f t="shared" si="3393"/>
        <v>4754441.79</v>
      </c>
      <c r="M5290" s="2">
        <f t="shared" si="3394"/>
        <v>0.21658404403348475</v>
      </c>
      <c r="N5290" s="2">
        <f t="shared" si="3395"/>
        <v>0.78341595596651525</v>
      </c>
    </row>
    <row r="5291" spans="1:14" x14ac:dyDescent="0.35">
      <c r="A5291" t="s">
        <v>38</v>
      </c>
      <c r="B5291" t="s">
        <v>27</v>
      </c>
      <c r="C5291">
        <v>2010</v>
      </c>
      <c r="D5291" t="s">
        <v>31</v>
      </c>
      <c r="E5291" s="3">
        <f t="shared" ref="E5291:F5291" si="3474">SUM(E491+E1451+E2411+E3371+E4331)</f>
        <v>2491</v>
      </c>
      <c r="F5291" s="3">
        <f t="shared" si="3474"/>
        <v>6120</v>
      </c>
      <c r="G5291" s="1">
        <f t="shared" si="3365"/>
        <v>8611</v>
      </c>
      <c r="H5291" s="2">
        <f t="shared" si="3366"/>
        <v>0.28928115201486471</v>
      </c>
      <c r="I5291" s="2">
        <f t="shared" si="3367"/>
        <v>0.71071884798513529</v>
      </c>
      <c r="J5291" s="3">
        <f t="shared" ref="J5291:K5291" si="3475">SUM(J491+J1451+J2411+J3371+J4331)</f>
        <v>1034119.0200000001</v>
      </c>
      <c r="K5291" s="3">
        <f t="shared" si="3475"/>
        <v>3402430.9699999997</v>
      </c>
      <c r="L5291" s="1">
        <f t="shared" si="3393"/>
        <v>4436549.99</v>
      </c>
      <c r="M5291" s="2">
        <f t="shared" si="3394"/>
        <v>0.23309080757140305</v>
      </c>
      <c r="N5291" s="2">
        <f t="shared" si="3395"/>
        <v>0.7669091924285969</v>
      </c>
    </row>
    <row r="5292" spans="1:14" x14ac:dyDescent="0.35">
      <c r="A5292" t="s">
        <v>38</v>
      </c>
      <c r="B5292" t="s">
        <v>28</v>
      </c>
      <c r="C5292">
        <v>2010</v>
      </c>
      <c r="D5292" t="s">
        <v>31</v>
      </c>
      <c r="E5292" s="3">
        <f t="shared" ref="E5292:F5292" si="3476">SUM(E492+E1452+E2412+E3372+E4332)</f>
        <v>2488</v>
      </c>
      <c r="F5292" s="3">
        <f t="shared" si="3476"/>
        <v>6135</v>
      </c>
      <c r="G5292" s="1">
        <f t="shared" si="3365"/>
        <v>8623</v>
      </c>
      <c r="H5292" s="2">
        <f t="shared" si="3366"/>
        <v>0.28853067377942709</v>
      </c>
      <c r="I5292" s="2">
        <f t="shared" si="3367"/>
        <v>0.71146932622057291</v>
      </c>
      <c r="J5292" s="3">
        <f t="shared" ref="J5292:K5292" si="3477">SUM(J492+J1452+J2412+J3372+J4332)</f>
        <v>879308.43</v>
      </c>
      <c r="K5292" s="3">
        <f t="shared" si="3477"/>
        <v>3389964.5000000005</v>
      </c>
      <c r="L5292" s="1">
        <f t="shared" si="3393"/>
        <v>4269272.9300000006</v>
      </c>
      <c r="M5292" s="2">
        <f t="shared" si="3394"/>
        <v>0.20596210277893851</v>
      </c>
      <c r="N5292" s="2">
        <f t="shared" si="3395"/>
        <v>0.79403789722106144</v>
      </c>
    </row>
    <row r="5293" spans="1:14" x14ac:dyDescent="0.35">
      <c r="A5293" t="s">
        <v>38</v>
      </c>
      <c r="B5293" t="s">
        <v>29</v>
      </c>
      <c r="C5293">
        <v>2010</v>
      </c>
      <c r="D5293" t="s">
        <v>31</v>
      </c>
      <c r="E5293" s="3">
        <f t="shared" ref="E5293:F5293" si="3478">SUM(E493+E1453+E2413+E3373+E4333)</f>
        <v>2477</v>
      </c>
      <c r="F5293" s="3">
        <f t="shared" si="3478"/>
        <v>6223</v>
      </c>
      <c r="G5293" s="1">
        <f t="shared" si="3365"/>
        <v>8700</v>
      </c>
      <c r="H5293" s="2">
        <f t="shared" si="3366"/>
        <v>0.2847126436781609</v>
      </c>
      <c r="I5293" s="2">
        <f t="shared" si="3367"/>
        <v>0.71528735632183904</v>
      </c>
      <c r="J5293" s="3">
        <f t="shared" ref="J5293:K5293" si="3479">SUM(J493+J1453+J2413+J3373+J4333)</f>
        <v>858637.23</v>
      </c>
      <c r="K5293" s="3">
        <f t="shared" si="3479"/>
        <v>3468266.0300000003</v>
      </c>
      <c r="L5293" s="1">
        <f t="shared" si="3393"/>
        <v>4326903.26</v>
      </c>
      <c r="M5293" s="2">
        <f t="shared" si="3394"/>
        <v>0.19844151311115749</v>
      </c>
      <c r="N5293" s="2">
        <f t="shared" si="3395"/>
        <v>0.80155848688884268</v>
      </c>
    </row>
    <row r="5294" spans="1:14" x14ac:dyDescent="0.35">
      <c r="A5294" t="s">
        <v>38</v>
      </c>
      <c r="B5294" t="s">
        <v>17</v>
      </c>
      <c r="C5294">
        <v>2011</v>
      </c>
      <c r="D5294" t="s">
        <v>31</v>
      </c>
      <c r="E5294" s="3">
        <f t="shared" ref="E5294:F5294" si="3480">SUM(E494+E1454+E2414+E3374+E4334)</f>
        <v>2542</v>
      </c>
      <c r="F5294" s="3">
        <f t="shared" si="3480"/>
        <v>5977</v>
      </c>
      <c r="G5294" s="1">
        <f t="shared" si="3365"/>
        <v>8519</v>
      </c>
      <c r="H5294" s="2">
        <f t="shared" si="3366"/>
        <v>0.29839183002699848</v>
      </c>
      <c r="I5294" s="2">
        <f t="shared" si="3367"/>
        <v>0.70160816997300157</v>
      </c>
      <c r="J5294" s="3">
        <f t="shared" ref="J5294:K5294" si="3481">SUM(J494+J1454+J2414+J3374+J4334)</f>
        <v>862467.55999999994</v>
      </c>
      <c r="K5294" s="3">
        <f t="shared" si="3481"/>
        <v>3304938.07</v>
      </c>
      <c r="L5294" s="1">
        <f t="shared" si="3393"/>
        <v>4167405.63</v>
      </c>
      <c r="M5294" s="2">
        <f t="shared" si="3394"/>
        <v>0.20695551059184991</v>
      </c>
      <c r="N5294" s="2">
        <f t="shared" si="3395"/>
        <v>0.79304448940815009</v>
      </c>
    </row>
    <row r="5295" spans="1:14" x14ac:dyDescent="0.35">
      <c r="A5295" t="s">
        <v>38</v>
      </c>
      <c r="B5295" t="s">
        <v>19</v>
      </c>
      <c r="C5295">
        <v>2011</v>
      </c>
      <c r="D5295" t="s">
        <v>31</v>
      </c>
      <c r="E5295" s="3">
        <f t="shared" ref="E5295:F5295" si="3482">SUM(E495+E1455+E2415+E3375+E4335)</f>
        <v>2518</v>
      </c>
      <c r="F5295" s="3">
        <f t="shared" si="3482"/>
        <v>6184</v>
      </c>
      <c r="G5295" s="1">
        <f t="shared" si="3365"/>
        <v>8702</v>
      </c>
      <c r="H5295" s="2">
        <f t="shared" si="3366"/>
        <v>0.28935876809928751</v>
      </c>
      <c r="I5295" s="2">
        <f t="shared" si="3367"/>
        <v>0.71064123190071249</v>
      </c>
      <c r="J5295" s="3">
        <f t="shared" ref="J5295:K5295" si="3483">SUM(J495+J1455+J2415+J3375+J4335)</f>
        <v>977275.42</v>
      </c>
      <c r="K5295" s="3">
        <f t="shared" si="3483"/>
        <v>3648504.4499999997</v>
      </c>
      <c r="L5295" s="1">
        <f t="shared" si="3393"/>
        <v>4625779.87</v>
      </c>
      <c r="M5295" s="2">
        <f t="shared" si="3394"/>
        <v>0.21126716952918903</v>
      </c>
      <c r="N5295" s="2">
        <f t="shared" si="3395"/>
        <v>0.78873283047081089</v>
      </c>
    </row>
    <row r="5296" spans="1:14" x14ac:dyDescent="0.35">
      <c r="A5296" t="s">
        <v>38</v>
      </c>
      <c r="B5296" t="s">
        <v>20</v>
      </c>
      <c r="C5296">
        <v>2011</v>
      </c>
      <c r="D5296" t="s">
        <v>31</v>
      </c>
      <c r="E5296" s="3">
        <f t="shared" ref="E5296:F5296" si="3484">SUM(E496+E1456+E2416+E3376+E4336)</f>
        <v>2492</v>
      </c>
      <c r="F5296" s="3">
        <f t="shared" si="3484"/>
        <v>6202</v>
      </c>
      <c r="G5296" s="1">
        <f t="shared" si="3365"/>
        <v>8694</v>
      </c>
      <c r="H5296" s="2">
        <f t="shared" si="3366"/>
        <v>0.28663446054750402</v>
      </c>
      <c r="I5296" s="2">
        <f t="shared" si="3367"/>
        <v>0.71336553945249592</v>
      </c>
      <c r="J5296" s="3">
        <f t="shared" ref="J5296:K5296" si="3485">SUM(J496+J1456+J2416+J3376+J4336)</f>
        <v>859524.04</v>
      </c>
      <c r="K5296" s="3">
        <f t="shared" si="3485"/>
        <v>3107806.3800000004</v>
      </c>
      <c r="L5296" s="1">
        <f t="shared" si="3393"/>
        <v>3967330.4200000004</v>
      </c>
      <c r="M5296" s="2">
        <f t="shared" si="3394"/>
        <v>0.21665048004748744</v>
      </c>
      <c r="N5296" s="2">
        <f t="shared" si="3395"/>
        <v>0.78334951995251256</v>
      </c>
    </row>
    <row r="5297" spans="1:14" x14ac:dyDescent="0.35">
      <c r="A5297" t="s">
        <v>38</v>
      </c>
      <c r="B5297" t="s">
        <v>21</v>
      </c>
      <c r="C5297">
        <v>2011</v>
      </c>
      <c r="D5297" t="s">
        <v>31</v>
      </c>
      <c r="E5297" s="3">
        <f t="shared" ref="E5297:F5297" si="3486">SUM(E497+E1457+E2417+E3377+E4337)</f>
        <v>2483</v>
      </c>
      <c r="F5297" s="3">
        <f t="shared" si="3486"/>
        <v>6092</v>
      </c>
      <c r="G5297" s="1">
        <f t="shared" si="3365"/>
        <v>8575</v>
      </c>
      <c r="H5297" s="2">
        <f t="shared" si="3366"/>
        <v>0.28956268221574344</v>
      </c>
      <c r="I5297" s="2">
        <f t="shared" si="3367"/>
        <v>0.71043731778425656</v>
      </c>
      <c r="J5297" s="3">
        <f t="shared" ref="J5297:K5297" si="3487">SUM(J497+J1457+J2417+J3377+J4337)</f>
        <v>710891.72999999986</v>
      </c>
      <c r="K5297" s="3">
        <f t="shared" si="3487"/>
        <v>2979490.8500000006</v>
      </c>
      <c r="L5297" s="1">
        <f t="shared" si="3393"/>
        <v>3690382.5800000005</v>
      </c>
      <c r="M5297" s="2">
        <f t="shared" si="3394"/>
        <v>0.19263361307108701</v>
      </c>
      <c r="N5297" s="2">
        <f t="shared" si="3395"/>
        <v>0.80736638692891294</v>
      </c>
    </row>
    <row r="5298" spans="1:14" x14ac:dyDescent="0.35">
      <c r="A5298" t="s">
        <v>38</v>
      </c>
      <c r="B5298" t="s">
        <v>22</v>
      </c>
      <c r="C5298">
        <v>2011</v>
      </c>
      <c r="D5298" t="s">
        <v>31</v>
      </c>
      <c r="E5298" s="3">
        <f t="shared" ref="E5298:F5298" si="3488">SUM(E498+E1458+E2418+E3378+E4338)</f>
        <v>2476</v>
      </c>
      <c r="F5298" s="3">
        <f t="shared" si="3488"/>
        <v>6086</v>
      </c>
      <c r="G5298" s="1">
        <f t="shared" si="3365"/>
        <v>8562</v>
      </c>
      <c r="H5298" s="2">
        <f t="shared" si="3366"/>
        <v>0.28918476991357162</v>
      </c>
      <c r="I5298" s="2">
        <f t="shared" si="3367"/>
        <v>0.71081523008642844</v>
      </c>
      <c r="J5298" s="3">
        <f t="shared" ref="J5298:K5298" si="3489">SUM(J498+J1458+J2418+J3378+J4338)</f>
        <v>827114.22</v>
      </c>
      <c r="K5298" s="3">
        <f t="shared" si="3489"/>
        <v>3542515.45</v>
      </c>
      <c r="L5298" s="1">
        <f t="shared" si="3393"/>
        <v>4369629.67</v>
      </c>
      <c r="M5298" s="2">
        <f t="shared" si="3394"/>
        <v>0.18928702944293216</v>
      </c>
      <c r="N5298" s="2">
        <f t="shared" si="3395"/>
        <v>0.81071297055706792</v>
      </c>
    </row>
    <row r="5299" spans="1:14" x14ac:dyDescent="0.35">
      <c r="A5299" t="s">
        <v>38</v>
      </c>
      <c r="B5299" t="s">
        <v>23</v>
      </c>
      <c r="C5299">
        <v>2011</v>
      </c>
      <c r="D5299" t="s">
        <v>31</v>
      </c>
      <c r="E5299" s="3">
        <f t="shared" ref="E5299:F5299" si="3490">SUM(E499+E1459+E2419+E3379+E4339)</f>
        <v>2408</v>
      </c>
      <c r="F5299" s="3">
        <f t="shared" si="3490"/>
        <v>6291</v>
      </c>
      <c r="G5299" s="1">
        <f t="shared" si="3365"/>
        <v>8699</v>
      </c>
      <c r="H5299" s="2">
        <f t="shared" si="3366"/>
        <v>0.27681342683067017</v>
      </c>
      <c r="I5299" s="2">
        <f t="shared" si="3367"/>
        <v>0.72318657316932977</v>
      </c>
      <c r="J5299" s="3">
        <f t="shared" ref="J5299:K5299" si="3491">SUM(J499+J1459+J2419+J3379+J4339)</f>
        <v>865258.95000000007</v>
      </c>
      <c r="K5299" s="3">
        <f t="shared" si="3491"/>
        <v>3676252.51</v>
      </c>
      <c r="L5299" s="1">
        <f t="shared" si="3393"/>
        <v>4541511.46</v>
      </c>
      <c r="M5299" s="2">
        <f t="shared" si="3394"/>
        <v>0.19052224300673681</v>
      </c>
      <c r="N5299" s="2">
        <f t="shared" si="3395"/>
        <v>0.80947775699326319</v>
      </c>
    </row>
    <row r="5300" spans="1:14" x14ac:dyDescent="0.35">
      <c r="A5300" t="s">
        <v>38</v>
      </c>
      <c r="B5300" t="s">
        <v>24</v>
      </c>
      <c r="C5300">
        <v>2011</v>
      </c>
      <c r="D5300" t="s">
        <v>31</v>
      </c>
      <c r="E5300" s="3">
        <f t="shared" ref="E5300:F5300" si="3492">SUM(E500+E1460+E2420+E3380+E4340)</f>
        <v>2397</v>
      </c>
      <c r="F5300" s="3">
        <f t="shared" si="3492"/>
        <v>6216</v>
      </c>
      <c r="G5300" s="1">
        <f t="shared" si="3365"/>
        <v>8613</v>
      </c>
      <c r="H5300" s="2">
        <f t="shared" si="3366"/>
        <v>0.27830024381748519</v>
      </c>
      <c r="I5300" s="2">
        <f t="shared" si="3367"/>
        <v>0.72169975618251481</v>
      </c>
      <c r="J5300" s="3">
        <f t="shared" ref="J5300:K5300" si="3493">SUM(J500+J1460+J2420+J3380+J4340)</f>
        <v>875229.39</v>
      </c>
      <c r="K5300" s="3">
        <f t="shared" si="3493"/>
        <v>3583324.83</v>
      </c>
      <c r="L5300" s="1">
        <f t="shared" si="3393"/>
        <v>4458554.22</v>
      </c>
      <c r="M5300" s="2">
        <f t="shared" si="3394"/>
        <v>0.19630340841744884</v>
      </c>
      <c r="N5300" s="2">
        <f t="shared" si="3395"/>
        <v>0.80369659158255125</v>
      </c>
    </row>
    <row r="5301" spans="1:14" x14ac:dyDescent="0.35">
      <c r="A5301" t="s">
        <v>38</v>
      </c>
      <c r="B5301" t="s">
        <v>25</v>
      </c>
      <c r="C5301">
        <v>2011</v>
      </c>
      <c r="D5301" t="s">
        <v>31</v>
      </c>
      <c r="E5301" s="3">
        <f t="shared" ref="E5301:F5301" si="3494">SUM(E501+E1461+E2421+E3381+E4341)</f>
        <v>2391</v>
      </c>
      <c r="F5301" s="3">
        <f t="shared" si="3494"/>
        <v>6303</v>
      </c>
      <c r="G5301" s="1">
        <f t="shared" si="3365"/>
        <v>8694</v>
      </c>
      <c r="H5301" s="2">
        <f t="shared" si="3366"/>
        <v>0.27501725327812282</v>
      </c>
      <c r="I5301" s="2">
        <f t="shared" si="3367"/>
        <v>0.72498274672187712</v>
      </c>
      <c r="J5301" s="3">
        <f t="shared" ref="J5301:K5301" si="3495">SUM(J501+J1461+J2421+J3381+J4341)</f>
        <v>896962.80500000005</v>
      </c>
      <c r="K5301" s="3">
        <f t="shared" si="3495"/>
        <v>3597101.39</v>
      </c>
      <c r="L5301" s="1">
        <f t="shared" si="3393"/>
        <v>4494064.1950000003</v>
      </c>
      <c r="M5301" s="2">
        <f t="shared" si="3394"/>
        <v>0.19958833832368075</v>
      </c>
      <c r="N5301" s="2">
        <f t="shared" si="3395"/>
        <v>0.80041166167631927</v>
      </c>
    </row>
    <row r="5302" spans="1:14" x14ac:dyDescent="0.35">
      <c r="A5302" t="s">
        <v>38</v>
      </c>
      <c r="B5302" t="s">
        <v>26</v>
      </c>
      <c r="C5302">
        <v>2011</v>
      </c>
      <c r="D5302" t="s">
        <v>31</v>
      </c>
      <c r="E5302" s="3">
        <f t="shared" ref="E5302:F5302" si="3496">SUM(E502+E1462+E2422+E3382+E4342)</f>
        <v>2367</v>
      </c>
      <c r="F5302" s="3">
        <f t="shared" si="3496"/>
        <v>6265</v>
      </c>
      <c r="G5302" s="1">
        <f t="shared" si="3365"/>
        <v>8632</v>
      </c>
      <c r="H5302" s="2">
        <f t="shared" si="3366"/>
        <v>0.27421223354958296</v>
      </c>
      <c r="I5302" s="2">
        <f t="shared" si="3367"/>
        <v>0.72578776645041709</v>
      </c>
      <c r="J5302" s="3">
        <f t="shared" ref="J5302:K5302" si="3497">SUM(J502+J1462+J2422+J3382+J4342)</f>
        <v>897672.10000000009</v>
      </c>
      <c r="K5302" s="3">
        <f t="shared" si="3497"/>
        <v>3639820.8</v>
      </c>
      <c r="L5302" s="1">
        <f t="shared" si="3393"/>
        <v>4537492.9000000004</v>
      </c>
      <c r="M5302" s="2">
        <f t="shared" si="3394"/>
        <v>0.19783438118437607</v>
      </c>
      <c r="N5302" s="2">
        <f t="shared" si="3395"/>
        <v>0.80216561881562387</v>
      </c>
    </row>
    <row r="5303" spans="1:14" x14ac:dyDescent="0.35">
      <c r="A5303" t="s">
        <v>38</v>
      </c>
      <c r="B5303" t="s">
        <v>27</v>
      </c>
      <c r="C5303">
        <v>2011</v>
      </c>
      <c r="D5303" t="s">
        <v>31</v>
      </c>
      <c r="E5303" s="3">
        <f t="shared" ref="E5303:F5303" si="3498">SUM(E503+E1463+E2423+E3383+E4343)</f>
        <v>2352</v>
      </c>
      <c r="F5303" s="3">
        <f t="shared" si="3498"/>
        <v>6274</v>
      </c>
      <c r="G5303" s="1">
        <f t="shared" ref="G5303:G5366" si="3499">SUM(E5303:F5303)</f>
        <v>8626</v>
      </c>
      <c r="H5303" s="2">
        <f t="shared" ref="H5303:H5366" si="3500">SUM(E5303)/G5303</f>
        <v>0.27266403895200558</v>
      </c>
      <c r="I5303" s="2">
        <f t="shared" ref="I5303:I5366" si="3501">SUM(F5303/G5303)</f>
        <v>0.72733596104799447</v>
      </c>
      <c r="J5303" s="3">
        <f t="shared" ref="J5303:K5303" si="3502">SUM(J503+J1463+J2423+J3383+J4343)</f>
        <v>844474.43</v>
      </c>
      <c r="K5303" s="3">
        <f t="shared" si="3502"/>
        <v>3643854.3499999996</v>
      </c>
      <c r="L5303" s="1">
        <f t="shared" si="3393"/>
        <v>4488328.7799999993</v>
      </c>
      <c r="M5303" s="2">
        <f t="shared" si="3394"/>
        <v>0.18814896844522164</v>
      </c>
      <c r="N5303" s="2">
        <f t="shared" si="3395"/>
        <v>0.81185103155477845</v>
      </c>
    </row>
    <row r="5304" spans="1:14" x14ac:dyDescent="0.35">
      <c r="A5304" t="s">
        <v>38</v>
      </c>
      <c r="B5304" t="s">
        <v>28</v>
      </c>
      <c r="C5304">
        <v>2011</v>
      </c>
      <c r="D5304" t="s">
        <v>31</v>
      </c>
      <c r="E5304" s="3">
        <f t="shared" ref="E5304:F5304" si="3503">SUM(E504+E1464+E2424+E3384+E4344)</f>
        <v>2337</v>
      </c>
      <c r="F5304" s="3">
        <f t="shared" si="3503"/>
        <v>6351</v>
      </c>
      <c r="G5304" s="1">
        <f t="shared" si="3499"/>
        <v>8688</v>
      </c>
      <c r="H5304" s="2">
        <f t="shared" si="3500"/>
        <v>0.26899171270718231</v>
      </c>
      <c r="I5304" s="2">
        <f t="shared" si="3501"/>
        <v>0.73100828729281764</v>
      </c>
      <c r="J5304" s="3">
        <f t="shared" ref="J5304:K5304" si="3504">SUM(J504+J1464+J2424+J3384+J4344)</f>
        <v>768205.91999999993</v>
      </c>
      <c r="K5304" s="3">
        <f t="shared" si="3504"/>
        <v>3375043.4699999997</v>
      </c>
      <c r="L5304" s="1">
        <f t="shared" si="3393"/>
        <v>4143249.3899999997</v>
      </c>
      <c r="M5304" s="2">
        <f t="shared" si="3394"/>
        <v>0.18541146035141273</v>
      </c>
      <c r="N5304" s="2">
        <f t="shared" si="3395"/>
        <v>0.81458853964858724</v>
      </c>
    </row>
    <row r="5305" spans="1:14" x14ac:dyDescent="0.35">
      <c r="A5305" t="s">
        <v>38</v>
      </c>
      <c r="B5305" t="s">
        <v>29</v>
      </c>
      <c r="C5305">
        <v>2011</v>
      </c>
      <c r="D5305" t="s">
        <v>31</v>
      </c>
      <c r="E5305" s="3">
        <f t="shared" ref="E5305:F5305" si="3505">SUM(E505+E1465+E2425+E3385+E4345)</f>
        <v>2313</v>
      </c>
      <c r="F5305" s="3">
        <f t="shared" si="3505"/>
        <v>6209</v>
      </c>
      <c r="G5305" s="1">
        <f t="shared" si="3499"/>
        <v>8522</v>
      </c>
      <c r="H5305" s="2">
        <f t="shared" si="3500"/>
        <v>0.27141516076038491</v>
      </c>
      <c r="I5305" s="2">
        <f t="shared" si="3501"/>
        <v>0.72858483923961515</v>
      </c>
      <c r="J5305" s="3">
        <f t="shared" ref="J5305:K5305" si="3506">SUM(J505+J1465+J2425+J3385+J4345)</f>
        <v>772481.38</v>
      </c>
      <c r="K5305" s="3">
        <f t="shared" si="3506"/>
        <v>3379773.52</v>
      </c>
      <c r="L5305" s="1">
        <f t="shared" si="3393"/>
        <v>4152254.9</v>
      </c>
      <c r="M5305" s="2">
        <f t="shared" si="3394"/>
        <v>0.18603900738367485</v>
      </c>
      <c r="N5305" s="2">
        <f t="shared" si="3395"/>
        <v>0.81396099261632515</v>
      </c>
    </row>
    <row r="5306" spans="1:14" x14ac:dyDescent="0.35">
      <c r="A5306" t="s">
        <v>38</v>
      </c>
      <c r="B5306" t="s">
        <v>17</v>
      </c>
      <c r="C5306">
        <v>2012</v>
      </c>
      <c r="D5306" t="s">
        <v>31</v>
      </c>
      <c r="E5306" s="3">
        <f t="shared" ref="E5306:F5306" si="3507">SUM(E506+E1466+E2426+E3386+E4346)</f>
        <v>2308</v>
      </c>
      <c r="F5306" s="3">
        <f t="shared" si="3507"/>
        <v>6368</v>
      </c>
      <c r="G5306" s="1">
        <f t="shared" si="3499"/>
        <v>8676</v>
      </c>
      <c r="H5306" s="2">
        <f t="shared" si="3500"/>
        <v>0.26602120792992162</v>
      </c>
      <c r="I5306" s="2">
        <f t="shared" si="3501"/>
        <v>0.73397879207007832</v>
      </c>
      <c r="J5306" s="3">
        <f t="shared" ref="J5306:K5306" si="3508">SUM(J506+J1466+J2426+J3386+J4346)</f>
        <v>755030.68</v>
      </c>
      <c r="K5306" s="3">
        <f t="shared" si="3508"/>
        <v>3468952.01</v>
      </c>
      <c r="L5306" s="1">
        <f t="shared" si="3393"/>
        <v>4223982.6899999995</v>
      </c>
      <c r="M5306" s="2">
        <f t="shared" si="3394"/>
        <v>0.17874852607409719</v>
      </c>
      <c r="N5306" s="2">
        <f t="shared" si="3395"/>
        <v>0.82125147392590292</v>
      </c>
    </row>
    <row r="5307" spans="1:14" x14ac:dyDescent="0.35">
      <c r="A5307" t="s">
        <v>38</v>
      </c>
      <c r="B5307" t="s">
        <v>19</v>
      </c>
      <c r="C5307">
        <v>2012</v>
      </c>
      <c r="D5307" t="s">
        <v>31</v>
      </c>
      <c r="E5307" s="3">
        <f t="shared" ref="E5307:F5307" si="3509">SUM(E507+E1467+E2427+E3387+E4347)</f>
        <v>2299</v>
      </c>
      <c r="F5307" s="3">
        <f t="shared" si="3509"/>
        <v>6460</v>
      </c>
      <c r="G5307" s="1">
        <f t="shared" si="3499"/>
        <v>8759</v>
      </c>
      <c r="H5307" s="2">
        <f t="shared" si="3500"/>
        <v>0.26247288503253796</v>
      </c>
      <c r="I5307" s="2">
        <f t="shared" si="3501"/>
        <v>0.73752711496746204</v>
      </c>
      <c r="J5307" s="3">
        <f t="shared" ref="J5307:K5307" si="3510">SUM(J507+J1467+J2427+J3387+J4347)</f>
        <v>717399.96</v>
      </c>
      <c r="K5307" s="3">
        <f t="shared" si="3510"/>
        <v>3684685.91</v>
      </c>
      <c r="L5307" s="1">
        <f t="shared" si="3393"/>
        <v>4402085.87</v>
      </c>
      <c r="M5307" s="2">
        <f t="shared" si="3394"/>
        <v>0.16296818853286021</v>
      </c>
      <c r="N5307" s="2">
        <f t="shared" si="3395"/>
        <v>0.83703181146713979</v>
      </c>
    </row>
    <row r="5308" spans="1:14" x14ac:dyDescent="0.35">
      <c r="A5308" t="s">
        <v>38</v>
      </c>
      <c r="B5308" t="s">
        <v>20</v>
      </c>
      <c r="C5308">
        <v>2012</v>
      </c>
      <c r="D5308" t="s">
        <v>31</v>
      </c>
      <c r="E5308" s="3">
        <f t="shared" ref="E5308:F5308" si="3511">SUM(E508+E1468+E2428+E3388+E4348)</f>
        <v>2298</v>
      </c>
      <c r="F5308" s="3">
        <f t="shared" si="3511"/>
        <v>6530</v>
      </c>
      <c r="G5308" s="1">
        <f t="shared" si="3499"/>
        <v>8828</v>
      </c>
      <c r="H5308" s="2">
        <f t="shared" si="3500"/>
        <v>0.26030811055731762</v>
      </c>
      <c r="I5308" s="2">
        <f t="shared" si="3501"/>
        <v>0.73969188944268238</v>
      </c>
      <c r="J5308" s="3">
        <f t="shared" ref="J5308:K5308" si="3512">SUM(J508+J1468+J2428+J3388+J4348)</f>
        <v>701994.34</v>
      </c>
      <c r="K5308" s="3">
        <f t="shared" si="3512"/>
        <v>3521714.23</v>
      </c>
      <c r="L5308" s="1">
        <f t="shared" si="3393"/>
        <v>4223708.57</v>
      </c>
      <c r="M5308" s="2">
        <f t="shared" si="3394"/>
        <v>0.1662033088613403</v>
      </c>
      <c r="N5308" s="2">
        <f t="shared" si="3395"/>
        <v>0.83379669113865962</v>
      </c>
    </row>
    <row r="5309" spans="1:14" x14ac:dyDescent="0.35">
      <c r="A5309" t="s">
        <v>38</v>
      </c>
      <c r="B5309" t="s">
        <v>21</v>
      </c>
      <c r="C5309">
        <v>2012</v>
      </c>
      <c r="D5309" t="s">
        <v>31</v>
      </c>
      <c r="E5309" s="3">
        <f t="shared" ref="E5309:F5309" si="3513">SUM(E509+E1469+E2429+E3389+E4349)</f>
        <v>2291</v>
      </c>
      <c r="F5309" s="3">
        <f t="shared" si="3513"/>
        <v>6564</v>
      </c>
      <c r="G5309" s="1">
        <f t="shared" si="3499"/>
        <v>8855</v>
      </c>
      <c r="H5309" s="2">
        <f t="shared" si="3500"/>
        <v>0.25872388481084135</v>
      </c>
      <c r="I5309" s="2">
        <f t="shared" si="3501"/>
        <v>0.7412761151891587</v>
      </c>
      <c r="J5309" s="3">
        <f t="shared" ref="J5309:K5309" si="3514">SUM(J509+J1469+J2429+J3389+J4349)</f>
        <v>753819.38</v>
      </c>
      <c r="K5309" s="3">
        <f t="shared" si="3514"/>
        <v>3883072.46</v>
      </c>
      <c r="L5309" s="1">
        <f t="shared" si="3393"/>
        <v>4636891.84</v>
      </c>
      <c r="M5309" s="2">
        <f t="shared" si="3394"/>
        <v>0.16256997273414944</v>
      </c>
      <c r="N5309" s="2">
        <f t="shared" si="3395"/>
        <v>0.83743002726585059</v>
      </c>
    </row>
    <row r="5310" spans="1:14" x14ac:dyDescent="0.35">
      <c r="A5310" t="s">
        <v>38</v>
      </c>
      <c r="B5310" t="s">
        <v>22</v>
      </c>
      <c r="C5310">
        <v>2012</v>
      </c>
      <c r="D5310" t="s">
        <v>31</v>
      </c>
      <c r="E5310" s="3">
        <f t="shared" ref="E5310:F5310" si="3515">SUM(E510+E1470+E2430+E3390+E4350)</f>
        <v>2255</v>
      </c>
      <c r="F5310" s="3">
        <f t="shared" si="3515"/>
        <v>6622</v>
      </c>
      <c r="G5310" s="1">
        <f t="shared" si="3499"/>
        <v>8877</v>
      </c>
      <c r="H5310" s="2">
        <f t="shared" si="3500"/>
        <v>0.25402726146220572</v>
      </c>
      <c r="I5310" s="2">
        <f t="shared" si="3501"/>
        <v>0.74597273853779433</v>
      </c>
      <c r="J5310" s="3">
        <f t="shared" ref="J5310:K5310" si="3516">SUM(J510+J1470+J2430+J3390+J4350)</f>
        <v>720648.42</v>
      </c>
      <c r="K5310" s="3">
        <f t="shared" si="3516"/>
        <v>3714360.19</v>
      </c>
      <c r="L5310" s="1">
        <f t="shared" si="3393"/>
        <v>4435008.6100000003</v>
      </c>
      <c r="M5310" s="2">
        <f t="shared" si="3394"/>
        <v>0.16249087281929764</v>
      </c>
      <c r="N5310" s="2">
        <f t="shared" si="3395"/>
        <v>0.83750912718070225</v>
      </c>
    </row>
    <row r="5311" spans="1:14" x14ac:dyDescent="0.35">
      <c r="A5311" t="s">
        <v>38</v>
      </c>
      <c r="B5311" t="s">
        <v>23</v>
      </c>
      <c r="C5311">
        <v>2012</v>
      </c>
      <c r="D5311" t="s">
        <v>31</v>
      </c>
      <c r="E5311" s="3">
        <f t="shared" ref="E5311:F5311" si="3517">SUM(E511+E1471+E2431+E3391+E4351)</f>
        <v>2190</v>
      </c>
      <c r="F5311" s="3">
        <f t="shared" si="3517"/>
        <v>6702</v>
      </c>
      <c r="G5311" s="1">
        <f t="shared" si="3499"/>
        <v>8892</v>
      </c>
      <c r="H5311" s="2">
        <f t="shared" si="3500"/>
        <v>0.24628879892037786</v>
      </c>
      <c r="I5311" s="2">
        <f t="shared" si="3501"/>
        <v>0.75371120107962208</v>
      </c>
      <c r="J5311" s="3">
        <f t="shared" ref="J5311:K5311" si="3518">SUM(J511+J1471+J2431+J3391+J4351)</f>
        <v>797944.08</v>
      </c>
      <c r="K5311" s="3">
        <f t="shared" si="3518"/>
        <v>4061748.91</v>
      </c>
      <c r="L5311" s="1">
        <f t="shared" si="3393"/>
        <v>4859692.99</v>
      </c>
      <c r="M5311" s="2">
        <f t="shared" si="3394"/>
        <v>0.16419639710614722</v>
      </c>
      <c r="N5311" s="2">
        <f t="shared" si="3395"/>
        <v>0.8358036028938528</v>
      </c>
    </row>
    <row r="5312" spans="1:14" x14ac:dyDescent="0.35">
      <c r="A5312" t="s">
        <v>38</v>
      </c>
      <c r="B5312" t="s">
        <v>24</v>
      </c>
      <c r="C5312">
        <v>2012</v>
      </c>
      <c r="D5312" t="s">
        <v>31</v>
      </c>
      <c r="E5312" s="3">
        <f t="shared" ref="E5312:F5312" si="3519">SUM(E512+E1472+E2432+E3392+E4352)</f>
        <v>2120</v>
      </c>
      <c r="F5312" s="3">
        <f t="shared" si="3519"/>
        <v>6702</v>
      </c>
      <c r="G5312" s="1">
        <f t="shared" si="3499"/>
        <v>8822</v>
      </c>
      <c r="H5312" s="2">
        <f t="shared" si="3500"/>
        <v>0.24030832010881886</v>
      </c>
      <c r="I5312" s="2">
        <f t="shared" si="3501"/>
        <v>0.75969167989118114</v>
      </c>
      <c r="J5312" s="3">
        <f t="shared" ref="J5312:K5312" si="3520">SUM(J512+J1472+J2432+J3392+J4352)</f>
        <v>809667.27</v>
      </c>
      <c r="K5312" s="3">
        <f t="shared" si="3520"/>
        <v>4000569.9899999998</v>
      </c>
      <c r="L5312" s="1">
        <f t="shared" si="3393"/>
        <v>4810237.26</v>
      </c>
      <c r="M5312" s="2">
        <f t="shared" si="3394"/>
        <v>0.168321691059372</v>
      </c>
      <c r="N5312" s="2">
        <f t="shared" si="3395"/>
        <v>0.831678308940628</v>
      </c>
    </row>
    <row r="5313" spans="1:14" x14ac:dyDescent="0.35">
      <c r="A5313" t="s">
        <v>38</v>
      </c>
      <c r="B5313" t="s">
        <v>25</v>
      </c>
      <c r="C5313">
        <v>2012</v>
      </c>
      <c r="D5313" t="s">
        <v>31</v>
      </c>
      <c r="E5313" s="3">
        <f t="shared" ref="E5313:F5313" si="3521">SUM(E513+E1473+E2433+E3393+E4353)</f>
        <v>2104</v>
      </c>
      <c r="F5313" s="3">
        <f t="shared" si="3521"/>
        <v>6688</v>
      </c>
      <c r="G5313" s="1">
        <f t="shared" si="3499"/>
        <v>8792</v>
      </c>
      <c r="H5313" s="2">
        <f t="shared" si="3500"/>
        <v>0.23930846223839855</v>
      </c>
      <c r="I5313" s="2">
        <f t="shared" si="3501"/>
        <v>0.76069153776160148</v>
      </c>
      <c r="J5313" s="3">
        <f t="shared" ref="J5313:K5313" si="3522">SUM(J513+J1473+J2433+J3393+J4353)</f>
        <v>778958.44600000011</v>
      </c>
      <c r="K5313" s="3">
        <f t="shared" si="3522"/>
        <v>4016282.1289999997</v>
      </c>
      <c r="L5313" s="1">
        <f t="shared" si="3393"/>
        <v>4795240.5750000002</v>
      </c>
      <c r="M5313" s="2">
        <f t="shared" si="3394"/>
        <v>0.16244408050371906</v>
      </c>
      <c r="N5313" s="2">
        <f t="shared" si="3395"/>
        <v>0.83755591949628083</v>
      </c>
    </row>
    <row r="5314" spans="1:14" x14ac:dyDescent="0.35">
      <c r="A5314" t="s">
        <v>38</v>
      </c>
      <c r="B5314" t="s">
        <v>26</v>
      </c>
      <c r="C5314">
        <v>2012</v>
      </c>
      <c r="D5314" t="s">
        <v>31</v>
      </c>
      <c r="E5314" s="3">
        <f t="shared" ref="E5314:F5314" si="3523">SUM(E514+E1474+E2434+E3394+E4354)</f>
        <v>2097</v>
      </c>
      <c r="F5314" s="3">
        <f t="shared" si="3523"/>
        <v>6681</v>
      </c>
      <c r="G5314" s="1">
        <f t="shared" si="3499"/>
        <v>8778</v>
      </c>
      <c r="H5314" s="2">
        <f t="shared" si="3500"/>
        <v>0.23889268626110732</v>
      </c>
      <c r="I5314" s="2">
        <f t="shared" si="3501"/>
        <v>0.76110731373889273</v>
      </c>
      <c r="J5314" s="3">
        <f t="shared" ref="J5314:K5314" si="3524">SUM(J514+J1474+J2434+J3394+J4354)</f>
        <v>801016.8</v>
      </c>
      <c r="K5314" s="3">
        <f t="shared" si="3524"/>
        <v>4060291.25</v>
      </c>
      <c r="L5314" s="1">
        <f t="shared" si="3393"/>
        <v>4861308.05</v>
      </c>
      <c r="M5314" s="2">
        <f t="shared" si="3394"/>
        <v>0.16477392334764715</v>
      </c>
      <c r="N5314" s="2">
        <f t="shared" si="3395"/>
        <v>0.83522607665235293</v>
      </c>
    </row>
    <row r="5315" spans="1:14" x14ac:dyDescent="0.35">
      <c r="A5315" t="s">
        <v>38</v>
      </c>
      <c r="B5315" t="s">
        <v>27</v>
      </c>
      <c r="C5315">
        <v>2012</v>
      </c>
      <c r="D5315" t="s">
        <v>31</v>
      </c>
      <c r="E5315" s="3">
        <f t="shared" ref="E5315:F5315" si="3525">SUM(E515+E1475+E2435+E3395+E4355)</f>
        <v>2126</v>
      </c>
      <c r="F5315" s="3">
        <f t="shared" si="3525"/>
        <v>6816</v>
      </c>
      <c r="G5315" s="1">
        <f t="shared" si="3499"/>
        <v>8942</v>
      </c>
      <c r="H5315" s="2">
        <f t="shared" si="3500"/>
        <v>0.23775441735629613</v>
      </c>
      <c r="I5315" s="2">
        <f t="shared" si="3501"/>
        <v>0.7622455826437039</v>
      </c>
      <c r="J5315" s="3">
        <f t="shared" ref="J5315:K5315" si="3526">SUM(J515+J1475+J2435+J3395+J4355)</f>
        <v>761056.48</v>
      </c>
      <c r="K5315" s="3">
        <f t="shared" si="3526"/>
        <v>3909212.87</v>
      </c>
      <c r="L5315" s="1">
        <f t="shared" ref="L5315:L5378" si="3527">SUM(J5315:K5315)</f>
        <v>4670269.3499999996</v>
      </c>
      <c r="M5315" s="2">
        <f t="shared" ref="M5315:M5378" si="3528">SUM(J5315)/L5315</f>
        <v>0.16295772748096424</v>
      </c>
      <c r="N5315" s="2">
        <f t="shared" ref="N5315:N5378" si="3529">SUM(K5315/L5315)</f>
        <v>0.83704227251903585</v>
      </c>
    </row>
    <row r="5316" spans="1:14" x14ac:dyDescent="0.35">
      <c r="A5316" t="s">
        <v>38</v>
      </c>
      <c r="B5316" t="s">
        <v>28</v>
      </c>
      <c r="C5316">
        <v>2012</v>
      </c>
      <c r="D5316" t="s">
        <v>31</v>
      </c>
      <c r="E5316" s="3">
        <f t="shared" ref="E5316:F5316" si="3530">SUM(E516+E1476+E2436+E3396+E4356)</f>
        <v>2110</v>
      </c>
      <c r="F5316" s="3">
        <f t="shared" si="3530"/>
        <v>6836</v>
      </c>
      <c r="G5316" s="1">
        <f t="shared" si="3499"/>
        <v>8946</v>
      </c>
      <c r="H5316" s="2">
        <f t="shared" si="3500"/>
        <v>0.23585960205678516</v>
      </c>
      <c r="I5316" s="2">
        <f t="shared" si="3501"/>
        <v>0.76414039794321487</v>
      </c>
      <c r="J5316" s="3">
        <f t="shared" ref="J5316:K5316" si="3531">SUM(J516+J1476+J2436+J3396+J4356)</f>
        <v>731042.86999999988</v>
      </c>
      <c r="K5316" s="3">
        <f t="shared" si="3531"/>
        <v>3808607.23</v>
      </c>
      <c r="L5316" s="1">
        <f t="shared" si="3527"/>
        <v>4539650.0999999996</v>
      </c>
      <c r="M5316" s="2">
        <f t="shared" si="3528"/>
        <v>0.16103506964116021</v>
      </c>
      <c r="N5316" s="2">
        <f t="shared" si="3529"/>
        <v>0.83896493035883979</v>
      </c>
    </row>
    <row r="5317" spans="1:14" x14ac:dyDescent="0.35">
      <c r="A5317" t="s">
        <v>38</v>
      </c>
      <c r="B5317" t="s">
        <v>29</v>
      </c>
      <c r="C5317">
        <v>2012</v>
      </c>
      <c r="D5317" t="s">
        <v>31</v>
      </c>
      <c r="E5317" s="3">
        <f t="shared" ref="E5317:F5317" si="3532">SUM(E517+E1477+E2437+E3397+E4357)</f>
        <v>2112</v>
      </c>
      <c r="F5317" s="3">
        <f t="shared" si="3532"/>
        <v>6863</v>
      </c>
      <c r="G5317" s="1">
        <f t="shared" si="3499"/>
        <v>8975</v>
      </c>
      <c r="H5317" s="2">
        <f t="shared" si="3500"/>
        <v>0.23532033426183843</v>
      </c>
      <c r="I5317" s="2">
        <f t="shared" si="3501"/>
        <v>0.7646796657381616</v>
      </c>
      <c r="J5317" s="3">
        <f t="shared" ref="J5317:K5317" si="3533">SUM(J517+J1477+J2437+J3397+J4357)</f>
        <v>724398.57000000007</v>
      </c>
      <c r="K5317" s="3">
        <f t="shared" si="3533"/>
        <v>3767519.4000000004</v>
      </c>
      <c r="L5317" s="1">
        <f t="shared" si="3527"/>
        <v>4491917.9700000007</v>
      </c>
      <c r="M5317" s="2">
        <f t="shared" si="3528"/>
        <v>0.16126709678093251</v>
      </c>
      <c r="N5317" s="2">
        <f t="shared" si="3529"/>
        <v>0.83873290321906746</v>
      </c>
    </row>
    <row r="5318" spans="1:14" x14ac:dyDescent="0.35">
      <c r="A5318" t="s">
        <v>38</v>
      </c>
      <c r="B5318" t="s">
        <v>17</v>
      </c>
      <c r="C5318">
        <v>2013</v>
      </c>
      <c r="D5318" t="s">
        <v>31</v>
      </c>
      <c r="E5318" s="3">
        <f t="shared" ref="E5318:F5318" si="3534">SUM(E518+E1478+E2438+E3398+E4358)</f>
        <v>2152</v>
      </c>
      <c r="F5318" s="3">
        <f t="shared" si="3534"/>
        <v>6839</v>
      </c>
      <c r="G5318" s="1">
        <f t="shared" si="3499"/>
        <v>8991</v>
      </c>
      <c r="H5318" s="2">
        <f t="shared" si="3500"/>
        <v>0.2393504615726838</v>
      </c>
      <c r="I5318" s="2">
        <f t="shared" si="3501"/>
        <v>0.7606495384273162</v>
      </c>
      <c r="J5318" s="3">
        <f t="shared" ref="J5318:K5318" si="3535">SUM(J518+J1478+J2438+J3398+J4358)</f>
        <v>678124.02</v>
      </c>
      <c r="K5318" s="3">
        <f t="shared" si="3535"/>
        <v>3685097.71</v>
      </c>
      <c r="L5318" s="1">
        <f t="shared" si="3527"/>
        <v>4363221.7300000004</v>
      </c>
      <c r="M5318" s="2">
        <f t="shared" si="3528"/>
        <v>0.15541818911870883</v>
      </c>
      <c r="N5318" s="2">
        <f t="shared" si="3529"/>
        <v>0.84458181088129103</v>
      </c>
    </row>
    <row r="5319" spans="1:14" x14ac:dyDescent="0.35">
      <c r="A5319" t="s">
        <v>38</v>
      </c>
      <c r="B5319" t="s">
        <v>19</v>
      </c>
      <c r="C5319">
        <v>2013</v>
      </c>
      <c r="D5319" t="s">
        <v>31</v>
      </c>
      <c r="E5319" s="3">
        <f t="shared" ref="E5319:F5319" si="3536">SUM(E519+E1479+E2439+E3399+E4359)</f>
        <v>2149</v>
      </c>
      <c r="F5319" s="3">
        <f t="shared" si="3536"/>
        <v>6903</v>
      </c>
      <c r="G5319" s="1">
        <f t="shared" si="3499"/>
        <v>9052</v>
      </c>
      <c r="H5319" s="2">
        <f t="shared" si="3500"/>
        <v>0.23740609809986743</v>
      </c>
      <c r="I5319" s="2">
        <f t="shared" si="3501"/>
        <v>0.76259390190013254</v>
      </c>
      <c r="J5319" s="3">
        <f t="shared" ref="J5319:K5319" si="3537">SUM(J519+J1479+J2439+J3399+J4359)</f>
        <v>643141.17999999993</v>
      </c>
      <c r="K5319" s="3">
        <f t="shared" si="3537"/>
        <v>3750503.17</v>
      </c>
      <c r="L5319" s="1">
        <f t="shared" si="3527"/>
        <v>4393644.3499999996</v>
      </c>
      <c r="M5319" s="2">
        <f t="shared" si="3528"/>
        <v>0.14637989076198213</v>
      </c>
      <c r="N5319" s="2">
        <f t="shared" si="3529"/>
        <v>0.8536201092380179</v>
      </c>
    </row>
    <row r="5320" spans="1:14" x14ac:dyDescent="0.35">
      <c r="A5320" t="s">
        <v>38</v>
      </c>
      <c r="B5320" t="s">
        <v>20</v>
      </c>
      <c r="C5320">
        <v>2013</v>
      </c>
      <c r="D5320" t="s">
        <v>31</v>
      </c>
      <c r="E5320" s="3">
        <f t="shared" ref="E5320:F5320" si="3538">SUM(E520+E1480+E2440+E3400+E4360)</f>
        <v>2141</v>
      </c>
      <c r="F5320" s="3">
        <f t="shared" si="3538"/>
        <v>6881</v>
      </c>
      <c r="G5320" s="1">
        <f t="shared" si="3499"/>
        <v>9022</v>
      </c>
      <c r="H5320" s="2">
        <f t="shared" si="3500"/>
        <v>0.23730880070937707</v>
      </c>
      <c r="I5320" s="2">
        <f t="shared" si="3501"/>
        <v>0.7626911992906229</v>
      </c>
      <c r="J5320" s="3">
        <f t="shared" ref="J5320:K5320" si="3539">SUM(J520+J1480+J2440+J3400+J4360)</f>
        <v>598775.68999999994</v>
      </c>
      <c r="K5320" s="3">
        <f t="shared" si="3539"/>
        <v>3547973.2600000002</v>
      </c>
      <c r="L5320" s="1">
        <f t="shared" si="3527"/>
        <v>4146748.95</v>
      </c>
      <c r="M5320" s="2">
        <f t="shared" si="3528"/>
        <v>0.14439641686049018</v>
      </c>
      <c r="N5320" s="2">
        <f t="shared" si="3529"/>
        <v>0.85560358313950979</v>
      </c>
    </row>
    <row r="5321" spans="1:14" x14ac:dyDescent="0.35">
      <c r="A5321" t="s">
        <v>38</v>
      </c>
      <c r="B5321" t="s">
        <v>21</v>
      </c>
      <c r="C5321">
        <v>2013</v>
      </c>
      <c r="D5321" t="s">
        <v>31</v>
      </c>
      <c r="E5321" s="3">
        <f t="shared" ref="E5321:F5321" si="3540">SUM(E521+E1481+E2441+E3401+E4361)</f>
        <v>2138</v>
      </c>
      <c r="F5321" s="3">
        <f t="shared" si="3540"/>
        <v>6905</v>
      </c>
      <c r="G5321" s="1">
        <f t="shared" si="3499"/>
        <v>9043</v>
      </c>
      <c r="H5321" s="2">
        <f t="shared" si="3500"/>
        <v>0.23642596483467876</v>
      </c>
      <c r="I5321" s="2">
        <f t="shared" si="3501"/>
        <v>0.7635740351653213</v>
      </c>
      <c r="J5321" s="3">
        <f t="shared" ref="J5321:K5321" si="3541">SUM(J521+J1481+J2441+J3401+J4361)</f>
        <v>675602.57</v>
      </c>
      <c r="K5321" s="3">
        <f t="shared" si="3541"/>
        <v>4113953.21</v>
      </c>
      <c r="L5321" s="1">
        <f t="shared" si="3527"/>
        <v>4789555.78</v>
      </c>
      <c r="M5321" s="2">
        <f t="shared" si="3528"/>
        <v>0.1410574594038865</v>
      </c>
      <c r="N5321" s="2">
        <f t="shared" si="3529"/>
        <v>0.85894254059611341</v>
      </c>
    </row>
    <row r="5322" spans="1:14" x14ac:dyDescent="0.35">
      <c r="A5322" t="s">
        <v>38</v>
      </c>
      <c r="B5322" t="s">
        <v>22</v>
      </c>
      <c r="C5322">
        <v>2013</v>
      </c>
      <c r="D5322" t="s">
        <v>31</v>
      </c>
      <c r="E5322" s="3">
        <f t="shared" ref="E5322:F5322" si="3542">SUM(E522+E1482+E2442+E3402+E4362)</f>
        <v>2110</v>
      </c>
      <c r="F5322" s="3">
        <f t="shared" si="3542"/>
        <v>6967</v>
      </c>
      <c r="G5322" s="1">
        <f t="shared" si="3499"/>
        <v>9077</v>
      </c>
      <c r="H5322" s="2">
        <f t="shared" si="3500"/>
        <v>0.23245565715544783</v>
      </c>
      <c r="I5322" s="2">
        <f t="shared" si="3501"/>
        <v>0.7675443428445522</v>
      </c>
      <c r="J5322" s="3">
        <f t="shared" ref="J5322:K5322" si="3543">SUM(J522+J1482+J2442+J3402+J4362)</f>
        <v>685821.6100000001</v>
      </c>
      <c r="K5322" s="3">
        <f t="shared" si="3543"/>
        <v>4151574.7199999997</v>
      </c>
      <c r="L5322" s="1">
        <f t="shared" si="3527"/>
        <v>4837396.33</v>
      </c>
      <c r="M5322" s="2">
        <f t="shared" si="3528"/>
        <v>0.14177494735065466</v>
      </c>
      <c r="N5322" s="2">
        <f t="shared" si="3529"/>
        <v>0.85822505264934534</v>
      </c>
    </row>
    <row r="5323" spans="1:14" x14ac:dyDescent="0.35">
      <c r="A5323" t="s">
        <v>38</v>
      </c>
      <c r="B5323" t="s">
        <v>23</v>
      </c>
      <c r="C5323">
        <v>2013</v>
      </c>
      <c r="D5323" t="s">
        <v>31</v>
      </c>
      <c r="E5323" s="3">
        <f t="shared" ref="E5323:F5323" si="3544">SUM(E523+E1483+E2443+E3403+E4363)</f>
        <v>2099</v>
      </c>
      <c r="F5323" s="3">
        <f t="shared" si="3544"/>
        <v>7021</v>
      </c>
      <c r="G5323" s="1">
        <f t="shared" si="3499"/>
        <v>9120</v>
      </c>
      <c r="H5323" s="2">
        <f t="shared" si="3500"/>
        <v>0.23015350877192983</v>
      </c>
      <c r="I5323" s="2">
        <f t="shared" si="3501"/>
        <v>0.76984649122807014</v>
      </c>
      <c r="J5323" s="3">
        <f t="shared" ref="J5323:K5323" si="3545">SUM(J523+J1483+J2443+J3403+J4363)</f>
        <v>668124.80000000005</v>
      </c>
      <c r="K5323" s="3">
        <f t="shared" si="3545"/>
        <v>4402929.09</v>
      </c>
      <c r="L5323" s="1">
        <f t="shared" si="3527"/>
        <v>5071053.8899999997</v>
      </c>
      <c r="M5323" s="2">
        <f t="shared" si="3528"/>
        <v>0.13175265230715189</v>
      </c>
      <c r="N5323" s="2">
        <f t="shared" si="3529"/>
        <v>0.86824734769284817</v>
      </c>
    </row>
    <row r="5324" spans="1:14" x14ac:dyDescent="0.35">
      <c r="A5324" t="s">
        <v>38</v>
      </c>
      <c r="B5324" t="s">
        <v>24</v>
      </c>
      <c r="C5324">
        <v>2013</v>
      </c>
      <c r="D5324" t="s">
        <v>31</v>
      </c>
      <c r="E5324" s="3">
        <f t="shared" ref="E5324:F5324" si="3546">SUM(E524+E1484+E2444+E3404+E4364)</f>
        <v>2114</v>
      </c>
      <c r="F5324" s="3">
        <f t="shared" si="3546"/>
        <v>7034</v>
      </c>
      <c r="G5324" s="1">
        <f t="shared" si="3499"/>
        <v>9148</v>
      </c>
      <c r="H5324" s="2">
        <f t="shared" si="3500"/>
        <v>0.23108876257105379</v>
      </c>
      <c r="I5324" s="2">
        <f t="shared" si="3501"/>
        <v>0.76891123742894618</v>
      </c>
      <c r="J5324" s="3">
        <f t="shared" ref="J5324:K5324" si="3547">SUM(J524+J1484+J2444+J3404+J4364)</f>
        <v>653401.07999999996</v>
      </c>
      <c r="K5324" s="3">
        <f t="shared" si="3547"/>
        <v>4152872.36</v>
      </c>
      <c r="L5324" s="1">
        <f t="shared" si="3527"/>
        <v>4806273.4399999995</v>
      </c>
      <c r="M5324" s="2">
        <f t="shared" si="3528"/>
        <v>0.13594754608884677</v>
      </c>
      <c r="N5324" s="2">
        <f t="shared" si="3529"/>
        <v>0.86405245391115337</v>
      </c>
    </row>
    <row r="5325" spans="1:14" x14ac:dyDescent="0.35">
      <c r="A5325" t="s">
        <v>38</v>
      </c>
      <c r="B5325" t="s">
        <v>25</v>
      </c>
      <c r="C5325">
        <v>2013</v>
      </c>
      <c r="D5325" t="s">
        <v>31</v>
      </c>
      <c r="E5325" s="3">
        <f t="shared" ref="E5325:F5325" si="3548">SUM(E525+E1485+E2445+E3405+E4365)</f>
        <v>2113</v>
      </c>
      <c r="F5325" s="3">
        <f t="shared" si="3548"/>
        <v>7074</v>
      </c>
      <c r="G5325" s="1">
        <f t="shared" si="3499"/>
        <v>9187</v>
      </c>
      <c r="H5325" s="2">
        <f t="shared" si="3500"/>
        <v>0.22999891150538804</v>
      </c>
      <c r="I5325" s="2">
        <f t="shared" si="3501"/>
        <v>0.77000108849461191</v>
      </c>
      <c r="J5325" s="3">
        <f t="shared" ref="J5325:K5325" si="3549">SUM(J525+J1485+J2445+J3405+J4365)</f>
        <v>682349.1</v>
      </c>
      <c r="K5325" s="3">
        <f t="shared" si="3549"/>
        <v>4273870.3899999997</v>
      </c>
      <c r="L5325" s="1">
        <f t="shared" si="3527"/>
        <v>4956219.4899999993</v>
      </c>
      <c r="M5325" s="2">
        <f t="shared" si="3528"/>
        <v>0.13767531913724831</v>
      </c>
      <c r="N5325" s="2">
        <f t="shared" si="3529"/>
        <v>0.86232468086275171</v>
      </c>
    </row>
    <row r="5326" spans="1:14" x14ac:dyDescent="0.35">
      <c r="A5326" t="s">
        <v>38</v>
      </c>
      <c r="B5326" t="s">
        <v>26</v>
      </c>
      <c r="C5326">
        <v>2013</v>
      </c>
      <c r="D5326" t="s">
        <v>31</v>
      </c>
      <c r="E5326" s="3">
        <f t="shared" ref="E5326:F5326" si="3550">SUM(E526+E1486+E2446+E3406+E4366)</f>
        <v>2121</v>
      </c>
      <c r="F5326" s="3">
        <f t="shared" si="3550"/>
        <v>7088</v>
      </c>
      <c r="G5326" s="1">
        <f t="shared" si="3499"/>
        <v>9209</v>
      </c>
      <c r="H5326" s="2">
        <f t="shared" si="3500"/>
        <v>0.23031816701053318</v>
      </c>
      <c r="I5326" s="2">
        <f t="shared" si="3501"/>
        <v>0.7696818329894668</v>
      </c>
      <c r="J5326" s="3">
        <f t="shared" ref="J5326:K5326" si="3551">SUM(J526+J1486+J2446+J3406+J4366)</f>
        <v>721469.91999999993</v>
      </c>
      <c r="K5326" s="3">
        <f t="shared" si="3551"/>
        <v>4398245.7300000004</v>
      </c>
      <c r="L5326" s="1">
        <f t="shared" si="3527"/>
        <v>5119715.6500000004</v>
      </c>
      <c r="M5326" s="2">
        <f t="shared" si="3528"/>
        <v>0.14091992003501208</v>
      </c>
      <c r="N5326" s="2">
        <f t="shared" si="3529"/>
        <v>0.85908007996498792</v>
      </c>
    </row>
    <row r="5327" spans="1:14" x14ac:dyDescent="0.35">
      <c r="A5327" t="s">
        <v>38</v>
      </c>
      <c r="B5327" t="s">
        <v>27</v>
      </c>
      <c r="C5327">
        <v>2013</v>
      </c>
      <c r="D5327" t="s">
        <v>31</v>
      </c>
      <c r="E5327" s="3">
        <f t="shared" ref="E5327:F5327" si="3552">SUM(E527+E1487+E2447+E3407+E4367)</f>
        <v>2123</v>
      </c>
      <c r="F5327" s="3">
        <f t="shared" si="3552"/>
        <v>7102</v>
      </c>
      <c r="G5327" s="1">
        <f t="shared" si="3499"/>
        <v>9225</v>
      </c>
      <c r="H5327" s="2">
        <f t="shared" si="3500"/>
        <v>0.23013550135501354</v>
      </c>
      <c r="I5327" s="2">
        <f t="shared" si="3501"/>
        <v>0.76986449864498641</v>
      </c>
      <c r="J5327" s="3">
        <f t="shared" ref="J5327:K5327" si="3553">SUM(J527+J1487+J2447+J3407+J4367)</f>
        <v>700062.74</v>
      </c>
      <c r="K5327" s="3">
        <f t="shared" si="3553"/>
        <v>4126907.08</v>
      </c>
      <c r="L5327" s="1">
        <f t="shared" si="3527"/>
        <v>4826969.82</v>
      </c>
      <c r="M5327" s="2">
        <f t="shared" si="3528"/>
        <v>0.14503151378725629</v>
      </c>
      <c r="N5327" s="2">
        <f t="shared" si="3529"/>
        <v>0.85496848621274368</v>
      </c>
    </row>
    <row r="5328" spans="1:14" x14ac:dyDescent="0.35">
      <c r="A5328" t="s">
        <v>38</v>
      </c>
      <c r="B5328" t="s">
        <v>28</v>
      </c>
      <c r="C5328">
        <v>2013</v>
      </c>
      <c r="D5328" t="s">
        <v>31</v>
      </c>
      <c r="E5328" s="3">
        <f t="shared" ref="E5328:F5328" si="3554">SUM(E528+E1488+E2448+E3408+E4368)</f>
        <v>2128</v>
      </c>
      <c r="F5328" s="3">
        <f t="shared" si="3554"/>
        <v>7127</v>
      </c>
      <c r="G5328" s="1">
        <f t="shared" si="3499"/>
        <v>9255</v>
      </c>
      <c r="H5328" s="2">
        <f t="shared" si="3500"/>
        <v>0.22992976769313883</v>
      </c>
      <c r="I5328" s="2">
        <f t="shared" si="3501"/>
        <v>0.77007023230686111</v>
      </c>
      <c r="J5328" s="3">
        <f t="shared" ref="J5328:K5328" si="3555">SUM(J528+J1488+J2448+J3408+J4368)</f>
        <v>693614.26</v>
      </c>
      <c r="K5328" s="3">
        <f t="shared" si="3555"/>
        <v>4262737.47</v>
      </c>
      <c r="L5328" s="1">
        <f t="shared" si="3527"/>
        <v>4956351.7299999995</v>
      </c>
      <c r="M5328" s="2">
        <f t="shared" si="3528"/>
        <v>0.13994451923209253</v>
      </c>
      <c r="N5328" s="2">
        <f t="shared" si="3529"/>
        <v>0.8600554807679075</v>
      </c>
    </row>
    <row r="5329" spans="1:14" x14ac:dyDescent="0.35">
      <c r="A5329" t="s">
        <v>38</v>
      </c>
      <c r="B5329" t="s">
        <v>29</v>
      </c>
      <c r="C5329">
        <v>2013</v>
      </c>
      <c r="D5329" t="s">
        <v>31</v>
      </c>
      <c r="E5329" s="3">
        <f t="shared" ref="E5329:F5329" si="3556">SUM(E529+E1489+E2449+E3409+E4369)</f>
        <v>2119</v>
      </c>
      <c r="F5329" s="3">
        <f t="shared" si="3556"/>
        <v>7111</v>
      </c>
      <c r="G5329" s="1">
        <f t="shared" si="3499"/>
        <v>9230</v>
      </c>
      <c r="H5329" s="2">
        <f t="shared" si="3500"/>
        <v>0.22957746478873239</v>
      </c>
      <c r="I5329" s="2">
        <f t="shared" si="3501"/>
        <v>0.77042253521126758</v>
      </c>
      <c r="J5329" s="3">
        <f t="shared" ref="J5329:K5329" si="3557">SUM(J529+J1489+J2449+J3409+J4369)</f>
        <v>655832.94999999995</v>
      </c>
      <c r="K5329" s="3">
        <f t="shared" si="3557"/>
        <v>4225750.99</v>
      </c>
      <c r="L5329" s="1">
        <f t="shared" si="3527"/>
        <v>4881583.9400000004</v>
      </c>
      <c r="M5329" s="2">
        <f t="shared" si="3528"/>
        <v>0.13434839143624352</v>
      </c>
      <c r="N5329" s="2">
        <f t="shared" si="3529"/>
        <v>0.86565160856375645</v>
      </c>
    </row>
    <row r="5330" spans="1:14" x14ac:dyDescent="0.35">
      <c r="A5330" t="s">
        <v>38</v>
      </c>
      <c r="B5330" t="s">
        <v>17</v>
      </c>
      <c r="C5330">
        <v>2014</v>
      </c>
      <c r="D5330" t="s">
        <v>31</v>
      </c>
      <c r="E5330" s="3">
        <f t="shared" ref="E5330:F5330" si="3558">SUM(E530+E1490+E2450+E3410+E4370)</f>
        <v>2140</v>
      </c>
      <c r="F5330" s="3">
        <f t="shared" si="3558"/>
        <v>7079</v>
      </c>
      <c r="G5330" s="1">
        <f t="shared" si="3499"/>
        <v>9219</v>
      </c>
      <c r="H5330" s="2">
        <f t="shared" si="3500"/>
        <v>0.23212929818852371</v>
      </c>
      <c r="I5330" s="2">
        <f t="shared" si="3501"/>
        <v>0.76787070181147632</v>
      </c>
      <c r="J5330" s="3">
        <f t="shared" ref="J5330:K5330" si="3559">SUM(J530+J1490+J2450+J3410+J4370)</f>
        <v>622466.01</v>
      </c>
      <c r="K5330" s="3">
        <f t="shared" si="3559"/>
        <v>4009948.96</v>
      </c>
      <c r="L5330" s="1">
        <f t="shared" si="3527"/>
        <v>4632414.97</v>
      </c>
      <c r="M5330" s="2">
        <f t="shared" si="3528"/>
        <v>0.13437181557160888</v>
      </c>
      <c r="N5330" s="2">
        <f t="shared" si="3529"/>
        <v>0.86562818442839118</v>
      </c>
    </row>
    <row r="5331" spans="1:14" x14ac:dyDescent="0.35">
      <c r="A5331" t="s">
        <v>38</v>
      </c>
      <c r="B5331" t="s">
        <v>19</v>
      </c>
      <c r="C5331">
        <v>2014</v>
      </c>
      <c r="D5331" t="s">
        <v>31</v>
      </c>
      <c r="E5331" s="3">
        <f t="shared" ref="E5331:F5331" si="3560">SUM(E531+E1491+E2451+E3411+E4371)</f>
        <v>2123</v>
      </c>
      <c r="F5331" s="3">
        <f t="shared" si="3560"/>
        <v>7184</v>
      </c>
      <c r="G5331" s="1">
        <f t="shared" si="3499"/>
        <v>9307</v>
      </c>
      <c r="H5331" s="2">
        <f t="shared" si="3500"/>
        <v>0.22810787579241432</v>
      </c>
      <c r="I5331" s="2">
        <f t="shared" si="3501"/>
        <v>0.77189212420758568</v>
      </c>
      <c r="J5331" s="3">
        <f t="shared" ref="J5331:K5331" si="3561">SUM(J531+J1491+J2451+J3411+J4371)</f>
        <v>643041.79</v>
      </c>
      <c r="K5331" s="3">
        <f t="shared" si="3561"/>
        <v>3987897.37</v>
      </c>
      <c r="L5331" s="1">
        <f t="shared" si="3527"/>
        <v>4630939.16</v>
      </c>
      <c r="M5331" s="2">
        <f t="shared" si="3528"/>
        <v>0.13885774953692115</v>
      </c>
      <c r="N5331" s="2">
        <f t="shared" si="3529"/>
        <v>0.8611422504630788</v>
      </c>
    </row>
    <row r="5332" spans="1:14" x14ac:dyDescent="0.35">
      <c r="A5332" t="s">
        <v>38</v>
      </c>
      <c r="B5332" t="s">
        <v>20</v>
      </c>
      <c r="C5332">
        <v>2014</v>
      </c>
      <c r="D5332" t="s">
        <v>31</v>
      </c>
      <c r="E5332" s="3">
        <f t="shared" ref="E5332:F5332" si="3562">SUM(E532+E1492+E2452+E3412+E4372)</f>
        <v>2126</v>
      </c>
      <c r="F5332" s="3">
        <f t="shared" si="3562"/>
        <v>7121</v>
      </c>
      <c r="G5332" s="1">
        <f t="shared" si="3499"/>
        <v>9247</v>
      </c>
      <c r="H5332" s="2">
        <f t="shared" si="3500"/>
        <v>0.22991240402292634</v>
      </c>
      <c r="I5332" s="2">
        <f t="shared" si="3501"/>
        <v>0.77008759597707366</v>
      </c>
      <c r="J5332" s="3">
        <f t="shared" ref="J5332:K5332" si="3563">SUM(J532+J1492+J2452+J3412+J4372)</f>
        <v>634777.4</v>
      </c>
      <c r="K5332" s="3">
        <f t="shared" si="3563"/>
        <v>3807375.9499999997</v>
      </c>
      <c r="L5332" s="1">
        <f t="shared" si="3527"/>
        <v>4442153.3499999996</v>
      </c>
      <c r="M5332" s="2">
        <f t="shared" si="3528"/>
        <v>0.14289857868144062</v>
      </c>
      <c r="N5332" s="2">
        <f t="shared" si="3529"/>
        <v>0.85710142131855938</v>
      </c>
    </row>
    <row r="5333" spans="1:14" x14ac:dyDescent="0.35">
      <c r="A5333" t="s">
        <v>38</v>
      </c>
      <c r="B5333" t="s">
        <v>21</v>
      </c>
      <c r="C5333">
        <v>2014</v>
      </c>
      <c r="D5333" t="s">
        <v>31</v>
      </c>
      <c r="E5333" s="3">
        <f t="shared" ref="E5333:F5333" si="3564">SUM(E533+E1493+E2453+E3413+E4373)</f>
        <v>2148</v>
      </c>
      <c r="F5333" s="3">
        <f t="shared" si="3564"/>
        <v>7225</v>
      </c>
      <c r="G5333" s="1">
        <f t="shared" si="3499"/>
        <v>9373</v>
      </c>
      <c r="H5333" s="2">
        <f t="shared" si="3500"/>
        <v>0.22916888936306412</v>
      </c>
      <c r="I5333" s="2">
        <f t="shared" si="3501"/>
        <v>0.77083111063693588</v>
      </c>
      <c r="J5333" s="3">
        <f t="shared" ref="J5333:K5333" si="3565">SUM(J533+J1493+J2453+J3413+J4373)</f>
        <v>664967.41999999993</v>
      </c>
      <c r="K5333" s="3">
        <f t="shared" si="3565"/>
        <v>4269176.3099999996</v>
      </c>
      <c r="L5333" s="1">
        <f t="shared" si="3527"/>
        <v>4934143.7299999995</v>
      </c>
      <c r="M5333" s="2">
        <f t="shared" si="3528"/>
        <v>0.13476855486737108</v>
      </c>
      <c r="N5333" s="2">
        <f t="shared" si="3529"/>
        <v>0.86523144513262895</v>
      </c>
    </row>
    <row r="5334" spans="1:14" x14ac:dyDescent="0.35">
      <c r="A5334" t="s">
        <v>38</v>
      </c>
      <c r="B5334" t="s">
        <v>22</v>
      </c>
      <c r="C5334">
        <v>2014</v>
      </c>
      <c r="D5334" t="s">
        <v>31</v>
      </c>
      <c r="E5334" s="3">
        <f t="shared" ref="E5334:F5334" si="3566">SUM(E534+E1494+E2454+E3414+E4374)</f>
        <v>2144</v>
      </c>
      <c r="F5334" s="3">
        <f t="shared" si="3566"/>
        <v>7245</v>
      </c>
      <c r="G5334" s="1">
        <f t="shared" si="3499"/>
        <v>9389</v>
      </c>
      <c r="H5334" s="2">
        <f t="shared" si="3500"/>
        <v>0.22835232719139417</v>
      </c>
      <c r="I5334" s="2">
        <f t="shared" si="3501"/>
        <v>0.7716476728086058</v>
      </c>
      <c r="J5334" s="3">
        <f t="shared" ref="J5334:K5334" si="3567">SUM(J534+J1494+J2454+J3414+J4374)</f>
        <v>699046.89</v>
      </c>
      <c r="K5334" s="3">
        <f t="shared" si="3567"/>
        <v>4169416.34</v>
      </c>
      <c r="L5334" s="1">
        <f t="shared" si="3527"/>
        <v>4868463.2299999995</v>
      </c>
      <c r="M5334" s="2">
        <f t="shared" si="3528"/>
        <v>0.14358676587971275</v>
      </c>
      <c r="N5334" s="2">
        <f t="shared" si="3529"/>
        <v>0.85641323412028736</v>
      </c>
    </row>
    <row r="5335" spans="1:14" x14ac:dyDescent="0.35">
      <c r="A5335" t="s">
        <v>38</v>
      </c>
      <c r="B5335" t="s">
        <v>23</v>
      </c>
      <c r="C5335">
        <v>2014</v>
      </c>
      <c r="D5335" t="s">
        <v>31</v>
      </c>
      <c r="E5335" s="3">
        <f t="shared" ref="E5335:F5335" si="3568">SUM(E535+E1495+E2455+E3415+E4375)</f>
        <v>2153</v>
      </c>
      <c r="F5335" s="3">
        <f t="shared" si="3568"/>
        <v>7258</v>
      </c>
      <c r="G5335" s="1">
        <f t="shared" si="3499"/>
        <v>9411</v>
      </c>
      <c r="H5335" s="2">
        <f t="shared" si="3500"/>
        <v>0.2287748379555839</v>
      </c>
      <c r="I5335" s="2">
        <f t="shared" si="3501"/>
        <v>0.77122516204441616</v>
      </c>
      <c r="J5335" s="3">
        <f t="shared" ref="J5335:K5335" si="3569">SUM(J535+J1495+J2455+J3415+J4375)</f>
        <v>740058.6</v>
      </c>
      <c r="K5335" s="3">
        <f t="shared" si="3569"/>
        <v>4568139.72</v>
      </c>
      <c r="L5335" s="1">
        <f t="shared" si="3527"/>
        <v>5308198.3199999994</v>
      </c>
      <c r="M5335" s="2">
        <f t="shared" si="3528"/>
        <v>0.13941803892511689</v>
      </c>
      <c r="N5335" s="2">
        <f t="shared" si="3529"/>
        <v>0.86058196107488316</v>
      </c>
    </row>
    <row r="5336" spans="1:14" x14ac:dyDescent="0.35">
      <c r="A5336" t="s">
        <v>38</v>
      </c>
      <c r="B5336" t="s">
        <v>24</v>
      </c>
      <c r="C5336">
        <v>2014</v>
      </c>
      <c r="D5336" t="s">
        <v>31</v>
      </c>
      <c r="E5336" s="3">
        <f t="shared" ref="E5336:F5336" si="3570">SUM(E536+E1496+E2456+E3416+E4376)</f>
        <v>2159</v>
      </c>
      <c r="F5336" s="3">
        <f t="shared" si="3570"/>
        <v>7277</v>
      </c>
      <c r="G5336" s="1">
        <f t="shared" si="3499"/>
        <v>9436</v>
      </c>
      <c r="H5336" s="2">
        <f t="shared" si="3500"/>
        <v>0.22880457821110639</v>
      </c>
      <c r="I5336" s="2">
        <f t="shared" si="3501"/>
        <v>0.77119542178889355</v>
      </c>
      <c r="J5336" s="3">
        <f t="shared" ref="J5336:K5336" si="3571">SUM(J536+J1496+J2456+J3416+J4376)</f>
        <v>681747.78</v>
      </c>
      <c r="K5336" s="3">
        <f t="shared" si="3571"/>
        <v>4454467.1099999994</v>
      </c>
      <c r="L5336" s="1">
        <f t="shared" si="3527"/>
        <v>5136214.8899999997</v>
      </c>
      <c r="M5336" s="2">
        <f t="shared" si="3528"/>
        <v>0.13273350017487295</v>
      </c>
      <c r="N5336" s="2">
        <f t="shared" si="3529"/>
        <v>0.86726649982512705</v>
      </c>
    </row>
    <row r="5337" spans="1:14" x14ac:dyDescent="0.35">
      <c r="A5337" t="s">
        <v>38</v>
      </c>
      <c r="B5337" t="s">
        <v>25</v>
      </c>
      <c r="C5337">
        <v>2014</v>
      </c>
      <c r="D5337" t="s">
        <v>31</v>
      </c>
      <c r="E5337" s="3">
        <f t="shared" ref="E5337:F5337" si="3572">SUM(E537+E1497+E2457+E3417+E4377)</f>
        <v>2163</v>
      </c>
      <c r="F5337" s="3">
        <f t="shared" si="3572"/>
        <v>7274</v>
      </c>
      <c r="G5337" s="1">
        <f t="shared" si="3499"/>
        <v>9437</v>
      </c>
      <c r="H5337" s="2">
        <f t="shared" si="3500"/>
        <v>0.22920419624880789</v>
      </c>
      <c r="I5337" s="2">
        <f t="shared" si="3501"/>
        <v>0.77079580375119217</v>
      </c>
      <c r="J5337" s="3">
        <f t="shared" ref="J5337:K5337" si="3573">SUM(J537+J1497+J2457+J3417+J4377)</f>
        <v>684836.01</v>
      </c>
      <c r="K5337" s="3">
        <f t="shared" si="3573"/>
        <v>4611784.96</v>
      </c>
      <c r="L5337" s="1">
        <f t="shared" si="3527"/>
        <v>5296620.97</v>
      </c>
      <c r="M5337" s="2">
        <f t="shared" si="3528"/>
        <v>0.12929677503429135</v>
      </c>
      <c r="N5337" s="2">
        <f t="shared" si="3529"/>
        <v>0.87070322496570873</v>
      </c>
    </row>
    <row r="5338" spans="1:14" x14ac:dyDescent="0.35">
      <c r="A5338" t="s">
        <v>38</v>
      </c>
      <c r="B5338" t="s">
        <v>26</v>
      </c>
      <c r="C5338">
        <v>2014</v>
      </c>
      <c r="D5338" t="s">
        <v>31</v>
      </c>
      <c r="E5338" s="3">
        <f t="shared" ref="E5338:F5338" si="3574">SUM(E538+E1498+E2458+E3418+E4378)</f>
        <v>2158</v>
      </c>
      <c r="F5338" s="3">
        <f t="shared" si="3574"/>
        <v>7292</v>
      </c>
      <c r="G5338" s="1">
        <f t="shared" si="3499"/>
        <v>9450</v>
      </c>
      <c r="H5338" s="2">
        <f t="shared" si="3500"/>
        <v>0.22835978835978835</v>
      </c>
      <c r="I5338" s="2">
        <f t="shared" si="3501"/>
        <v>0.77164021164021168</v>
      </c>
      <c r="J5338" s="3">
        <f t="shared" ref="J5338:K5338" si="3575">SUM(J538+J1498+J2458+J3418+J4378)</f>
        <v>677985.67</v>
      </c>
      <c r="K5338" s="3">
        <f t="shared" si="3575"/>
        <v>4789893.53</v>
      </c>
      <c r="L5338" s="1">
        <f t="shared" si="3527"/>
        <v>5467879.2000000002</v>
      </c>
      <c r="M5338" s="2">
        <f t="shared" si="3528"/>
        <v>0.12399426636930823</v>
      </c>
      <c r="N5338" s="2">
        <f t="shared" si="3529"/>
        <v>0.87600573363069179</v>
      </c>
    </row>
    <row r="5339" spans="1:14" x14ac:dyDescent="0.35">
      <c r="A5339" t="s">
        <v>38</v>
      </c>
      <c r="B5339" t="s">
        <v>27</v>
      </c>
      <c r="C5339">
        <v>2014</v>
      </c>
      <c r="D5339" t="s">
        <v>31</v>
      </c>
      <c r="E5339" s="3">
        <f t="shared" ref="E5339:F5339" si="3576">SUM(E539+E1499+E2459+E3419+E4379)</f>
        <v>2154</v>
      </c>
      <c r="F5339" s="3">
        <f t="shared" si="3576"/>
        <v>7309</v>
      </c>
      <c r="G5339" s="1">
        <f t="shared" si="3499"/>
        <v>9463</v>
      </c>
      <c r="H5339" s="2">
        <f t="shared" si="3500"/>
        <v>0.22762337525097748</v>
      </c>
      <c r="I5339" s="2">
        <f t="shared" si="3501"/>
        <v>0.77237662474902247</v>
      </c>
      <c r="J5339" s="3">
        <f t="shared" ref="J5339:K5339" si="3577">SUM(J539+J1499+J2459+J3419+J4379)</f>
        <v>634023.88</v>
      </c>
      <c r="K5339" s="3">
        <f t="shared" si="3577"/>
        <v>4651980.62</v>
      </c>
      <c r="L5339" s="1">
        <f t="shared" si="3527"/>
        <v>5286004.5</v>
      </c>
      <c r="M5339" s="2">
        <f t="shared" si="3528"/>
        <v>0.11994387821652441</v>
      </c>
      <c r="N5339" s="2">
        <f t="shared" si="3529"/>
        <v>0.88005612178347559</v>
      </c>
    </row>
    <row r="5340" spans="1:14" x14ac:dyDescent="0.35">
      <c r="A5340" t="s">
        <v>38</v>
      </c>
      <c r="B5340" t="s">
        <v>28</v>
      </c>
      <c r="C5340">
        <v>2014</v>
      </c>
      <c r="D5340" t="s">
        <v>31</v>
      </c>
      <c r="E5340" s="3">
        <f t="shared" ref="E5340:F5340" si="3578">SUM(E540+E1500+E2460+E3420+E4380)</f>
        <v>2148</v>
      </c>
      <c r="F5340" s="3">
        <f t="shared" si="3578"/>
        <v>7343</v>
      </c>
      <c r="G5340" s="1">
        <f t="shared" si="3499"/>
        <v>9491</v>
      </c>
      <c r="H5340" s="2">
        <f t="shared" si="3500"/>
        <v>0.22631967126751659</v>
      </c>
      <c r="I5340" s="2">
        <f t="shared" si="3501"/>
        <v>0.77368032873248338</v>
      </c>
      <c r="J5340" s="3">
        <f t="shared" ref="J5340:K5340" si="3579">SUM(J540+J1500+J2460+J3420+J4380)</f>
        <v>659665.21</v>
      </c>
      <c r="K5340" s="3">
        <f t="shared" si="3579"/>
        <v>4416656.4000000004</v>
      </c>
      <c r="L5340" s="1">
        <f t="shared" si="3527"/>
        <v>5076321.6100000003</v>
      </c>
      <c r="M5340" s="2">
        <f t="shared" si="3528"/>
        <v>0.12994945172514394</v>
      </c>
      <c r="N5340" s="2">
        <f t="shared" si="3529"/>
        <v>0.87005054827485606</v>
      </c>
    </row>
    <row r="5341" spans="1:14" x14ac:dyDescent="0.35">
      <c r="A5341" t="s">
        <v>38</v>
      </c>
      <c r="B5341" t="s">
        <v>29</v>
      </c>
      <c r="C5341">
        <v>2014</v>
      </c>
      <c r="D5341" t="s">
        <v>31</v>
      </c>
      <c r="E5341" s="3">
        <f t="shared" ref="E5341:F5341" si="3580">SUM(E541+E1501+E2461+E3421+E4381)</f>
        <v>2158</v>
      </c>
      <c r="F5341" s="3">
        <f t="shared" si="3580"/>
        <v>7367</v>
      </c>
      <c r="G5341" s="1">
        <f t="shared" si="3499"/>
        <v>9525</v>
      </c>
      <c r="H5341" s="2">
        <f t="shared" si="3500"/>
        <v>0.22656167979002625</v>
      </c>
      <c r="I5341" s="2">
        <f t="shared" si="3501"/>
        <v>0.77343832020997372</v>
      </c>
      <c r="J5341" s="3">
        <f t="shared" ref="J5341:K5341" si="3581">SUM(J541+J1501+J2461+J3421+J4381)</f>
        <v>595562.26</v>
      </c>
      <c r="K5341" s="3">
        <f t="shared" si="3581"/>
        <v>4695953.54</v>
      </c>
      <c r="L5341" s="1">
        <f t="shared" si="3527"/>
        <v>5291515.8</v>
      </c>
      <c r="M5341" s="2">
        <f t="shared" si="3528"/>
        <v>0.11255040757886427</v>
      </c>
      <c r="N5341" s="2">
        <f t="shared" si="3529"/>
        <v>0.88744959242113575</v>
      </c>
    </row>
    <row r="5342" spans="1:14" x14ac:dyDescent="0.35">
      <c r="A5342" t="s">
        <v>38</v>
      </c>
      <c r="B5342" t="s">
        <v>17</v>
      </c>
      <c r="C5342">
        <v>2015</v>
      </c>
      <c r="D5342" t="s">
        <v>31</v>
      </c>
      <c r="E5342" s="3">
        <f t="shared" ref="E5342:F5342" si="3582">SUM(E542+E1502+E2462+E3422+E4382)</f>
        <v>2154</v>
      </c>
      <c r="F5342" s="3">
        <f t="shared" si="3582"/>
        <v>7358</v>
      </c>
      <c r="G5342" s="1">
        <f t="shared" si="3499"/>
        <v>9512</v>
      </c>
      <c r="H5342" s="2">
        <f t="shared" si="3500"/>
        <v>0.22645079899074852</v>
      </c>
      <c r="I5342" s="2">
        <f t="shared" si="3501"/>
        <v>0.77354920100925151</v>
      </c>
      <c r="J5342" s="3">
        <f t="shared" ref="J5342:K5342" si="3583">SUM(J542+J1502+J2462+J3422+J4382)</f>
        <v>610963.87</v>
      </c>
      <c r="K5342" s="3">
        <f t="shared" si="3583"/>
        <v>4390517.6899999995</v>
      </c>
      <c r="L5342" s="1">
        <f t="shared" si="3527"/>
        <v>5001481.5599999996</v>
      </c>
      <c r="M5342" s="2">
        <f t="shared" si="3528"/>
        <v>0.12215657754019592</v>
      </c>
      <c r="N5342" s="2">
        <f t="shared" si="3529"/>
        <v>0.87784342245980407</v>
      </c>
    </row>
    <row r="5343" spans="1:14" x14ac:dyDescent="0.35">
      <c r="A5343" t="s">
        <v>38</v>
      </c>
      <c r="B5343" t="s">
        <v>19</v>
      </c>
      <c r="C5343">
        <v>2015</v>
      </c>
      <c r="D5343" t="s">
        <v>31</v>
      </c>
      <c r="E5343" s="3">
        <f t="shared" ref="E5343:F5343" si="3584">SUM(E543+E1503+E2463+E3423+E4383)</f>
        <v>2148</v>
      </c>
      <c r="F5343" s="3">
        <f t="shared" si="3584"/>
        <v>7361</v>
      </c>
      <c r="G5343" s="1">
        <f t="shared" si="3499"/>
        <v>9509</v>
      </c>
      <c r="H5343" s="2">
        <f t="shared" si="3500"/>
        <v>0.22589126091071615</v>
      </c>
      <c r="I5343" s="2">
        <f t="shared" si="3501"/>
        <v>0.77410873908928379</v>
      </c>
      <c r="J5343" s="3">
        <f t="shared" ref="J5343:K5343" si="3585">SUM(J543+J1503+J2463+J3423+J4383)</f>
        <v>632135.19999999995</v>
      </c>
      <c r="K5343" s="3">
        <f t="shared" si="3585"/>
        <v>4049567.85</v>
      </c>
      <c r="L5343" s="1">
        <f t="shared" si="3527"/>
        <v>4681703.05</v>
      </c>
      <c r="M5343" s="2">
        <f t="shared" si="3528"/>
        <v>0.13502248930546759</v>
      </c>
      <c r="N5343" s="2">
        <f t="shared" si="3529"/>
        <v>0.86497751069453244</v>
      </c>
    </row>
    <row r="5344" spans="1:14" x14ac:dyDescent="0.35">
      <c r="A5344" t="s">
        <v>38</v>
      </c>
      <c r="B5344" t="s">
        <v>20</v>
      </c>
      <c r="C5344">
        <v>2015</v>
      </c>
      <c r="D5344" t="s">
        <v>31</v>
      </c>
      <c r="E5344" s="3">
        <f t="shared" ref="E5344:F5344" si="3586">SUM(E544+E1504+E2464+E3424+E4384)</f>
        <v>2146</v>
      </c>
      <c r="F5344" s="3">
        <f t="shared" si="3586"/>
        <v>7405</v>
      </c>
      <c r="G5344" s="1">
        <f t="shared" si="3499"/>
        <v>9551</v>
      </c>
      <c r="H5344" s="2">
        <f t="shared" si="3500"/>
        <v>0.2246885142916972</v>
      </c>
      <c r="I5344" s="2">
        <f t="shared" si="3501"/>
        <v>0.77531148570830277</v>
      </c>
      <c r="J5344" s="3">
        <f t="shared" ref="J5344:K5344" si="3587">SUM(J544+J1504+J2464+J3424+J4384)</f>
        <v>657440.32000000007</v>
      </c>
      <c r="K5344" s="3">
        <f t="shared" si="3587"/>
        <v>4320803.99</v>
      </c>
      <c r="L5344" s="1">
        <f t="shared" si="3527"/>
        <v>4978244.3100000005</v>
      </c>
      <c r="M5344" s="2">
        <f t="shared" si="3528"/>
        <v>0.13206268697568199</v>
      </c>
      <c r="N5344" s="2">
        <f t="shared" si="3529"/>
        <v>0.86793731302431798</v>
      </c>
    </row>
    <row r="5345" spans="1:14" x14ac:dyDescent="0.35">
      <c r="A5345" t="s">
        <v>38</v>
      </c>
      <c r="B5345" t="s">
        <v>21</v>
      </c>
      <c r="C5345">
        <v>2015</v>
      </c>
      <c r="D5345" t="s">
        <v>31</v>
      </c>
      <c r="E5345" s="3">
        <f t="shared" ref="E5345:F5345" si="3588">SUM(E545+E1505+E2465+E3425+E4385)</f>
        <v>2142</v>
      </c>
      <c r="F5345" s="3">
        <f t="shared" si="3588"/>
        <v>7424</v>
      </c>
      <c r="G5345" s="1">
        <f t="shared" si="3499"/>
        <v>9566</v>
      </c>
      <c r="H5345" s="2">
        <f t="shared" si="3500"/>
        <v>0.22391804306920343</v>
      </c>
      <c r="I5345" s="2">
        <f t="shared" si="3501"/>
        <v>0.77608195693079662</v>
      </c>
      <c r="J5345" s="3">
        <f t="shared" ref="J5345:K5345" si="3589">SUM(J545+J1505+J2465+J3425+J4385)</f>
        <v>635242</v>
      </c>
      <c r="K5345" s="3">
        <f t="shared" si="3589"/>
        <v>4368744.21</v>
      </c>
      <c r="L5345" s="1">
        <f t="shared" si="3527"/>
        <v>5003986.21</v>
      </c>
      <c r="M5345" s="2">
        <f t="shared" si="3528"/>
        <v>0.12694719236646337</v>
      </c>
      <c r="N5345" s="2">
        <f t="shared" si="3529"/>
        <v>0.87305280763353665</v>
      </c>
    </row>
    <row r="5346" spans="1:14" x14ac:dyDescent="0.35">
      <c r="A5346" t="s">
        <v>38</v>
      </c>
      <c r="B5346" t="s">
        <v>22</v>
      </c>
      <c r="C5346">
        <v>2015</v>
      </c>
      <c r="D5346" t="s">
        <v>31</v>
      </c>
      <c r="E5346" s="3">
        <f t="shared" ref="E5346:F5346" si="3590">SUM(E546+E1506+E2466+E3426+E4386)</f>
        <v>2117</v>
      </c>
      <c r="F5346" s="3">
        <f t="shared" si="3590"/>
        <v>7450</v>
      </c>
      <c r="G5346" s="1">
        <f t="shared" si="3499"/>
        <v>9567</v>
      </c>
      <c r="H5346" s="2">
        <f t="shared" si="3500"/>
        <v>0.2212814884498798</v>
      </c>
      <c r="I5346" s="2">
        <f t="shared" si="3501"/>
        <v>0.77871851155012017</v>
      </c>
      <c r="J5346" s="3">
        <f t="shared" ref="J5346:K5346" si="3591">SUM(J546+J1506+J2466+J3426+J4386)</f>
        <v>652560.84</v>
      </c>
      <c r="K5346" s="3">
        <f t="shared" si="3591"/>
        <v>4431012.83</v>
      </c>
      <c r="L5346" s="1">
        <f t="shared" si="3527"/>
        <v>5083573.67</v>
      </c>
      <c r="M5346" s="2">
        <f t="shared" si="3528"/>
        <v>0.12836655517574116</v>
      </c>
      <c r="N5346" s="2">
        <f t="shared" si="3529"/>
        <v>0.87163344482425886</v>
      </c>
    </row>
    <row r="5347" spans="1:14" x14ac:dyDescent="0.35">
      <c r="A5347" t="s">
        <v>38</v>
      </c>
      <c r="B5347" t="s">
        <v>23</v>
      </c>
      <c r="C5347">
        <v>2015</v>
      </c>
      <c r="D5347" t="s">
        <v>31</v>
      </c>
      <c r="E5347" s="3">
        <f t="shared" ref="E5347:F5347" si="3592">SUM(E547+E1507+E2467+E3427+E4387)</f>
        <v>2118</v>
      </c>
      <c r="F5347" s="3">
        <f t="shared" si="3592"/>
        <v>7462</v>
      </c>
      <c r="G5347" s="1">
        <f t="shared" si="3499"/>
        <v>9580</v>
      </c>
      <c r="H5347" s="2">
        <f t="shared" si="3500"/>
        <v>0.2210855949895616</v>
      </c>
      <c r="I5347" s="2">
        <f t="shared" si="3501"/>
        <v>0.7789144050104384</v>
      </c>
      <c r="J5347" s="3">
        <f t="shared" ref="J5347:K5347" si="3593">SUM(J547+J1507+J2467+J3427+J4387)</f>
        <v>687504.55</v>
      </c>
      <c r="K5347" s="3">
        <f t="shared" si="3593"/>
        <v>4741059.74</v>
      </c>
      <c r="L5347" s="1">
        <f t="shared" si="3527"/>
        <v>5428564.29</v>
      </c>
      <c r="M5347" s="2">
        <f t="shared" si="3528"/>
        <v>0.12664574153915012</v>
      </c>
      <c r="N5347" s="2">
        <f t="shared" si="3529"/>
        <v>0.87335425846084991</v>
      </c>
    </row>
    <row r="5348" spans="1:14" x14ac:dyDescent="0.35">
      <c r="A5348" t="s">
        <v>38</v>
      </c>
      <c r="B5348" t="s">
        <v>24</v>
      </c>
      <c r="C5348">
        <v>2015</v>
      </c>
      <c r="D5348" t="s">
        <v>31</v>
      </c>
      <c r="E5348" s="3">
        <f t="shared" ref="E5348:F5348" si="3594">SUM(E548+E1508+E2468+E3428+E4388)</f>
        <v>2110</v>
      </c>
      <c r="F5348" s="3">
        <f t="shared" si="3594"/>
        <v>7540</v>
      </c>
      <c r="G5348" s="1">
        <f t="shared" si="3499"/>
        <v>9650</v>
      </c>
      <c r="H5348" s="2">
        <f t="shared" si="3500"/>
        <v>0.21865284974093263</v>
      </c>
      <c r="I5348" s="2">
        <f t="shared" si="3501"/>
        <v>0.78134715025906731</v>
      </c>
      <c r="J5348" s="3">
        <f t="shared" ref="J5348:K5348" si="3595">SUM(J548+J1508+J2468+J3428+J4388)</f>
        <v>685399.64</v>
      </c>
      <c r="K5348" s="3">
        <f t="shared" si="3595"/>
        <v>4726601.2300000004</v>
      </c>
      <c r="L5348" s="1">
        <f t="shared" si="3527"/>
        <v>5412000.8700000001</v>
      </c>
      <c r="M5348" s="2">
        <f t="shared" si="3528"/>
        <v>0.12664440684023762</v>
      </c>
      <c r="N5348" s="2">
        <f t="shared" si="3529"/>
        <v>0.87335559315976241</v>
      </c>
    </row>
    <row r="5349" spans="1:14" x14ac:dyDescent="0.35">
      <c r="A5349" t="s">
        <v>38</v>
      </c>
      <c r="B5349" t="s">
        <v>25</v>
      </c>
      <c r="C5349">
        <v>2015</v>
      </c>
      <c r="D5349" t="s">
        <v>31</v>
      </c>
      <c r="E5349" s="3">
        <f t="shared" ref="E5349:F5349" si="3596">SUM(E549+E1509+E2469+E3429+E4389)</f>
        <v>2114</v>
      </c>
      <c r="F5349" s="3">
        <f t="shared" si="3596"/>
        <v>7553</v>
      </c>
      <c r="G5349" s="1">
        <f t="shared" si="3499"/>
        <v>9667</v>
      </c>
      <c r="H5349" s="2">
        <f t="shared" si="3500"/>
        <v>0.21868211440984794</v>
      </c>
      <c r="I5349" s="2">
        <f t="shared" si="3501"/>
        <v>0.78131788559015203</v>
      </c>
      <c r="J5349" s="3">
        <f t="shared" ref="J5349:K5349" si="3597">SUM(J549+J1509+J2469+J3429+J4389)</f>
        <v>723503.24</v>
      </c>
      <c r="K5349" s="3">
        <f t="shared" si="3597"/>
        <v>4843867.6500000004</v>
      </c>
      <c r="L5349" s="1">
        <f t="shared" si="3527"/>
        <v>5567370.8900000006</v>
      </c>
      <c r="M5349" s="2">
        <f t="shared" si="3528"/>
        <v>0.12995420177584036</v>
      </c>
      <c r="N5349" s="2">
        <f t="shared" si="3529"/>
        <v>0.87004579822415962</v>
      </c>
    </row>
    <row r="5350" spans="1:14" x14ac:dyDescent="0.35">
      <c r="A5350" t="s">
        <v>38</v>
      </c>
      <c r="B5350" t="s">
        <v>26</v>
      </c>
      <c r="C5350">
        <v>2015</v>
      </c>
      <c r="D5350" t="s">
        <v>31</v>
      </c>
      <c r="E5350" s="3">
        <f t="shared" ref="E5350:F5350" si="3598">SUM(E550+E1510+E2470+E3430+E4390)</f>
        <v>2109</v>
      </c>
      <c r="F5350" s="3">
        <f t="shared" si="3598"/>
        <v>7579</v>
      </c>
      <c r="G5350" s="1">
        <f t="shared" si="3499"/>
        <v>9688</v>
      </c>
      <c r="H5350" s="2">
        <f t="shared" si="3500"/>
        <v>0.21769199009083401</v>
      </c>
      <c r="I5350" s="2">
        <f t="shared" si="3501"/>
        <v>0.78230800990916594</v>
      </c>
      <c r="J5350" s="3">
        <f t="shared" ref="J5350:K5350" si="3599">SUM(J550+J1510+J2470+J3430+J4390)</f>
        <v>709546.6</v>
      </c>
      <c r="K5350" s="3">
        <f t="shared" si="3599"/>
        <v>4659498.3899999997</v>
      </c>
      <c r="L5350" s="1">
        <f t="shared" si="3527"/>
        <v>5369044.9899999993</v>
      </c>
      <c r="M5350" s="2">
        <f t="shared" si="3528"/>
        <v>0.13215508555460997</v>
      </c>
      <c r="N5350" s="2">
        <f t="shared" si="3529"/>
        <v>0.86784491444539014</v>
      </c>
    </row>
    <row r="5351" spans="1:14" x14ac:dyDescent="0.35">
      <c r="A5351" t="s">
        <v>38</v>
      </c>
      <c r="B5351" t="s">
        <v>27</v>
      </c>
      <c r="C5351">
        <v>2015</v>
      </c>
      <c r="D5351" t="s">
        <v>31</v>
      </c>
      <c r="E5351" s="3">
        <f t="shared" ref="E5351:F5351" si="3600">SUM(E551+E1511+E2471+E3431+E4391)</f>
        <v>2108</v>
      </c>
      <c r="F5351" s="3">
        <f t="shared" si="3600"/>
        <v>7605</v>
      </c>
      <c r="G5351" s="1">
        <f t="shared" si="3499"/>
        <v>9713</v>
      </c>
      <c r="H5351" s="2">
        <f t="shared" si="3500"/>
        <v>0.21702872438999279</v>
      </c>
      <c r="I5351" s="2">
        <f t="shared" si="3501"/>
        <v>0.78297127561000723</v>
      </c>
      <c r="J5351" s="3">
        <f t="shared" ref="J5351:K5351" si="3601">SUM(J551+J1511+J2471+J3431+J4391)</f>
        <v>681580.81</v>
      </c>
      <c r="K5351" s="3">
        <f t="shared" si="3601"/>
        <v>4585611.4499999993</v>
      </c>
      <c r="L5351" s="1">
        <f t="shared" si="3527"/>
        <v>5267192.26</v>
      </c>
      <c r="M5351" s="2">
        <f t="shared" si="3528"/>
        <v>0.12940116410332059</v>
      </c>
      <c r="N5351" s="2">
        <f t="shared" si="3529"/>
        <v>0.8705988358966793</v>
      </c>
    </row>
    <row r="5352" spans="1:14" x14ac:dyDescent="0.35">
      <c r="A5352" t="s">
        <v>38</v>
      </c>
      <c r="B5352" t="s">
        <v>28</v>
      </c>
      <c r="C5352">
        <v>2015</v>
      </c>
      <c r="D5352" t="s">
        <v>31</v>
      </c>
      <c r="E5352" s="3">
        <f t="shared" ref="E5352:F5352" si="3602">SUM(E552+E1512+E2472+E3432+E4392)</f>
        <v>2120</v>
      </c>
      <c r="F5352" s="3">
        <f t="shared" si="3602"/>
        <v>7623</v>
      </c>
      <c r="G5352" s="1">
        <f t="shared" si="3499"/>
        <v>9743</v>
      </c>
      <c r="H5352" s="2">
        <f t="shared" si="3500"/>
        <v>0.21759211741763318</v>
      </c>
      <c r="I5352" s="2">
        <f t="shared" si="3501"/>
        <v>0.78240788258236682</v>
      </c>
      <c r="J5352" s="3">
        <f t="shared" ref="J5352:K5352" si="3603">SUM(J552+J1512+J2472+J3432+J4392)</f>
        <v>661834.65</v>
      </c>
      <c r="K5352" s="3">
        <f t="shared" si="3603"/>
        <v>4600858.54</v>
      </c>
      <c r="L5352" s="1">
        <f t="shared" si="3527"/>
        <v>5262693.1900000004</v>
      </c>
      <c r="M5352" s="2">
        <f t="shared" si="3528"/>
        <v>0.12575968731325565</v>
      </c>
      <c r="N5352" s="2">
        <f t="shared" si="3529"/>
        <v>0.87424031268674429</v>
      </c>
    </row>
    <row r="5353" spans="1:14" x14ac:dyDescent="0.35">
      <c r="A5353" t="s">
        <v>38</v>
      </c>
      <c r="B5353" t="s">
        <v>29</v>
      </c>
      <c r="C5353">
        <v>2015</v>
      </c>
      <c r="D5353" t="s">
        <v>31</v>
      </c>
      <c r="E5353" s="3">
        <f t="shared" ref="E5353:F5353" si="3604">SUM(E553+E1513+E2473+E3433+E4393)</f>
        <v>2115</v>
      </c>
      <c r="F5353" s="3">
        <f t="shared" si="3604"/>
        <v>7620</v>
      </c>
      <c r="G5353" s="1">
        <f t="shared" si="3499"/>
        <v>9735</v>
      </c>
      <c r="H5353" s="2">
        <f t="shared" si="3500"/>
        <v>0.21725731895223421</v>
      </c>
      <c r="I5353" s="2">
        <f t="shared" si="3501"/>
        <v>0.78274268104776579</v>
      </c>
      <c r="J5353" s="3">
        <f t="shared" ref="J5353:K5353" si="3605">SUM(J553+J1513+J2473+J3433+J4393)</f>
        <v>643867.21200000006</v>
      </c>
      <c r="K5353" s="3">
        <f t="shared" si="3605"/>
        <v>4444761.5100000007</v>
      </c>
      <c r="L5353" s="1">
        <f t="shared" si="3527"/>
        <v>5088628.722000001</v>
      </c>
      <c r="M5353" s="2">
        <f t="shared" si="3528"/>
        <v>0.12653059344186909</v>
      </c>
      <c r="N5353" s="2">
        <f t="shared" si="3529"/>
        <v>0.87346940655813088</v>
      </c>
    </row>
    <row r="5354" spans="1:14" x14ac:dyDescent="0.35">
      <c r="A5354" t="s">
        <v>38</v>
      </c>
      <c r="B5354" t="s">
        <v>17</v>
      </c>
      <c r="C5354">
        <v>2016</v>
      </c>
      <c r="D5354" t="s">
        <v>31</v>
      </c>
      <c r="E5354" s="3">
        <f t="shared" ref="E5354:F5354" si="3606">SUM(E554+E1514+E2474+E3434+E4394)</f>
        <v>2120</v>
      </c>
      <c r="F5354" s="3">
        <f t="shared" si="3606"/>
        <v>7632</v>
      </c>
      <c r="G5354" s="1">
        <f t="shared" si="3499"/>
        <v>9752</v>
      </c>
      <c r="H5354" s="2">
        <f t="shared" si="3500"/>
        <v>0.21739130434782608</v>
      </c>
      <c r="I5354" s="2">
        <f t="shared" si="3501"/>
        <v>0.78260869565217395</v>
      </c>
      <c r="J5354" s="3">
        <f t="shared" ref="J5354:K5354" si="3607">SUM(J554+J1514+J2474+J3434+J4394)</f>
        <v>655710.02</v>
      </c>
      <c r="K5354" s="3">
        <f t="shared" si="3607"/>
        <v>4523940.1599999992</v>
      </c>
      <c r="L5354" s="1">
        <f t="shared" si="3527"/>
        <v>5179650.18</v>
      </c>
      <c r="M5354" s="2">
        <f t="shared" si="3528"/>
        <v>0.12659349516148213</v>
      </c>
      <c r="N5354" s="2">
        <f t="shared" si="3529"/>
        <v>0.87340650483851778</v>
      </c>
    </row>
    <row r="5355" spans="1:14" x14ac:dyDescent="0.35">
      <c r="A5355" t="s">
        <v>38</v>
      </c>
      <c r="B5355" t="s">
        <v>19</v>
      </c>
      <c r="C5355">
        <v>2016</v>
      </c>
      <c r="D5355" t="s">
        <v>31</v>
      </c>
      <c r="E5355" s="3">
        <f t="shared" ref="E5355:F5355" si="3608">SUM(E555+E1515+E2475+E3435+E4395)</f>
        <v>2099</v>
      </c>
      <c r="F5355" s="3">
        <f t="shared" si="3608"/>
        <v>7753</v>
      </c>
      <c r="G5355" s="1">
        <f t="shared" si="3499"/>
        <v>9852</v>
      </c>
      <c r="H5355" s="2">
        <f t="shared" si="3500"/>
        <v>0.21305318717011773</v>
      </c>
      <c r="I5355" s="2">
        <f t="shared" si="3501"/>
        <v>0.78694681282988221</v>
      </c>
      <c r="J5355" s="3">
        <f t="shared" ref="J5355:K5355" si="3609">SUM(J555+J1515+J2475+J3435+J4395)</f>
        <v>602967.53</v>
      </c>
      <c r="K5355" s="3">
        <f t="shared" si="3609"/>
        <v>4373120.16</v>
      </c>
      <c r="L5355" s="1">
        <f t="shared" si="3527"/>
        <v>4976087.6900000004</v>
      </c>
      <c r="M5355" s="2">
        <f t="shared" si="3528"/>
        <v>0.12117301132207338</v>
      </c>
      <c r="N5355" s="2">
        <f t="shared" si="3529"/>
        <v>0.87882698867792652</v>
      </c>
    </row>
    <row r="5356" spans="1:14" x14ac:dyDescent="0.35">
      <c r="A5356" t="s">
        <v>38</v>
      </c>
      <c r="B5356" t="s">
        <v>20</v>
      </c>
      <c r="C5356">
        <v>2016</v>
      </c>
      <c r="D5356" t="s">
        <v>31</v>
      </c>
      <c r="E5356" s="3">
        <f t="shared" ref="E5356:F5356" si="3610">SUM(E556+E1516+E2476+E3436+E4396)</f>
        <v>2083</v>
      </c>
      <c r="F5356" s="3">
        <f t="shared" si="3610"/>
        <v>7702</v>
      </c>
      <c r="G5356" s="1">
        <f t="shared" si="3499"/>
        <v>9785</v>
      </c>
      <c r="H5356" s="2">
        <f t="shared" si="3500"/>
        <v>0.21287685232498724</v>
      </c>
      <c r="I5356" s="2">
        <f t="shared" si="3501"/>
        <v>0.78712314767501279</v>
      </c>
      <c r="J5356" s="3">
        <f t="shared" ref="J5356:K5356" si="3611">SUM(J556+J1516+J2476+J3436+J4396)</f>
        <v>612270.80000000005</v>
      </c>
      <c r="K5356" s="3">
        <f t="shared" si="3611"/>
        <v>4621865.1099999994</v>
      </c>
      <c r="L5356" s="1">
        <f t="shared" si="3527"/>
        <v>5234135.9099999992</v>
      </c>
      <c r="M5356" s="2">
        <f t="shared" si="3528"/>
        <v>0.11697648103295051</v>
      </c>
      <c r="N5356" s="2">
        <f t="shared" si="3529"/>
        <v>0.88302351896704956</v>
      </c>
    </row>
    <row r="5357" spans="1:14" x14ac:dyDescent="0.35">
      <c r="A5357" t="s">
        <v>38</v>
      </c>
      <c r="B5357" t="s">
        <v>21</v>
      </c>
      <c r="C5357">
        <v>2016</v>
      </c>
      <c r="D5357" t="s">
        <v>31</v>
      </c>
      <c r="E5357" s="3">
        <f t="shared" ref="E5357:F5357" si="3612">SUM(E557+E1517+E2477+E3437+E4397)</f>
        <v>2063</v>
      </c>
      <c r="F5357" s="3">
        <f t="shared" si="3612"/>
        <v>7731</v>
      </c>
      <c r="G5357" s="1">
        <f t="shared" si="3499"/>
        <v>9794</v>
      </c>
      <c r="H5357" s="2">
        <f t="shared" si="3500"/>
        <v>0.21063916683683889</v>
      </c>
      <c r="I5357" s="2">
        <f t="shared" si="3501"/>
        <v>0.78936083316316108</v>
      </c>
      <c r="J5357" s="3">
        <f t="shared" ref="J5357:K5357" si="3613">SUM(J557+J1517+J2477+J3437+J4397)</f>
        <v>635465.58000000007</v>
      </c>
      <c r="K5357" s="3">
        <f t="shared" si="3613"/>
        <v>4620661.7100000009</v>
      </c>
      <c r="L5357" s="1">
        <f t="shared" si="3527"/>
        <v>5256127.290000001</v>
      </c>
      <c r="M5357" s="2">
        <f t="shared" si="3528"/>
        <v>0.12089996016820208</v>
      </c>
      <c r="N5357" s="2">
        <f t="shared" si="3529"/>
        <v>0.87910003983179796</v>
      </c>
    </row>
    <row r="5358" spans="1:14" x14ac:dyDescent="0.35">
      <c r="A5358" t="s">
        <v>38</v>
      </c>
      <c r="B5358" t="s">
        <v>22</v>
      </c>
      <c r="C5358">
        <v>2016</v>
      </c>
      <c r="D5358" t="s">
        <v>31</v>
      </c>
      <c r="E5358" s="3">
        <f t="shared" ref="E5358:F5358" si="3614">SUM(E558+E1518+E2478+E3438+E4398)</f>
        <v>2057</v>
      </c>
      <c r="F5358" s="3">
        <f t="shared" si="3614"/>
        <v>7760</v>
      </c>
      <c r="G5358" s="1">
        <f t="shared" si="3499"/>
        <v>9817</v>
      </c>
      <c r="H5358" s="2">
        <f t="shared" si="3500"/>
        <v>0.20953448100234287</v>
      </c>
      <c r="I5358" s="2">
        <f t="shared" si="3501"/>
        <v>0.79046551899765716</v>
      </c>
      <c r="J5358" s="3">
        <f t="shared" ref="J5358:K5358" si="3615">SUM(J558+J1518+J2478+J3438+J4398)</f>
        <v>637174.67999999993</v>
      </c>
      <c r="K5358" s="3">
        <f t="shared" si="3615"/>
        <v>4607403.09</v>
      </c>
      <c r="L5358" s="1">
        <f t="shared" si="3527"/>
        <v>5244577.7699999996</v>
      </c>
      <c r="M5358" s="2">
        <f t="shared" si="3528"/>
        <v>0.12149208343229506</v>
      </c>
      <c r="N5358" s="2">
        <f t="shared" si="3529"/>
        <v>0.87850791656770499</v>
      </c>
    </row>
    <row r="5359" spans="1:14" x14ac:dyDescent="0.35">
      <c r="A5359" t="s">
        <v>38</v>
      </c>
      <c r="B5359" t="s">
        <v>23</v>
      </c>
      <c r="C5359">
        <v>2016</v>
      </c>
      <c r="D5359" t="s">
        <v>31</v>
      </c>
      <c r="E5359" s="3">
        <f t="shared" ref="E5359:F5359" si="3616">SUM(E559+E1519+E2479+E3439+E4399)</f>
        <v>2026</v>
      </c>
      <c r="F5359" s="3">
        <f t="shared" si="3616"/>
        <v>7874</v>
      </c>
      <c r="G5359" s="1">
        <f t="shared" si="3499"/>
        <v>9900</v>
      </c>
      <c r="H5359" s="2">
        <f t="shared" si="3500"/>
        <v>0.20464646464646466</v>
      </c>
      <c r="I5359" s="2">
        <f t="shared" si="3501"/>
        <v>0.79535353535353537</v>
      </c>
      <c r="J5359" s="3">
        <f t="shared" ref="J5359:K5359" si="3617">SUM(J559+J1519+J2479+J3439+J4399)</f>
        <v>792492.97</v>
      </c>
      <c r="K5359" s="3">
        <f t="shared" si="3617"/>
        <v>5225016.71</v>
      </c>
      <c r="L5359" s="1">
        <f t="shared" si="3527"/>
        <v>6017509.6799999997</v>
      </c>
      <c r="M5359" s="2">
        <f t="shared" si="3528"/>
        <v>0.13169783052181147</v>
      </c>
      <c r="N5359" s="2">
        <f t="shared" si="3529"/>
        <v>0.86830216947818861</v>
      </c>
    </row>
    <row r="5360" spans="1:14" x14ac:dyDescent="0.35">
      <c r="A5360" t="s">
        <v>38</v>
      </c>
      <c r="B5360" t="s">
        <v>24</v>
      </c>
      <c r="C5360">
        <v>2016</v>
      </c>
      <c r="D5360" t="s">
        <v>31</v>
      </c>
      <c r="E5360" s="3">
        <f t="shared" ref="E5360:F5360" si="3618">SUM(E560+E1520+E2480+E3440+E4400)</f>
        <v>2005</v>
      </c>
      <c r="F5360" s="3">
        <f t="shared" si="3618"/>
        <v>7977</v>
      </c>
      <c r="G5360" s="1">
        <f t="shared" si="3499"/>
        <v>9982</v>
      </c>
      <c r="H5360" s="2">
        <f t="shared" si="3500"/>
        <v>0.20086155079142456</v>
      </c>
      <c r="I5360" s="2">
        <f t="shared" si="3501"/>
        <v>0.79913844920857546</v>
      </c>
      <c r="J5360" s="3">
        <f t="shared" ref="J5360:K5360" si="3619">SUM(J560+J1520+J2480+J3440+J4400)</f>
        <v>687296.17999999993</v>
      </c>
      <c r="K5360" s="3">
        <f t="shared" si="3619"/>
        <v>4752534.3</v>
      </c>
      <c r="L5360" s="1">
        <f t="shared" si="3527"/>
        <v>5439830.4799999995</v>
      </c>
      <c r="M5360" s="2">
        <f t="shared" si="3528"/>
        <v>0.12634514669655661</v>
      </c>
      <c r="N5360" s="2">
        <f t="shared" si="3529"/>
        <v>0.87365485330344339</v>
      </c>
    </row>
    <row r="5361" spans="1:14" x14ac:dyDescent="0.35">
      <c r="A5361" t="s">
        <v>38</v>
      </c>
      <c r="B5361" t="s">
        <v>25</v>
      </c>
      <c r="C5361">
        <v>2016</v>
      </c>
      <c r="D5361" t="s">
        <v>31</v>
      </c>
      <c r="E5361" s="3">
        <f t="shared" ref="E5361:F5361" si="3620">SUM(E561+E1521+E2481+E3441+E4401)</f>
        <v>2006</v>
      </c>
      <c r="F5361" s="3">
        <f t="shared" si="3620"/>
        <v>8098</v>
      </c>
      <c r="G5361" s="1">
        <f t="shared" si="3499"/>
        <v>10104</v>
      </c>
      <c r="H5361" s="2">
        <f t="shared" si="3500"/>
        <v>0.19853523357086303</v>
      </c>
      <c r="I5361" s="2">
        <f t="shared" si="3501"/>
        <v>0.801464766429137</v>
      </c>
      <c r="J5361" s="3">
        <f t="shared" ref="J5361:K5361" si="3621">SUM(J561+J1521+J2481+J3441+J4401)</f>
        <v>702862.7</v>
      </c>
      <c r="K5361" s="3">
        <f t="shared" si="3621"/>
        <v>4939460.3599999994</v>
      </c>
      <c r="L5361" s="1">
        <f t="shared" si="3527"/>
        <v>5642323.0599999996</v>
      </c>
      <c r="M5361" s="2">
        <f t="shared" si="3528"/>
        <v>0.12456973706145781</v>
      </c>
      <c r="N5361" s="2">
        <f t="shared" si="3529"/>
        <v>0.8754302629385422</v>
      </c>
    </row>
    <row r="5362" spans="1:14" x14ac:dyDescent="0.35">
      <c r="A5362" t="s">
        <v>38</v>
      </c>
      <c r="B5362" t="s">
        <v>26</v>
      </c>
      <c r="C5362">
        <v>2016</v>
      </c>
      <c r="D5362" t="s">
        <v>31</v>
      </c>
      <c r="E5362" s="3">
        <f t="shared" ref="E5362:F5362" si="3622">SUM(E562+E1522+E2482+E3442+E4402)</f>
        <v>1998</v>
      </c>
      <c r="F5362" s="3">
        <f t="shared" si="3622"/>
        <v>8107</v>
      </c>
      <c r="G5362" s="1">
        <f t="shared" si="3499"/>
        <v>10105</v>
      </c>
      <c r="H5362" s="2">
        <f t="shared" si="3500"/>
        <v>0.19772389905987134</v>
      </c>
      <c r="I5362" s="2">
        <f t="shared" si="3501"/>
        <v>0.80227610094012869</v>
      </c>
      <c r="J5362" s="3">
        <f t="shared" ref="J5362:K5362" si="3623">SUM(J562+J1522+J2482+J3442+J4402)</f>
        <v>715174.69</v>
      </c>
      <c r="K5362" s="3">
        <f t="shared" si="3623"/>
        <v>4967899.2</v>
      </c>
      <c r="L5362" s="1">
        <f t="shared" si="3527"/>
        <v>5683073.8900000006</v>
      </c>
      <c r="M5362" s="2">
        <f t="shared" si="3528"/>
        <v>0.12584293356777029</v>
      </c>
      <c r="N5362" s="2">
        <f t="shared" si="3529"/>
        <v>0.87415706643222968</v>
      </c>
    </row>
    <row r="5363" spans="1:14" x14ac:dyDescent="0.35">
      <c r="A5363" t="s">
        <v>38</v>
      </c>
      <c r="B5363" t="s">
        <v>27</v>
      </c>
      <c r="C5363">
        <v>2016</v>
      </c>
      <c r="D5363" t="s">
        <v>31</v>
      </c>
      <c r="E5363" s="3">
        <f t="shared" ref="E5363:F5363" si="3624">SUM(E563+E1523+E2483+E3443+E4403)</f>
        <v>2007</v>
      </c>
      <c r="F5363" s="3">
        <f t="shared" si="3624"/>
        <v>8109</v>
      </c>
      <c r="G5363" s="1">
        <f t="shared" si="3499"/>
        <v>10116</v>
      </c>
      <c r="H5363" s="2">
        <f t="shared" si="3500"/>
        <v>0.19839857651245552</v>
      </c>
      <c r="I5363" s="2">
        <f t="shared" si="3501"/>
        <v>0.80160142348754448</v>
      </c>
      <c r="J5363" s="3">
        <f t="shared" ref="J5363:K5363" si="3625">SUM(J563+J1523+J2483+J3443+J4403)</f>
        <v>666211.77</v>
      </c>
      <c r="K5363" s="3">
        <f t="shared" si="3625"/>
        <v>4883127.51</v>
      </c>
      <c r="L5363" s="1">
        <f t="shared" si="3527"/>
        <v>5549339.2799999993</v>
      </c>
      <c r="M5363" s="2">
        <f t="shared" si="3528"/>
        <v>0.12005244883855797</v>
      </c>
      <c r="N5363" s="2">
        <f t="shared" si="3529"/>
        <v>0.87994755116144208</v>
      </c>
    </row>
    <row r="5364" spans="1:14" x14ac:dyDescent="0.35">
      <c r="A5364" t="s">
        <v>38</v>
      </c>
      <c r="B5364" t="s">
        <v>28</v>
      </c>
      <c r="C5364">
        <v>2016</v>
      </c>
      <c r="D5364" t="s">
        <v>31</v>
      </c>
      <c r="E5364" s="3">
        <f t="shared" ref="E5364:F5364" si="3626">SUM(E564+E1524+E2484+E3444+E4404)</f>
        <v>1992</v>
      </c>
      <c r="F5364" s="3">
        <f t="shared" si="3626"/>
        <v>8090</v>
      </c>
      <c r="G5364" s="1">
        <f t="shared" si="3499"/>
        <v>10082</v>
      </c>
      <c r="H5364" s="2">
        <f t="shared" si="3500"/>
        <v>0.19757984526879588</v>
      </c>
      <c r="I5364" s="2">
        <f t="shared" si="3501"/>
        <v>0.80242015473120409</v>
      </c>
      <c r="J5364" s="3">
        <f t="shared" ref="J5364:K5364" si="3627">SUM(J564+J1524+J2484+J3444+J4404)</f>
        <v>681240.32000000007</v>
      </c>
      <c r="K5364" s="3">
        <f t="shared" si="3627"/>
        <v>4809938.3499999996</v>
      </c>
      <c r="L5364" s="1">
        <f t="shared" si="3527"/>
        <v>5491178.6699999999</v>
      </c>
      <c r="M5364" s="2">
        <f t="shared" si="3528"/>
        <v>0.1240608548619672</v>
      </c>
      <c r="N5364" s="2">
        <f t="shared" si="3529"/>
        <v>0.87593914513803273</v>
      </c>
    </row>
    <row r="5365" spans="1:14" x14ac:dyDescent="0.35">
      <c r="A5365" t="s">
        <v>38</v>
      </c>
      <c r="B5365" t="s">
        <v>29</v>
      </c>
      <c r="C5365">
        <v>2016</v>
      </c>
      <c r="D5365" t="s">
        <v>31</v>
      </c>
      <c r="E5365" s="3">
        <f t="shared" ref="E5365:F5365" si="3628">SUM(E565+E1525+E2485+E3445+E4405)</f>
        <v>2005</v>
      </c>
      <c r="F5365" s="3">
        <f t="shared" si="3628"/>
        <v>8116</v>
      </c>
      <c r="G5365" s="1">
        <f t="shared" si="3499"/>
        <v>10121</v>
      </c>
      <c r="H5365" s="2">
        <f t="shared" si="3500"/>
        <v>0.19810295425353225</v>
      </c>
      <c r="I5365" s="2">
        <f t="shared" si="3501"/>
        <v>0.8018970457464677</v>
      </c>
      <c r="J5365" s="3">
        <f t="shared" ref="J5365:K5365" si="3629">SUM(J565+J1525+J2485+J3445+J4405)</f>
        <v>633008.61</v>
      </c>
      <c r="K5365" s="3">
        <f t="shared" si="3629"/>
        <v>4778573.43</v>
      </c>
      <c r="L5365" s="1">
        <f t="shared" si="3527"/>
        <v>5411582.04</v>
      </c>
      <c r="M5365" s="2">
        <f t="shared" si="3528"/>
        <v>0.1169729305258763</v>
      </c>
      <c r="N5365" s="2">
        <f t="shared" si="3529"/>
        <v>0.88302706947412368</v>
      </c>
    </row>
    <row r="5366" spans="1:14" x14ac:dyDescent="0.35">
      <c r="A5366" t="s">
        <v>38</v>
      </c>
      <c r="B5366" t="s">
        <v>17</v>
      </c>
      <c r="C5366">
        <v>2017</v>
      </c>
      <c r="D5366" t="s">
        <v>31</v>
      </c>
      <c r="E5366" s="3">
        <f t="shared" ref="E5366:F5366" si="3630">SUM(E566+E1526+E2486+E3446+E4406)</f>
        <v>2350</v>
      </c>
      <c r="F5366" s="3">
        <f t="shared" si="3630"/>
        <v>7742</v>
      </c>
      <c r="G5366" s="1">
        <f t="shared" si="3499"/>
        <v>10092</v>
      </c>
      <c r="H5366" s="2">
        <f t="shared" si="3500"/>
        <v>0.23285770907649622</v>
      </c>
      <c r="I5366" s="2">
        <f t="shared" si="3501"/>
        <v>0.76714229092350372</v>
      </c>
      <c r="J5366" s="3">
        <f t="shared" ref="J5366:K5366" si="3631">SUM(J566+J1526+J2486+J3446+J4406)</f>
        <v>654888.59000000008</v>
      </c>
      <c r="K5366" s="3">
        <f t="shared" si="3631"/>
        <v>4937695.0600000005</v>
      </c>
      <c r="L5366" s="1">
        <f t="shared" si="3527"/>
        <v>5592583.6500000004</v>
      </c>
      <c r="M5366" s="2">
        <f t="shared" si="3528"/>
        <v>0.11709947154746626</v>
      </c>
      <c r="N5366" s="2">
        <f t="shared" si="3529"/>
        <v>0.88290052845253375</v>
      </c>
    </row>
    <row r="5367" spans="1:14" x14ac:dyDescent="0.35">
      <c r="A5367" t="s">
        <v>38</v>
      </c>
      <c r="B5367" t="s">
        <v>19</v>
      </c>
      <c r="C5367">
        <v>2017</v>
      </c>
      <c r="D5367" t="s">
        <v>31</v>
      </c>
      <c r="E5367" s="3">
        <f t="shared" ref="E5367:F5367" si="3632">SUM(E567+E1527+E2487+E3447+E4407)</f>
        <v>2475</v>
      </c>
      <c r="F5367" s="3">
        <f t="shared" si="3632"/>
        <v>7579</v>
      </c>
      <c r="G5367" s="1">
        <f t="shared" ref="G5367:G5430" si="3633">SUM(E5367:F5367)</f>
        <v>10054</v>
      </c>
      <c r="H5367" s="2">
        <f t="shared" ref="H5367:H5430" si="3634">SUM(E5367)/G5367</f>
        <v>0.24617067833698031</v>
      </c>
      <c r="I5367" s="2">
        <f t="shared" ref="I5367:I5430" si="3635">SUM(F5367/G5367)</f>
        <v>0.75382932166301975</v>
      </c>
      <c r="J5367" s="3">
        <f t="shared" ref="J5367:K5367" si="3636">SUM(J567+J1527+J2487+J3447+J4407)</f>
        <v>586012.17999999993</v>
      </c>
      <c r="K5367" s="3">
        <f t="shared" si="3636"/>
        <v>4645793.34</v>
      </c>
      <c r="L5367" s="1">
        <f t="shared" si="3527"/>
        <v>5231805.5199999996</v>
      </c>
      <c r="M5367" s="2">
        <f t="shared" si="3528"/>
        <v>0.11200954962102642</v>
      </c>
      <c r="N5367" s="2">
        <f t="shared" si="3529"/>
        <v>0.88799045037897362</v>
      </c>
    </row>
    <row r="5368" spans="1:14" x14ac:dyDescent="0.35">
      <c r="A5368" t="s">
        <v>38</v>
      </c>
      <c r="B5368" t="s">
        <v>20</v>
      </c>
      <c r="C5368">
        <v>2017</v>
      </c>
      <c r="D5368" t="s">
        <v>31</v>
      </c>
      <c r="E5368" s="3">
        <f t="shared" ref="E5368:F5368" si="3637">SUM(E568+E1528+E2488+E3448+E4408)</f>
        <v>2474</v>
      </c>
      <c r="F5368" s="3">
        <f t="shared" si="3637"/>
        <v>7678</v>
      </c>
      <c r="G5368" s="1">
        <f t="shared" si="3633"/>
        <v>10152</v>
      </c>
      <c r="H5368" s="2">
        <f t="shared" si="3634"/>
        <v>0.24369582348305752</v>
      </c>
      <c r="I5368" s="2">
        <f t="shared" si="3635"/>
        <v>0.75630417651694248</v>
      </c>
      <c r="J5368" s="3">
        <f t="shared" ref="J5368:K5368" si="3638">SUM(J568+J1528+J2488+J3448+J4408)</f>
        <v>569445.75</v>
      </c>
      <c r="K5368" s="3">
        <f t="shared" si="3638"/>
        <v>4648396.8999999994</v>
      </c>
      <c r="L5368" s="1">
        <f t="shared" si="3527"/>
        <v>5217842.6499999994</v>
      </c>
      <c r="M5368" s="2">
        <f t="shared" si="3528"/>
        <v>0.10913432776666809</v>
      </c>
      <c r="N5368" s="2">
        <f t="shared" si="3529"/>
        <v>0.89086567223333191</v>
      </c>
    </row>
    <row r="5369" spans="1:14" x14ac:dyDescent="0.35">
      <c r="A5369" t="s">
        <v>38</v>
      </c>
      <c r="B5369" t="s">
        <v>21</v>
      </c>
      <c r="C5369">
        <v>2017</v>
      </c>
      <c r="D5369" t="s">
        <v>31</v>
      </c>
      <c r="E5369" s="3">
        <f t="shared" ref="E5369:F5369" si="3639">SUM(E569+E1529+E2489+E3449+E4409)</f>
        <v>2486</v>
      </c>
      <c r="F5369" s="3">
        <f t="shared" si="3639"/>
        <v>7661</v>
      </c>
      <c r="G5369" s="1">
        <f t="shared" si="3633"/>
        <v>10147</v>
      </c>
      <c r="H5369" s="2">
        <f t="shared" si="3634"/>
        <v>0.24499852173056075</v>
      </c>
      <c r="I5369" s="2">
        <f t="shared" si="3635"/>
        <v>0.7550014782694392</v>
      </c>
      <c r="J5369" s="3">
        <f t="shared" ref="J5369:K5369" si="3640">SUM(J569+J1529+J2489+J3449+J4409)</f>
        <v>377964.02999999997</v>
      </c>
      <c r="K5369" s="3">
        <f t="shared" si="3640"/>
        <v>3664524.19</v>
      </c>
      <c r="L5369" s="1">
        <f t="shared" si="3527"/>
        <v>4042488.2199999997</v>
      </c>
      <c r="M5369" s="2">
        <f t="shared" si="3528"/>
        <v>9.349786800368215E-2</v>
      </c>
      <c r="N5369" s="2">
        <f t="shared" si="3529"/>
        <v>0.90650213199631791</v>
      </c>
    </row>
    <row r="5370" spans="1:14" x14ac:dyDescent="0.35">
      <c r="A5370" t="s">
        <v>38</v>
      </c>
      <c r="B5370" t="s">
        <v>22</v>
      </c>
      <c r="C5370">
        <v>2017</v>
      </c>
      <c r="D5370" t="s">
        <v>31</v>
      </c>
      <c r="E5370" s="3">
        <f t="shared" ref="E5370:F5370" si="3641">SUM(E570+E1530+E2490+E3450+E4410)</f>
        <v>2472</v>
      </c>
      <c r="F5370" s="3">
        <f t="shared" si="3641"/>
        <v>7765</v>
      </c>
      <c r="G5370" s="1">
        <f t="shared" si="3633"/>
        <v>10237</v>
      </c>
      <c r="H5370" s="2">
        <f t="shared" si="3634"/>
        <v>0.24147699521344143</v>
      </c>
      <c r="I5370" s="2">
        <f t="shared" si="3635"/>
        <v>0.75852300478655854</v>
      </c>
      <c r="J5370" s="3">
        <f t="shared" ref="J5370:K5370" si="3642">SUM(J570+J1530+J2490+J3450+J4410)</f>
        <v>1336255.1100000001</v>
      </c>
      <c r="K5370" s="3">
        <f t="shared" si="3642"/>
        <v>9106921.2899999991</v>
      </c>
      <c r="L5370" s="1">
        <f t="shared" si="3527"/>
        <v>10443176.399999999</v>
      </c>
      <c r="M5370" s="2">
        <f t="shared" si="3528"/>
        <v>0.1279548538507882</v>
      </c>
      <c r="N5370" s="2">
        <f t="shared" si="3529"/>
        <v>0.87204514614921191</v>
      </c>
    </row>
    <row r="5371" spans="1:14" x14ac:dyDescent="0.35">
      <c r="A5371" t="s">
        <v>38</v>
      </c>
      <c r="B5371" t="s">
        <v>23</v>
      </c>
      <c r="C5371">
        <v>2017</v>
      </c>
      <c r="D5371" t="s">
        <v>31</v>
      </c>
      <c r="E5371" s="3">
        <f t="shared" ref="E5371:F5371" si="3643">SUM(E571+E1531+E2491+E3451+E4411)</f>
        <v>2447</v>
      </c>
      <c r="F5371" s="3">
        <f t="shared" si="3643"/>
        <v>7756</v>
      </c>
      <c r="G5371" s="1">
        <f t="shared" si="3633"/>
        <v>10203</v>
      </c>
      <c r="H5371" s="2">
        <f t="shared" si="3634"/>
        <v>0.23983142213074585</v>
      </c>
      <c r="I5371" s="2">
        <f t="shared" si="3635"/>
        <v>0.76016857786925418</v>
      </c>
      <c r="J5371" s="3">
        <f t="shared" ref="J5371:K5371" si="3644">SUM(J571+J1531+J2491+J3451+J4411)</f>
        <v>669539.57000000007</v>
      </c>
      <c r="K5371" s="3">
        <f t="shared" si="3644"/>
        <v>5150179.0299999993</v>
      </c>
      <c r="L5371" s="1">
        <f t="shared" si="3527"/>
        <v>5819718.5999999996</v>
      </c>
      <c r="M5371" s="2">
        <f t="shared" si="3528"/>
        <v>0.11504672579873537</v>
      </c>
      <c r="N5371" s="2">
        <f t="shared" si="3529"/>
        <v>0.88495327420126457</v>
      </c>
    </row>
    <row r="5372" spans="1:14" x14ac:dyDescent="0.35">
      <c r="A5372" t="s">
        <v>38</v>
      </c>
      <c r="B5372" t="s">
        <v>24</v>
      </c>
      <c r="C5372">
        <v>2017</v>
      </c>
      <c r="D5372" t="s">
        <v>31</v>
      </c>
      <c r="E5372" s="3">
        <f t="shared" ref="E5372:F5372" si="3645">SUM(E572+E1532+E2492+E3452+E4412)</f>
        <v>2448</v>
      </c>
      <c r="F5372" s="3">
        <f t="shared" si="3645"/>
        <v>7750</v>
      </c>
      <c r="G5372" s="1">
        <f t="shared" si="3633"/>
        <v>10198</v>
      </c>
      <c r="H5372" s="2">
        <f t="shared" si="3634"/>
        <v>0.24004706805255932</v>
      </c>
      <c r="I5372" s="2">
        <f t="shared" si="3635"/>
        <v>0.75995293194744062</v>
      </c>
      <c r="J5372" s="3">
        <f t="shared" ref="J5372:K5372" si="3646">SUM(J572+J1532+J2492+J3452+J4412)</f>
        <v>679797.18</v>
      </c>
      <c r="K5372" s="3">
        <f t="shared" si="3646"/>
        <v>5549298.6299999999</v>
      </c>
      <c r="L5372" s="1">
        <f t="shared" si="3527"/>
        <v>6229095.8099999996</v>
      </c>
      <c r="M5372" s="2">
        <f t="shared" si="3528"/>
        <v>0.10913256124727998</v>
      </c>
      <c r="N5372" s="2">
        <f t="shared" si="3529"/>
        <v>0.89086743875272012</v>
      </c>
    </row>
    <row r="5373" spans="1:14" x14ac:dyDescent="0.35">
      <c r="A5373" t="s">
        <v>38</v>
      </c>
      <c r="B5373" t="s">
        <v>25</v>
      </c>
      <c r="C5373">
        <v>2017</v>
      </c>
      <c r="D5373" t="s">
        <v>31</v>
      </c>
      <c r="E5373" s="3">
        <f t="shared" ref="E5373:F5373" si="3647">SUM(E573+E1533+E2493+E3453+E4413)</f>
        <v>2427</v>
      </c>
      <c r="F5373" s="3">
        <f t="shared" si="3647"/>
        <v>7749</v>
      </c>
      <c r="G5373" s="1">
        <f t="shared" si="3633"/>
        <v>10176</v>
      </c>
      <c r="H5373" s="2">
        <f t="shared" si="3634"/>
        <v>0.23850235849056603</v>
      </c>
      <c r="I5373" s="2">
        <f t="shared" si="3635"/>
        <v>0.761497641509434</v>
      </c>
      <c r="J5373" s="3">
        <f t="shared" ref="J5373:K5373" si="3648">SUM(J573+J1533+J2493+J3453+J4413)</f>
        <v>678359.17</v>
      </c>
      <c r="K5373" s="3">
        <f t="shared" si="3648"/>
        <v>5281212.3</v>
      </c>
      <c r="L5373" s="1">
        <f t="shared" si="3527"/>
        <v>5959571.4699999997</v>
      </c>
      <c r="M5373" s="2">
        <f t="shared" si="3528"/>
        <v>0.11382683694873116</v>
      </c>
      <c r="N5373" s="2">
        <f t="shared" si="3529"/>
        <v>0.88617316305126881</v>
      </c>
    </row>
    <row r="5374" spans="1:14" x14ac:dyDescent="0.35">
      <c r="A5374" t="s">
        <v>38</v>
      </c>
      <c r="B5374" t="s">
        <v>26</v>
      </c>
      <c r="C5374">
        <v>2017</v>
      </c>
      <c r="D5374" t="s">
        <v>31</v>
      </c>
      <c r="E5374" s="3">
        <f t="shared" ref="E5374:F5374" si="3649">SUM(E574+E1534+E2494+E3454+E4414)</f>
        <v>2421</v>
      </c>
      <c r="F5374" s="3">
        <f t="shared" si="3649"/>
        <v>7723</v>
      </c>
      <c r="G5374" s="1">
        <f t="shared" si="3633"/>
        <v>10144</v>
      </c>
      <c r="H5374" s="2">
        <f t="shared" si="3634"/>
        <v>0.23866324921135645</v>
      </c>
      <c r="I5374" s="2">
        <f t="shared" si="3635"/>
        <v>0.76133675078864349</v>
      </c>
      <c r="J5374" s="3">
        <f t="shared" ref="J5374:K5374" si="3650">SUM(J574+J1534+J2494+J3454+J4414)</f>
        <v>665452.52</v>
      </c>
      <c r="K5374" s="3">
        <f t="shared" si="3650"/>
        <v>5310581.3099999996</v>
      </c>
      <c r="L5374" s="1">
        <f t="shared" si="3527"/>
        <v>5976033.8300000001</v>
      </c>
      <c r="M5374" s="2">
        <f t="shared" si="3528"/>
        <v>0.11135353964353312</v>
      </c>
      <c r="N5374" s="2">
        <f t="shared" si="3529"/>
        <v>0.88864646035646677</v>
      </c>
    </row>
    <row r="5375" spans="1:14" x14ac:dyDescent="0.35">
      <c r="A5375" t="s">
        <v>38</v>
      </c>
      <c r="B5375" t="s">
        <v>27</v>
      </c>
      <c r="C5375">
        <v>2017</v>
      </c>
      <c r="D5375" t="s">
        <v>31</v>
      </c>
      <c r="E5375" s="3">
        <f t="shared" ref="E5375:F5375" si="3651">SUM(E575+E1535+E2495+E3455+E4415)</f>
        <v>2417</v>
      </c>
      <c r="F5375" s="3">
        <f t="shared" si="3651"/>
        <v>7749</v>
      </c>
      <c r="G5375" s="1">
        <f t="shared" si="3633"/>
        <v>10166</v>
      </c>
      <c r="H5375" s="2">
        <f t="shared" si="3634"/>
        <v>0.23775329529805234</v>
      </c>
      <c r="I5375" s="2">
        <f t="shared" si="3635"/>
        <v>0.76224670470194766</v>
      </c>
      <c r="J5375" s="3">
        <f t="shared" ref="J5375:K5375" si="3652">SUM(J575+J1535+J2495+J3455+J4415)</f>
        <v>627108.28</v>
      </c>
      <c r="K5375" s="3">
        <f t="shared" si="3652"/>
        <v>5218643.0599999996</v>
      </c>
      <c r="L5375" s="1">
        <f t="shared" si="3527"/>
        <v>5845751.3399999999</v>
      </c>
      <c r="M5375" s="2">
        <f t="shared" si="3528"/>
        <v>0.10727590749694804</v>
      </c>
      <c r="N5375" s="2">
        <f t="shared" si="3529"/>
        <v>0.89272409250305196</v>
      </c>
    </row>
    <row r="5376" spans="1:14" x14ac:dyDescent="0.35">
      <c r="A5376" t="s">
        <v>38</v>
      </c>
      <c r="B5376" t="s">
        <v>28</v>
      </c>
      <c r="C5376">
        <v>2017</v>
      </c>
      <c r="D5376" t="s">
        <v>31</v>
      </c>
      <c r="E5376" s="3">
        <f t="shared" ref="E5376:F5376" si="3653">SUM(E576+E1536+E2496+E3456+E4416)</f>
        <v>2680</v>
      </c>
      <c r="F5376" s="3">
        <f t="shared" si="3653"/>
        <v>7482</v>
      </c>
      <c r="G5376" s="1">
        <f t="shared" si="3633"/>
        <v>10162</v>
      </c>
      <c r="H5376" s="2">
        <f t="shared" si="3634"/>
        <v>0.26372761267467032</v>
      </c>
      <c r="I5376" s="2">
        <f t="shared" si="3635"/>
        <v>0.73627238732532962</v>
      </c>
      <c r="J5376" s="3">
        <f t="shared" ref="J5376:K5376" si="3654">SUM(J576+J1536+J2496+J3456+J4416)</f>
        <v>606233.5</v>
      </c>
      <c r="K5376" s="3">
        <f t="shared" si="3654"/>
        <v>5250673.0599999996</v>
      </c>
      <c r="L5376" s="1">
        <f t="shared" si="3527"/>
        <v>5856906.5599999996</v>
      </c>
      <c r="M5376" s="2">
        <f t="shared" si="3528"/>
        <v>0.10350745633203341</v>
      </c>
      <c r="N5376" s="2">
        <f t="shared" si="3529"/>
        <v>0.8964925436679666</v>
      </c>
    </row>
    <row r="5377" spans="1:14" x14ac:dyDescent="0.35">
      <c r="A5377" t="s">
        <v>38</v>
      </c>
      <c r="B5377" t="s">
        <v>29</v>
      </c>
      <c r="C5377">
        <v>2017</v>
      </c>
      <c r="D5377" t="s">
        <v>31</v>
      </c>
      <c r="E5377" s="3">
        <f t="shared" ref="E5377:F5377" si="3655">SUM(E577+E1537+E2497+E3457+E4417)</f>
        <v>2409</v>
      </c>
      <c r="F5377" s="3">
        <f t="shared" si="3655"/>
        <v>8721</v>
      </c>
      <c r="G5377" s="1">
        <f t="shared" si="3633"/>
        <v>11130</v>
      </c>
      <c r="H5377" s="2">
        <f t="shared" si="3634"/>
        <v>0.21644204851752022</v>
      </c>
      <c r="I5377" s="2">
        <f t="shared" si="3635"/>
        <v>0.78355795148247975</v>
      </c>
      <c r="J5377" s="3">
        <f t="shared" ref="J5377:K5377" si="3656">SUM(J577+J1537+J2497+J3457+J4417)</f>
        <v>665495.34</v>
      </c>
      <c r="K5377" s="3">
        <f t="shared" si="3656"/>
        <v>5525713.71</v>
      </c>
      <c r="L5377" s="1">
        <f t="shared" si="3527"/>
        <v>6191209.0499999998</v>
      </c>
      <c r="M5377" s="2">
        <f t="shared" si="3528"/>
        <v>0.10749036813738344</v>
      </c>
      <c r="N5377" s="2">
        <f t="shared" si="3529"/>
        <v>0.89250963186261656</v>
      </c>
    </row>
    <row r="5378" spans="1:14" x14ac:dyDescent="0.35">
      <c r="A5378" t="s">
        <v>38</v>
      </c>
      <c r="B5378" t="s">
        <v>17</v>
      </c>
      <c r="C5378">
        <v>2002</v>
      </c>
      <c r="D5378" t="s">
        <v>32</v>
      </c>
      <c r="E5378" s="3">
        <f t="shared" ref="E5378:F5378" si="3657">SUM(E578+E1538+E2498+E3458+E4418)</f>
        <v>237577</v>
      </c>
      <c r="F5378" s="3">
        <f t="shared" si="3657"/>
        <v>2268</v>
      </c>
      <c r="G5378" s="1">
        <f t="shared" si="3633"/>
        <v>239845</v>
      </c>
      <c r="H5378" s="2">
        <f t="shared" si="3634"/>
        <v>0.99054389293085121</v>
      </c>
      <c r="I5378" s="2">
        <f t="shared" si="3635"/>
        <v>9.4561070691488256E-3</v>
      </c>
      <c r="J5378" s="3">
        <f t="shared" ref="J5378:K5378" si="3658">SUM(J578+J1538+J2498+J3458+J4418)</f>
        <v>54604.105000000003</v>
      </c>
      <c r="K5378" s="3">
        <f t="shared" si="3658"/>
        <v>1691.0509999999999</v>
      </c>
      <c r="L5378" s="1">
        <f t="shared" si="3527"/>
        <v>56295.156000000003</v>
      </c>
      <c r="M5378" s="2">
        <f t="shared" si="3528"/>
        <v>0.96996098563080635</v>
      </c>
      <c r="N5378" s="2">
        <f t="shared" si="3529"/>
        <v>3.0039014369193682E-2</v>
      </c>
    </row>
    <row r="5379" spans="1:14" x14ac:dyDescent="0.35">
      <c r="A5379" t="s">
        <v>38</v>
      </c>
      <c r="B5379" t="s">
        <v>19</v>
      </c>
      <c r="C5379">
        <v>2002</v>
      </c>
      <c r="D5379" t="s">
        <v>32</v>
      </c>
      <c r="E5379" s="3">
        <f t="shared" ref="E5379:F5379" si="3659">SUM(E579+E1539+E2499+E3459+E4419)</f>
        <v>237517</v>
      </c>
      <c r="F5379" s="3">
        <f t="shared" si="3659"/>
        <v>2973</v>
      </c>
      <c r="G5379" s="1">
        <f t="shared" si="3633"/>
        <v>240490</v>
      </c>
      <c r="H5379" s="2">
        <f t="shared" si="3634"/>
        <v>0.98763773961495283</v>
      </c>
      <c r="I5379" s="2">
        <f t="shared" si="3635"/>
        <v>1.2362260385047195E-2</v>
      </c>
      <c r="J5379" s="3">
        <f t="shared" ref="J5379:K5379" si="3660">SUM(J579+J1539+J2499+J3459+J4419)</f>
        <v>83225.013999999996</v>
      </c>
      <c r="K5379" s="3">
        <f t="shared" si="3660"/>
        <v>13679.554000000004</v>
      </c>
      <c r="L5379" s="1">
        <f t="shared" ref="L5379:L5442" si="3661">SUM(J5379:K5379)</f>
        <v>96904.567999999999</v>
      </c>
      <c r="M5379" s="2">
        <f t="shared" ref="M5379:M5442" si="3662">SUM(J5379)/L5379</f>
        <v>0.85883478681830561</v>
      </c>
      <c r="N5379" s="2">
        <f t="shared" ref="N5379:N5442" si="3663">SUM(K5379/L5379)</f>
        <v>0.14116521318169442</v>
      </c>
    </row>
    <row r="5380" spans="1:14" x14ac:dyDescent="0.35">
      <c r="A5380" t="s">
        <v>38</v>
      </c>
      <c r="B5380" t="s">
        <v>20</v>
      </c>
      <c r="C5380">
        <v>2002</v>
      </c>
      <c r="D5380" t="s">
        <v>32</v>
      </c>
      <c r="E5380" s="3">
        <f t="shared" ref="E5380:F5380" si="3664">SUM(E580+E1540+E2500+E3460+E4420)</f>
        <v>261231</v>
      </c>
      <c r="F5380" s="3">
        <f t="shared" si="3664"/>
        <v>3985</v>
      </c>
      <c r="G5380" s="1">
        <f t="shared" si="3633"/>
        <v>265216</v>
      </c>
      <c r="H5380" s="2">
        <f t="shared" si="3634"/>
        <v>0.98497451134169889</v>
      </c>
      <c r="I5380" s="2">
        <f t="shared" si="3635"/>
        <v>1.5025488658301158E-2</v>
      </c>
      <c r="J5380" s="3">
        <f t="shared" ref="J5380:K5380" si="3665">SUM(J580+J1540+J2500+J3460+J4420)</f>
        <v>59940.798000000003</v>
      </c>
      <c r="K5380" s="3">
        <f t="shared" si="3665"/>
        <v>13557.790000000005</v>
      </c>
      <c r="L5380" s="1">
        <f t="shared" si="3661"/>
        <v>73498.588000000003</v>
      </c>
      <c r="M5380" s="2">
        <f t="shared" si="3662"/>
        <v>0.81553672840626545</v>
      </c>
      <c r="N5380" s="2">
        <f t="shared" si="3663"/>
        <v>0.18446327159373463</v>
      </c>
    </row>
    <row r="5381" spans="1:14" x14ac:dyDescent="0.35">
      <c r="A5381" t="s">
        <v>38</v>
      </c>
      <c r="B5381" t="s">
        <v>21</v>
      </c>
      <c r="C5381">
        <v>2002</v>
      </c>
      <c r="D5381" t="s">
        <v>32</v>
      </c>
      <c r="E5381" s="3">
        <f t="shared" ref="E5381:F5381" si="3666">SUM(E581+E1541+E2501+E3461+E4421)</f>
        <v>260078</v>
      </c>
      <c r="F5381" s="3">
        <f t="shared" si="3666"/>
        <v>4670</v>
      </c>
      <c r="G5381" s="1">
        <f t="shared" si="3633"/>
        <v>264748</v>
      </c>
      <c r="H5381" s="2">
        <f t="shared" si="3634"/>
        <v>0.98236058440479246</v>
      </c>
      <c r="I5381" s="2">
        <f t="shared" si="3635"/>
        <v>1.7639415595207517E-2</v>
      </c>
      <c r="J5381" s="3">
        <f t="shared" ref="J5381:K5381" si="3667">SUM(J581+J1541+J2501+J3461+J4421)</f>
        <v>81430.663</v>
      </c>
      <c r="K5381" s="3">
        <f t="shared" si="3667"/>
        <v>19874.804000000004</v>
      </c>
      <c r="L5381" s="1">
        <f t="shared" si="3661"/>
        <v>101305.467</v>
      </c>
      <c r="M5381" s="2">
        <f t="shared" si="3662"/>
        <v>0.80381311504146169</v>
      </c>
      <c r="N5381" s="2">
        <f t="shared" si="3663"/>
        <v>0.19618688495853834</v>
      </c>
    </row>
    <row r="5382" spans="1:14" x14ac:dyDescent="0.35">
      <c r="A5382" t="s">
        <v>38</v>
      </c>
      <c r="B5382" t="s">
        <v>22</v>
      </c>
      <c r="C5382">
        <v>2002</v>
      </c>
      <c r="D5382" t="s">
        <v>32</v>
      </c>
      <c r="E5382" s="3">
        <f t="shared" ref="E5382:F5382" si="3668">SUM(E582+E1542+E2502+E3462+E4422)</f>
        <v>256907</v>
      </c>
      <c r="F5382" s="3">
        <f t="shared" si="3668"/>
        <v>5211</v>
      </c>
      <c r="G5382" s="1">
        <f t="shared" si="3633"/>
        <v>262118</v>
      </c>
      <c r="H5382" s="2">
        <f t="shared" si="3634"/>
        <v>0.98011964077247649</v>
      </c>
      <c r="I5382" s="2">
        <f t="shared" si="3635"/>
        <v>1.9880359227523483E-2</v>
      </c>
      <c r="J5382" s="3">
        <f t="shared" ref="J5382:K5382" si="3669">SUM(J582+J1542+J2502+J3462+J4422)</f>
        <v>76033.297000000006</v>
      </c>
      <c r="K5382" s="3">
        <f t="shared" si="3669"/>
        <v>19431.709000000006</v>
      </c>
      <c r="L5382" s="1">
        <f t="shared" si="3661"/>
        <v>95465.006000000008</v>
      </c>
      <c r="M5382" s="2">
        <f t="shared" si="3662"/>
        <v>0.79645202138257865</v>
      </c>
      <c r="N5382" s="2">
        <f t="shared" si="3663"/>
        <v>0.20354797861742138</v>
      </c>
    </row>
    <row r="5383" spans="1:14" x14ac:dyDescent="0.35">
      <c r="A5383" t="s">
        <v>38</v>
      </c>
      <c r="B5383" t="s">
        <v>23</v>
      </c>
      <c r="C5383">
        <v>2002</v>
      </c>
      <c r="D5383" t="s">
        <v>32</v>
      </c>
      <c r="E5383" s="3">
        <f t="shared" ref="E5383:F5383" si="3670">SUM(E583+E1543+E2503+E3463+E4423)</f>
        <v>256522</v>
      </c>
      <c r="F5383" s="3">
        <f t="shared" si="3670"/>
        <v>5977</v>
      </c>
      <c r="G5383" s="1">
        <f t="shared" si="3633"/>
        <v>262499</v>
      </c>
      <c r="H5383" s="2">
        <f t="shared" si="3634"/>
        <v>0.97723038944910268</v>
      </c>
      <c r="I5383" s="2">
        <f t="shared" si="3635"/>
        <v>2.2769610550897337E-2</v>
      </c>
      <c r="J5383" s="3">
        <f t="shared" ref="J5383:K5383" si="3671">SUM(J583+J1543+J2503+J3463+J4423)</f>
        <v>83423.252999999997</v>
      </c>
      <c r="K5383" s="3">
        <f t="shared" si="3671"/>
        <v>21709.256999999994</v>
      </c>
      <c r="L5383" s="1">
        <f t="shared" si="3661"/>
        <v>105132.51</v>
      </c>
      <c r="M5383" s="2">
        <f t="shared" si="3662"/>
        <v>0.79350576715042764</v>
      </c>
      <c r="N5383" s="2">
        <f t="shared" si="3663"/>
        <v>0.20649423284957236</v>
      </c>
    </row>
    <row r="5384" spans="1:14" x14ac:dyDescent="0.35">
      <c r="A5384" t="s">
        <v>38</v>
      </c>
      <c r="B5384" t="s">
        <v>24</v>
      </c>
      <c r="C5384">
        <v>2002</v>
      </c>
      <c r="D5384" t="s">
        <v>32</v>
      </c>
      <c r="E5384" s="3">
        <f t="shared" ref="E5384:F5384" si="3672">SUM(E584+E1544+E2504+E3464+E4424)</f>
        <v>254741</v>
      </c>
      <c r="F5384" s="3">
        <f t="shared" si="3672"/>
        <v>6701</v>
      </c>
      <c r="G5384" s="1">
        <f t="shared" si="3633"/>
        <v>261442</v>
      </c>
      <c r="H5384" s="2">
        <f t="shared" si="3634"/>
        <v>0.97436907612395862</v>
      </c>
      <c r="I5384" s="2">
        <f t="shared" si="3635"/>
        <v>2.563092387604134E-2</v>
      </c>
      <c r="J5384" s="3">
        <f t="shared" ref="J5384:K5384" si="3673">SUM(J584+J1544+J2504+J3464+J4424)</f>
        <v>78258.475999999995</v>
      </c>
      <c r="K5384" s="3">
        <f t="shared" si="3673"/>
        <v>20485.708000000006</v>
      </c>
      <c r="L5384" s="1">
        <f t="shared" si="3661"/>
        <v>98744.184000000008</v>
      </c>
      <c r="M5384" s="2">
        <f t="shared" si="3662"/>
        <v>0.79253757365598354</v>
      </c>
      <c r="N5384" s="2">
        <f t="shared" si="3663"/>
        <v>0.2074624263440164</v>
      </c>
    </row>
    <row r="5385" spans="1:14" x14ac:dyDescent="0.35">
      <c r="A5385" t="s">
        <v>38</v>
      </c>
      <c r="B5385" t="s">
        <v>25</v>
      </c>
      <c r="C5385">
        <v>2002</v>
      </c>
      <c r="D5385" t="s">
        <v>32</v>
      </c>
      <c r="E5385" s="3">
        <f t="shared" ref="E5385:F5385" si="3674">SUM(E585+E1545+E2505+E3465+E4425)</f>
        <v>253354</v>
      </c>
      <c r="F5385" s="3">
        <f t="shared" si="3674"/>
        <v>8180</v>
      </c>
      <c r="G5385" s="1">
        <f t="shared" si="3633"/>
        <v>261534</v>
      </c>
      <c r="H5385" s="2">
        <f t="shared" si="3634"/>
        <v>0.96872299586287058</v>
      </c>
      <c r="I5385" s="2">
        <f t="shared" si="3635"/>
        <v>3.1277004137129395E-2</v>
      </c>
      <c r="J5385" s="3">
        <f t="shared" ref="J5385:K5385" si="3675">SUM(J585+J1545+J2505+J3465+J4425)</f>
        <v>75645.315000000002</v>
      </c>
      <c r="K5385" s="3">
        <f t="shared" si="3675"/>
        <v>24397.835999999999</v>
      </c>
      <c r="L5385" s="1">
        <f t="shared" si="3661"/>
        <v>100043.151</v>
      </c>
      <c r="M5385" s="2">
        <f t="shared" si="3662"/>
        <v>0.7561268736927329</v>
      </c>
      <c r="N5385" s="2">
        <f t="shared" si="3663"/>
        <v>0.24387312630726715</v>
      </c>
    </row>
    <row r="5386" spans="1:14" x14ac:dyDescent="0.35">
      <c r="A5386" t="s">
        <v>38</v>
      </c>
      <c r="B5386" t="s">
        <v>26</v>
      </c>
      <c r="C5386">
        <v>2002</v>
      </c>
      <c r="D5386" t="s">
        <v>32</v>
      </c>
      <c r="E5386" s="3">
        <f t="shared" ref="E5386:F5386" si="3676">SUM(E586+E1546+E2506+E3466+E4426)</f>
        <v>251614</v>
      </c>
      <c r="F5386" s="3">
        <f t="shared" si="3676"/>
        <v>8996</v>
      </c>
      <c r="G5386" s="1">
        <f t="shared" si="3633"/>
        <v>260610</v>
      </c>
      <c r="H5386" s="2">
        <f t="shared" si="3634"/>
        <v>0.96548098691531403</v>
      </c>
      <c r="I5386" s="2">
        <f t="shared" si="3635"/>
        <v>3.4519013084685926E-2</v>
      </c>
      <c r="J5386" s="3">
        <f t="shared" ref="J5386:K5386" si="3677">SUM(J586+J1546+J2506+J3466+J4426)</f>
        <v>76562.148000000016</v>
      </c>
      <c r="K5386" s="3">
        <f t="shared" si="3677"/>
        <v>26703.691999999999</v>
      </c>
      <c r="L5386" s="1">
        <f t="shared" si="3661"/>
        <v>103265.84000000001</v>
      </c>
      <c r="M5386" s="2">
        <f t="shared" si="3662"/>
        <v>0.74140827208687798</v>
      </c>
      <c r="N5386" s="2">
        <f t="shared" si="3663"/>
        <v>0.25859172791312207</v>
      </c>
    </row>
    <row r="5387" spans="1:14" x14ac:dyDescent="0.35">
      <c r="A5387" t="s">
        <v>38</v>
      </c>
      <c r="B5387" t="s">
        <v>27</v>
      </c>
      <c r="C5387">
        <v>2002</v>
      </c>
      <c r="D5387" t="s">
        <v>32</v>
      </c>
      <c r="E5387" s="3">
        <f t="shared" ref="E5387:F5387" si="3678">SUM(E587+E1547+E2507+E3467+E4427)</f>
        <v>152774</v>
      </c>
      <c r="F5387" s="3">
        <f t="shared" si="3678"/>
        <v>3867</v>
      </c>
      <c r="G5387" s="1">
        <f t="shared" si="3633"/>
        <v>156641</v>
      </c>
      <c r="H5387" s="2">
        <f t="shared" si="3634"/>
        <v>0.97531297680683859</v>
      </c>
      <c r="I5387" s="2">
        <f t="shared" si="3635"/>
        <v>2.4687023193161434E-2</v>
      </c>
      <c r="J5387" s="3">
        <f t="shared" ref="J5387:K5387" si="3679">SUM(J587+J1547+J2507+J3467+J4427)</f>
        <v>75961.331999999995</v>
      </c>
      <c r="K5387" s="3">
        <f t="shared" si="3679"/>
        <v>24330.620000000014</v>
      </c>
      <c r="L5387" s="1">
        <f t="shared" si="3661"/>
        <v>100291.952</v>
      </c>
      <c r="M5387" s="2">
        <f t="shared" si="3662"/>
        <v>0.75740206951002398</v>
      </c>
      <c r="N5387" s="2">
        <f t="shared" si="3663"/>
        <v>0.24259793048997602</v>
      </c>
    </row>
    <row r="5388" spans="1:14" x14ac:dyDescent="0.35">
      <c r="A5388" t="s">
        <v>38</v>
      </c>
      <c r="B5388" t="s">
        <v>28</v>
      </c>
      <c r="C5388">
        <v>2002</v>
      </c>
      <c r="D5388" t="s">
        <v>32</v>
      </c>
      <c r="E5388" s="3">
        <f t="shared" ref="E5388:F5388" si="3680">SUM(E588+E1548+E2508+E3468+E4428)</f>
        <v>152021</v>
      </c>
      <c r="F5388" s="3">
        <f t="shared" si="3680"/>
        <v>4098</v>
      </c>
      <c r="G5388" s="1">
        <f t="shared" si="3633"/>
        <v>156119</v>
      </c>
      <c r="H5388" s="2">
        <f t="shared" si="3634"/>
        <v>0.97375079266456999</v>
      </c>
      <c r="I5388" s="2">
        <f t="shared" si="3635"/>
        <v>2.6249207335430024E-2</v>
      </c>
      <c r="J5388" s="3">
        <f t="shared" ref="J5388:K5388" si="3681">SUM(J588+J1548+J2508+J3468+J4428)</f>
        <v>75714.051000000007</v>
      </c>
      <c r="K5388" s="3">
        <f t="shared" si="3681"/>
        <v>24584.52900000001</v>
      </c>
      <c r="L5388" s="1">
        <f t="shared" si="3661"/>
        <v>100298.58000000002</v>
      </c>
      <c r="M5388" s="2">
        <f t="shared" si="3662"/>
        <v>0.7548865696802487</v>
      </c>
      <c r="N5388" s="2">
        <f t="shared" si="3663"/>
        <v>0.24511343031975133</v>
      </c>
    </row>
    <row r="5389" spans="1:14" x14ac:dyDescent="0.35">
      <c r="A5389" t="s">
        <v>38</v>
      </c>
      <c r="B5389" t="s">
        <v>29</v>
      </c>
      <c r="C5389">
        <v>2002</v>
      </c>
      <c r="D5389" t="s">
        <v>32</v>
      </c>
      <c r="E5389" s="3">
        <f t="shared" ref="E5389:F5389" si="3682">SUM(E589+E1549+E2509+E3469+E4429)</f>
        <v>151151</v>
      </c>
      <c r="F5389" s="3">
        <f t="shared" si="3682"/>
        <v>4409</v>
      </c>
      <c r="G5389" s="1">
        <f t="shared" si="3633"/>
        <v>155560</v>
      </c>
      <c r="H5389" s="2">
        <f t="shared" si="3634"/>
        <v>0.97165723836461815</v>
      </c>
      <c r="I5389" s="2">
        <f t="shared" si="3635"/>
        <v>2.8342761635381845E-2</v>
      </c>
      <c r="J5389" s="3">
        <f t="shared" ref="J5389:K5389" si="3683">SUM(J589+J1549+J2509+J3469+J4429)</f>
        <v>72828.233999999997</v>
      </c>
      <c r="K5389" s="3">
        <f t="shared" si="3683"/>
        <v>27218.379999999994</v>
      </c>
      <c r="L5389" s="1">
        <f t="shared" si="3661"/>
        <v>100046.61399999999</v>
      </c>
      <c r="M5389" s="2">
        <f t="shared" si="3662"/>
        <v>0.7279430166422225</v>
      </c>
      <c r="N5389" s="2">
        <f t="shared" si="3663"/>
        <v>0.27205698335777756</v>
      </c>
    </row>
    <row r="5390" spans="1:14" x14ac:dyDescent="0.35">
      <c r="A5390" t="s">
        <v>38</v>
      </c>
      <c r="B5390" t="s">
        <v>17</v>
      </c>
      <c r="C5390">
        <v>2003</v>
      </c>
      <c r="D5390" t="s">
        <v>32</v>
      </c>
      <c r="E5390" s="3">
        <f t="shared" ref="E5390:F5390" si="3684">SUM(E590+E1550+E2510+E3470+E4430)</f>
        <v>248335</v>
      </c>
      <c r="F5390" s="3">
        <f t="shared" si="3684"/>
        <v>11729</v>
      </c>
      <c r="G5390" s="1">
        <f t="shared" si="3633"/>
        <v>260064</v>
      </c>
      <c r="H5390" s="2">
        <f t="shared" si="3634"/>
        <v>0.95489956318444691</v>
      </c>
      <c r="I5390" s="2">
        <f t="shared" si="3635"/>
        <v>4.5100436815553098E-2</v>
      </c>
      <c r="J5390" s="3">
        <f t="shared" ref="J5390:K5390" si="3685">SUM(J590+J1550+J2510+J3470+J4430)</f>
        <v>73080</v>
      </c>
      <c r="K5390" s="3">
        <f t="shared" si="3685"/>
        <v>26366</v>
      </c>
      <c r="L5390" s="1">
        <f t="shared" si="3661"/>
        <v>99446</v>
      </c>
      <c r="M5390" s="2">
        <f t="shared" si="3662"/>
        <v>0.7348711863725037</v>
      </c>
      <c r="N5390" s="2">
        <f t="shared" si="3663"/>
        <v>0.26512881362749635</v>
      </c>
    </row>
    <row r="5391" spans="1:14" x14ac:dyDescent="0.35">
      <c r="A5391" t="s">
        <v>38</v>
      </c>
      <c r="B5391" t="s">
        <v>19</v>
      </c>
      <c r="C5391">
        <v>2003</v>
      </c>
      <c r="D5391" t="s">
        <v>32</v>
      </c>
      <c r="E5391" s="3">
        <f t="shared" ref="E5391:F5391" si="3686">SUM(E591+E1551+E2511+E3471+E4431)</f>
        <v>236016</v>
      </c>
      <c r="F5391" s="3">
        <f t="shared" si="3686"/>
        <v>11961</v>
      </c>
      <c r="G5391" s="1">
        <f t="shared" si="3633"/>
        <v>247977</v>
      </c>
      <c r="H5391" s="2">
        <f t="shared" si="3634"/>
        <v>0.951765687946866</v>
      </c>
      <c r="I5391" s="2">
        <f t="shared" si="3635"/>
        <v>4.8234312053133957E-2</v>
      </c>
      <c r="J5391" s="3">
        <f t="shared" ref="J5391:K5391" si="3687">SUM(J591+J1551+J2511+J3471+J4431)</f>
        <v>69407</v>
      </c>
      <c r="K5391" s="3">
        <f t="shared" si="3687"/>
        <v>25951</v>
      </c>
      <c r="L5391" s="1">
        <f t="shared" si="3661"/>
        <v>95358</v>
      </c>
      <c r="M5391" s="2">
        <f t="shared" si="3662"/>
        <v>0.7278571278760041</v>
      </c>
      <c r="N5391" s="2">
        <f t="shared" si="3663"/>
        <v>0.2721428721239959</v>
      </c>
    </row>
    <row r="5392" spans="1:14" x14ac:dyDescent="0.35">
      <c r="A5392" t="s">
        <v>38</v>
      </c>
      <c r="B5392" t="s">
        <v>20</v>
      </c>
      <c r="C5392">
        <v>2003</v>
      </c>
      <c r="D5392" t="s">
        <v>32</v>
      </c>
      <c r="E5392" s="3">
        <f t="shared" ref="E5392:F5392" si="3688">SUM(E592+E1552+E2512+E3472+E4432)</f>
        <v>239463</v>
      </c>
      <c r="F5392" s="3">
        <f t="shared" si="3688"/>
        <v>13549</v>
      </c>
      <c r="G5392" s="1">
        <f t="shared" si="3633"/>
        <v>253012</v>
      </c>
      <c r="H5392" s="2">
        <f t="shared" si="3634"/>
        <v>0.94644918027603431</v>
      </c>
      <c r="I5392" s="2">
        <f t="shared" si="3635"/>
        <v>5.3550819723965665E-2</v>
      </c>
      <c r="J5392" s="3">
        <f t="shared" ref="J5392:K5392" si="3689">SUM(J592+J1552+J2512+J3472+J4432)</f>
        <v>69897</v>
      </c>
      <c r="K5392" s="3">
        <f t="shared" si="3689"/>
        <v>27227</v>
      </c>
      <c r="L5392" s="1">
        <f t="shared" si="3661"/>
        <v>97124</v>
      </c>
      <c r="M5392" s="2">
        <f t="shared" si="3662"/>
        <v>0.71966764136567685</v>
      </c>
      <c r="N5392" s="2">
        <f t="shared" si="3663"/>
        <v>0.28033235863432315</v>
      </c>
    </row>
    <row r="5393" spans="1:14" x14ac:dyDescent="0.35">
      <c r="A5393" t="s">
        <v>38</v>
      </c>
      <c r="B5393" t="s">
        <v>21</v>
      </c>
      <c r="C5393">
        <v>2003</v>
      </c>
      <c r="D5393" t="s">
        <v>32</v>
      </c>
      <c r="E5393" s="3">
        <f t="shared" ref="E5393:F5393" si="3690">SUM(E593+E1553+E2513+E3473+E4433)</f>
        <v>239095</v>
      </c>
      <c r="F5393" s="3">
        <f t="shared" si="3690"/>
        <v>12939</v>
      </c>
      <c r="G5393" s="1">
        <f t="shared" si="3633"/>
        <v>252034</v>
      </c>
      <c r="H5393" s="2">
        <f t="shared" si="3634"/>
        <v>0.94866168850234489</v>
      </c>
      <c r="I5393" s="2">
        <f t="shared" si="3635"/>
        <v>5.1338311497655081E-2</v>
      </c>
      <c r="J5393" s="3">
        <f t="shared" ref="J5393:K5393" si="3691">SUM(J593+J1553+J2513+J3473+J4433)</f>
        <v>74622.032999999996</v>
      </c>
      <c r="K5393" s="3">
        <f t="shared" si="3691"/>
        <v>28841.487000000005</v>
      </c>
      <c r="L5393" s="1">
        <f t="shared" si="3661"/>
        <v>103463.52</v>
      </c>
      <c r="M5393" s="2">
        <f t="shared" si="3662"/>
        <v>0.72124003706813755</v>
      </c>
      <c r="N5393" s="2">
        <f t="shared" si="3663"/>
        <v>0.27875996293186239</v>
      </c>
    </row>
    <row r="5394" spans="1:14" x14ac:dyDescent="0.35">
      <c r="A5394" t="s">
        <v>38</v>
      </c>
      <c r="B5394" t="s">
        <v>22</v>
      </c>
      <c r="C5394">
        <v>2003</v>
      </c>
      <c r="D5394" t="s">
        <v>32</v>
      </c>
      <c r="E5394" s="3">
        <f t="shared" ref="E5394:F5394" si="3692">SUM(E594+E1554+E2514+E3474+E4434)</f>
        <v>236819</v>
      </c>
      <c r="F5394" s="3">
        <f t="shared" si="3692"/>
        <v>14674</v>
      </c>
      <c r="G5394" s="1">
        <f t="shared" si="3633"/>
        <v>251493</v>
      </c>
      <c r="H5394" s="2">
        <f t="shared" si="3634"/>
        <v>0.9416524515592879</v>
      </c>
      <c r="I5394" s="2">
        <f t="shared" si="3635"/>
        <v>5.834754844071207E-2</v>
      </c>
      <c r="J5394" s="3">
        <f t="shared" ref="J5394:K5394" si="3693">SUM(J594+J1554+J2514+J3474+J4434)</f>
        <v>72676.483999999997</v>
      </c>
      <c r="K5394" s="3">
        <f t="shared" si="3693"/>
        <v>29437.078999999991</v>
      </c>
      <c r="L5394" s="1">
        <f t="shared" si="3661"/>
        <v>102113.56299999999</v>
      </c>
      <c r="M5394" s="2">
        <f t="shared" si="3662"/>
        <v>0.71172214409950618</v>
      </c>
      <c r="N5394" s="2">
        <f t="shared" si="3663"/>
        <v>0.28827785590049376</v>
      </c>
    </row>
    <row r="5395" spans="1:14" x14ac:dyDescent="0.35">
      <c r="A5395" t="s">
        <v>38</v>
      </c>
      <c r="B5395" t="s">
        <v>23</v>
      </c>
      <c r="C5395">
        <v>2003</v>
      </c>
      <c r="D5395" t="s">
        <v>32</v>
      </c>
      <c r="E5395" s="3">
        <f t="shared" ref="E5395:F5395" si="3694">SUM(E595+E1555+E2515+E3475+E4435)</f>
        <v>234388</v>
      </c>
      <c r="F5395" s="3">
        <f t="shared" si="3694"/>
        <v>15426</v>
      </c>
      <c r="G5395" s="1">
        <f t="shared" si="3633"/>
        <v>249814</v>
      </c>
      <c r="H5395" s="2">
        <f t="shared" si="3634"/>
        <v>0.93825005804318418</v>
      </c>
      <c r="I5395" s="2">
        <f t="shared" si="3635"/>
        <v>6.1749941956815872E-2</v>
      </c>
      <c r="J5395" s="3">
        <f t="shared" ref="J5395:K5395" si="3695">SUM(J595+J1555+J2515+J3475+J4435)</f>
        <v>71754.817999999999</v>
      </c>
      <c r="K5395" s="3">
        <f t="shared" si="3695"/>
        <v>34065.99</v>
      </c>
      <c r="L5395" s="1">
        <f t="shared" si="3661"/>
        <v>105820.80799999999</v>
      </c>
      <c r="M5395" s="2">
        <f t="shared" si="3662"/>
        <v>0.67807853064210211</v>
      </c>
      <c r="N5395" s="2">
        <f t="shared" si="3663"/>
        <v>0.32192146935789795</v>
      </c>
    </row>
    <row r="5396" spans="1:14" x14ac:dyDescent="0.35">
      <c r="A5396" t="s">
        <v>38</v>
      </c>
      <c r="B5396" t="s">
        <v>24</v>
      </c>
      <c r="C5396">
        <v>2003</v>
      </c>
      <c r="D5396" t="s">
        <v>32</v>
      </c>
      <c r="E5396" s="3">
        <f t="shared" ref="E5396:F5396" si="3696">SUM(E596+E1556+E2516+E3476+E4436)</f>
        <v>236739</v>
      </c>
      <c r="F5396" s="3">
        <f t="shared" si="3696"/>
        <v>16813</v>
      </c>
      <c r="G5396" s="1">
        <f t="shared" si="3633"/>
        <v>253552</v>
      </c>
      <c r="H5396" s="2">
        <f t="shared" si="3634"/>
        <v>0.9336901306240929</v>
      </c>
      <c r="I5396" s="2">
        <f t="shared" si="3635"/>
        <v>6.6309869375907118E-2</v>
      </c>
      <c r="J5396" s="3">
        <f t="shared" ref="J5396:K5396" si="3697">SUM(J596+J1556+J2516+J3476+J4436)</f>
        <v>71761.375000000015</v>
      </c>
      <c r="K5396" s="3">
        <f t="shared" si="3697"/>
        <v>24059.579000000002</v>
      </c>
      <c r="L5396" s="1">
        <f t="shared" si="3661"/>
        <v>95820.954000000012</v>
      </c>
      <c r="M5396" s="2">
        <f t="shared" si="3662"/>
        <v>0.74891108890441649</v>
      </c>
      <c r="N5396" s="2">
        <f t="shared" si="3663"/>
        <v>0.25108891109558351</v>
      </c>
    </row>
    <row r="5397" spans="1:14" x14ac:dyDescent="0.35">
      <c r="A5397" t="s">
        <v>38</v>
      </c>
      <c r="B5397" t="s">
        <v>25</v>
      </c>
      <c r="C5397">
        <v>2003</v>
      </c>
      <c r="D5397" t="s">
        <v>32</v>
      </c>
      <c r="E5397" s="3">
        <f t="shared" ref="E5397:F5397" si="3698">SUM(E597+E1557+E2517+E3477+E4437)</f>
        <v>230849</v>
      </c>
      <c r="F5397" s="3">
        <f t="shared" si="3698"/>
        <v>17513</v>
      </c>
      <c r="G5397" s="1">
        <f t="shared" si="3633"/>
        <v>248362</v>
      </c>
      <c r="H5397" s="2">
        <f t="shared" si="3634"/>
        <v>0.92948599222103223</v>
      </c>
      <c r="I5397" s="2">
        <f t="shared" si="3635"/>
        <v>7.0514007778967797E-2</v>
      </c>
      <c r="J5397" s="3">
        <f t="shared" ref="J5397:K5397" si="3699">SUM(J597+J1557+J2517+J3477+J4437)</f>
        <v>71919.864000000001</v>
      </c>
      <c r="K5397" s="3">
        <f t="shared" si="3699"/>
        <v>45278.378000000004</v>
      </c>
      <c r="L5397" s="1">
        <f t="shared" si="3661"/>
        <v>117198.242</v>
      </c>
      <c r="M5397" s="2">
        <f t="shared" si="3662"/>
        <v>0.61365992162237382</v>
      </c>
      <c r="N5397" s="2">
        <f t="shared" si="3663"/>
        <v>0.38634007837762624</v>
      </c>
    </row>
    <row r="5398" spans="1:14" x14ac:dyDescent="0.35">
      <c r="A5398" t="s">
        <v>38</v>
      </c>
      <c r="B5398" t="s">
        <v>26</v>
      </c>
      <c r="C5398">
        <v>2003</v>
      </c>
      <c r="D5398" t="s">
        <v>32</v>
      </c>
      <c r="E5398" s="3">
        <f t="shared" ref="E5398:F5398" si="3700">SUM(E598+E1558+E2518+E3478+E4438)</f>
        <v>228664</v>
      </c>
      <c r="F5398" s="3">
        <f t="shared" si="3700"/>
        <v>18336</v>
      </c>
      <c r="G5398" s="1">
        <f t="shared" si="3633"/>
        <v>247000</v>
      </c>
      <c r="H5398" s="2">
        <f t="shared" si="3634"/>
        <v>0.92576518218623483</v>
      </c>
      <c r="I5398" s="2">
        <f t="shared" si="3635"/>
        <v>7.4234817813765189E-2</v>
      </c>
      <c r="J5398" s="3">
        <f t="shared" ref="J5398:K5398" si="3701">SUM(J598+J1558+J2518+J3478+J4438)</f>
        <v>77560.682000000001</v>
      </c>
      <c r="K5398" s="3">
        <f t="shared" si="3701"/>
        <v>15596.710000000001</v>
      </c>
      <c r="L5398" s="1">
        <f t="shared" si="3661"/>
        <v>93157.392000000007</v>
      </c>
      <c r="M5398" s="2">
        <f t="shared" si="3662"/>
        <v>0.83257678574771599</v>
      </c>
      <c r="N5398" s="2">
        <f t="shared" si="3663"/>
        <v>0.16742321425228393</v>
      </c>
    </row>
    <row r="5399" spans="1:14" x14ac:dyDescent="0.35">
      <c r="A5399" t="s">
        <v>38</v>
      </c>
      <c r="B5399" t="s">
        <v>27</v>
      </c>
      <c r="C5399">
        <v>2003</v>
      </c>
      <c r="D5399" t="s">
        <v>32</v>
      </c>
      <c r="E5399" s="3">
        <f t="shared" ref="E5399:F5399" si="3702">SUM(E599+E1559+E2519+E3479+E4439)</f>
        <v>235270</v>
      </c>
      <c r="F5399" s="3">
        <f t="shared" si="3702"/>
        <v>19792</v>
      </c>
      <c r="G5399" s="1">
        <f t="shared" si="3633"/>
        <v>255062</v>
      </c>
      <c r="H5399" s="2">
        <f t="shared" si="3634"/>
        <v>0.92240318040319613</v>
      </c>
      <c r="I5399" s="2">
        <f t="shared" si="3635"/>
        <v>7.7596819596803909E-2</v>
      </c>
      <c r="J5399" s="3">
        <f t="shared" ref="J5399:K5399" si="3703">SUM(J599+J1559+J2519+J3479+J4439)</f>
        <v>79560.89</v>
      </c>
      <c r="K5399" s="3">
        <f t="shared" si="3703"/>
        <v>24139.129999999997</v>
      </c>
      <c r="L5399" s="1">
        <f t="shared" si="3661"/>
        <v>103700.01999999999</v>
      </c>
      <c r="M5399" s="2">
        <f t="shared" si="3662"/>
        <v>0.76722154923403107</v>
      </c>
      <c r="N5399" s="2">
        <f t="shared" si="3663"/>
        <v>0.23277845076596898</v>
      </c>
    </row>
    <row r="5400" spans="1:14" x14ac:dyDescent="0.35">
      <c r="A5400" t="s">
        <v>38</v>
      </c>
      <c r="B5400" t="s">
        <v>28</v>
      </c>
      <c r="C5400">
        <v>2003</v>
      </c>
      <c r="D5400" t="s">
        <v>32</v>
      </c>
      <c r="E5400" s="3">
        <f t="shared" ref="E5400:F5400" si="3704">SUM(E600+E1560+E2520+E3480+E4440)</f>
        <v>212760</v>
      </c>
      <c r="F5400" s="3">
        <f t="shared" si="3704"/>
        <v>17454</v>
      </c>
      <c r="G5400" s="1">
        <f t="shared" si="3633"/>
        <v>230214</v>
      </c>
      <c r="H5400" s="2">
        <f t="shared" si="3634"/>
        <v>0.9241835857072116</v>
      </c>
      <c r="I5400" s="2">
        <f t="shared" si="3635"/>
        <v>7.5816414292788445E-2</v>
      </c>
      <c r="J5400" s="3">
        <f t="shared" ref="J5400:K5400" si="3705">SUM(J600+J1560+J2520+J3480+J4440)</f>
        <v>73552.87000000001</v>
      </c>
      <c r="K5400" s="3">
        <f t="shared" si="3705"/>
        <v>22105.72</v>
      </c>
      <c r="L5400" s="1">
        <f t="shared" si="3661"/>
        <v>95658.590000000011</v>
      </c>
      <c r="M5400" s="2">
        <f t="shared" si="3662"/>
        <v>0.76891024632497718</v>
      </c>
      <c r="N5400" s="2">
        <f t="shared" si="3663"/>
        <v>0.2310897536750228</v>
      </c>
    </row>
    <row r="5401" spans="1:14" x14ac:dyDescent="0.35">
      <c r="A5401" t="s">
        <v>38</v>
      </c>
      <c r="B5401" t="s">
        <v>29</v>
      </c>
      <c r="C5401">
        <v>2003</v>
      </c>
      <c r="D5401" t="s">
        <v>32</v>
      </c>
      <c r="E5401" s="3">
        <f t="shared" ref="E5401:F5401" si="3706">SUM(E601+E1561+E2521+E3481+E4441)</f>
        <v>223418</v>
      </c>
      <c r="F5401" s="3">
        <f t="shared" si="3706"/>
        <v>19872</v>
      </c>
      <c r="G5401" s="1">
        <f t="shared" si="3633"/>
        <v>243290</v>
      </c>
      <c r="H5401" s="2">
        <f t="shared" si="3634"/>
        <v>0.91831970076863001</v>
      </c>
      <c r="I5401" s="2">
        <f t="shared" si="3635"/>
        <v>8.1680299231369977E-2</v>
      </c>
      <c r="J5401" s="3">
        <f t="shared" ref="J5401:K5401" si="3707">SUM(J601+J1561+J2521+J3481+J4441)</f>
        <v>77630.510000000009</v>
      </c>
      <c r="K5401" s="3">
        <f t="shared" si="3707"/>
        <v>23958.93</v>
      </c>
      <c r="L5401" s="1">
        <f t="shared" si="3661"/>
        <v>101589.44</v>
      </c>
      <c r="M5401" s="2">
        <f t="shared" si="3662"/>
        <v>0.76415924726034523</v>
      </c>
      <c r="N5401" s="2">
        <f t="shared" si="3663"/>
        <v>0.23584075273965482</v>
      </c>
    </row>
    <row r="5402" spans="1:14" x14ac:dyDescent="0.35">
      <c r="A5402" t="s">
        <v>38</v>
      </c>
      <c r="B5402" t="s">
        <v>17</v>
      </c>
      <c r="C5402">
        <v>2004</v>
      </c>
      <c r="D5402" t="s">
        <v>32</v>
      </c>
      <c r="E5402" s="3">
        <f t="shared" ref="E5402:F5402" si="3708">SUM(E602+E1562+E2522+E3482+E4442)</f>
        <v>221054</v>
      </c>
      <c r="F5402" s="3">
        <f t="shared" si="3708"/>
        <v>19018</v>
      </c>
      <c r="G5402" s="1">
        <f t="shared" si="3633"/>
        <v>240072</v>
      </c>
      <c r="H5402" s="2">
        <f t="shared" si="3634"/>
        <v>0.92078209870372218</v>
      </c>
      <c r="I5402" s="2">
        <f t="shared" si="3635"/>
        <v>7.9217901296277787E-2</v>
      </c>
      <c r="J5402" s="3">
        <f t="shared" ref="J5402:K5402" si="3709">SUM(J602+J1562+J2522+J3482+J4442)</f>
        <v>72445.820000000007</v>
      </c>
      <c r="K5402" s="3">
        <f t="shared" si="3709"/>
        <v>22769.62</v>
      </c>
      <c r="L5402" s="1">
        <f t="shared" si="3661"/>
        <v>95215.44</v>
      </c>
      <c r="M5402" s="2">
        <f t="shared" si="3662"/>
        <v>0.76086210387727038</v>
      </c>
      <c r="N5402" s="2">
        <f t="shared" si="3663"/>
        <v>0.23913789612272965</v>
      </c>
    </row>
    <row r="5403" spans="1:14" x14ac:dyDescent="0.35">
      <c r="A5403" t="s">
        <v>38</v>
      </c>
      <c r="B5403" t="s">
        <v>19</v>
      </c>
      <c r="C5403">
        <v>2004</v>
      </c>
      <c r="D5403" t="s">
        <v>32</v>
      </c>
      <c r="E5403" s="3">
        <f t="shared" ref="E5403:F5403" si="3710">SUM(E603+E1563+E2523+E3483+E4443)</f>
        <v>215665</v>
      </c>
      <c r="F5403" s="3">
        <f t="shared" si="3710"/>
        <v>19016</v>
      </c>
      <c r="G5403" s="1">
        <f t="shared" si="3633"/>
        <v>234681</v>
      </c>
      <c r="H5403" s="2">
        <f t="shared" si="3634"/>
        <v>0.91897085831405179</v>
      </c>
      <c r="I5403" s="2">
        <f t="shared" si="3635"/>
        <v>8.1029141685948158E-2</v>
      </c>
      <c r="J5403" s="3">
        <f t="shared" ref="J5403:K5403" si="3711">SUM(J603+J1563+J2523+J3483+J4443)</f>
        <v>77576.100000000006</v>
      </c>
      <c r="K5403" s="3">
        <f t="shared" si="3711"/>
        <v>14859.09</v>
      </c>
      <c r="L5403" s="1">
        <f t="shared" si="3661"/>
        <v>92435.19</v>
      </c>
      <c r="M5403" s="2">
        <f t="shared" si="3662"/>
        <v>0.83924855890922068</v>
      </c>
      <c r="N5403" s="2">
        <f t="shared" si="3663"/>
        <v>0.16075144109077938</v>
      </c>
    </row>
    <row r="5404" spans="1:14" x14ac:dyDescent="0.35">
      <c r="A5404" t="s">
        <v>38</v>
      </c>
      <c r="B5404" t="s">
        <v>20</v>
      </c>
      <c r="C5404">
        <v>2004</v>
      </c>
      <c r="D5404" t="s">
        <v>32</v>
      </c>
      <c r="E5404" s="3">
        <f t="shared" ref="E5404:F5404" si="3712">SUM(E604+E1564+E2524+E3484+E4444)</f>
        <v>224610</v>
      </c>
      <c r="F5404" s="3">
        <f t="shared" si="3712"/>
        <v>21513</v>
      </c>
      <c r="G5404" s="1">
        <f t="shared" si="3633"/>
        <v>246123</v>
      </c>
      <c r="H5404" s="2">
        <f t="shared" si="3634"/>
        <v>0.91259248424568207</v>
      </c>
      <c r="I5404" s="2">
        <f t="shared" si="3635"/>
        <v>8.740751575431796E-2</v>
      </c>
      <c r="J5404" s="3">
        <f t="shared" ref="J5404:K5404" si="3713">SUM(J604+J1564+J2524+J3484+J4444)</f>
        <v>79651.820000000007</v>
      </c>
      <c r="K5404" s="3">
        <f t="shared" si="3713"/>
        <v>20158.030000000002</v>
      </c>
      <c r="L5404" s="1">
        <f t="shared" si="3661"/>
        <v>99809.85</v>
      </c>
      <c r="M5404" s="2">
        <f t="shared" si="3662"/>
        <v>0.79803566481664889</v>
      </c>
      <c r="N5404" s="2">
        <f t="shared" si="3663"/>
        <v>0.20196433518335116</v>
      </c>
    </row>
    <row r="5405" spans="1:14" x14ac:dyDescent="0.35">
      <c r="A5405" t="s">
        <v>38</v>
      </c>
      <c r="B5405" t="s">
        <v>21</v>
      </c>
      <c r="C5405">
        <v>2004</v>
      </c>
      <c r="D5405" t="s">
        <v>32</v>
      </c>
      <c r="E5405" s="3">
        <f t="shared" ref="E5405:F5405" si="3714">SUM(E605+E1565+E2525+E3485+E4445)</f>
        <v>213922</v>
      </c>
      <c r="F5405" s="3">
        <f t="shared" si="3714"/>
        <v>20105</v>
      </c>
      <c r="G5405" s="1">
        <f t="shared" si="3633"/>
        <v>234027</v>
      </c>
      <c r="H5405" s="2">
        <f t="shared" si="3634"/>
        <v>0.91409110914552594</v>
      </c>
      <c r="I5405" s="2">
        <f t="shared" si="3635"/>
        <v>8.5908890854474063E-2</v>
      </c>
      <c r="J5405" s="3">
        <f t="shared" ref="J5405:K5405" si="3715">SUM(J605+J1565+J2525+J3485+J4445)</f>
        <v>76706.55</v>
      </c>
      <c r="K5405" s="3">
        <f t="shared" si="3715"/>
        <v>17511.89</v>
      </c>
      <c r="L5405" s="1">
        <f t="shared" si="3661"/>
        <v>94218.44</v>
      </c>
      <c r="M5405" s="2">
        <f t="shared" si="3662"/>
        <v>0.81413521599381189</v>
      </c>
      <c r="N5405" s="2">
        <f t="shared" si="3663"/>
        <v>0.18586478400618817</v>
      </c>
    </row>
    <row r="5406" spans="1:14" x14ac:dyDescent="0.35">
      <c r="A5406" t="s">
        <v>38</v>
      </c>
      <c r="B5406" t="s">
        <v>22</v>
      </c>
      <c r="C5406">
        <v>2004</v>
      </c>
      <c r="D5406" t="s">
        <v>32</v>
      </c>
      <c r="E5406" s="3">
        <f t="shared" ref="E5406:F5406" si="3716">SUM(E606+E1566+E2526+E3486+E4446)</f>
        <v>207851</v>
      </c>
      <c r="F5406" s="3">
        <f t="shared" si="3716"/>
        <v>19654</v>
      </c>
      <c r="G5406" s="1">
        <f t="shared" si="3633"/>
        <v>227505</v>
      </c>
      <c r="H5406" s="2">
        <f t="shared" si="3634"/>
        <v>0.91361068987494776</v>
      </c>
      <c r="I5406" s="2">
        <f t="shared" si="3635"/>
        <v>8.6389310125052202E-2</v>
      </c>
      <c r="J5406" s="3">
        <f t="shared" ref="J5406:K5406" si="3717">SUM(J606+J1566+J2526+J3486+J4446)</f>
        <v>73147.340000000011</v>
      </c>
      <c r="K5406" s="3">
        <f t="shared" si="3717"/>
        <v>16884.78</v>
      </c>
      <c r="L5406" s="1">
        <f t="shared" si="3661"/>
        <v>90032.12000000001</v>
      </c>
      <c r="M5406" s="2">
        <f t="shared" si="3662"/>
        <v>0.81245826489479533</v>
      </c>
      <c r="N5406" s="2">
        <f t="shared" si="3663"/>
        <v>0.18754173510520464</v>
      </c>
    </row>
    <row r="5407" spans="1:14" x14ac:dyDescent="0.35">
      <c r="A5407" t="s">
        <v>38</v>
      </c>
      <c r="B5407" t="s">
        <v>23</v>
      </c>
      <c r="C5407">
        <v>2004</v>
      </c>
      <c r="D5407" t="s">
        <v>32</v>
      </c>
      <c r="E5407" s="3">
        <f t="shared" ref="E5407:F5407" si="3718">SUM(E607+E1567+E2527+E3487+E4447)</f>
        <v>213860</v>
      </c>
      <c r="F5407" s="3">
        <f t="shared" si="3718"/>
        <v>21762</v>
      </c>
      <c r="G5407" s="1">
        <f t="shared" si="3633"/>
        <v>235622</v>
      </c>
      <c r="H5407" s="2">
        <f t="shared" si="3634"/>
        <v>0.90764020337659468</v>
      </c>
      <c r="I5407" s="2">
        <f t="shared" si="3635"/>
        <v>9.235979662340528E-2</v>
      </c>
      <c r="J5407" s="3">
        <f t="shared" ref="J5407:K5407" si="3719">SUM(J607+J1567+J2527+J3487+J4447)</f>
        <v>79912.25</v>
      </c>
      <c r="K5407" s="3">
        <f t="shared" si="3719"/>
        <v>18945.060000000001</v>
      </c>
      <c r="L5407" s="1">
        <f t="shared" si="3661"/>
        <v>98857.31</v>
      </c>
      <c r="M5407" s="2">
        <f t="shared" si="3662"/>
        <v>0.80835954366955765</v>
      </c>
      <c r="N5407" s="2">
        <f t="shared" si="3663"/>
        <v>0.19164045633044235</v>
      </c>
    </row>
    <row r="5408" spans="1:14" x14ac:dyDescent="0.35">
      <c r="A5408" t="s">
        <v>38</v>
      </c>
      <c r="B5408" t="s">
        <v>24</v>
      </c>
      <c r="C5408">
        <v>2004</v>
      </c>
      <c r="D5408" t="s">
        <v>32</v>
      </c>
      <c r="E5408" s="3">
        <f t="shared" ref="E5408:F5408" si="3720">SUM(E608+E1568+E2528+E3488+E4448)</f>
        <v>207775</v>
      </c>
      <c r="F5408" s="3">
        <f t="shared" si="3720"/>
        <v>21652</v>
      </c>
      <c r="G5408" s="1">
        <f t="shared" si="3633"/>
        <v>229427</v>
      </c>
      <c r="H5408" s="2">
        <f t="shared" si="3634"/>
        <v>0.90562575459732286</v>
      </c>
      <c r="I5408" s="2">
        <f t="shared" si="3635"/>
        <v>9.4374245402677109E-2</v>
      </c>
      <c r="J5408" s="3">
        <f t="shared" ref="J5408:K5408" si="3721">SUM(J608+J1568+J2528+J3488+J4448)</f>
        <v>74890.429999999993</v>
      </c>
      <c r="K5408" s="3">
        <f t="shared" si="3721"/>
        <v>18514.34</v>
      </c>
      <c r="L5408" s="1">
        <f t="shared" si="3661"/>
        <v>93404.76999999999</v>
      </c>
      <c r="M5408" s="2">
        <f t="shared" si="3662"/>
        <v>0.80178378470392897</v>
      </c>
      <c r="N5408" s="2">
        <f t="shared" si="3663"/>
        <v>0.19821621529607109</v>
      </c>
    </row>
    <row r="5409" spans="1:14" x14ac:dyDescent="0.35">
      <c r="A5409" t="s">
        <v>38</v>
      </c>
      <c r="B5409" t="s">
        <v>25</v>
      </c>
      <c r="C5409">
        <v>2004</v>
      </c>
      <c r="D5409" t="s">
        <v>32</v>
      </c>
      <c r="E5409" s="3">
        <f t="shared" ref="E5409:F5409" si="3722">SUM(E609+E1569+E2529+E3489+E4449)</f>
        <v>209299</v>
      </c>
      <c r="F5409" s="3">
        <f t="shared" si="3722"/>
        <v>23172</v>
      </c>
      <c r="G5409" s="1">
        <f t="shared" si="3633"/>
        <v>232471</v>
      </c>
      <c r="H5409" s="2">
        <f t="shared" si="3634"/>
        <v>0.90032305104722743</v>
      </c>
      <c r="I5409" s="2">
        <f t="shared" si="3635"/>
        <v>9.9676948952772598E-2</v>
      </c>
      <c r="J5409" s="3">
        <f t="shared" ref="J5409:K5409" si="3723">SUM(J609+J1569+J2529+J3489+J4449)</f>
        <v>75806.94</v>
      </c>
      <c r="K5409" s="3">
        <f t="shared" si="3723"/>
        <v>19281.98</v>
      </c>
      <c r="L5409" s="1">
        <f t="shared" si="3661"/>
        <v>95088.92</v>
      </c>
      <c r="M5409" s="2">
        <f t="shared" si="3662"/>
        <v>0.79722159006538307</v>
      </c>
      <c r="N5409" s="2">
        <f t="shared" si="3663"/>
        <v>0.20277840993461699</v>
      </c>
    </row>
    <row r="5410" spans="1:14" x14ac:dyDescent="0.35">
      <c r="A5410" t="s">
        <v>38</v>
      </c>
      <c r="B5410" t="s">
        <v>26</v>
      </c>
      <c r="C5410">
        <v>2004</v>
      </c>
      <c r="D5410" t="s">
        <v>32</v>
      </c>
      <c r="E5410" s="3">
        <f t="shared" ref="E5410:F5410" si="3724">SUM(E610+E1570+E2530+E3490+E4450)</f>
        <v>203027</v>
      </c>
      <c r="F5410" s="3">
        <f t="shared" si="3724"/>
        <v>23210</v>
      </c>
      <c r="G5410" s="1">
        <f t="shared" si="3633"/>
        <v>226237</v>
      </c>
      <c r="H5410" s="2">
        <f t="shared" si="3634"/>
        <v>0.8974084698789323</v>
      </c>
      <c r="I5410" s="2">
        <f t="shared" si="3635"/>
        <v>0.10259153012106773</v>
      </c>
      <c r="J5410" s="3">
        <f t="shared" ref="J5410:K5410" si="3725">SUM(J610+J1570+J2530+J3490+J4450)</f>
        <v>75037.8</v>
      </c>
      <c r="K5410" s="3">
        <f t="shared" si="3725"/>
        <v>19147.030000000002</v>
      </c>
      <c r="L5410" s="1">
        <f t="shared" si="3661"/>
        <v>94184.83</v>
      </c>
      <c r="M5410" s="2">
        <f t="shared" si="3662"/>
        <v>0.79670791994846735</v>
      </c>
      <c r="N5410" s="2">
        <f t="shared" si="3663"/>
        <v>0.20329208005153274</v>
      </c>
    </row>
    <row r="5411" spans="1:14" x14ac:dyDescent="0.35">
      <c r="A5411" t="s">
        <v>38</v>
      </c>
      <c r="B5411" t="s">
        <v>27</v>
      </c>
      <c r="C5411">
        <v>2004</v>
      </c>
      <c r="D5411" t="s">
        <v>32</v>
      </c>
      <c r="E5411" s="3">
        <f t="shared" ref="E5411:F5411" si="3726">SUM(E611+E1571+E2531+E3491+E4451)</f>
        <v>200396</v>
      </c>
      <c r="F5411" s="3">
        <f t="shared" si="3726"/>
        <v>24134</v>
      </c>
      <c r="G5411" s="1">
        <f t="shared" si="3633"/>
        <v>224530</v>
      </c>
      <c r="H5411" s="2">
        <f t="shared" si="3634"/>
        <v>0.89251324989979064</v>
      </c>
      <c r="I5411" s="2">
        <f t="shared" si="3635"/>
        <v>0.10748675010020933</v>
      </c>
      <c r="J5411" s="3">
        <f t="shared" ref="J5411:K5411" si="3727">SUM(J611+J1571+J2531+J3491+J4451)</f>
        <v>74627.66</v>
      </c>
      <c r="K5411" s="3">
        <f t="shared" si="3727"/>
        <v>19274.050999999999</v>
      </c>
      <c r="L5411" s="1">
        <f t="shared" si="3661"/>
        <v>93901.71100000001</v>
      </c>
      <c r="M5411" s="2">
        <f t="shared" si="3662"/>
        <v>0.79474228110710354</v>
      </c>
      <c r="N5411" s="2">
        <f t="shared" si="3663"/>
        <v>0.2052577188928964</v>
      </c>
    </row>
    <row r="5412" spans="1:14" x14ac:dyDescent="0.35">
      <c r="A5412" t="s">
        <v>38</v>
      </c>
      <c r="B5412" t="s">
        <v>28</v>
      </c>
      <c r="C5412">
        <v>2004</v>
      </c>
      <c r="D5412" t="s">
        <v>32</v>
      </c>
      <c r="E5412" s="3">
        <f t="shared" ref="E5412:F5412" si="3728">SUM(E612+E1572+E2532+E3492+E4452)</f>
        <v>195132</v>
      </c>
      <c r="F5412" s="3">
        <f t="shared" si="3728"/>
        <v>24014</v>
      </c>
      <c r="G5412" s="1">
        <f t="shared" si="3633"/>
        <v>219146</v>
      </c>
      <c r="H5412" s="2">
        <f t="shared" si="3634"/>
        <v>0.89042008523997696</v>
      </c>
      <c r="I5412" s="2">
        <f t="shared" si="3635"/>
        <v>0.109579914760023</v>
      </c>
      <c r="J5412" s="3">
        <f t="shared" ref="J5412:K5412" si="3729">SUM(J612+J1572+J2532+J3492+J4452)</f>
        <v>73180.561000000002</v>
      </c>
      <c r="K5412" s="3">
        <f t="shared" si="3729"/>
        <v>18974.089</v>
      </c>
      <c r="L5412" s="1">
        <f t="shared" si="3661"/>
        <v>92154.65</v>
      </c>
      <c r="M5412" s="2">
        <f t="shared" si="3662"/>
        <v>0.79410600550270671</v>
      </c>
      <c r="N5412" s="2">
        <f t="shared" si="3663"/>
        <v>0.20589399449729343</v>
      </c>
    </row>
    <row r="5413" spans="1:14" x14ac:dyDescent="0.35">
      <c r="A5413" t="s">
        <v>38</v>
      </c>
      <c r="B5413" t="s">
        <v>29</v>
      </c>
      <c r="C5413">
        <v>2004</v>
      </c>
      <c r="D5413" t="s">
        <v>32</v>
      </c>
      <c r="E5413" s="3">
        <f t="shared" ref="E5413:F5413" si="3730">SUM(E613+E1573+E2533+E3493+E4453)</f>
        <v>193078</v>
      </c>
      <c r="F5413" s="3">
        <f t="shared" si="3730"/>
        <v>24423</v>
      </c>
      <c r="G5413" s="1">
        <f t="shared" si="3633"/>
        <v>217501</v>
      </c>
      <c r="H5413" s="2">
        <f t="shared" si="3634"/>
        <v>0.88771086109948916</v>
      </c>
      <c r="I5413" s="2">
        <f t="shared" si="3635"/>
        <v>0.1122891389005108</v>
      </c>
      <c r="J5413" s="3">
        <f t="shared" ref="J5413:K5413" si="3731">SUM(J613+J1573+J2533+J3493+J4453)</f>
        <v>72963.561000000002</v>
      </c>
      <c r="K5413" s="3">
        <f t="shared" si="3731"/>
        <v>18721.919999999998</v>
      </c>
      <c r="L5413" s="1">
        <f t="shared" si="3661"/>
        <v>91685.481</v>
      </c>
      <c r="M5413" s="2">
        <f t="shared" si="3662"/>
        <v>0.79580278364902723</v>
      </c>
      <c r="N5413" s="2">
        <f t="shared" si="3663"/>
        <v>0.20419721635097271</v>
      </c>
    </row>
    <row r="5414" spans="1:14" x14ac:dyDescent="0.35">
      <c r="A5414" t="s">
        <v>38</v>
      </c>
      <c r="B5414" t="s">
        <v>17</v>
      </c>
      <c r="C5414">
        <v>2005</v>
      </c>
      <c r="D5414" t="s">
        <v>32</v>
      </c>
      <c r="E5414" s="3">
        <f t="shared" ref="E5414:F5414" si="3732">SUM(E614+E1574+E2534+E3494+E4454)</f>
        <v>193713</v>
      </c>
      <c r="F5414" s="3">
        <f t="shared" si="3732"/>
        <v>27225</v>
      </c>
      <c r="G5414" s="1">
        <f t="shared" si="3633"/>
        <v>220938</v>
      </c>
      <c r="H5414" s="2">
        <f t="shared" si="3634"/>
        <v>0.87677538494962393</v>
      </c>
      <c r="I5414" s="2">
        <f t="shared" si="3635"/>
        <v>0.12322461505037613</v>
      </c>
      <c r="J5414" s="3">
        <f t="shared" ref="J5414:K5414" si="3733">SUM(J614+J1574+J2534+J3494+J4454)</f>
        <v>70954.28</v>
      </c>
      <c r="K5414" s="3">
        <f t="shared" si="3733"/>
        <v>23428.639999999999</v>
      </c>
      <c r="L5414" s="1">
        <f t="shared" si="3661"/>
        <v>94382.92</v>
      </c>
      <c r="M5414" s="2">
        <f t="shared" si="3662"/>
        <v>0.75177034149822874</v>
      </c>
      <c r="N5414" s="2">
        <f t="shared" si="3663"/>
        <v>0.24822965850177128</v>
      </c>
    </row>
    <row r="5415" spans="1:14" x14ac:dyDescent="0.35">
      <c r="A5415" t="s">
        <v>38</v>
      </c>
      <c r="B5415" t="s">
        <v>19</v>
      </c>
      <c r="C5415">
        <v>2005</v>
      </c>
      <c r="D5415" t="s">
        <v>32</v>
      </c>
      <c r="E5415" s="3">
        <f t="shared" ref="E5415:F5415" si="3734">SUM(E615+E1575+E2535+E3495+E4455)</f>
        <v>185486</v>
      </c>
      <c r="F5415" s="3">
        <f t="shared" si="3734"/>
        <v>26143</v>
      </c>
      <c r="G5415" s="1">
        <f t="shared" si="3633"/>
        <v>211629</v>
      </c>
      <c r="H5415" s="2">
        <f t="shared" si="3634"/>
        <v>0.8764677808806921</v>
      </c>
      <c r="I5415" s="2">
        <f t="shared" si="3635"/>
        <v>0.12353221911930784</v>
      </c>
      <c r="J5415" s="3">
        <f t="shared" ref="J5415:K5415" si="3735">SUM(J615+J1575+J2535+J3495+J4455)</f>
        <v>63081.36</v>
      </c>
      <c r="K5415" s="3">
        <f t="shared" si="3735"/>
        <v>26631.32</v>
      </c>
      <c r="L5415" s="1">
        <f t="shared" si="3661"/>
        <v>89712.68</v>
      </c>
      <c r="M5415" s="2">
        <f t="shared" si="3662"/>
        <v>0.70314876336321697</v>
      </c>
      <c r="N5415" s="2">
        <f t="shared" si="3663"/>
        <v>0.29685123663678314</v>
      </c>
    </row>
    <row r="5416" spans="1:14" x14ac:dyDescent="0.35">
      <c r="A5416" t="s">
        <v>38</v>
      </c>
      <c r="B5416" t="s">
        <v>20</v>
      </c>
      <c r="C5416">
        <v>2005</v>
      </c>
      <c r="D5416" t="s">
        <v>32</v>
      </c>
      <c r="E5416" s="3">
        <f t="shared" ref="E5416:F5416" si="3736">SUM(E616+E1576+E2536+E3496+E4456)</f>
        <v>190788</v>
      </c>
      <c r="F5416" s="3">
        <f t="shared" si="3736"/>
        <v>28437</v>
      </c>
      <c r="G5416" s="1">
        <f t="shared" si="3633"/>
        <v>219225</v>
      </c>
      <c r="H5416" s="2">
        <f t="shared" si="3634"/>
        <v>0.87028395484091692</v>
      </c>
      <c r="I5416" s="2">
        <f t="shared" si="3635"/>
        <v>0.12971604515908314</v>
      </c>
      <c r="J5416" s="3">
        <f t="shared" ref="J5416:K5416" si="3737">SUM(J616+J1576+J2536+J3496+J4456)</f>
        <v>63862.71</v>
      </c>
      <c r="K5416" s="3">
        <f t="shared" si="3737"/>
        <v>33350.549999999996</v>
      </c>
      <c r="L5416" s="1">
        <f t="shared" si="3661"/>
        <v>97213.26</v>
      </c>
      <c r="M5416" s="2">
        <f t="shared" si="3662"/>
        <v>0.65693414663802041</v>
      </c>
      <c r="N5416" s="2">
        <f t="shared" si="3663"/>
        <v>0.34306585336197959</v>
      </c>
    </row>
    <row r="5417" spans="1:14" x14ac:dyDescent="0.35">
      <c r="A5417" t="s">
        <v>38</v>
      </c>
      <c r="B5417" t="s">
        <v>21</v>
      </c>
      <c r="C5417">
        <v>2005</v>
      </c>
      <c r="D5417" t="s">
        <v>32</v>
      </c>
      <c r="E5417" s="3">
        <f t="shared" ref="E5417:F5417" si="3738">SUM(E617+E1577+E2537+E3497+E4457)</f>
        <v>182503</v>
      </c>
      <c r="F5417" s="3">
        <f t="shared" si="3738"/>
        <v>27703</v>
      </c>
      <c r="G5417" s="1">
        <f t="shared" si="3633"/>
        <v>210206</v>
      </c>
      <c r="H5417" s="2">
        <f t="shared" si="3634"/>
        <v>0.86821023186778679</v>
      </c>
      <c r="I5417" s="2">
        <f t="shared" si="3635"/>
        <v>0.13178976813221316</v>
      </c>
      <c r="J5417" s="3">
        <f t="shared" ref="J5417:K5417" si="3739">SUM(J617+J1577+J2537+J3497+J4457)</f>
        <v>62680.38</v>
      </c>
      <c r="K5417" s="3">
        <f t="shared" si="3739"/>
        <v>28903.86</v>
      </c>
      <c r="L5417" s="1">
        <f t="shared" si="3661"/>
        <v>91584.239999999991</v>
      </c>
      <c r="M5417" s="2">
        <f t="shared" si="3662"/>
        <v>0.68440137735488116</v>
      </c>
      <c r="N5417" s="2">
        <f t="shared" si="3663"/>
        <v>0.3155986226451189</v>
      </c>
    </row>
    <row r="5418" spans="1:14" x14ac:dyDescent="0.35">
      <c r="A5418" t="s">
        <v>38</v>
      </c>
      <c r="B5418" t="s">
        <v>22</v>
      </c>
      <c r="C5418">
        <v>2005</v>
      </c>
      <c r="D5418" t="s">
        <v>32</v>
      </c>
      <c r="E5418" s="3">
        <f t="shared" ref="E5418:F5418" si="3740">SUM(E618+E1578+E2538+E3498+E4458)</f>
        <v>180352</v>
      </c>
      <c r="F5418" s="3">
        <f t="shared" si="3740"/>
        <v>28589</v>
      </c>
      <c r="G5418" s="1">
        <f t="shared" si="3633"/>
        <v>208941</v>
      </c>
      <c r="H5418" s="2">
        <f t="shared" si="3634"/>
        <v>0.86317190020149226</v>
      </c>
      <c r="I5418" s="2">
        <f t="shared" si="3635"/>
        <v>0.13682809979850771</v>
      </c>
      <c r="J5418" s="3">
        <f t="shared" ref="J5418:K5418" si="3741">SUM(J618+J1578+J2538+J3498+J4458)</f>
        <v>61546.91</v>
      </c>
      <c r="K5418" s="3">
        <f t="shared" si="3741"/>
        <v>29963.39</v>
      </c>
      <c r="L5418" s="1">
        <f t="shared" si="3661"/>
        <v>91510.3</v>
      </c>
      <c r="M5418" s="2">
        <f t="shared" si="3662"/>
        <v>0.6725681152831976</v>
      </c>
      <c r="N5418" s="2">
        <f t="shared" si="3663"/>
        <v>0.32743188471680235</v>
      </c>
    </row>
    <row r="5419" spans="1:14" x14ac:dyDescent="0.35">
      <c r="A5419" t="s">
        <v>38</v>
      </c>
      <c r="B5419" t="s">
        <v>23</v>
      </c>
      <c r="C5419">
        <v>2005</v>
      </c>
      <c r="D5419" t="s">
        <v>32</v>
      </c>
      <c r="E5419" s="3">
        <f t="shared" ref="E5419:F5419" si="3742">SUM(E619+E1579+E2539+E3499+E4459)</f>
        <v>181688</v>
      </c>
      <c r="F5419" s="3">
        <f t="shared" si="3742"/>
        <v>30417</v>
      </c>
      <c r="G5419" s="1">
        <f t="shared" si="3633"/>
        <v>212105</v>
      </c>
      <c r="H5419" s="2">
        <f t="shared" si="3634"/>
        <v>0.85659461115956714</v>
      </c>
      <c r="I5419" s="2">
        <f t="shared" si="3635"/>
        <v>0.1434053888404328</v>
      </c>
      <c r="J5419" s="3">
        <f t="shared" ref="J5419:K5419" si="3743">SUM(J619+J1579+J2539+J3499+J4459)</f>
        <v>61953.969999999994</v>
      </c>
      <c r="K5419" s="3">
        <f t="shared" si="3743"/>
        <v>31219.67</v>
      </c>
      <c r="L5419" s="1">
        <f t="shared" si="3661"/>
        <v>93173.639999999985</v>
      </c>
      <c r="M5419" s="2">
        <f t="shared" si="3662"/>
        <v>0.66493023134010865</v>
      </c>
      <c r="N5419" s="2">
        <f t="shared" si="3663"/>
        <v>0.33506976865989141</v>
      </c>
    </row>
    <row r="5420" spans="1:14" x14ac:dyDescent="0.35">
      <c r="A5420" t="s">
        <v>38</v>
      </c>
      <c r="B5420" t="s">
        <v>24</v>
      </c>
      <c r="C5420">
        <v>2005</v>
      </c>
      <c r="D5420" t="s">
        <v>32</v>
      </c>
      <c r="E5420" s="3">
        <f t="shared" ref="E5420:F5420" si="3744">SUM(E620+E1580+E2540+E3500+E4460)</f>
        <v>176271</v>
      </c>
      <c r="F5420" s="3">
        <f t="shared" si="3744"/>
        <v>29661</v>
      </c>
      <c r="G5420" s="1">
        <f t="shared" si="3633"/>
        <v>205932</v>
      </c>
      <c r="H5420" s="2">
        <f t="shared" si="3634"/>
        <v>0.85596701823903032</v>
      </c>
      <c r="I5420" s="2">
        <f t="shared" si="3635"/>
        <v>0.14403298176096965</v>
      </c>
      <c r="J5420" s="3">
        <f t="shared" ref="J5420:K5420" si="3745">SUM(J620+J1580+J2540+J3500+J4460)</f>
        <v>60797.170000000006</v>
      </c>
      <c r="K5420" s="3">
        <f t="shared" si="3745"/>
        <v>30002.27</v>
      </c>
      <c r="L5420" s="1">
        <f t="shared" si="3661"/>
        <v>90799.44</v>
      </c>
      <c r="M5420" s="2">
        <f t="shared" si="3662"/>
        <v>0.66957648637480593</v>
      </c>
      <c r="N5420" s="2">
        <f t="shared" si="3663"/>
        <v>0.33042351362519418</v>
      </c>
    </row>
    <row r="5421" spans="1:14" x14ac:dyDescent="0.35">
      <c r="A5421" t="s">
        <v>38</v>
      </c>
      <c r="B5421" t="s">
        <v>25</v>
      </c>
      <c r="C5421">
        <v>2005</v>
      </c>
      <c r="D5421" t="s">
        <v>32</v>
      </c>
      <c r="E5421" s="3">
        <f t="shared" ref="E5421:F5421" si="3746">SUM(E621+E1581+E2541+E3501+E4461)</f>
        <v>184469</v>
      </c>
      <c r="F5421" s="3">
        <f t="shared" si="3746"/>
        <v>33322</v>
      </c>
      <c r="G5421" s="1">
        <f t="shared" si="3633"/>
        <v>217791</v>
      </c>
      <c r="H5421" s="2">
        <f t="shared" si="3634"/>
        <v>0.84700010560583316</v>
      </c>
      <c r="I5421" s="2">
        <f t="shared" si="3635"/>
        <v>0.15299989439416689</v>
      </c>
      <c r="J5421" s="3">
        <f t="shared" ref="J5421:K5421" si="3747">SUM(J621+J1581+J2541+J3501+J4461)</f>
        <v>60668.11</v>
      </c>
      <c r="K5421" s="3">
        <f t="shared" si="3747"/>
        <v>32898.199999999997</v>
      </c>
      <c r="L5421" s="1">
        <f t="shared" si="3661"/>
        <v>93566.31</v>
      </c>
      <c r="M5421" s="2">
        <f t="shared" si="3662"/>
        <v>0.64839694971405848</v>
      </c>
      <c r="N5421" s="2">
        <f t="shared" si="3663"/>
        <v>0.35160305028594158</v>
      </c>
    </row>
    <row r="5422" spans="1:14" x14ac:dyDescent="0.35">
      <c r="A5422" t="s">
        <v>38</v>
      </c>
      <c r="B5422" t="s">
        <v>26</v>
      </c>
      <c r="C5422">
        <v>2005</v>
      </c>
      <c r="D5422" t="s">
        <v>32</v>
      </c>
      <c r="E5422" s="3">
        <f t="shared" ref="E5422:F5422" si="3748">SUM(E622+E1582+E2542+E3502+E4462)</f>
        <v>176042</v>
      </c>
      <c r="F5422" s="3">
        <f t="shared" si="3748"/>
        <v>31934</v>
      </c>
      <c r="G5422" s="1">
        <f t="shared" si="3633"/>
        <v>207976</v>
      </c>
      <c r="H5422" s="2">
        <f t="shared" si="3634"/>
        <v>0.84645343693503095</v>
      </c>
      <c r="I5422" s="2">
        <f t="shared" si="3635"/>
        <v>0.15354656306496903</v>
      </c>
      <c r="J5422" s="3">
        <f t="shared" ref="J5422:K5422" si="3749">SUM(J622+J1582+J2542+J3502+J4462)</f>
        <v>62032.369999999995</v>
      </c>
      <c r="K5422" s="3">
        <f t="shared" si="3749"/>
        <v>32618.74</v>
      </c>
      <c r="L5422" s="1">
        <f t="shared" si="3661"/>
        <v>94651.11</v>
      </c>
      <c r="M5422" s="2">
        <f t="shared" si="3662"/>
        <v>0.65537921319676018</v>
      </c>
      <c r="N5422" s="2">
        <f t="shared" si="3663"/>
        <v>0.34462078680323982</v>
      </c>
    </row>
    <row r="5423" spans="1:14" x14ac:dyDescent="0.35">
      <c r="A5423" t="s">
        <v>38</v>
      </c>
      <c r="B5423" t="s">
        <v>27</v>
      </c>
      <c r="C5423">
        <v>2005</v>
      </c>
      <c r="D5423" t="s">
        <v>32</v>
      </c>
      <c r="E5423" s="3">
        <f t="shared" ref="E5423:F5423" si="3750">SUM(E623+E1583+E2543+E3503+E4463)</f>
        <v>174514</v>
      </c>
      <c r="F5423" s="3">
        <f t="shared" si="3750"/>
        <v>32452</v>
      </c>
      <c r="G5423" s="1">
        <f t="shared" si="3633"/>
        <v>206966</v>
      </c>
      <c r="H5423" s="2">
        <f t="shared" si="3634"/>
        <v>0.84320129876404815</v>
      </c>
      <c r="I5423" s="2">
        <f t="shared" si="3635"/>
        <v>0.1567987012359518</v>
      </c>
      <c r="J5423" s="3">
        <f t="shared" ref="J5423:K5423" si="3751">SUM(J623+J1583+J2543+J3503+J4463)</f>
        <v>60762.979999999996</v>
      </c>
      <c r="K5423" s="3">
        <f t="shared" si="3751"/>
        <v>32232.3</v>
      </c>
      <c r="L5423" s="1">
        <f t="shared" si="3661"/>
        <v>92995.28</v>
      </c>
      <c r="M5423" s="2">
        <f t="shared" si="3662"/>
        <v>0.65339853807634107</v>
      </c>
      <c r="N5423" s="2">
        <f t="shared" si="3663"/>
        <v>0.34660146192365893</v>
      </c>
    </row>
    <row r="5424" spans="1:14" x14ac:dyDescent="0.35">
      <c r="A5424" t="s">
        <v>38</v>
      </c>
      <c r="B5424" t="s">
        <v>28</v>
      </c>
      <c r="C5424">
        <v>2005</v>
      </c>
      <c r="D5424" t="s">
        <v>32</v>
      </c>
      <c r="E5424" s="3">
        <f t="shared" ref="E5424:F5424" si="3752">SUM(E624+E1584+E2544+E3504+E4464)</f>
        <v>170208</v>
      </c>
      <c r="F5424" s="3">
        <f t="shared" si="3752"/>
        <v>32195</v>
      </c>
      <c r="G5424" s="1">
        <f t="shared" si="3633"/>
        <v>202403</v>
      </c>
      <c r="H5424" s="2">
        <f t="shared" si="3634"/>
        <v>0.84093615213213246</v>
      </c>
      <c r="I5424" s="2">
        <f t="shared" si="3635"/>
        <v>0.15906384786786756</v>
      </c>
      <c r="J5424" s="3">
        <f t="shared" ref="J5424:K5424" si="3753">SUM(J624+J1584+J2544+J3504+J4464)</f>
        <v>59367.38</v>
      </c>
      <c r="K5424" s="3">
        <f t="shared" si="3753"/>
        <v>32118.05</v>
      </c>
      <c r="L5424" s="1">
        <f t="shared" si="3661"/>
        <v>91485.43</v>
      </c>
      <c r="M5424" s="2">
        <f t="shared" si="3662"/>
        <v>0.64892715703473225</v>
      </c>
      <c r="N5424" s="2">
        <f t="shared" si="3663"/>
        <v>0.35107284296526781</v>
      </c>
    </row>
    <row r="5425" spans="1:14" x14ac:dyDescent="0.35">
      <c r="A5425" t="s">
        <v>38</v>
      </c>
      <c r="B5425" t="s">
        <v>29</v>
      </c>
      <c r="C5425">
        <v>2005</v>
      </c>
      <c r="D5425" t="s">
        <v>32</v>
      </c>
      <c r="E5425" s="3">
        <f t="shared" ref="E5425:F5425" si="3754">SUM(E625+E1585+E2545+E3505+E4465)</f>
        <v>169446</v>
      </c>
      <c r="F5425" s="3">
        <f t="shared" si="3754"/>
        <v>32615</v>
      </c>
      <c r="G5425" s="1">
        <f t="shared" si="3633"/>
        <v>202061</v>
      </c>
      <c r="H5425" s="2">
        <f t="shared" si="3634"/>
        <v>0.83858834708330654</v>
      </c>
      <c r="I5425" s="2">
        <f t="shared" si="3635"/>
        <v>0.16141165291669346</v>
      </c>
      <c r="J5425" s="3">
        <f t="shared" ref="J5425:K5425" si="3755">SUM(J625+J1585+J2545+J3505+J4465)</f>
        <v>60045.590000000004</v>
      </c>
      <c r="K5425" s="3">
        <f t="shared" si="3755"/>
        <v>31091.68</v>
      </c>
      <c r="L5425" s="1">
        <f t="shared" si="3661"/>
        <v>91137.27</v>
      </c>
      <c r="M5425" s="2">
        <f t="shared" si="3662"/>
        <v>0.65884780178295888</v>
      </c>
      <c r="N5425" s="2">
        <f t="shared" si="3663"/>
        <v>0.34115219821704118</v>
      </c>
    </row>
    <row r="5426" spans="1:14" x14ac:dyDescent="0.35">
      <c r="A5426" t="s">
        <v>38</v>
      </c>
      <c r="B5426" t="s">
        <v>17</v>
      </c>
      <c r="C5426">
        <v>2006</v>
      </c>
      <c r="D5426" t="s">
        <v>32</v>
      </c>
      <c r="E5426" s="3">
        <f t="shared" ref="E5426:F5426" si="3756">SUM(E626+E1586+E2546+E3506+E4466)</f>
        <v>170583</v>
      </c>
      <c r="F5426" s="3">
        <f t="shared" si="3756"/>
        <v>33549</v>
      </c>
      <c r="G5426" s="1">
        <f t="shared" si="3633"/>
        <v>204132</v>
      </c>
      <c r="H5426" s="2">
        <f t="shared" si="3634"/>
        <v>0.83565046146611022</v>
      </c>
      <c r="I5426" s="2">
        <f t="shared" si="3635"/>
        <v>0.16434953853388984</v>
      </c>
      <c r="J5426" s="3">
        <f t="shared" ref="J5426:K5426" si="3757">SUM(J626+J1586+J2546+J3506+J4466)</f>
        <v>60691.83</v>
      </c>
      <c r="K5426" s="3">
        <f t="shared" si="3757"/>
        <v>33487.69</v>
      </c>
      <c r="L5426" s="1">
        <f t="shared" si="3661"/>
        <v>94179.520000000004</v>
      </c>
      <c r="M5426" s="2">
        <f t="shared" si="3662"/>
        <v>0.64442704740903334</v>
      </c>
      <c r="N5426" s="2">
        <f t="shared" si="3663"/>
        <v>0.35557295259096672</v>
      </c>
    </row>
    <row r="5427" spans="1:14" x14ac:dyDescent="0.35">
      <c r="A5427" t="s">
        <v>38</v>
      </c>
      <c r="B5427" t="s">
        <v>19</v>
      </c>
      <c r="C5427">
        <v>2006</v>
      </c>
      <c r="D5427" t="s">
        <v>32</v>
      </c>
      <c r="E5427" s="3">
        <f t="shared" ref="E5427:F5427" si="3758">SUM(E627+E1587+E2547+E3507+E4467)</f>
        <v>166483</v>
      </c>
      <c r="F5427" s="3">
        <f t="shared" si="3758"/>
        <v>32929</v>
      </c>
      <c r="G5427" s="1">
        <f t="shared" si="3633"/>
        <v>199412</v>
      </c>
      <c r="H5427" s="2">
        <f t="shared" si="3634"/>
        <v>0.83486951637815177</v>
      </c>
      <c r="I5427" s="2">
        <f t="shared" si="3635"/>
        <v>0.16513048362184823</v>
      </c>
      <c r="J5427" s="3">
        <f t="shared" ref="J5427:K5427" si="3759">SUM(J627+J1587+J2547+J3507+J4467)</f>
        <v>59857.21</v>
      </c>
      <c r="K5427" s="3">
        <f t="shared" si="3759"/>
        <v>31380.2</v>
      </c>
      <c r="L5427" s="1">
        <f t="shared" si="3661"/>
        <v>91237.41</v>
      </c>
      <c r="M5427" s="2">
        <f t="shared" si="3662"/>
        <v>0.65605994295541703</v>
      </c>
      <c r="N5427" s="2">
        <f t="shared" si="3663"/>
        <v>0.34394005704458291</v>
      </c>
    </row>
    <row r="5428" spans="1:14" x14ac:dyDescent="0.35">
      <c r="A5428" t="s">
        <v>38</v>
      </c>
      <c r="B5428" t="s">
        <v>20</v>
      </c>
      <c r="C5428">
        <v>2006</v>
      </c>
      <c r="D5428" t="s">
        <v>32</v>
      </c>
      <c r="E5428" s="3">
        <f t="shared" ref="E5428:F5428" si="3760">SUM(E628+E1588+E2548+E3508+E4468)</f>
        <v>173558</v>
      </c>
      <c r="F5428" s="3">
        <f t="shared" si="3760"/>
        <v>36706</v>
      </c>
      <c r="G5428" s="1">
        <f t="shared" si="3633"/>
        <v>210264</v>
      </c>
      <c r="H5428" s="2">
        <f t="shared" si="3634"/>
        <v>0.82542898451470537</v>
      </c>
      <c r="I5428" s="2">
        <f t="shared" si="3635"/>
        <v>0.17457101548529469</v>
      </c>
      <c r="J5428" s="3">
        <f t="shared" ref="J5428:K5428" si="3761">SUM(J628+J1588+J2548+J3508+J4468)</f>
        <v>60652.25</v>
      </c>
      <c r="K5428" s="3">
        <f t="shared" si="3761"/>
        <v>36712.79</v>
      </c>
      <c r="L5428" s="1">
        <f t="shared" si="3661"/>
        <v>97365.040000000008</v>
      </c>
      <c r="M5428" s="2">
        <f t="shared" si="3662"/>
        <v>0.62293663105361019</v>
      </c>
      <c r="N5428" s="2">
        <f t="shared" si="3663"/>
        <v>0.37706336894638975</v>
      </c>
    </row>
    <row r="5429" spans="1:14" x14ac:dyDescent="0.35">
      <c r="A5429" t="s">
        <v>38</v>
      </c>
      <c r="B5429" t="s">
        <v>21</v>
      </c>
      <c r="C5429">
        <v>2006</v>
      </c>
      <c r="D5429" t="s">
        <v>32</v>
      </c>
      <c r="E5429" s="3">
        <f t="shared" ref="E5429:F5429" si="3762">SUM(E629+E1589+E2549+E3509+E4469)</f>
        <v>163345</v>
      </c>
      <c r="F5429" s="3">
        <f t="shared" si="3762"/>
        <v>33657</v>
      </c>
      <c r="G5429" s="1">
        <f t="shared" si="3633"/>
        <v>197002</v>
      </c>
      <c r="H5429" s="2">
        <f t="shared" si="3634"/>
        <v>0.82915401874092654</v>
      </c>
      <c r="I5429" s="2">
        <f t="shared" si="3635"/>
        <v>0.17084598125907352</v>
      </c>
      <c r="J5429" s="3">
        <f t="shared" ref="J5429:K5429" si="3763">SUM(J629+J1589+J2549+J3509+J4469)</f>
        <v>59160.17</v>
      </c>
      <c r="K5429" s="3">
        <f t="shared" si="3763"/>
        <v>32202.720000000001</v>
      </c>
      <c r="L5429" s="1">
        <f t="shared" si="3661"/>
        <v>91362.89</v>
      </c>
      <c r="M5429" s="2">
        <f t="shared" si="3662"/>
        <v>0.64752953852488682</v>
      </c>
      <c r="N5429" s="2">
        <f t="shared" si="3663"/>
        <v>0.35247046147511318</v>
      </c>
    </row>
    <row r="5430" spans="1:14" x14ac:dyDescent="0.35">
      <c r="A5430" t="s">
        <v>38</v>
      </c>
      <c r="B5430" t="s">
        <v>22</v>
      </c>
      <c r="C5430">
        <v>2006</v>
      </c>
      <c r="D5430" t="s">
        <v>32</v>
      </c>
      <c r="E5430" s="3">
        <f t="shared" ref="E5430:F5430" si="3764">SUM(E630+E1590+E2550+E3510+E4470)</f>
        <v>167330</v>
      </c>
      <c r="F5430" s="3">
        <f t="shared" si="3764"/>
        <v>37024</v>
      </c>
      <c r="G5430" s="1">
        <f t="shared" si="3633"/>
        <v>204354</v>
      </c>
      <c r="H5430" s="2">
        <f t="shared" si="3634"/>
        <v>0.81882419722638167</v>
      </c>
      <c r="I5430" s="2">
        <f t="shared" si="3635"/>
        <v>0.18117580277361833</v>
      </c>
      <c r="J5430" s="3">
        <f t="shared" ref="J5430:K5430" si="3765">SUM(J630+J1590+J2550+J3510+J4470)</f>
        <v>59814.39</v>
      </c>
      <c r="K5430" s="3">
        <f t="shared" si="3765"/>
        <v>35352.21</v>
      </c>
      <c r="L5430" s="1">
        <f t="shared" si="3661"/>
        <v>95166.6</v>
      </c>
      <c r="M5430" s="2">
        <f t="shared" si="3662"/>
        <v>0.62852292716142</v>
      </c>
      <c r="N5430" s="2">
        <f t="shared" si="3663"/>
        <v>0.37147707283857989</v>
      </c>
    </row>
    <row r="5431" spans="1:14" x14ac:dyDescent="0.35">
      <c r="A5431" t="s">
        <v>38</v>
      </c>
      <c r="B5431" t="s">
        <v>23</v>
      </c>
      <c r="C5431">
        <v>2006</v>
      </c>
      <c r="D5431" t="s">
        <v>32</v>
      </c>
      <c r="E5431" s="3">
        <f t="shared" ref="E5431:F5431" si="3766">SUM(E631+E1591+E2551+E3511+E4471)</f>
        <v>164971</v>
      </c>
      <c r="F5431" s="3">
        <f t="shared" si="3766"/>
        <v>37300</v>
      </c>
      <c r="G5431" s="1">
        <f t="shared" ref="G5431:G5494" si="3767">SUM(E5431:F5431)</f>
        <v>202271</v>
      </c>
      <c r="H5431" s="2">
        <f t="shared" ref="H5431:H5494" si="3768">SUM(E5431)/G5431</f>
        <v>0.81559393091446619</v>
      </c>
      <c r="I5431" s="2">
        <f t="shared" ref="I5431:I5494" si="3769">SUM(F5431/G5431)</f>
        <v>0.18440606908553375</v>
      </c>
      <c r="J5431" s="3">
        <f t="shared" ref="J5431:K5431" si="3770">SUM(J631+J1591+J2551+J3511+J4471)</f>
        <v>59234.189999999995</v>
      </c>
      <c r="K5431" s="3">
        <f t="shared" si="3770"/>
        <v>35069.11</v>
      </c>
      <c r="L5431" s="1">
        <f t="shared" si="3661"/>
        <v>94303.299999999988</v>
      </c>
      <c r="M5431" s="2">
        <f t="shared" si="3662"/>
        <v>0.62812425440042929</v>
      </c>
      <c r="N5431" s="2">
        <f t="shared" si="3663"/>
        <v>0.37187574559957082</v>
      </c>
    </row>
    <row r="5432" spans="1:14" x14ac:dyDescent="0.35">
      <c r="A5432" t="s">
        <v>38</v>
      </c>
      <c r="B5432" t="s">
        <v>24</v>
      </c>
      <c r="C5432">
        <v>2006</v>
      </c>
      <c r="D5432" t="s">
        <v>32</v>
      </c>
      <c r="E5432" s="3">
        <f t="shared" ref="E5432:F5432" si="3771">SUM(E632+E1592+E2552+E3512+E4472)</f>
        <v>158309</v>
      </c>
      <c r="F5432" s="3">
        <f t="shared" si="3771"/>
        <v>35863</v>
      </c>
      <c r="G5432" s="1">
        <f t="shared" si="3767"/>
        <v>194172</v>
      </c>
      <c r="H5432" s="2">
        <f t="shared" si="3768"/>
        <v>0.81530292730156773</v>
      </c>
      <c r="I5432" s="2">
        <f t="shared" si="3769"/>
        <v>0.18469707269843233</v>
      </c>
      <c r="J5432" s="3">
        <f t="shared" ref="J5432:K5432" si="3772">SUM(J632+J1592+J2552+J3512+J4472)</f>
        <v>58399.5</v>
      </c>
      <c r="K5432" s="3">
        <f t="shared" si="3772"/>
        <v>33916.01</v>
      </c>
      <c r="L5432" s="1">
        <f t="shared" si="3661"/>
        <v>92315.510000000009</v>
      </c>
      <c r="M5432" s="2">
        <f t="shared" si="3662"/>
        <v>0.63260767340179347</v>
      </c>
      <c r="N5432" s="2">
        <f t="shared" si="3663"/>
        <v>0.36739232659820653</v>
      </c>
    </row>
    <row r="5433" spans="1:14" x14ac:dyDescent="0.35">
      <c r="A5433" t="s">
        <v>38</v>
      </c>
      <c r="B5433" t="s">
        <v>25</v>
      </c>
      <c r="C5433">
        <v>2006</v>
      </c>
      <c r="D5433" t="s">
        <v>32</v>
      </c>
      <c r="E5433" s="3">
        <f t="shared" ref="E5433:F5433" si="3773">SUM(E633+E1593+E2553+E3513+E4473)</f>
        <v>163625</v>
      </c>
      <c r="F5433" s="3">
        <f t="shared" si="3773"/>
        <v>39207</v>
      </c>
      <c r="G5433" s="1">
        <f t="shared" si="3767"/>
        <v>202832</v>
      </c>
      <c r="H5433" s="2">
        <f t="shared" si="3768"/>
        <v>0.80670209828823858</v>
      </c>
      <c r="I5433" s="2">
        <f t="shared" si="3769"/>
        <v>0.19329790171176145</v>
      </c>
      <c r="J5433" s="3">
        <f t="shared" ref="J5433:K5433" si="3774">SUM(J633+J1593+J2553+J3513+J4473)</f>
        <v>56420.829999999994</v>
      </c>
      <c r="K5433" s="3">
        <f t="shared" si="3774"/>
        <v>38771.760000000002</v>
      </c>
      <c r="L5433" s="1">
        <f t="shared" si="3661"/>
        <v>95192.59</v>
      </c>
      <c r="M5433" s="2">
        <f t="shared" si="3662"/>
        <v>0.592701910936555</v>
      </c>
      <c r="N5433" s="2">
        <f t="shared" si="3663"/>
        <v>0.407298089063445</v>
      </c>
    </row>
    <row r="5434" spans="1:14" x14ac:dyDescent="0.35">
      <c r="A5434" t="s">
        <v>38</v>
      </c>
      <c r="B5434" t="s">
        <v>26</v>
      </c>
      <c r="C5434">
        <v>2006</v>
      </c>
      <c r="D5434" t="s">
        <v>32</v>
      </c>
      <c r="E5434" s="3">
        <f t="shared" ref="E5434:F5434" si="3775">SUM(E634+E1594+E2554+E3514+E4474)</f>
        <v>154979</v>
      </c>
      <c r="F5434" s="3">
        <f t="shared" si="3775"/>
        <v>36866</v>
      </c>
      <c r="G5434" s="1">
        <f t="shared" si="3767"/>
        <v>191845</v>
      </c>
      <c r="H5434" s="2">
        <f t="shared" si="3768"/>
        <v>0.80783444968594442</v>
      </c>
      <c r="I5434" s="2">
        <f t="shared" si="3769"/>
        <v>0.19216555031405561</v>
      </c>
      <c r="J5434" s="3">
        <f t="shared" ref="J5434:K5434" si="3776">SUM(J634+J1594+J2554+J3514+J4474)</f>
        <v>55299.81</v>
      </c>
      <c r="K5434" s="3">
        <f t="shared" si="3776"/>
        <v>36811.590000000004</v>
      </c>
      <c r="L5434" s="1">
        <f t="shared" si="3661"/>
        <v>92111.4</v>
      </c>
      <c r="M5434" s="2">
        <f t="shared" si="3662"/>
        <v>0.60035793615122557</v>
      </c>
      <c r="N5434" s="2">
        <f t="shared" si="3663"/>
        <v>0.39964206384877449</v>
      </c>
    </row>
    <row r="5435" spans="1:14" x14ac:dyDescent="0.35">
      <c r="A5435" t="s">
        <v>38</v>
      </c>
      <c r="B5435" t="s">
        <v>27</v>
      </c>
      <c r="C5435">
        <v>2006</v>
      </c>
      <c r="D5435" t="s">
        <v>32</v>
      </c>
      <c r="E5435" s="3">
        <f t="shared" ref="E5435:F5435" si="3777">SUM(E635+E1595+E2555+E3515+E4475)</f>
        <v>158102</v>
      </c>
      <c r="F5435" s="3">
        <f t="shared" si="3777"/>
        <v>39565</v>
      </c>
      <c r="G5435" s="1">
        <f t="shared" si="3767"/>
        <v>197667</v>
      </c>
      <c r="H5435" s="2">
        <f t="shared" si="3768"/>
        <v>0.79984013517683783</v>
      </c>
      <c r="I5435" s="2">
        <f t="shared" si="3769"/>
        <v>0.2001598648231622</v>
      </c>
      <c r="J5435" s="3">
        <f t="shared" ref="J5435:K5435" si="3778">SUM(J635+J1595+J2555+J3515+J4475)</f>
        <v>55514.37</v>
      </c>
      <c r="K5435" s="3">
        <f t="shared" si="3778"/>
        <v>38716.79</v>
      </c>
      <c r="L5435" s="1">
        <f t="shared" si="3661"/>
        <v>94231.16</v>
      </c>
      <c r="M5435" s="2">
        <f t="shared" si="3662"/>
        <v>0.5891296467113426</v>
      </c>
      <c r="N5435" s="2">
        <f t="shared" si="3663"/>
        <v>0.4108703532886574</v>
      </c>
    </row>
    <row r="5436" spans="1:14" x14ac:dyDescent="0.35">
      <c r="A5436" t="s">
        <v>38</v>
      </c>
      <c r="B5436" t="s">
        <v>28</v>
      </c>
      <c r="C5436">
        <v>2006</v>
      </c>
      <c r="D5436" t="s">
        <v>32</v>
      </c>
      <c r="E5436" s="3">
        <f t="shared" ref="E5436:F5436" si="3779">SUM(E636+E1596+E2556+E3516+E4476)</f>
        <v>151779</v>
      </c>
      <c r="F5436" s="3">
        <f t="shared" si="3779"/>
        <v>38056</v>
      </c>
      <c r="G5436" s="1">
        <f t="shared" si="3767"/>
        <v>189835</v>
      </c>
      <c r="H5436" s="2">
        <f t="shared" si="3768"/>
        <v>0.79953117180709565</v>
      </c>
      <c r="I5436" s="2">
        <f t="shared" si="3769"/>
        <v>0.20046882819290437</v>
      </c>
      <c r="J5436" s="3">
        <f t="shared" ref="J5436:K5436" si="3780">SUM(J636+J1596+J2556+J3516+J4476)</f>
        <v>53957.42</v>
      </c>
      <c r="K5436" s="3">
        <f t="shared" si="3780"/>
        <v>38272.579999999994</v>
      </c>
      <c r="L5436" s="1">
        <f t="shared" si="3661"/>
        <v>92230</v>
      </c>
      <c r="M5436" s="2">
        <f t="shared" si="3662"/>
        <v>0.58503111785753004</v>
      </c>
      <c r="N5436" s="2">
        <f t="shared" si="3663"/>
        <v>0.41496888214246985</v>
      </c>
    </row>
    <row r="5437" spans="1:14" x14ac:dyDescent="0.35">
      <c r="A5437" t="s">
        <v>38</v>
      </c>
      <c r="B5437" t="s">
        <v>29</v>
      </c>
      <c r="C5437">
        <v>2006</v>
      </c>
      <c r="D5437" t="s">
        <v>32</v>
      </c>
      <c r="E5437" s="3">
        <f t="shared" ref="E5437:F5437" si="3781">SUM(E637+E1597+E2557+E3517+E4477)</f>
        <v>148675</v>
      </c>
      <c r="F5437" s="3">
        <f t="shared" si="3781"/>
        <v>37335</v>
      </c>
      <c r="G5437" s="1">
        <f t="shared" si="3767"/>
        <v>186010</v>
      </c>
      <c r="H5437" s="2">
        <f t="shared" si="3768"/>
        <v>0.79928498467824316</v>
      </c>
      <c r="I5437" s="2">
        <f t="shared" si="3769"/>
        <v>0.2007150153217569</v>
      </c>
      <c r="J5437" s="3">
        <f t="shared" ref="J5437:K5437" si="3782">SUM(J637+J1597+J2557+J3517+J4477)</f>
        <v>53562.719999999994</v>
      </c>
      <c r="K5437" s="3">
        <f t="shared" si="3782"/>
        <v>36978.15</v>
      </c>
      <c r="L5437" s="1">
        <f t="shared" si="3661"/>
        <v>90540.87</v>
      </c>
      <c r="M5437" s="2">
        <f t="shared" si="3662"/>
        <v>0.59158609807924312</v>
      </c>
      <c r="N5437" s="2">
        <f t="shared" si="3663"/>
        <v>0.40841390192075694</v>
      </c>
    </row>
    <row r="5438" spans="1:14" x14ac:dyDescent="0.35">
      <c r="A5438" t="s">
        <v>38</v>
      </c>
      <c r="B5438" t="s">
        <v>17</v>
      </c>
      <c r="C5438">
        <v>2007</v>
      </c>
      <c r="D5438" t="s">
        <v>32</v>
      </c>
      <c r="E5438" s="3">
        <f t="shared" ref="E5438:F5438" si="3783">SUM(E638+E1598+E2558+E3518+E4478)</f>
        <v>151907</v>
      </c>
      <c r="F5438" s="3">
        <f t="shared" si="3783"/>
        <v>41381</v>
      </c>
      <c r="G5438" s="1">
        <f t="shared" si="3767"/>
        <v>193288</v>
      </c>
      <c r="H5438" s="2">
        <f t="shared" si="3768"/>
        <v>0.78591014444766361</v>
      </c>
      <c r="I5438" s="2">
        <f t="shared" si="3769"/>
        <v>0.21408985555233642</v>
      </c>
      <c r="J5438" s="3">
        <f t="shared" ref="J5438:K5438" si="3784">SUM(J638+J1598+J2558+J3518+J4478)</f>
        <v>53805.049999999996</v>
      </c>
      <c r="K5438" s="3">
        <f t="shared" si="3784"/>
        <v>41931.79</v>
      </c>
      <c r="L5438" s="1">
        <f t="shared" si="3661"/>
        <v>95736.84</v>
      </c>
      <c r="M5438" s="2">
        <f t="shared" si="3662"/>
        <v>0.56200988041802924</v>
      </c>
      <c r="N5438" s="2">
        <f t="shared" si="3663"/>
        <v>0.43799011958197076</v>
      </c>
    </row>
    <row r="5439" spans="1:14" x14ac:dyDescent="0.35">
      <c r="A5439" t="s">
        <v>38</v>
      </c>
      <c r="B5439" t="s">
        <v>19</v>
      </c>
      <c r="C5439">
        <v>2007</v>
      </c>
      <c r="D5439" t="s">
        <v>32</v>
      </c>
      <c r="E5439" s="3">
        <f t="shared" ref="E5439:F5439" si="3785">SUM(E639+E1599+E2559+E3519+E4479)</f>
        <v>147232</v>
      </c>
      <c r="F5439" s="3">
        <f t="shared" si="3785"/>
        <v>40481</v>
      </c>
      <c r="G5439" s="1">
        <f t="shared" si="3767"/>
        <v>187713</v>
      </c>
      <c r="H5439" s="2">
        <f t="shared" si="3768"/>
        <v>0.78434631591844994</v>
      </c>
      <c r="I5439" s="2">
        <f t="shared" si="3769"/>
        <v>0.21565368408155003</v>
      </c>
      <c r="J5439" s="3">
        <f t="shared" ref="J5439:K5439" si="3786">SUM(J639+J1599+J2559+J3519+J4479)</f>
        <v>50944.47</v>
      </c>
      <c r="K5439" s="3">
        <f t="shared" si="3786"/>
        <v>41475.21</v>
      </c>
      <c r="L5439" s="1">
        <f t="shared" si="3661"/>
        <v>92419.68</v>
      </c>
      <c r="M5439" s="2">
        <f t="shared" si="3662"/>
        <v>0.55122967316052174</v>
      </c>
      <c r="N5439" s="2">
        <f t="shared" si="3663"/>
        <v>0.44877032683947837</v>
      </c>
    </row>
    <row r="5440" spans="1:14" x14ac:dyDescent="0.35">
      <c r="A5440" t="s">
        <v>38</v>
      </c>
      <c r="B5440" t="s">
        <v>20</v>
      </c>
      <c r="C5440">
        <v>2007</v>
      </c>
      <c r="D5440" t="s">
        <v>32</v>
      </c>
      <c r="E5440" s="3">
        <f t="shared" ref="E5440:F5440" si="3787">SUM(E640+E1600+E2560+E3520+E4480)</f>
        <v>151277</v>
      </c>
      <c r="F5440" s="3">
        <f t="shared" si="3787"/>
        <v>43467</v>
      </c>
      <c r="G5440" s="1">
        <f t="shared" si="3767"/>
        <v>194744</v>
      </c>
      <c r="H5440" s="2">
        <f t="shared" si="3768"/>
        <v>0.77679928521546238</v>
      </c>
      <c r="I5440" s="2">
        <f t="shared" si="3769"/>
        <v>0.22320071478453765</v>
      </c>
      <c r="J5440" s="3">
        <f t="shared" ref="J5440:K5440" si="3788">SUM(J640+J1600+J2560+J3520+J4480)</f>
        <v>44172.969999999994</v>
      </c>
      <c r="K5440" s="3">
        <f t="shared" si="3788"/>
        <v>50313.99</v>
      </c>
      <c r="L5440" s="1">
        <f t="shared" si="3661"/>
        <v>94486.959999999992</v>
      </c>
      <c r="M5440" s="2">
        <f t="shared" si="3662"/>
        <v>0.46750334649352671</v>
      </c>
      <c r="N5440" s="2">
        <f t="shared" si="3663"/>
        <v>0.53249665350647335</v>
      </c>
    </row>
    <row r="5441" spans="1:14" x14ac:dyDescent="0.35">
      <c r="A5441" t="s">
        <v>38</v>
      </c>
      <c r="B5441" t="s">
        <v>21</v>
      </c>
      <c r="C5441">
        <v>2007</v>
      </c>
      <c r="D5441" t="s">
        <v>32</v>
      </c>
      <c r="E5441" s="3">
        <f t="shared" ref="E5441:F5441" si="3789">SUM(E641+E1601+E2561+E3521+E4481)</f>
        <v>145213</v>
      </c>
      <c r="F5441" s="3">
        <f t="shared" si="3789"/>
        <v>41225</v>
      </c>
      <c r="G5441" s="1">
        <f t="shared" si="3767"/>
        <v>186438</v>
      </c>
      <c r="H5441" s="2">
        <f t="shared" si="3768"/>
        <v>0.77888091483495858</v>
      </c>
      <c r="I5441" s="2">
        <f t="shared" si="3769"/>
        <v>0.22111908516504147</v>
      </c>
      <c r="J5441" s="3">
        <f t="shared" ref="J5441:K5441" si="3790">SUM(J641+J1601+J2561+J3521+J4481)</f>
        <v>43006.078999999998</v>
      </c>
      <c r="K5441" s="3">
        <f t="shared" si="3790"/>
        <v>48438.695</v>
      </c>
      <c r="L5441" s="1">
        <f t="shared" si="3661"/>
        <v>91444.774000000005</v>
      </c>
      <c r="M5441" s="2">
        <f t="shared" si="3662"/>
        <v>0.47029564532577878</v>
      </c>
      <c r="N5441" s="2">
        <f t="shared" si="3663"/>
        <v>0.52970435467422117</v>
      </c>
    </row>
    <row r="5442" spans="1:14" x14ac:dyDescent="0.35">
      <c r="A5442" t="s">
        <v>38</v>
      </c>
      <c r="B5442" t="s">
        <v>22</v>
      </c>
      <c r="C5442">
        <v>2007</v>
      </c>
      <c r="D5442" t="s">
        <v>32</v>
      </c>
      <c r="E5442" s="3">
        <f t="shared" ref="E5442:F5442" si="3791">SUM(E642+E1602+E2562+E3522+E4482)</f>
        <v>148951</v>
      </c>
      <c r="F5442" s="3">
        <f t="shared" si="3791"/>
        <v>44399</v>
      </c>
      <c r="G5442" s="1">
        <f t="shared" si="3767"/>
        <v>193350</v>
      </c>
      <c r="H5442" s="2">
        <f t="shared" si="3768"/>
        <v>0.7703697957072666</v>
      </c>
      <c r="I5442" s="2">
        <f t="shared" si="3769"/>
        <v>0.2296302042927334</v>
      </c>
      <c r="J5442" s="3">
        <f t="shared" ref="J5442:K5442" si="3792">SUM(J642+J1602+J2562+J3522+J4482)</f>
        <v>43321.619999999995</v>
      </c>
      <c r="K5442" s="3">
        <f t="shared" si="3792"/>
        <v>51705.408000000003</v>
      </c>
      <c r="L5442" s="1">
        <f t="shared" si="3661"/>
        <v>95027.027999999991</v>
      </c>
      <c r="M5442" s="2">
        <f t="shared" si="3662"/>
        <v>0.4558873502810169</v>
      </c>
      <c r="N5442" s="2">
        <f t="shared" si="3663"/>
        <v>0.54411264971898321</v>
      </c>
    </row>
    <row r="5443" spans="1:14" x14ac:dyDescent="0.35">
      <c r="A5443" t="s">
        <v>38</v>
      </c>
      <c r="B5443" t="s">
        <v>23</v>
      </c>
      <c r="C5443">
        <v>2007</v>
      </c>
      <c r="D5443" t="s">
        <v>32</v>
      </c>
      <c r="E5443" s="3">
        <f t="shared" ref="E5443:F5443" si="3793">SUM(E643+E1603+E2563+E3523+E4483)</f>
        <v>145205</v>
      </c>
      <c r="F5443" s="3">
        <f t="shared" si="3793"/>
        <v>43496</v>
      </c>
      <c r="G5443" s="1">
        <f t="shared" si="3767"/>
        <v>188701</v>
      </c>
      <c r="H5443" s="2">
        <f t="shared" si="3768"/>
        <v>0.76949777690632271</v>
      </c>
      <c r="I5443" s="2">
        <f t="shared" si="3769"/>
        <v>0.23050222309367729</v>
      </c>
      <c r="J5443" s="3">
        <f t="shared" ref="J5443:K5443" si="3794">SUM(J643+J1603+J2563+J3523+J4483)</f>
        <v>42715.136999999995</v>
      </c>
      <c r="K5443" s="3">
        <f t="shared" si="3794"/>
        <v>50421.694000000003</v>
      </c>
      <c r="L5443" s="1">
        <f t="shared" ref="L5443:L5506" si="3795">SUM(J5443:K5443)</f>
        <v>93136.831000000006</v>
      </c>
      <c r="M5443" s="2">
        <f t="shared" ref="M5443:M5506" si="3796">SUM(J5443)/L5443</f>
        <v>0.45862776885762835</v>
      </c>
      <c r="N5443" s="2">
        <f t="shared" ref="N5443:N5506" si="3797">SUM(K5443/L5443)</f>
        <v>0.54137223114237154</v>
      </c>
    </row>
    <row r="5444" spans="1:14" x14ac:dyDescent="0.35">
      <c r="A5444" t="s">
        <v>38</v>
      </c>
      <c r="B5444" t="s">
        <v>24</v>
      </c>
      <c r="C5444">
        <v>2007</v>
      </c>
      <c r="D5444" t="s">
        <v>32</v>
      </c>
      <c r="E5444" s="3">
        <f t="shared" ref="E5444:F5444" si="3798">SUM(E644+E1604+E2564+E3524+E4484)</f>
        <v>140737</v>
      </c>
      <c r="F5444" s="3">
        <f t="shared" si="3798"/>
        <v>43834</v>
      </c>
      <c r="G5444" s="1">
        <f t="shared" si="3767"/>
        <v>184571</v>
      </c>
      <c r="H5444" s="2">
        <f t="shared" si="3768"/>
        <v>0.7625087364753943</v>
      </c>
      <c r="I5444" s="2">
        <f t="shared" si="3769"/>
        <v>0.2374912635246057</v>
      </c>
      <c r="J5444" s="3">
        <f t="shared" ref="J5444:K5444" si="3799">SUM(J644+J1604+J2564+J3524+J4484)</f>
        <v>42349.430000000008</v>
      </c>
      <c r="K5444" s="3">
        <f t="shared" si="3799"/>
        <v>50739.63</v>
      </c>
      <c r="L5444" s="1">
        <f t="shared" si="3795"/>
        <v>93089.06</v>
      </c>
      <c r="M5444" s="2">
        <f t="shared" si="3796"/>
        <v>0.45493455407112293</v>
      </c>
      <c r="N5444" s="2">
        <f t="shared" si="3797"/>
        <v>0.54506544592887718</v>
      </c>
    </row>
    <row r="5445" spans="1:14" x14ac:dyDescent="0.35">
      <c r="A5445" t="s">
        <v>38</v>
      </c>
      <c r="B5445" t="s">
        <v>25</v>
      </c>
      <c r="C5445">
        <v>2007</v>
      </c>
      <c r="D5445" t="s">
        <v>32</v>
      </c>
      <c r="E5445" s="3">
        <f t="shared" ref="E5445:F5445" si="3800">SUM(E645+E1605+E2565+E3525+E4485)</f>
        <v>142857</v>
      </c>
      <c r="F5445" s="3">
        <f t="shared" si="3800"/>
        <v>46460</v>
      </c>
      <c r="G5445" s="1">
        <f t="shared" si="3767"/>
        <v>189317</v>
      </c>
      <c r="H5445" s="2">
        <f t="shared" si="3768"/>
        <v>0.75459150525309404</v>
      </c>
      <c r="I5445" s="2">
        <f t="shared" si="3769"/>
        <v>0.24540849474690599</v>
      </c>
      <c r="J5445" s="3">
        <f t="shared" ref="J5445:K5445" si="3801">SUM(J645+J1605+J2565+J3525+J4485)</f>
        <v>42423.27</v>
      </c>
      <c r="K5445" s="3">
        <f t="shared" si="3801"/>
        <v>52513.240000000005</v>
      </c>
      <c r="L5445" s="1">
        <f t="shared" si="3795"/>
        <v>94936.510000000009</v>
      </c>
      <c r="M5445" s="2">
        <f t="shared" si="3796"/>
        <v>0.44685938002144793</v>
      </c>
      <c r="N5445" s="2">
        <f t="shared" si="3797"/>
        <v>0.55314061997855202</v>
      </c>
    </row>
    <row r="5446" spans="1:14" x14ac:dyDescent="0.35">
      <c r="A5446" t="s">
        <v>38</v>
      </c>
      <c r="B5446" t="s">
        <v>26</v>
      </c>
      <c r="C5446">
        <v>2007</v>
      </c>
      <c r="D5446" t="s">
        <v>32</v>
      </c>
      <c r="E5446" s="3">
        <f t="shared" ref="E5446:F5446" si="3802">SUM(E646+E1606+E2566+E3526+E4486)</f>
        <v>133340</v>
      </c>
      <c r="F5446" s="3">
        <f t="shared" si="3802"/>
        <v>42428</v>
      </c>
      <c r="G5446" s="1">
        <f t="shared" si="3767"/>
        <v>175768</v>
      </c>
      <c r="H5446" s="2">
        <f t="shared" si="3768"/>
        <v>0.75861362705384372</v>
      </c>
      <c r="I5446" s="2">
        <f t="shared" si="3769"/>
        <v>0.24138637294615631</v>
      </c>
      <c r="J5446" s="3">
        <f t="shared" ref="J5446:K5446" si="3803">SUM(J646+J1606+J2566+J3526+J4486)</f>
        <v>41068.86</v>
      </c>
      <c r="K5446" s="3">
        <f t="shared" si="3803"/>
        <v>49561.34</v>
      </c>
      <c r="L5446" s="1">
        <f t="shared" si="3795"/>
        <v>90630.2</v>
      </c>
      <c r="M5446" s="2">
        <f t="shared" si="3796"/>
        <v>0.4531476262879261</v>
      </c>
      <c r="N5446" s="2">
        <f t="shared" si="3797"/>
        <v>0.54685237371207385</v>
      </c>
    </row>
    <row r="5447" spans="1:14" x14ac:dyDescent="0.35">
      <c r="A5447" t="s">
        <v>38</v>
      </c>
      <c r="B5447" t="s">
        <v>27</v>
      </c>
      <c r="C5447">
        <v>2007</v>
      </c>
      <c r="D5447" t="s">
        <v>32</v>
      </c>
      <c r="E5447" s="3">
        <f t="shared" ref="E5447:F5447" si="3804">SUM(E647+E1607+E2567+E3527+E4487)</f>
        <v>136199</v>
      </c>
      <c r="F5447" s="3">
        <f t="shared" si="3804"/>
        <v>45315</v>
      </c>
      <c r="G5447" s="1">
        <f t="shared" si="3767"/>
        <v>181514</v>
      </c>
      <c r="H5447" s="2">
        <f t="shared" si="3768"/>
        <v>0.75034983527441412</v>
      </c>
      <c r="I5447" s="2">
        <f t="shared" si="3769"/>
        <v>0.2496501647255859</v>
      </c>
      <c r="J5447" s="3">
        <f t="shared" ref="J5447:K5447" si="3805">SUM(J647+J1607+J2567+J3527+J4487)</f>
        <v>41358.480000000003</v>
      </c>
      <c r="K5447" s="3">
        <f t="shared" si="3805"/>
        <v>51375.95</v>
      </c>
      <c r="L5447" s="1">
        <f t="shared" si="3795"/>
        <v>92734.43</v>
      </c>
      <c r="M5447" s="2">
        <f t="shared" si="3796"/>
        <v>0.44598839934639167</v>
      </c>
      <c r="N5447" s="2">
        <f t="shared" si="3797"/>
        <v>0.55401160065360844</v>
      </c>
    </row>
    <row r="5448" spans="1:14" x14ac:dyDescent="0.35">
      <c r="A5448" t="s">
        <v>38</v>
      </c>
      <c r="B5448" t="s">
        <v>28</v>
      </c>
      <c r="C5448">
        <v>2007</v>
      </c>
      <c r="D5448" t="s">
        <v>32</v>
      </c>
      <c r="E5448" s="3">
        <f t="shared" ref="E5448:F5448" si="3806">SUM(E648+E1608+E2568+E3528+E4488)</f>
        <v>135302</v>
      </c>
      <c r="F5448" s="3">
        <f t="shared" si="3806"/>
        <v>45626</v>
      </c>
      <c r="G5448" s="1">
        <f t="shared" si="3767"/>
        <v>180928</v>
      </c>
      <c r="H5448" s="2">
        <f t="shared" si="3768"/>
        <v>0.74782233816766885</v>
      </c>
      <c r="I5448" s="2">
        <f t="shared" si="3769"/>
        <v>0.25217766183233109</v>
      </c>
      <c r="J5448" s="3">
        <f t="shared" ref="J5448:K5448" si="3807">SUM(J648+J1608+J2568+J3528+J4488)</f>
        <v>41027.380000000005</v>
      </c>
      <c r="K5448" s="3">
        <f t="shared" si="3807"/>
        <v>51743</v>
      </c>
      <c r="L5448" s="1">
        <f t="shared" si="3795"/>
        <v>92770.38</v>
      </c>
      <c r="M5448" s="2">
        <f t="shared" si="3796"/>
        <v>0.44224654464064933</v>
      </c>
      <c r="N5448" s="2">
        <f t="shared" si="3797"/>
        <v>0.55775345535935061</v>
      </c>
    </row>
    <row r="5449" spans="1:14" x14ac:dyDescent="0.35">
      <c r="A5449" t="s">
        <v>38</v>
      </c>
      <c r="B5449" t="s">
        <v>29</v>
      </c>
      <c r="C5449">
        <v>2007</v>
      </c>
      <c r="D5449" t="s">
        <v>32</v>
      </c>
      <c r="E5449" s="3">
        <f t="shared" ref="E5449:F5449" si="3808">SUM(E649+E1609+E2569+E3529+E4489)</f>
        <v>134353</v>
      </c>
      <c r="F5449" s="3">
        <f t="shared" si="3808"/>
        <v>46047</v>
      </c>
      <c r="G5449" s="1">
        <f t="shared" si="3767"/>
        <v>180400</v>
      </c>
      <c r="H5449" s="2">
        <f t="shared" si="3768"/>
        <v>0.74475055432372506</v>
      </c>
      <c r="I5449" s="2">
        <f t="shared" si="3769"/>
        <v>0.25524944567627494</v>
      </c>
      <c r="J5449" s="3">
        <f t="shared" ref="J5449:K5449" si="3809">SUM(J649+J1609+J2569+J3529+J4489)</f>
        <v>41081.050000000003</v>
      </c>
      <c r="K5449" s="3">
        <f t="shared" si="3809"/>
        <v>53467.26</v>
      </c>
      <c r="L5449" s="1">
        <f t="shared" si="3795"/>
        <v>94548.31</v>
      </c>
      <c r="M5449" s="2">
        <f t="shared" si="3796"/>
        <v>0.43449798309456833</v>
      </c>
      <c r="N5449" s="2">
        <f t="shared" si="3797"/>
        <v>0.56550201690543178</v>
      </c>
    </row>
    <row r="5450" spans="1:14" x14ac:dyDescent="0.35">
      <c r="A5450" t="s">
        <v>38</v>
      </c>
      <c r="B5450" t="s">
        <v>17</v>
      </c>
      <c r="C5450">
        <v>2008</v>
      </c>
      <c r="D5450" t="s">
        <v>32</v>
      </c>
      <c r="E5450" s="3">
        <f t="shared" ref="E5450:F5450" si="3810">SUM(E650+E1610+E2570+E3530+E4490)</f>
        <v>133362</v>
      </c>
      <c r="F5450" s="3">
        <f t="shared" si="3810"/>
        <v>46516</v>
      </c>
      <c r="G5450" s="1">
        <f t="shared" si="3767"/>
        <v>179878</v>
      </c>
      <c r="H5450" s="2">
        <f t="shared" si="3768"/>
        <v>0.74140250614305248</v>
      </c>
      <c r="I5450" s="2">
        <f t="shared" si="3769"/>
        <v>0.25859749385694747</v>
      </c>
      <c r="J5450" s="3">
        <f t="shared" ref="J5450:K5450" si="3811">SUM(J650+J1610+J2570+J3530+J4490)</f>
        <v>41039.840000000004</v>
      </c>
      <c r="K5450" s="3">
        <f t="shared" si="3811"/>
        <v>55773.81</v>
      </c>
      <c r="L5450" s="1">
        <f t="shared" si="3795"/>
        <v>96813.65</v>
      </c>
      <c r="M5450" s="2">
        <f t="shared" si="3796"/>
        <v>0.42390551332379273</v>
      </c>
      <c r="N5450" s="2">
        <f t="shared" si="3797"/>
        <v>0.57609448667620733</v>
      </c>
    </row>
    <row r="5451" spans="1:14" x14ac:dyDescent="0.35">
      <c r="A5451" t="s">
        <v>38</v>
      </c>
      <c r="B5451" t="s">
        <v>19</v>
      </c>
      <c r="C5451">
        <v>2008</v>
      </c>
      <c r="D5451" t="s">
        <v>32</v>
      </c>
      <c r="E5451" s="3">
        <f t="shared" ref="E5451:F5451" si="3812">SUM(E651+E1611+E2571+E3531+E4491)</f>
        <v>132556</v>
      </c>
      <c r="F5451" s="3">
        <f t="shared" si="3812"/>
        <v>46608</v>
      </c>
      <c r="G5451" s="1">
        <f t="shared" si="3767"/>
        <v>179164</v>
      </c>
      <c r="H5451" s="2">
        <f t="shared" si="3768"/>
        <v>0.73985845370721792</v>
      </c>
      <c r="I5451" s="2">
        <f t="shared" si="3769"/>
        <v>0.26014154629278202</v>
      </c>
      <c r="J5451" s="3">
        <f t="shared" ref="J5451:K5451" si="3813">SUM(J651+J1611+J2571+J3531+J4491)</f>
        <v>39786.980000000003</v>
      </c>
      <c r="K5451" s="3">
        <f t="shared" si="3813"/>
        <v>53471.97</v>
      </c>
      <c r="L5451" s="1">
        <f t="shared" si="3795"/>
        <v>93258.950000000012</v>
      </c>
      <c r="M5451" s="2">
        <f t="shared" si="3796"/>
        <v>0.42662907956823443</v>
      </c>
      <c r="N5451" s="2">
        <f t="shared" si="3797"/>
        <v>0.57337092043176552</v>
      </c>
    </row>
    <row r="5452" spans="1:14" x14ac:dyDescent="0.35">
      <c r="A5452" t="s">
        <v>38</v>
      </c>
      <c r="B5452" t="s">
        <v>20</v>
      </c>
      <c r="C5452">
        <v>2008</v>
      </c>
      <c r="D5452" t="s">
        <v>32</v>
      </c>
      <c r="E5452" s="3">
        <f t="shared" ref="E5452:F5452" si="3814">SUM(E652+E1612+E2572+E3532+E4492)</f>
        <v>131806</v>
      </c>
      <c r="F5452" s="3">
        <f t="shared" si="3814"/>
        <v>46815</v>
      </c>
      <c r="G5452" s="1">
        <f t="shared" si="3767"/>
        <v>178621</v>
      </c>
      <c r="H5452" s="2">
        <f t="shared" si="3768"/>
        <v>0.73790875652918753</v>
      </c>
      <c r="I5452" s="2">
        <f t="shared" si="3769"/>
        <v>0.26209124347081253</v>
      </c>
      <c r="J5452" s="3">
        <f t="shared" ref="J5452:K5452" si="3815">SUM(J652+J1612+J2572+J3532+J4492)</f>
        <v>39303.15</v>
      </c>
      <c r="K5452" s="3">
        <f t="shared" si="3815"/>
        <v>53428.73</v>
      </c>
      <c r="L5452" s="1">
        <f t="shared" si="3795"/>
        <v>92731.88</v>
      </c>
      <c r="M5452" s="2">
        <f t="shared" si="3796"/>
        <v>0.42383644114623792</v>
      </c>
      <c r="N5452" s="2">
        <f t="shared" si="3797"/>
        <v>0.57616355885376203</v>
      </c>
    </row>
    <row r="5453" spans="1:14" x14ac:dyDescent="0.35">
      <c r="A5453" t="s">
        <v>38</v>
      </c>
      <c r="B5453" t="s">
        <v>21</v>
      </c>
      <c r="C5453">
        <v>2008</v>
      </c>
      <c r="D5453" t="s">
        <v>32</v>
      </c>
      <c r="E5453" s="3">
        <f t="shared" ref="E5453:F5453" si="3816">SUM(E653+E1613+E2573+E3533+E4493)</f>
        <v>131025</v>
      </c>
      <c r="F5453" s="3">
        <f t="shared" si="3816"/>
        <v>47118</v>
      </c>
      <c r="G5453" s="1">
        <f t="shared" si="3767"/>
        <v>178143</v>
      </c>
      <c r="H5453" s="2">
        <f t="shared" si="3768"/>
        <v>0.73550462269075967</v>
      </c>
      <c r="I5453" s="2">
        <f t="shared" si="3769"/>
        <v>0.26449537730924033</v>
      </c>
      <c r="J5453" s="3">
        <f t="shared" ref="J5453:K5453" si="3817">SUM(J653+J1613+J2573+J3533+J4493)</f>
        <v>39222.200000000004</v>
      </c>
      <c r="K5453" s="3">
        <f t="shared" si="3817"/>
        <v>53512.659999999996</v>
      </c>
      <c r="L5453" s="1">
        <f t="shared" si="3795"/>
        <v>92734.86</v>
      </c>
      <c r="M5453" s="2">
        <f t="shared" si="3796"/>
        <v>0.4229499025501306</v>
      </c>
      <c r="N5453" s="2">
        <f t="shared" si="3797"/>
        <v>0.57705009744986935</v>
      </c>
    </row>
    <row r="5454" spans="1:14" x14ac:dyDescent="0.35">
      <c r="A5454" t="s">
        <v>38</v>
      </c>
      <c r="B5454" t="s">
        <v>22</v>
      </c>
      <c r="C5454">
        <v>2008</v>
      </c>
      <c r="D5454" t="s">
        <v>32</v>
      </c>
      <c r="E5454" s="3">
        <f t="shared" ref="E5454:F5454" si="3818">SUM(E654+E1614+E2574+E3534+E4494)</f>
        <v>130450</v>
      </c>
      <c r="F5454" s="3">
        <f t="shared" si="3818"/>
        <v>47583</v>
      </c>
      <c r="G5454" s="1">
        <f t="shared" si="3767"/>
        <v>178033</v>
      </c>
      <c r="H5454" s="2">
        <f t="shared" si="3768"/>
        <v>0.73272932546213343</v>
      </c>
      <c r="I5454" s="2">
        <f t="shared" si="3769"/>
        <v>0.26727067453786657</v>
      </c>
      <c r="J5454" s="3">
        <f t="shared" ref="J5454:K5454" si="3819">SUM(J654+J1614+J2574+J3534+J4494)</f>
        <v>39041.35</v>
      </c>
      <c r="K5454" s="3">
        <f t="shared" si="3819"/>
        <v>53336.959999999999</v>
      </c>
      <c r="L5454" s="1">
        <f t="shared" si="3795"/>
        <v>92378.31</v>
      </c>
      <c r="M5454" s="2">
        <f t="shared" si="3796"/>
        <v>0.42262463991817995</v>
      </c>
      <c r="N5454" s="2">
        <f t="shared" si="3797"/>
        <v>0.57737536008182011</v>
      </c>
    </row>
    <row r="5455" spans="1:14" x14ac:dyDescent="0.35">
      <c r="A5455" t="s">
        <v>38</v>
      </c>
      <c r="B5455" t="s">
        <v>23</v>
      </c>
      <c r="C5455">
        <v>2008</v>
      </c>
      <c r="D5455" t="s">
        <v>32</v>
      </c>
      <c r="E5455" s="3">
        <f t="shared" ref="E5455:F5455" si="3820">SUM(E655+E1615+E2575+E3535+E4495)</f>
        <v>128688</v>
      </c>
      <c r="F5455" s="3">
        <f t="shared" si="3820"/>
        <v>47969</v>
      </c>
      <c r="G5455" s="1">
        <f t="shared" si="3767"/>
        <v>176657</v>
      </c>
      <c r="H5455" s="2">
        <f t="shared" si="3768"/>
        <v>0.72846250077834451</v>
      </c>
      <c r="I5455" s="2">
        <f t="shared" si="3769"/>
        <v>0.27153749922165554</v>
      </c>
      <c r="J5455" s="3">
        <f t="shared" ref="J5455:K5455" si="3821">SUM(J655+J1615+J2575+J3535+J4495)</f>
        <v>38940.270000000004</v>
      </c>
      <c r="K5455" s="3">
        <f t="shared" si="3821"/>
        <v>53842.95</v>
      </c>
      <c r="L5455" s="1">
        <f t="shared" si="3795"/>
        <v>92783.22</v>
      </c>
      <c r="M5455" s="2">
        <f t="shared" si="3796"/>
        <v>0.41969086651659648</v>
      </c>
      <c r="N5455" s="2">
        <f t="shared" si="3797"/>
        <v>0.58030913348340352</v>
      </c>
    </row>
    <row r="5456" spans="1:14" x14ac:dyDescent="0.35">
      <c r="A5456" t="s">
        <v>38</v>
      </c>
      <c r="B5456" t="s">
        <v>24</v>
      </c>
      <c r="C5456">
        <v>2008</v>
      </c>
      <c r="D5456" t="s">
        <v>32</v>
      </c>
      <c r="E5456" s="3">
        <f t="shared" ref="E5456:F5456" si="3822">SUM(E656+E1616+E2576+E3536+E4496)</f>
        <v>127154</v>
      </c>
      <c r="F5456" s="3">
        <f t="shared" si="3822"/>
        <v>48262</v>
      </c>
      <c r="G5456" s="1">
        <f t="shared" si="3767"/>
        <v>175416</v>
      </c>
      <c r="H5456" s="2">
        <f t="shared" si="3768"/>
        <v>0.72487116340584667</v>
      </c>
      <c r="I5456" s="2">
        <f t="shared" si="3769"/>
        <v>0.27512883659415333</v>
      </c>
      <c r="J5456" s="3">
        <f t="shared" ref="J5456:K5456" si="3823">SUM(J656+J1616+J2576+J3536+J4496)</f>
        <v>38448.565000000002</v>
      </c>
      <c r="K5456" s="3">
        <f t="shared" si="3823"/>
        <v>53979.697</v>
      </c>
      <c r="L5456" s="1">
        <f t="shared" si="3795"/>
        <v>92428.262000000002</v>
      </c>
      <c r="M5456" s="2">
        <f t="shared" si="3796"/>
        <v>0.4159827759176084</v>
      </c>
      <c r="N5456" s="2">
        <f t="shared" si="3797"/>
        <v>0.58401722408239154</v>
      </c>
    </row>
    <row r="5457" spans="1:14" x14ac:dyDescent="0.35">
      <c r="A5457" t="s">
        <v>38</v>
      </c>
      <c r="B5457" t="s">
        <v>25</v>
      </c>
      <c r="C5457">
        <v>2008</v>
      </c>
      <c r="D5457" t="s">
        <v>32</v>
      </c>
      <c r="E5457" s="3">
        <f t="shared" ref="E5457:F5457" si="3824">SUM(E657+E1617+E2577+E3537+E4497)</f>
        <v>126059</v>
      </c>
      <c r="F5457" s="3">
        <f t="shared" si="3824"/>
        <v>48545</v>
      </c>
      <c r="G5457" s="1">
        <f t="shared" si="3767"/>
        <v>174604</v>
      </c>
      <c r="H5457" s="2">
        <f t="shared" si="3768"/>
        <v>0.72197085977411746</v>
      </c>
      <c r="I5457" s="2">
        <f t="shared" si="3769"/>
        <v>0.27802914022588254</v>
      </c>
      <c r="J5457" s="3">
        <f t="shared" ref="J5457:K5457" si="3825">SUM(J657+J1617+J2577+J3537+J4497)</f>
        <v>38269.665999999997</v>
      </c>
      <c r="K5457" s="3">
        <f t="shared" si="3825"/>
        <v>54065.929999999993</v>
      </c>
      <c r="L5457" s="1">
        <f t="shared" si="3795"/>
        <v>92335.59599999999</v>
      </c>
      <c r="M5457" s="2">
        <f t="shared" si="3796"/>
        <v>0.4144627603854964</v>
      </c>
      <c r="N5457" s="2">
        <f t="shared" si="3797"/>
        <v>0.58553723961450355</v>
      </c>
    </row>
    <row r="5458" spans="1:14" x14ac:dyDescent="0.35">
      <c r="A5458" t="s">
        <v>38</v>
      </c>
      <c r="B5458" t="s">
        <v>26</v>
      </c>
      <c r="C5458">
        <v>2008</v>
      </c>
      <c r="D5458" t="s">
        <v>32</v>
      </c>
      <c r="E5458" s="3">
        <f t="shared" ref="E5458:F5458" si="3826">SUM(E658+E1618+E2578+E3538+E4498)</f>
        <v>124933</v>
      </c>
      <c r="F5458" s="3">
        <f t="shared" si="3826"/>
        <v>48732</v>
      </c>
      <c r="G5458" s="1">
        <f t="shared" si="3767"/>
        <v>173665</v>
      </c>
      <c r="H5458" s="2">
        <f t="shared" si="3768"/>
        <v>0.71939078110154608</v>
      </c>
      <c r="I5458" s="2">
        <f t="shared" si="3769"/>
        <v>0.28060921889845392</v>
      </c>
      <c r="J5458" s="3">
        <f t="shared" ref="J5458:K5458" si="3827">SUM(J658+J1618+J2578+J3538+J4498)</f>
        <v>37639.53</v>
      </c>
      <c r="K5458" s="3">
        <f t="shared" si="3827"/>
        <v>54260.726999999999</v>
      </c>
      <c r="L5458" s="1">
        <f t="shared" si="3795"/>
        <v>91900.256999999998</v>
      </c>
      <c r="M5458" s="2">
        <f t="shared" si="3796"/>
        <v>0.40956936605737676</v>
      </c>
      <c r="N5458" s="2">
        <f t="shared" si="3797"/>
        <v>0.5904306339426233</v>
      </c>
    </row>
    <row r="5459" spans="1:14" x14ac:dyDescent="0.35">
      <c r="A5459" t="s">
        <v>38</v>
      </c>
      <c r="B5459" t="s">
        <v>27</v>
      </c>
      <c r="C5459">
        <v>2008</v>
      </c>
      <c r="D5459" t="s">
        <v>32</v>
      </c>
      <c r="E5459" s="3">
        <f t="shared" ref="E5459:F5459" si="3828">SUM(E659+E1619+E2579+E3539+E4499)</f>
        <v>123877</v>
      </c>
      <c r="F5459" s="3">
        <f t="shared" si="3828"/>
        <v>49084</v>
      </c>
      <c r="G5459" s="1">
        <f t="shared" si="3767"/>
        <v>172961</v>
      </c>
      <c r="H5459" s="2">
        <f t="shared" si="3768"/>
        <v>0.7162134816519331</v>
      </c>
      <c r="I5459" s="2">
        <f t="shared" si="3769"/>
        <v>0.2837865183480669</v>
      </c>
      <c r="J5459" s="3">
        <f t="shared" ref="J5459:K5459" si="3829">SUM(J659+J1619+J2579+J3539+J4499)</f>
        <v>37183.019999999997</v>
      </c>
      <c r="K5459" s="3">
        <f t="shared" si="3829"/>
        <v>55122.009999999995</v>
      </c>
      <c r="L5459" s="1">
        <f t="shared" si="3795"/>
        <v>92305.03</v>
      </c>
      <c r="M5459" s="2">
        <f t="shared" si="3796"/>
        <v>0.40282766822133093</v>
      </c>
      <c r="N5459" s="2">
        <f t="shared" si="3797"/>
        <v>0.59717233177866902</v>
      </c>
    </row>
    <row r="5460" spans="1:14" x14ac:dyDescent="0.35">
      <c r="A5460" t="s">
        <v>38</v>
      </c>
      <c r="B5460" t="s">
        <v>28</v>
      </c>
      <c r="C5460">
        <v>2008</v>
      </c>
      <c r="D5460" t="s">
        <v>32</v>
      </c>
      <c r="E5460" s="3">
        <f t="shared" ref="E5460:F5460" si="3830">SUM(E660+E1620+E2580+E3540+E4500)</f>
        <v>122783</v>
      </c>
      <c r="F5460" s="3">
        <f t="shared" si="3830"/>
        <v>49677</v>
      </c>
      <c r="G5460" s="1">
        <f t="shared" si="3767"/>
        <v>172460</v>
      </c>
      <c r="H5460" s="2">
        <f t="shared" si="3768"/>
        <v>0.7119505972399397</v>
      </c>
      <c r="I5460" s="2">
        <f t="shared" si="3769"/>
        <v>0.2880494027600603</v>
      </c>
      <c r="J5460" s="3">
        <f t="shared" ref="J5460:K5460" si="3831">SUM(J660+J1620+J2580+J3540+J4500)</f>
        <v>36860.439999999995</v>
      </c>
      <c r="K5460" s="3">
        <f t="shared" si="3831"/>
        <v>55564.25</v>
      </c>
      <c r="L5460" s="1">
        <f t="shared" si="3795"/>
        <v>92424.69</v>
      </c>
      <c r="M5460" s="2">
        <f t="shared" si="3796"/>
        <v>0.39881594409459198</v>
      </c>
      <c r="N5460" s="2">
        <f t="shared" si="3797"/>
        <v>0.60118405590540791</v>
      </c>
    </row>
    <row r="5461" spans="1:14" x14ac:dyDescent="0.35">
      <c r="A5461" t="s">
        <v>38</v>
      </c>
      <c r="B5461" t="s">
        <v>29</v>
      </c>
      <c r="C5461">
        <v>2008</v>
      </c>
      <c r="D5461" t="s">
        <v>32</v>
      </c>
      <c r="E5461" s="3">
        <f t="shared" ref="E5461:F5461" si="3832">SUM(E661+E1621+E2581+E3541+E4501)</f>
        <v>121874</v>
      </c>
      <c r="F5461" s="3">
        <f t="shared" si="3832"/>
        <v>50299</v>
      </c>
      <c r="G5461" s="1">
        <f t="shared" si="3767"/>
        <v>172173</v>
      </c>
      <c r="H5461" s="2">
        <f t="shared" si="3768"/>
        <v>0.70785779419537331</v>
      </c>
      <c r="I5461" s="2">
        <f t="shared" si="3769"/>
        <v>0.29214220580462674</v>
      </c>
      <c r="J5461" s="3">
        <f t="shared" ref="J5461:K5461" si="3833">SUM(J661+J1621+J2581+J3541+J4501)</f>
        <v>36985.340000000004</v>
      </c>
      <c r="K5461" s="3">
        <f t="shared" si="3833"/>
        <v>56443.219999999994</v>
      </c>
      <c r="L5461" s="1">
        <f t="shared" si="3795"/>
        <v>93428.56</v>
      </c>
      <c r="M5461" s="2">
        <f t="shared" si="3796"/>
        <v>0.39586760194099113</v>
      </c>
      <c r="N5461" s="2">
        <f t="shared" si="3797"/>
        <v>0.60413239805900887</v>
      </c>
    </row>
    <row r="5462" spans="1:14" x14ac:dyDescent="0.35">
      <c r="A5462" t="s">
        <v>38</v>
      </c>
      <c r="B5462" t="s">
        <v>17</v>
      </c>
      <c r="C5462">
        <v>2009</v>
      </c>
      <c r="D5462" t="s">
        <v>32</v>
      </c>
      <c r="E5462" s="3">
        <f t="shared" ref="E5462:F5462" si="3834">SUM(E662+E1622+E2582+E3542+E4502)</f>
        <v>120720</v>
      </c>
      <c r="F5462" s="3">
        <f t="shared" si="3834"/>
        <v>49777</v>
      </c>
      <c r="G5462" s="1">
        <f t="shared" si="3767"/>
        <v>170497</v>
      </c>
      <c r="H5462" s="2">
        <f t="shared" si="3768"/>
        <v>0.70804764893223926</v>
      </c>
      <c r="I5462" s="2">
        <f t="shared" si="3769"/>
        <v>0.29195235106776074</v>
      </c>
      <c r="J5462" s="3">
        <f t="shared" ref="J5462:K5462" si="3835">SUM(J662+J1622+J2582+J3542+J4502)</f>
        <v>37549.949999999997</v>
      </c>
      <c r="K5462" s="3">
        <f t="shared" si="3835"/>
        <v>58437.200000000004</v>
      </c>
      <c r="L5462" s="1">
        <f t="shared" si="3795"/>
        <v>95987.15</v>
      </c>
      <c r="M5462" s="2">
        <f t="shared" si="3796"/>
        <v>0.39119767593891475</v>
      </c>
      <c r="N5462" s="2">
        <f t="shared" si="3797"/>
        <v>0.60880232406108536</v>
      </c>
    </row>
    <row r="5463" spans="1:14" x14ac:dyDescent="0.35">
      <c r="A5463" t="s">
        <v>38</v>
      </c>
      <c r="B5463" t="s">
        <v>19</v>
      </c>
      <c r="C5463">
        <v>2009</v>
      </c>
      <c r="D5463" t="s">
        <v>32</v>
      </c>
      <c r="E5463" s="3">
        <f t="shared" ref="E5463:F5463" si="3836">SUM(E663+E1623+E2583+E3543+E4503)</f>
        <v>119628</v>
      </c>
      <c r="F5463" s="3">
        <f t="shared" si="3836"/>
        <v>50224</v>
      </c>
      <c r="G5463" s="1">
        <f t="shared" si="3767"/>
        <v>169852</v>
      </c>
      <c r="H5463" s="2">
        <f t="shared" si="3768"/>
        <v>0.70430727927843062</v>
      </c>
      <c r="I5463" s="2">
        <f t="shared" si="3769"/>
        <v>0.29569272072156938</v>
      </c>
      <c r="J5463" s="3">
        <f t="shared" ref="J5463:K5463" si="3837">SUM(J663+J1623+J2583+J3543+J4503)</f>
        <v>36909.65</v>
      </c>
      <c r="K5463" s="3">
        <f t="shared" si="3837"/>
        <v>56987.22</v>
      </c>
      <c r="L5463" s="1">
        <f t="shared" si="3795"/>
        <v>93896.87</v>
      </c>
      <c r="M5463" s="2">
        <f t="shared" si="3796"/>
        <v>0.39308711781340533</v>
      </c>
      <c r="N5463" s="2">
        <f t="shared" si="3797"/>
        <v>0.60691288218659478</v>
      </c>
    </row>
    <row r="5464" spans="1:14" x14ac:dyDescent="0.35">
      <c r="A5464" t="s">
        <v>38</v>
      </c>
      <c r="B5464" t="s">
        <v>20</v>
      </c>
      <c r="C5464">
        <v>2009</v>
      </c>
      <c r="D5464" t="s">
        <v>32</v>
      </c>
      <c r="E5464" s="3">
        <f t="shared" ref="E5464:F5464" si="3838">SUM(E664+E1624+E2584+E3544+E4504)</f>
        <v>118578</v>
      </c>
      <c r="F5464" s="3">
        <f t="shared" si="3838"/>
        <v>50295</v>
      </c>
      <c r="G5464" s="1">
        <f t="shared" si="3767"/>
        <v>168873</v>
      </c>
      <c r="H5464" s="2">
        <f t="shared" si="3768"/>
        <v>0.70217263861007972</v>
      </c>
      <c r="I5464" s="2">
        <f t="shared" si="3769"/>
        <v>0.29782736138992022</v>
      </c>
      <c r="J5464" s="3">
        <f t="shared" ref="J5464:K5464" si="3839">SUM(J664+J1624+J2584+J3544+J4504)</f>
        <v>35373.53</v>
      </c>
      <c r="K5464" s="3">
        <f t="shared" si="3839"/>
        <v>56941.73</v>
      </c>
      <c r="L5464" s="1">
        <f t="shared" si="3795"/>
        <v>92315.260000000009</v>
      </c>
      <c r="M5464" s="2">
        <f t="shared" si="3796"/>
        <v>0.38318182714320465</v>
      </c>
      <c r="N5464" s="2">
        <f t="shared" si="3797"/>
        <v>0.6168181728567953</v>
      </c>
    </row>
    <row r="5465" spans="1:14" x14ac:dyDescent="0.35">
      <c r="A5465" t="s">
        <v>38</v>
      </c>
      <c r="B5465" t="s">
        <v>21</v>
      </c>
      <c r="C5465">
        <v>2009</v>
      </c>
      <c r="D5465" t="s">
        <v>32</v>
      </c>
      <c r="E5465" s="3">
        <f t="shared" ref="E5465:F5465" si="3840">SUM(E665+E1625+E2585+E3545+E4505)</f>
        <v>117718</v>
      </c>
      <c r="F5465" s="3">
        <f t="shared" si="3840"/>
        <v>50503</v>
      </c>
      <c r="G5465" s="1">
        <f t="shared" si="3767"/>
        <v>168221</v>
      </c>
      <c r="H5465" s="2">
        <f t="shared" si="3768"/>
        <v>0.6997818346104232</v>
      </c>
      <c r="I5465" s="2">
        <f t="shared" si="3769"/>
        <v>0.3002181653895768</v>
      </c>
      <c r="J5465" s="3">
        <f t="shared" ref="J5465:K5465" si="3841">SUM(J665+J1625+J2585+J3545+J4505)</f>
        <v>35044.050000000003</v>
      </c>
      <c r="K5465" s="3">
        <f t="shared" si="3841"/>
        <v>57278.12</v>
      </c>
      <c r="L5465" s="1">
        <f t="shared" si="3795"/>
        <v>92322.170000000013</v>
      </c>
      <c r="M5465" s="2">
        <f t="shared" si="3796"/>
        <v>0.37958434035941746</v>
      </c>
      <c r="N5465" s="2">
        <f t="shared" si="3797"/>
        <v>0.62041565964058243</v>
      </c>
    </row>
    <row r="5466" spans="1:14" x14ac:dyDescent="0.35">
      <c r="A5466" t="s">
        <v>38</v>
      </c>
      <c r="B5466" t="s">
        <v>22</v>
      </c>
      <c r="C5466">
        <v>2009</v>
      </c>
      <c r="D5466" t="s">
        <v>32</v>
      </c>
      <c r="E5466" s="3">
        <f t="shared" ref="E5466:F5466" si="3842">SUM(E666+E1626+E2586+E3546+E4506)</f>
        <v>116621</v>
      </c>
      <c r="F5466" s="3">
        <f t="shared" si="3842"/>
        <v>50996</v>
      </c>
      <c r="G5466" s="1">
        <f t="shared" si="3767"/>
        <v>167617</v>
      </c>
      <c r="H5466" s="2">
        <f t="shared" si="3768"/>
        <v>0.69575878341695652</v>
      </c>
      <c r="I5466" s="2">
        <f t="shared" si="3769"/>
        <v>0.30424121658304348</v>
      </c>
      <c r="J5466" s="3">
        <f t="shared" ref="J5466:K5466" si="3843">SUM(J666+J1626+J2586+J3546+J4506)</f>
        <v>34830.57</v>
      </c>
      <c r="K5466" s="3">
        <f t="shared" si="3843"/>
        <v>56833.090000000004</v>
      </c>
      <c r="L5466" s="1">
        <f t="shared" si="3795"/>
        <v>91663.66</v>
      </c>
      <c r="M5466" s="2">
        <f t="shared" si="3796"/>
        <v>0.37998231796548382</v>
      </c>
      <c r="N5466" s="2">
        <f t="shared" si="3797"/>
        <v>0.62001768203451624</v>
      </c>
    </row>
    <row r="5467" spans="1:14" x14ac:dyDescent="0.35">
      <c r="A5467" t="s">
        <v>38</v>
      </c>
      <c r="B5467" t="s">
        <v>23</v>
      </c>
      <c r="C5467">
        <v>2009</v>
      </c>
      <c r="D5467" t="s">
        <v>32</v>
      </c>
      <c r="E5467" s="3">
        <f t="shared" ref="E5467:F5467" si="3844">SUM(E667+E1627+E2587+E3547+E4507)</f>
        <v>115608</v>
      </c>
      <c r="F5467" s="3">
        <f t="shared" si="3844"/>
        <v>51315</v>
      </c>
      <c r="G5467" s="1">
        <f t="shared" si="3767"/>
        <v>166923</v>
      </c>
      <c r="H5467" s="2">
        <f t="shared" si="3768"/>
        <v>0.69258280764184688</v>
      </c>
      <c r="I5467" s="2">
        <f t="shared" si="3769"/>
        <v>0.30741719235815318</v>
      </c>
      <c r="J5467" s="3">
        <f t="shared" ref="J5467:K5467" si="3845">SUM(J667+J1627+J2587+J3547+J4507)</f>
        <v>34504.89</v>
      </c>
      <c r="K5467" s="3">
        <f t="shared" si="3845"/>
        <v>56996.22</v>
      </c>
      <c r="L5467" s="1">
        <f t="shared" si="3795"/>
        <v>91501.11</v>
      </c>
      <c r="M5467" s="2">
        <f t="shared" si="3796"/>
        <v>0.37709804831875809</v>
      </c>
      <c r="N5467" s="2">
        <f t="shared" si="3797"/>
        <v>0.62290195168124196</v>
      </c>
    </row>
    <row r="5468" spans="1:14" x14ac:dyDescent="0.35">
      <c r="A5468" t="s">
        <v>38</v>
      </c>
      <c r="B5468" t="s">
        <v>24</v>
      </c>
      <c r="C5468">
        <v>2009</v>
      </c>
      <c r="D5468" t="s">
        <v>32</v>
      </c>
      <c r="E5468" s="3">
        <f t="shared" ref="E5468:F5468" si="3846">SUM(E668+E1628+E2588+E3548+E4508)</f>
        <v>114658</v>
      </c>
      <c r="F5468" s="3">
        <f t="shared" si="3846"/>
        <v>51751</v>
      </c>
      <c r="G5468" s="1">
        <f t="shared" si="3767"/>
        <v>166409</v>
      </c>
      <c r="H5468" s="2">
        <f t="shared" si="3768"/>
        <v>0.68901321442950803</v>
      </c>
      <c r="I5468" s="2">
        <f t="shared" si="3769"/>
        <v>0.31098678557049197</v>
      </c>
      <c r="J5468" s="3">
        <f t="shared" ref="J5468:K5468" si="3847">SUM(J668+J1628+J2588+J3548+J4508)</f>
        <v>37066.409999999996</v>
      </c>
      <c r="K5468" s="3">
        <f t="shared" si="3847"/>
        <v>54509.71</v>
      </c>
      <c r="L5468" s="1">
        <f t="shared" si="3795"/>
        <v>91576.12</v>
      </c>
      <c r="M5468" s="2">
        <f t="shared" si="3796"/>
        <v>0.40476065157597851</v>
      </c>
      <c r="N5468" s="2">
        <f t="shared" si="3797"/>
        <v>0.59523934842402149</v>
      </c>
    </row>
    <row r="5469" spans="1:14" x14ac:dyDescent="0.35">
      <c r="A5469" t="s">
        <v>38</v>
      </c>
      <c r="B5469" t="s">
        <v>25</v>
      </c>
      <c r="C5469">
        <v>2009</v>
      </c>
      <c r="D5469" t="s">
        <v>32</v>
      </c>
      <c r="E5469" s="3">
        <f t="shared" ref="E5469:F5469" si="3848">SUM(E669+E1629+E2589+E3549+E4509)</f>
        <v>113827</v>
      </c>
      <c r="F5469" s="3">
        <f t="shared" si="3848"/>
        <v>52320</v>
      </c>
      <c r="G5469" s="1">
        <f t="shared" si="3767"/>
        <v>166147</v>
      </c>
      <c r="H5469" s="2">
        <f t="shared" si="3768"/>
        <v>0.68509813598801061</v>
      </c>
      <c r="I5469" s="2">
        <f t="shared" si="3769"/>
        <v>0.31490186401198939</v>
      </c>
      <c r="J5469" s="3">
        <f t="shared" ref="J5469:K5469" si="3849">SUM(J669+J1629+J2589+J3549+J4509)</f>
        <v>37290.75</v>
      </c>
      <c r="K5469" s="3">
        <f t="shared" si="3849"/>
        <v>54448.08</v>
      </c>
      <c r="L5469" s="1">
        <f t="shared" si="3795"/>
        <v>91738.83</v>
      </c>
      <c r="M5469" s="2">
        <f t="shared" si="3796"/>
        <v>0.40648817954185812</v>
      </c>
      <c r="N5469" s="2">
        <f t="shared" si="3797"/>
        <v>0.59351182045814188</v>
      </c>
    </row>
    <row r="5470" spans="1:14" x14ac:dyDescent="0.35">
      <c r="A5470" t="s">
        <v>38</v>
      </c>
      <c r="B5470" t="s">
        <v>26</v>
      </c>
      <c r="C5470">
        <v>2009</v>
      </c>
      <c r="D5470" t="s">
        <v>32</v>
      </c>
      <c r="E5470" s="3">
        <f t="shared" ref="E5470:F5470" si="3850">SUM(E670+E1630+E2590+E3550+E4510)</f>
        <v>112755</v>
      </c>
      <c r="F5470" s="3">
        <f t="shared" si="3850"/>
        <v>53349</v>
      </c>
      <c r="G5470" s="1">
        <f t="shared" si="3767"/>
        <v>166104</v>
      </c>
      <c r="H5470" s="2">
        <f t="shared" si="3768"/>
        <v>0.67882170206617543</v>
      </c>
      <c r="I5470" s="2">
        <f t="shared" si="3769"/>
        <v>0.32117829793382457</v>
      </c>
      <c r="J5470" s="3">
        <f t="shared" ref="J5470:K5470" si="3851">SUM(J670+J1630+J2590+J3550+J4510)</f>
        <v>36056.68</v>
      </c>
      <c r="K5470" s="3">
        <f t="shared" si="3851"/>
        <v>55009.31</v>
      </c>
      <c r="L5470" s="1">
        <f t="shared" si="3795"/>
        <v>91065.989999999991</v>
      </c>
      <c r="M5470" s="2">
        <f t="shared" si="3796"/>
        <v>0.39594013088750263</v>
      </c>
      <c r="N5470" s="2">
        <f t="shared" si="3797"/>
        <v>0.60405986911249743</v>
      </c>
    </row>
    <row r="5471" spans="1:14" x14ac:dyDescent="0.35">
      <c r="A5471" t="s">
        <v>38</v>
      </c>
      <c r="B5471" t="s">
        <v>27</v>
      </c>
      <c r="C5471">
        <v>2009</v>
      </c>
      <c r="D5471" t="s">
        <v>32</v>
      </c>
      <c r="E5471" s="3">
        <f t="shared" ref="E5471:F5471" si="3852">SUM(E671+E1631+E2591+E3551+E4511)</f>
        <v>111287</v>
      </c>
      <c r="F5471" s="3">
        <f t="shared" si="3852"/>
        <v>53976</v>
      </c>
      <c r="G5471" s="1">
        <f t="shared" si="3767"/>
        <v>165263</v>
      </c>
      <c r="H5471" s="2">
        <f t="shared" si="3768"/>
        <v>0.67339331852864825</v>
      </c>
      <c r="I5471" s="2">
        <f t="shared" si="3769"/>
        <v>0.32660668147135175</v>
      </c>
      <c r="J5471" s="3">
        <f t="shared" ref="J5471:K5471" si="3853">SUM(J671+J1631+J2591+J3551+J4511)</f>
        <v>35989.81</v>
      </c>
      <c r="K5471" s="3">
        <f t="shared" si="3853"/>
        <v>55646.59</v>
      </c>
      <c r="L5471" s="1">
        <f t="shared" si="3795"/>
        <v>91636.4</v>
      </c>
      <c r="M5471" s="2">
        <f t="shared" si="3796"/>
        <v>0.39274578660881482</v>
      </c>
      <c r="N5471" s="2">
        <f t="shared" si="3797"/>
        <v>0.60725421339118513</v>
      </c>
    </row>
    <row r="5472" spans="1:14" x14ac:dyDescent="0.35">
      <c r="A5472" t="s">
        <v>38</v>
      </c>
      <c r="B5472" t="s">
        <v>28</v>
      </c>
      <c r="C5472">
        <v>2009</v>
      </c>
      <c r="D5472" t="s">
        <v>32</v>
      </c>
      <c r="E5472" s="3">
        <f t="shared" ref="E5472:F5472" si="3854">SUM(E672+E1632+E2592+E3552+E4512)</f>
        <v>110089</v>
      </c>
      <c r="F5472" s="3">
        <f t="shared" si="3854"/>
        <v>54397</v>
      </c>
      <c r="G5472" s="1">
        <f t="shared" si="3767"/>
        <v>164486</v>
      </c>
      <c r="H5472" s="2">
        <f t="shared" si="3768"/>
        <v>0.66929100348965864</v>
      </c>
      <c r="I5472" s="2">
        <f t="shared" si="3769"/>
        <v>0.3307089965103413</v>
      </c>
      <c r="J5472" s="3">
        <f t="shared" ref="J5472:K5472" si="3855">SUM(J672+J1632+J2592+J3552+J4512)</f>
        <v>35669.410000000003</v>
      </c>
      <c r="K5472" s="3">
        <f t="shared" si="3855"/>
        <v>55847.549999999996</v>
      </c>
      <c r="L5472" s="1">
        <f t="shared" si="3795"/>
        <v>91516.959999999992</v>
      </c>
      <c r="M5472" s="2">
        <f t="shared" si="3796"/>
        <v>0.3897573739337496</v>
      </c>
      <c r="N5472" s="2">
        <f t="shared" si="3797"/>
        <v>0.61024262606625046</v>
      </c>
    </row>
    <row r="5473" spans="1:14" x14ac:dyDescent="0.35">
      <c r="A5473" t="s">
        <v>38</v>
      </c>
      <c r="B5473" t="s">
        <v>29</v>
      </c>
      <c r="C5473">
        <v>2009</v>
      </c>
      <c r="D5473" t="s">
        <v>32</v>
      </c>
      <c r="E5473" s="3">
        <f t="shared" ref="E5473:F5473" si="3856">SUM(E673+E1633+E2593+E3553+E4513)</f>
        <v>109047</v>
      </c>
      <c r="F5473" s="3">
        <f t="shared" si="3856"/>
        <v>54952</v>
      </c>
      <c r="G5473" s="1">
        <f t="shared" si="3767"/>
        <v>163999</v>
      </c>
      <c r="H5473" s="2">
        <f t="shared" si="3768"/>
        <v>0.66492478612674466</v>
      </c>
      <c r="I5473" s="2">
        <f t="shared" si="3769"/>
        <v>0.33507521387325534</v>
      </c>
      <c r="J5473" s="3">
        <f t="shared" ref="J5473:K5473" si="3857">SUM(J673+J1633+J2593+J3553+J4513)</f>
        <v>35732.92</v>
      </c>
      <c r="K5473" s="3">
        <f t="shared" si="3857"/>
        <v>57312.53</v>
      </c>
      <c r="L5473" s="1">
        <f t="shared" si="3795"/>
        <v>93045.45</v>
      </c>
      <c r="M5473" s="2">
        <f t="shared" si="3796"/>
        <v>0.38403726350939243</v>
      </c>
      <c r="N5473" s="2">
        <f t="shared" si="3797"/>
        <v>0.61596273649060751</v>
      </c>
    </row>
    <row r="5474" spans="1:14" x14ac:dyDescent="0.35">
      <c r="A5474" t="s">
        <v>38</v>
      </c>
      <c r="B5474" t="s">
        <v>17</v>
      </c>
      <c r="C5474">
        <v>2010</v>
      </c>
      <c r="D5474" t="s">
        <v>32</v>
      </c>
      <c r="E5474" s="3">
        <f t="shared" ref="E5474:F5474" si="3858">SUM(E674+E1634+E2594+E3554+E4514)</f>
        <v>104845</v>
      </c>
      <c r="F5474" s="3">
        <f t="shared" si="3858"/>
        <v>51959</v>
      </c>
      <c r="G5474" s="1">
        <f t="shared" si="3767"/>
        <v>156804</v>
      </c>
      <c r="H5474" s="2">
        <f t="shared" si="3768"/>
        <v>0.6686372796612331</v>
      </c>
      <c r="I5474" s="2">
        <f t="shared" si="3769"/>
        <v>0.33136272033876685</v>
      </c>
      <c r="J5474" s="3">
        <f t="shared" ref="J5474:K5474" si="3859">SUM(J674+J1634+J2594+J3554+J4514)</f>
        <v>36195.328999999998</v>
      </c>
      <c r="K5474" s="3">
        <f t="shared" si="3859"/>
        <v>55397.628000000004</v>
      </c>
      <c r="L5474" s="1">
        <f t="shared" si="3795"/>
        <v>91592.956999999995</v>
      </c>
      <c r="M5474" s="2">
        <f t="shared" si="3796"/>
        <v>0.39517589764025196</v>
      </c>
      <c r="N5474" s="2">
        <f t="shared" si="3797"/>
        <v>0.60482410235974815</v>
      </c>
    </row>
    <row r="5475" spans="1:14" x14ac:dyDescent="0.35">
      <c r="A5475" t="s">
        <v>38</v>
      </c>
      <c r="B5475" t="s">
        <v>19</v>
      </c>
      <c r="C5475">
        <v>2010</v>
      </c>
      <c r="D5475" t="s">
        <v>32</v>
      </c>
      <c r="E5475" s="3">
        <f t="shared" ref="E5475:F5475" si="3860">SUM(E675+E1635+E2595+E3555+E4515)</f>
        <v>107144</v>
      </c>
      <c r="F5475" s="3">
        <f t="shared" si="3860"/>
        <v>55093</v>
      </c>
      <c r="G5475" s="1">
        <f t="shared" si="3767"/>
        <v>162237</v>
      </c>
      <c r="H5475" s="2">
        <f t="shared" si="3768"/>
        <v>0.66041655109500297</v>
      </c>
      <c r="I5475" s="2">
        <f t="shared" si="3769"/>
        <v>0.33958344890499703</v>
      </c>
      <c r="J5475" s="3">
        <f t="shared" ref="J5475:K5475" si="3861">SUM(J675+J1635+J2595+J3555+J4515)</f>
        <v>35002.618000000002</v>
      </c>
      <c r="K5475" s="3">
        <f t="shared" si="3861"/>
        <v>56400.932000000001</v>
      </c>
      <c r="L5475" s="1">
        <f t="shared" si="3795"/>
        <v>91403.55</v>
      </c>
      <c r="M5475" s="2">
        <f t="shared" si="3796"/>
        <v>0.38294593590730341</v>
      </c>
      <c r="N5475" s="2">
        <f t="shared" si="3797"/>
        <v>0.61705406409269659</v>
      </c>
    </row>
    <row r="5476" spans="1:14" x14ac:dyDescent="0.35">
      <c r="A5476" t="s">
        <v>38</v>
      </c>
      <c r="B5476" t="s">
        <v>20</v>
      </c>
      <c r="C5476">
        <v>2010</v>
      </c>
      <c r="D5476" t="s">
        <v>32</v>
      </c>
      <c r="E5476" s="3">
        <f t="shared" ref="E5476:F5476" si="3862">SUM(E676+E1636+E2596+E3556+E4516)</f>
        <v>106033</v>
      </c>
      <c r="F5476" s="3">
        <f t="shared" si="3862"/>
        <v>55483</v>
      </c>
      <c r="G5476" s="1">
        <f t="shared" si="3767"/>
        <v>161516</v>
      </c>
      <c r="H5476" s="2">
        <f t="shared" si="3768"/>
        <v>0.65648604472621908</v>
      </c>
      <c r="I5476" s="2">
        <f t="shared" si="3769"/>
        <v>0.34351395527378092</v>
      </c>
      <c r="J5476" s="3">
        <f t="shared" ref="J5476:K5476" si="3863">SUM(J676+J1636+J2596+J3556+J4516)</f>
        <v>34735.591</v>
      </c>
      <c r="K5476" s="3">
        <f t="shared" si="3863"/>
        <v>56380.697999999997</v>
      </c>
      <c r="L5476" s="1">
        <f t="shared" si="3795"/>
        <v>91116.28899999999</v>
      </c>
      <c r="M5476" s="2">
        <f t="shared" si="3796"/>
        <v>0.38122262639559434</v>
      </c>
      <c r="N5476" s="2">
        <f t="shared" si="3797"/>
        <v>0.61877737360440577</v>
      </c>
    </row>
    <row r="5477" spans="1:14" x14ac:dyDescent="0.35">
      <c r="A5477" t="s">
        <v>38</v>
      </c>
      <c r="B5477" t="s">
        <v>21</v>
      </c>
      <c r="C5477">
        <v>2010</v>
      </c>
      <c r="D5477" t="s">
        <v>32</v>
      </c>
      <c r="E5477" s="3">
        <f t="shared" ref="E5477:F5477" si="3864">SUM(E677+E1637+E2597+E3557+E4517)</f>
        <v>105177</v>
      </c>
      <c r="F5477" s="3">
        <f t="shared" si="3864"/>
        <v>55771</v>
      </c>
      <c r="G5477" s="1">
        <f t="shared" si="3767"/>
        <v>160948</v>
      </c>
      <c r="H5477" s="2">
        <f t="shared" si="3768"/>
        <v>0.65348435519546688</v>
      </c>
      <c r="I5477" s="2">
        <f t="shared" si="3769"/>
        <v>0.34651564480453312</v>
      </c>
      <c r="J5477" s="3">
        <f t="shared" ref="J5477:K5477" si="3865">SUM(J677+J1637+J2597+J3557+J4517)</f>
        <v>34834.71</v>
      </c>
      <c r="K5477" s="3">
        <f t="shared" si="3865"/>
        <v>56638.66</v>
      </c>
      <c r="L5477" s="1">
        <f t="shared" si="3795"/>
        <v>91473.37</v>
      </c>
      <c r="M5477" s="2">
        <f t="shared" si="3796"/>
        <v>0.38081804573287287</v>
      </c>
      <c r="N5477" s="2">
        <f t="shared" si="3797"/>
        <v>0.61918195426712719</v>
      </c>
    </row>
    <row r="5478" spans="1:14" x14ac:dyDescent="0.35">
      <c r="A5478" t="s">
        <v>38</v>
      </c>
      <c r="B5478" t="s">
        <v>22</v>
      </c>
      <c r="C5478">
        <v>2010</v>
      </c>
      <c r="D5478" t="s">
        <v>32</v>
      </c>
      <c r="E5478" s="3">
        <f t="shared" ref="E5478:F5478" si="3866">SUM(E678+E1638+E2598+E3558+E4518)</f>
        <v>104347</v>
      </c>
      <c r="F5478" s="3">
        <f t="shared" si="3866"/>
        <v>56026</v>
      </c>
      <c r="G5478" s="1">
        <f t="shared" si="3767"/>
        <v>160373</v>
      </c>
      <c r="H5478" s="2">
        <f t="shared" si="3768"/>
        <v>0.65065191771682263</v>
      </c>
      <c r="I5478" s="2">
        <f t="shared" si="3769"/>
        <v>0.34934808228317732</v>
      </c>
      <c r="J5478" s="3">
        <f t="shared" ref="J5478:K5478" si="3867">SUM(J678+J1638+J2598+J3558+J4518)</f>
        <v>34608.890000000007</v>
      </c>
      <c r="K5478" s="3">
        <f t="shared" si="3867"/>
        <v>56128.189999999995</v>
      </c>
      <c r="L5478" s="1">
        <f t="shared" si="3795"/>
        <v>90737.08</v>
      </c>
      <c r="M5478" s="2">
        <f t="shared" si="3796"/>
        <v>0.3814194814292019</v>
      </c>
      <c r="N5478" s="2">
        <f t="shared" si="3797"/>
        <v>0.6185805185707981</v>
      </c>
    </row>
    <row r="5479" spans="1:14" x14ac:dyDescent="0.35">
      <c r="A5479" t="s">
        <v>38</v>
      </c>
      <c r="B5479" t="s">
        <v>23</v>
      </c>
      <c r="C5479">
        <v>2010</v>
      </c>
      <c r="D5479" t="s">
        <v>32</v>
      </c>
      <c r="E5479" s="3">
        <f t="shared" ref="E5479:F5479" si="3868">SUM(E679+E1639+E2599+E3559+E4519)</f>
        <v>103453</v>
      </c>
      <c r="F5479" s="3">
        <f t="shared" si="3868"/>
        <v>56436</v>
      </c>
      <c r="G5479" s="1">
        <f t="shared" si="3767"/>
        <v>159889</v>
      </c>
      <c r="H5479" s="2">
        <f t="shared" si="3768"/>
        <v>0.64703012715071084</v>
      </c>
      <c r="I5479" s="2">
        <f t="shared" si="3769"/>
        <v>0.35296987284928921</v>
      </c>
      <c r="J5479" s="3">
        <f t="shared" ref="J5479:K5479" si="3869">SUM(J679+J1639+J2599+J3559+J4519)</f>
        <v>34578.04</v>
      </c>
      <c r="K5479" s="3">
        <f t="shared" si="3869"/>
        <v>56222.17</v>
      </c>
      <c r="L5479" s="1">
        <f t="shared" si="3795"/>
        <v>90800.209999999992</v>
      </c>
      <c r="M5479" s="2">
        <f t="shared" si="3796"/>
        <v>0.38081453776373431</v>
      </c>
      <c r="N5479" s="2">
        <f t="shared" si="3797"/>
        <v>0.6191854622362658</v>
      </c>
    </row>
    <row r="5480" spans="1:14" x14ac:dyDescent="0.35">
      <c r="A5480" t="s">
        <v>38</v>
      </c>
      <c r="B5480" t="s">
        <v>24</v>
      </c>
      <c r="C5480">
        <v>2010</v>
      </c>
      <c r="D5480" t="s">
        <v>32</v>
      </c>
      <c r="E5480" s="3">
        <f t="shared" ref="E5480:F5480" si="3870">SUM(E680+E1640+E2600+E3560+E4520)</f>
        <v>102520</v>
      </c>
      <c r="F5480" s="3">
        <f t="shared" si="3870"/>
        <v>55562</v>
      </c>
      <c r="G5480" s="1">
        <f t="shared" si="3767"/>
        <v>158082</v>
      </c>
      <c r="H5480" s="2">
        <f t="shared" si="3768"/>
        <v>0.64852418365152265</v>
      </c>
      <c r="I5480" s="2">
        <f t="shared" si="3769"/>
        <v>0.35147581634847735</v>
      </c>
      <c r="J5480" s="3">
        <f t="shared" ref="J5480:K5480" si="3871">SUM(J680+J1640+J2600+J3560+J4520)</f>
        <v>34301.26</v>
      </c>
      <c r="K5480" s="3">
        <f t="shared" si="3871"/>
        <v>55686.61</v>
      </c>
      <c r="L5480" s="1">
        <f t="shared" si="3795"/>
        <v>89987.87</v>
      </c>
      <c r="M5480" s="2">
        <f t="shared" si="3796"/>
        <v>0.38117648523073172</v>
      </c>
      <c r="N5480" s="2">
        <f t="shared" si="3797"/>
        <v>0.61882351476926833</v>
      </c>
    </row>
    <row r="5481" spans="1:14" x14ac:dyDescent="0.35">
      <c r="A5481" t="s">
        <v>38</v>
      </c>
      <c r="B5481" t="s">
        <v>25</v>
      </c>
      <c r="C5481">
        <v>2010</v>
      </c>
      <c r="D5481" t="s">
        <v>32</v>
      </c>
      <c r="E5481" s="3">
        <f t="shared" ref="E5481:F5481" si="3872">SUM(E681+E1641+E2601+E3561+E4521)</f>
        <v>100273</v>
      </c>
      <c r="F5481" s="3">
        <f t="shared" si="3872"/>
        <v>55435</v>
      </c>
      <c r="G5481" s="1">
        <f t="shared" si="3767"/>
        <v>155708</v>
      </c>
      <c r="H5481" s="2">
        <f t="shared" si="3768"/>
        <v>0.64398104143653501</v>
      </c>
      <c r="I5481" s="2">
        <f t="shared" si="3769"/>
        <v>0.35601895856346494</v>
      </c>
      <c r="J5481" s="3">
        <f t="shared" ref="J5481:K5481" si="3873">SUM(J681+J1641+J2601+J3561+J4521)</f>
        <v>33593.020000000004</v>
      </c>
      <c r="K5481" s="3">
        <f t="shared" si="3873"/>
        <v>56322.78</v>
      </c>
      <c r="L5481" s="1">
        <f t="shared" si="3795"/>
        <v>89915.8</v>
      </c>
      <c r="M5481" s="2">
        <f t="shared" si="3796"/>
        <v>0.37360530629766964</v>
      </c>
      <c r="N5481" s="2">
        <f t="shared" si="3797"/>
        <v>0.62639469370233036</v>
      </c>
    </row>
    <row r="5482" spans="1:14" x14ac:dyDescent="0.35">
      <c r="A5482" t="s">
        <v>38</v>
      </c>
      <c r="B5482" t="s">
        <v>26</v>
      </c>
      <c r="C5482">
        <v>2010</v>
      </c>
      <c r="D5482" t="s">
        <v>32</v>
      </c>
      <c r="E5482" s="3">
        <f t="shared" ref="E5482:F5482" si="3874">SUM(E682+E1642+E2602+E3562+E4522)</f>
        <v>100978</v>
      </c>
      <c r="F5482" s="3">
        <f t="shared" si="3874"/>
        <v>57235</v>
      </c>
      <c r="G5482" s="1">
        <f t="shared" si="3767"/>
        <v>158213</v>
      </c>
      <c r="H5482" s="2">
        <f t="shared" si="3768"/>
        <v>0.63824085252160068</v>
      </c>
      <c r="I5482" s="2">
        <f t="shared" si="3769"/>
        <v>0.36175914747839938</v>
      </c>
      <c r="J5482" s="3">
        <f t="shared" ref="J5482:K5482" si="3875">SUM(J682+J1642+J2602+J3562+J4522)</f>
        <v>33683.360000000001</v>
      </c>
      <c r="K5482" s="3">
        <f t="shared" si="3875"/>
        <v>56958.130000000005</v>
      </c>
      <c r="L5482" s="1">
        <f t="shared" si="3795"/>
        <v>90641.49</v>
      </c>
      <c r="M5482" s="2">
        <f t="shared" si="3796"/>
        <v>0.37161083737701134</v>
      </c>
      <c r="N5482" s="2">
        <f t="shared" si="3797"/>
        <v>0.62838916262298872</v>
      </c>
    </row>
    <row r="5483" spans="1:14" x14ac:dyDescent="0.35">
      <c r="A5483" t="s">
        <v>38</v>
      </c>
      <c r="B5483" t="s">
        <v>27</v>
      </c>
      <c r="C5483">
        <v>2010</v>
      </c>
      <c r="D5483" t="s">
        <v>32</v>
      </c>
      <c r="E5483" s="3">
        <f t="shared" ref="E5483:F5483" si="3876">SUM(E683+E1643+E2603+E3563+E4523)</f>
        <v>98594</v>
      </c>
      <c r="F5483" s="3">
        <f t="shared" si="3876"/>
        <v>56075</v>
      </c>
      <c r="G5483" s="1">
        <f t="shared" si="3767"/>
        <v>154669</v>
      </c>
      <c r="H5483" s="2">
        <f t="shared" si="3768"/>
        <v>0.63745159016997588</v>
      </c>
      <c r="I5483" s="2">
        <f t="shared" si="3769"/>
        <v>0.36254840983002412</v>
      </c>
      <c r="J5483" s="3">
        <f t="shared" ref="J5483:K5483" si="3877">SUM(J683+J1643+J2603+J3563+J4523)</f>
        <v>33084.21</v>
      </c>
      <c r="K5483" s="3">
        <f t="shared" si="3877"/>
        <v>56301.1</v>
      </c>
      <c r="L5483" s="1">
        <f t="shared" si="3795"/>
        <v>89385.31</v>
      </c>
      <c r="M5483" s="2">
        <f t="shared" si="3796"/>
        <v>0.37013028203403892</v>
      </c>
      <c r="N5483" s="2">
        <f t="shared" si="3797"/>
        <v>0.62986971796596103</v>
      </c>
    </row>
    <row r="5484" spans="1:14" x14ac:dyDescent="0.35">
      <c r="A5484" t="s">
        <v>38</v>
      </c>
      <c r="B5484" t="s">
        <v>28</v>
      </c>
      <c r="C5484">
        <v>2010</v>
      </c>
      <c r="D5484" t="s">
        <v>32</v>
      </c>
      <c r="E5484" s="3">
        <f t="shared" ref="E5484:F5484" si="3878">SUM(E684+E1644+E2604+E3564+E4524)</f>
        <v>97529</v>
      </c>
      <c r="F5484" s="3">
        <f t="shared" si="3878"/>
        <v>56820</v>
      </c>
      <c r="G5484" s="1">
        <f t="shared" si="3767"/>
        <v>154349</v>
      </c>
      <c r="H5484" s="2">
        <f t="shared" si="3768"/>
        <v>0.63187322237267496</v>
      </c>
      <c r="I5484" s="2">
        <f t="shared" si="3769"/>
        <v>0.3681267776273251</v>
      </c>
      <c r="J5484" s="3">
        <f t="shared" ref="J5484:K5484" si="3879">SUM(J684+J1644+J2604+J3564+J4524)</f>
        <v>32647.920000000002</v>
      </c>
      <c r="K5484" s="3">
        <f t="shared" si="3879"/>
        <v>57346.999999999993</v>
      </c>
      <c r="L5484" s="1">
        <f t="shared" si="3795"/>
        <v>89994.92</v>
      </c>
      <c r="M5484" s="2">
        <f t="shared" si="3796"/>
        <v>0.36277514330808897</v>
      </c>
      <c r="N5484" s="2">
        <f t="shared" si="3797"/>
        <v>0.63722485669191098</v>
      </c>
    </row>
    <row r="5485" spans="1:14" x14ac:dyDescent="0.35">
      <c r="A5485" t="s">
        <v>38</v>
      </c>
      <c r="B5485" t="s">
        <v>29</v>
      </c>
      <c r="C5485">
        <v>2010</v>
      </c>
      <c r="D5485" t="s">
        <v>32</v>
      </c>
      <c r="E5485" s="3">
        <f t="shared" ref="E5485:F5485" si="3880">SUM(E685+E1645+E2605+E3565+E4525)</f>
        <v>97897</v>
      </c>
      <c r="F5485" s="3">
        <f t="shared" si="3880"/>
        <v>58763</v>
      </c>
      <c r="G5485" s="1">
        <f t="shared" si="3767"/>
        <v>156660</v>
      </c>
      <c r="H5485" s="2">
        <f t="shared" si="3768"/>
        <v>0.62490105961955833</v>
      </c>
      <c r="I5485" s="2">
        <f t="shared" si="3769"/>
        <v>0.37509894038044173</v>
      </c>
      <c r="J5485" s="3">
        <f t="shared" ref="J5485:K5485" si="3881">SUM(J685+J1645+J2605+J3565+J4525)</f>
        <v>32669.35</v>
      </c>
      <c r="K5485" s="3">
        <f t="shared" si="3881"/>
        <v>59789.340000000004</v>
      </c>
      <c r="L5485" s="1">
        <f t="shared" si="3795"/>
        <v>92458.69</v>
      </c>
      <c r="M5485" s="2">
        <f t="shared" si="3796"/>
        <v>0.35333996187919164</v>
      </c>
      <c r="N5485" s="2">
        <f t="shared" si="3797"/>
        <v>0.6466600381208083</v>
      </c>
    </row>
    <row r="5486" spans="1:14" x14ac:dyDescent="0.35">
      <c r="A5486" t="s">
        <v>38</v>
      </c>
      <c r="B5486" t="s">
        <v>17</v>
      </c>
      <c r="C5486">
        <v>2011</v>
      </c>
      <c r="D5486" t="s">
        <v>32</v>
      </c>
      <c r="E5486" s="3">
        <f t="shared" ref="E5486:F5486" si="3882">SUM(E686+E1646+E2606+E3566+E4526)</f>
        <v>94266</v>
      </c>
      <c r="F5486" s="3">
        <f t="shared" si="3882"/>
        <v>56147</v>
      </c>
      <c r="G5486" s="1">
        <f t="shared" si="3767"/>
        <v>150413</v>
      </c>
      <c r="H5486" s="2">
        <f t="shared" si="3768"/>
        <v>0.62671444622472794</v>
      </c>
      <c r="I5486" s="2">
        <f t="shared" si="3769"/>
        <v>0.37328555377527206</v>
      </c>
      <c r="J5486" s="3">
        <f t="shared" ref="J5486:K5486" si="3883">SUM(J686+J1646+J2606+J3566+J4526)</f>
        <v>32219</v>
      </c>
      <c r="K5486" s="3">
        <f t="shared" si="3883"/>
        <v>55466.47</v>
      </c>
      <c r="L5486" s="1">
        <f t="shared" si="3795"/>
        <v>87685.47</v>
      </c>
      <c r="M5486" s="2">
        <f t="shared" si="3796"/>
        <v>0.36743829964075003</v>
      </c>
      <c r="N5486" s="2">
        <f t="shared" si="3797"/>
        <v>0.63256170035924997</v>
      </c>
    </row>
    <row r="5487" spans="1:14" x14ac:dyDescent="0.35">
      <c r="A5487" t="s">
        <v>38</v>
      </c>
      <c r="B5487" t="s">
        <v>19</v>
      </c>
      <c r="C5487">
        <v>2011</v>
      </c>
      <c r="D5487" t="s">
        <v>32</v>
      </c>
      <c r="E5487" s="3">
        <f t="shared" ref="E5487:F5487" si="3884">SUM(E687+E1647+E2607+E3567+E4527)</f>
        <v>96344</v>
      </c>
      <c r="F5487" s="3">
        <f t="shared" si="3884"/>
        <v>59482</v>
      </c>
      <c r="G5487" s="1">
        <f t="shared" si="3767"/>
        <v>155826</v>
      </c>
      <c r="H5487" s="2">
        <f t="shared" si="3768"/>
        <v>0.61827936287910878</v>
      </c>
      <c r="I5487" s="2">
        <f t="shared" si="3769"/>
        <v>0.38172063712089127</v>
      </c>
      <c r="J5487" s="3">
        <f t="shared" ref="J5487:K5487" si="3885">SUM(J687+J1647+J2607+J3567+J4527)</f>
        <v>37475.08</v>
      </c>
      <c r="K5487" s="3">
        <f t="shared" si="3885"/>
        <v>43851.469999999994</v>
      </c>
      <c r="L5487" s="1">
        <f t="shared" si="3795"/>
        <v>81326.549999999988</v>
      </c>
      <c r="M5487" s="2">
        <f t="shared" si="3796"/>
        <v>0.46079761160408267</v>
      </c>
      <c r="N5487" s="2">
        <f t="shared" si="3797"/>
        <v>0.5392023883959175</v>
      </c>
    </row>
    <row r="5488" spans="1:14" x14ac:dyDescent="0.35">
      <c r="A5488" t="s">
        <v>38</v>
      </c>
      <c r="B5488" t="s">
        <v>20</v>
      </c>
      <c r="C5488">
        <v>2011</v>
      </c>
      <c r="D5488" t="s">
        <v>32</v>
      </c>
      <c r="E5488" s="3">
        <f t="shared" ref="E5488:F5488" si="3886">SUM(E688+E1648+E2608+E3568+E4528)</f>
        <v>95589</v>
      </c>
      <c r="F5488" s="3">
        <f t="shared" si="3886"/>
        <v>59687</v>
      </c>
      <c r="G5488" s="1">
        <f t="shared" si="3767"/>
        <v>155276</v>
      </c>
      <c r="H5488" s="2">
        <f t="shared" si="3768"/>
        <v>0.61560704809500499</v>
      </c>
      <c r="I5488" s="2">
        <f t="shared" si="3769"/>
        <v>0.38439295190499495</v>
      </c>
      <c r="J5488" s="3">
        <f t="shared" ref="J5488:K5488" si="3887">SUM(J688+J1648+J2608+J3568+J4528)</f>
        <v>38691.32</v>
      </c>
      <c r="K5488" s="3">
        <f t="shared" si="3887"/>
        <v>49969.87</v>
      </c>
      <c r="L5488" s="1">
        <f t="shared" si="3795"/>
        <v>88661.19</v>
      </c>
      <c r="M5488" s="2">
        <f t="shared" si="3796"/>
        <v>0.43639522546449017</v>
      </c>
      <c r="N5488" s="2">
        <f t="shared" si="3797"/>
        <v>0.56360477453550983</v>
      </c>
    </row>
    <row r="5489" spans="1:14" x14ac:dyDescent="0.35">
      <c r="A5489" t="s">
        <v>38</v>
      </c>
      <c r="B5489" t="s">
        <v>21</v>
      </c>
      <c r="C5489">
        <v>2011</v>
      </c>
      <c r="D5489" t="s">
        <v>32</v>
      </c>
      <c r="E5489" s="3">
        <f t="shared" ref="E5489:F5489" si="3888">SUM(E689+E1649+E2609+E3569+E4529)</f>
        <v>93593</v>
      </c>
      <c r="F5489" s="3">
        <f t="shared" si="3888"/>
        <v>58563</v>
      </c>
      <c r="G5489" s="1">
        <f t="shared" si="3767"/>
        <v>152156</v>
      </c>
      <c r="H5489" s="2">
        <f t="shared" si="3768"/>
        <v>0.6151121217697626</v>
      </c>
      <c r="I5489" s="2">
        <f t="shared" si="3769"/>
        <v>0.3848878782302374</v>
      </c>
      <c r="J5489" s="3">
        <f t="shared" ref="J5489:K5489" si="3889">SUM(J689+J1649+J2609+J3569+J4529)</f>
        <v>38510.959999999992</v>
      </c>
      <c r="K5489" s="3">
        <f t="shared" si="3889"/>
        <v>48485.57</v>
      </c>
      <c r="L5489" s="1">
        <f t="shared" si="3795"/>
        <v>86996.53</v>
      </c>
      <c r="M5489" s="2">
        <f t="shared" si="3796"/>
        <v>0.44267236865654286</v>
      </c>
      <c r="N5489" s="2">
        <f t="shared" si="3797"/>
        <v>0.55732763134345709</v>
      </c>
    </row>
    <row r="5490" spans="1:14" x14ac:dyDescent="0.35">
      <c r="A5490" t="s">
        <v>38</v>
      </c>
      <c r="B5490" t="s">
        <v>22</v>
      </c>
      <c r="C5490">
        <v>2011</v>
      </c>
      <c r="D5490" t="s">
        <v>32</v>
      </c>
      <c r="E5490" s="3">
        <f t="shared" ref="E5490:F5490" si="3890">SUM(E690+E1650+E2610+E3570+E4530)</f>
        <v>91505</v>
      </c>
      <c r="F5490" s="3">
        <f t="shared" si="3890"/>
        <v>57432</v>
      </c>
      <c r="G5490" s="1">
        <f t="shared" si="3767"/>
        <v>148937</v>
      </c>
      <c r="H5490" s="2">
        <f t="shared" si="3768"/>
        <v>0.61438729127080582</v>
      </c>
      <c r="I5490" s="2">
        <f t="shared" si="3769"/>
        <v>0.38561270872919423</v>
      </c>
      <c r="J5490" s="3">
        <f t="shared" ref="J5490:K5490" si="3891">SUM(J690+J1650+J2610+J3570+J4530)</f>
        <v>38176.300000000003</v>
      </c>
      <c r="K5490" s="3">
        <f t="shared" si="3891"/>
        <v>48746.86</v>
      </c>
      <c r="L5490" s="1">
        <f t="shared" si="3795"/>
        <v>86923.16</v>
      </c>
      <c r="M5490" s="2">
        <f t="shared" si="3796"/>
        <v>0.43919595191891325</v>
      </c>
      <c r="N5490" s="2">
        <f t="shared" si="3797"/>
        <v>0.56080404808108675</v>
      </c>
    </row>
    <row r="5491" spans="1:14" x14ac:dyDescent="0.35">
      <c r="A5491" t="s">
        <v>38</v>
      </c>
      <c r="B5491" t="s">
        <v>23</v>
      </c>
      <c r="C5491">
        <v>2011</v>
      </c>
      <c r="D5491" t="s">
        <v>32</v>
      </c>
      <c r="E5491" s="3">
        <f t="shared" ref="E5491:F5491" si="3892">SUM(E691+E1651+E2611+E3571+E4531)</f>
        <v>93575</v>
      </c>
      <c r="F5491" s="3">
        <f t="shared" si="3892"/>
        <v>60847</v>
      </c>
      <c r="G5491" s="1">
        <f t="shared" si="3767"/>
        <v>154422</v>
      </c>
      <c r="H5491" s="2">
        <f t="shared" si="3768"/>
        <v>0.60596935669787988</v>
      </c>
      <c r="I5491" s="2">
        <f t="shared" si="3769"/>
        <v>0.39403064330212018</v>
      </c>
      <c r="J5491" s="3">
        <f t="shared" ref="J5491:K5491" si="3893">SUM(J691+J1651+J2611+J3571+J4531)</f>
        <v>38339.53</v>
      </c>
      <c r="K5491" s="3">
        <f t="shared" si="3893"/>
        <v>50821.9</v>
      </c>
      <c r="L5491" s="1">
        <f t="shared" si="3795"/>
        <v>89161.43</v>
      </c>
      <c r="M5491" s="2">
        <f t="shared" si="3796"/>
        <v>0.43000129091693573</v>
      </c>
      <c r="N5491" s="2">
        <f t="shared" si="3797"/>
        <v>0.56999870908306438</v>
      </c>
    </row>
    <row r="5492" spans="1:14" x14ac:dyDescent="0.35">
      <c r="A5492" t="s">
        <v>38</v>
      </c>
      <c r="B5492" t="s">
        <v>24</v>
      </c>
      <c r="C5492">
        <v>2011</v>
      </c>
      <c r="D5492" t="s">
        <v>32</v>
      </c>
      <c r="E5492" s="3">
        <f t="shared" ref="E5492:F5492" si="3894">SUM(E692+E1652+E2612+E3572+E4532)</f>
        <v>91656</v>
      </c>
      <c r="F5492" s="3">
        <f t="shared" si="3894"/>
        <v>59524</v>
      </c>
      <c r="G5492" s="1">
        <f t="shared" si="3767"/>
        <v>151180</v>
      </c>
      <c r="H5492" s="2">
        <f t="shared" si="3768"/>
        <v>0.60627067072364071</v>
      </c>
      <c r="I5492" s="2">
        <f t="shared" si="3769"/>
        <v>0.39372932927635929</v>
      </c>
      <c r="J5492" s="3">
        <f t="shared" ref="J5492:K5492" si="3895">SUM(J692+J1652+J2612+J3572+J4532)</f>
        <v>35148.340000000004</v>
      </c>
      <c r="K5492" s="3">
        <f t="shared" si="3895"/>
        <v>52228.979999999996</v>
      </c>
      <c r="L5492" s="1">
        <f t="shared" si="3795"/>
        <v>87377.32</v>
      </c>
      <c r="M5492" s="2">
        <f t="shared" si="3796"/>
        <v>0.40225930481731415</v>
      </c>
      <c r="N5492" s="2">
        <f t="shared" si="3797"/>
        <v>0.5977406951826858</v>
      </c>
    </row>
    <row r="5493" spans="1:14" x14ac:dyDescent="0.35">
      <c r="A5493" t="s">
        <v>38</v>
      </c>
      <c r="B5493" t="s">
        <v>25</v>
      </c>
      <c r="C5493">
        <v>2011</v>
      </c>
      <c r="D5493" t="s">
        <v>32</v>
      </c>
      <c r="E5493" s="3">
        <f t="shared" ref="E5493:F5493" si="3896">SUM(E693+E1653+E2613+E3573+E4533)</f>
        <v>92219</v>
      </c>
      <c r="F5493" s="3">
        <f t="shared" si="3896"/>
        <v>61412</v>
      </c>
      <c r="G5493" s="1">
        <f t="shared" si="3767"/>
        <v>153631</v>
      </c>
      <c r="H5493" s="2">
        <f t="shared" si="3768"/>
        <v>0.60026296776041299</v>
      </c>
      <c r="I5493" s="2">
        <f t="shared" si="3769"/>
        <v>0.39973703223958706</v>
      </c>
      <c r="J5493" s="3">
        <f t="shared" ref="J5493:K5493" si="3897">SUM(J693+J1653+J2613+J3573+J4533)</f>
        <v>35149.230000000003</v>
      </c>
      <c r="K5493" s="3">
        <f t="shared" si="3897"/>
        <v>53910.240000000005</v>
      </c>
      <c r="L5493" s="1">
        <f t="shared" si="3795"/>
        <v>89059.47</v>
      </c>
      <c r="M5493" s="2">
        <f t="shared" si="3796"/>
        <v>0.39467144819074268</v>
      </c>
      <c r="N5493" s="2">
        <f t="shared" si="3797"/>
        <v>0.60532855180925738</v>
      </c>
    </row>
    <row r="5494" spans="1:14" x14ac:dyDescent="0.35">
      <c r="A5494" t="s">
        <v>38</v>
      </c>
      <c r="B5494" t="s">
        <v>26</v>
      </c>
      <c r="C5494">
        <v>2011</v>
      </c>
      <c r="D5494" t="s">
        <v>32</v>
      </c>
      <c r="E5494" s="3">
        <f t="shared" ref="E5494:F5494" si="3898">SUM(E694+E1654+E2614+E3574+E4534)</f>
        <v>90068</v>
      </c>
      <c r="F5494" s="3">
        <f t="shared" si="3898"/>
        <v>60199</v>
      </c>
      <c r="G5494" s="1">
        <f t="shared" si="3767"/>
        <v>150267</v>
      </c>
      <c r="H5494" s="2">
        <f t="shared" si="3768"/>
        <v>0.59938642549595056</v>
      </c>
      <c r="I5494" s="2">
        <f t="shared" si="3769"/>
        <v>0.40061357450404944</v>
      </c>
      <c r="J5494" s="3">
        <f t="shared" ref="J5494:K5494" si="3899">SUM(J694+J1654+J2614+J3574+J4534)</f>
        <v>34769.71</v>
      </c>
      <c r="K5494" s="3">
        <f t="shared" si="3899"/>
        <v>53549.539999999994</v>
      </c>
      <c r="L5494" s="1">
        <f t="shared" si="3795"/>
        <v>88319.25</v>
      </c>
      <c r="M5494" s="2">
        <f t="shared" si="3796"/>
        <v>0.39368212479159415</v>
      </c>
      <c r="N5494" s="2">
        <f t="shared" si="3797"/>
        <v>0.60631787520840574</v>
      </c>
    </row>
    <row r="5495" spans="1:14" x14ac:dyDescent="0.35">
      <c r="A5495" t="s">
        <v>38</v>
      </c>
      <c r="B5495" t="s">
        <v>27</v>
      </c>
      <c r="C5495">
        <v>2011</v>
      </c>
      <c r="D5495" t="s">
        <v>32</v>
      </c>
      <c r="E5495" s="3">
        <f t="shared" ref="E5495:F5495" si="3900">SUM(E695+E1655+E2615+E3575+E4535)</f>
        <v>89337</v>
      </c>
      <c r="F5495" s="3">
        <f t="shared" si="3900"/>
        <v>60563</v>
      </c>
      <c r="G5495" s="1">
        <f t="shared" ref="G5495:G5558" si="3901">SUM(E5495:F5495)</f>
        <v>149900</v>
      </c>
      <c r="H5495" s="2">
        <f t="shared" ref="H5495:H5558" si="3902">SUM(E5495)/G5495</f>
        <v>0.59597731821214139</v>
      </c>
      <c r="I5495" s="2">
        <f t="shared" ref="I5495:I5558" si="3903">SUM(F5495/G5495)</f>
        <v>0.40402268178785855</v>
      </c>
      <c r="J5495" s="3">
        <f t="shared" ref="J5495:K5495" si="3904">SUM(J695+J1655+J2615+J3575+J4535)</f>
        <v>34644.69</v>
      </c>
      <c r="K5495" s="3">
        <f t="shared" si="3904"/>
        <v>53521.8</v>
      </c>
      <c r="L5495" s="1">
        <f t="shared" si="3795"/>
        <v>88166.49</v>
      </c>
      <c r="M5495" s="2">
        <f t="shared" si="3796"/>
        <v>0.39294623161248676</v>
      </c>
      <c r="N5495" s="2">
        <f t="shared" si="3797"/>
        <v>0.60705376838751324</v>
      </c>
    </row>
    <row r="5496" spans="1:14" x14ac:dyDescent="0.35">
      <c r="A5496" t="s">
        <v>38</v>
      </c>
      <c r="B5496" t="s">
        <v>28</v>
      </c>
      <c r="C5496">
        <v>2011</v>
      </c>
      <c r="D5496" t="s">
        <v>32</v>
      </c>
      <c r="E5496" s="3">
        <f t="shared" ref="E5496:F5496" si="3905">SUM(E696+E1656+E2616+E3576+E4536)</f>
        <v>89780</v>
      </c>
      <c r="F5496" s="3">
        <f t="shared" si="3905"/>
        <v>62657</v>
      </c>
      <c r="G5496" s="1">
        <f t="shared" si="3901"/>
        <v>152437</v>
      </c>
      <c r="H5496" s="2">
        <f t="shared" si="3902"/>
        <v>0.58896462145017281</v>
      </c>
      <c r="I5496" s="2">
        <f t="shared" si="3903"/>
        <v>0.41103537854982714</v>
      </c>
      <c r="J5496" s="3">
        <f t="shared" ref="J5496:K5496" si="3906">SUM(J696+J1656+J2616+J3576+J4536)</f>
        <v>34628.54</v>
      </c>
      <c r="K5496" s="3">
        <f t="shared" si="3906"/>
        <v>54807.439999999995</v>
      </c>
      <c r="L5496" s="1">
        <f t="shared" si="3795"/>
        <v>89435.98</v>
      </c>
      <c r="M5496" s="2">
        <f t="shared" si="3796"/>
        <v>0.38718801985509638</v>
      </c>
      <c r="N5496" s="2">
        <f t="shared" si="3797"/>
        <v>0.61281198014490368</v>
      </c>
    </row>
    <row r="5497" spans="1:14" x14ac:dyDescent="0.35">
      <c r="A5497" t="s">
        <v>38</v>
      </c>
      <c r="B5497" t="s">
        <v>29</v>
      </c>
      <c r="C5497">
        <v>2011</v>
      </c>
      <c r="D5497" t="s">
        <v>32</v>
      </c>
      <c r="E5497" s="3">
        <f t="shared" ref="E5497:F5497" si="3907">SUM(E697+E1657+E2617+E3577+E4537)</f>
        <v>86604</v>
      </c>
      <c r="F5497" s="3">
        <f t="shared" si="3907"/>
        <v>59383</v>
      </c>
      <c r="G5497" s="1">
        <f t="shared" si="3901"/>
        <v>145987</v>
      </c>
      <c r="H5497" s="2">
        <f t="shared" si="3902"/>
        <v>0.59323090412159984</v>
      </c>
      <c r="I5497" s="2">
        <f t="shared" si="3903"/>
        <v>0.40676909587840016</v>
      </c>
      <c r="J5497" s="3">
        <f t="shared" ref="J5497:K5497" si="3908">SUM(J697+J1657+J2617+J3577+J4537)</f>
        <v>34123.920000000006</v>
      </c>
      <c r="K5497" s="3">
        <f t="shared" si="3908"/>
        <v>53014.740000000005</v>
      </c>
      <c r="L5497" s="1">
        <f t="shared" si="3795"/>
        <v>87138.66</v>
      </c>
      <c r="M5497" s="2">
        <f t="shared" si="3796"/>
        <v>0.39160482844239292</v>
      </c>
      <c r="N5497" s="2">
        <f t="shared" si="3797"/>
        <v>0.60839517155760714</v>
      </c>
    </row>
    <row r="5498" spans="1:14" x14ac:dyDescent="0.35">
      <c r="A5498" t="s">
        <v>38</v>
      </c>
      <c r="B5498" t="s">
        <v>17</v>
      </c>
      <c r="C5498">
        <v>2012</v>
      </c>
      <c r="D5498" t="s">
        <v>32</v>
      </c>
      <c r="E5498" s="3">
        <f t="shared" ref="E5498:F5498" si="3909">SUM(E698+E1658+E2618+E3578+E4538)</f>
        <v>85859</v>
      </c>
      <c r="F5498" s="3">
        <f t="shared" si="3909"/>
        <v>59586</v>
      </c>
      <c r="G5498" s="1">
        <f t="shared" si="3901"/>
        <v>145445</v>
      </c>
      <c r="H5498" s="2">
        <f t="shared" si="3902"/>
        <v>0.59031936470830904</v>
      </c>
      <c r="I5498" s="2">
        <f t="shared" si="3903"/>
        <v>0.40968063529169102</v>
      </c>
      <c r="J5498" s="3">
        <f t="shared" ref="J5498:K5498" si="3910">SUM(J698+J1658+J2618+J3578+J4538)</f>
        <v>33911.67</v>
      </c>
      <c r="K5498" s="3">
        <f t="shared" si="3910"/>
        <v>54158.16</v>
      </c>
      <c r="L5498" s="1">
        <f t="shared" si="3795"/>
        <v>88069.83</v>
      </c>
      <c r="M5498" s="2">
        <f t="shared" si="3796"/>
        <v>0.38505433699599506</v>
      </c>
      <c r="N5498" s="2">
        <f t="shared" si="3797"/>
        <v>0.61494566300400488</v>
      </c>
    </row>
    <row r="5499" spans="1:14" x14ac:dyDescent="0.35">
      <c r="A5499" t="s">
        <v>38</v>
      </c>
      <c r="B5499" t="s">
        <v>19</v>
      </c>
      <c r="C5499">
        <v>2012</v>
      </c>
      <c r="D5499" t="s">
        <v>32</v>
      </c>
      <c r="E5499" s="3">
        <f t="shared" ref="E5499:F5499" si="3911">SUM(E699+E1659+E2619+E3579+E4539)</f>
        <v>86711</v>
      </c>
      <c r="F5499" s="3">
        <f t="shared" si="3911"/>
        <v>61831</v>
      </c>
      <c r="G5499" s="1">
        <f t="shared" si="3901"/>
        <v>148542</v>
      </c>
      <c r="H5499" s="2">
        <f t="shared" si="3902"/>
        <v>0.58374735764968833</v>
      </c>
      <c r="I5499" s="2">
        <f t="shared" si="3903"/>
        <v>0.41625264235031167</v>
      </c>
      <c r="J5499" s="3">
        <f t="shared" ref="J5499:K5499" si="3912">SUM(J699+J1659+J2619+J3579+J4539)</f>
        <v>33819.149999999994</v>
      </c>
      <c r="K5499" s="3">
        <f t="shared" si="3912"/>
        <v>54512.960000000006</v>
      </c>
      <c r="L5499" s="1">
        <f t="shared" si="3795"/>
        <v>88332.11</v>
      </c>
      <c r="M5499" s="2">
        <f t="shared" si="3796"/>
        <v>0.38286360418651827</v>
      </c>
      <c r="N5499" s="2">
        <f t="shared" si="3797"/>
        <v>0.61713639581348168</v>
      </c>
    </row>
    <row r="5500" spans="1:14" x14ac:dyDescent="0.35">
      <c r="A5500" t="s">
        <v>38</v>
      </c>
      <c r="B5500" t="s">
        <v>20</v>
      </c>
      <c r="C5500">
        <v>2012</v>
      </c>
      <c r="D5500" t="s">
        <v>32</v>
      </c>
      <c r="E5500" s="3">
        <f t="shared" ref="E5500:F5500" si="3913">SUM(E700+E1660+E2620+E3580+E4540)</f>
        <v>87261</v>
      </c>
      <c r="F5500" s="3">
        <f t="shared" si="3913"/>
        <v>63407</v>
      </c>
      <c r="G5500" s="1">
        <f t="shared" si="3901"/>
        <v>150668</v>
      </c>
      <c r="H5500" s="2">
        <f t="shared" si="3902"/>
        <v>0.57916080388669122</v>
      </c>
      <c r="I5500" s="2">
        <f t="shared" si="3903"/>
        <v>0.42083919611330872</v>
      </c>
      <c r="J5500" s="3">
        <f t="shared" ref="J5500:K5500" si="3914">SUM(J700+J1660+J2620+J3580+J4540)</f>
        <v>33813.409999999996</v>
      </c>
      <c r="K5500" s="3">
        <f t="shared" si="3914"/>
        <v>55468.3</v>
      </c>
      <c r="L5500" s="1">
        <f t="shared" si="3795"/>
        <v>89281.709999999992</v>
      </c>
      <c r="M5500" s="2">
        <f t="shared" si="3796"/>
        <v>0.37872717715644111</v>
      </c>
      <c r="N5500" s="2">
        <f t="shared" si="3797"/>
        <v>0.621272822843559</v>
      </c>
    </row>
    <row r="5501" spans="1:14" x14ac:dyDescent="0.35">
      <c r="A5501" t="s">
        <v>38</v>
      </c>
      <c r="B5501" t="s">
        <v>21</v>
      </c>
      <c r="C5501">
        <v>2012</v>
      </c>
      <c r="D5501" t="s">
        <v>32</v>
      </c>
      <c r="E5501" s="3">
        <f t="shared" ref="E5501:F5501" si="3915">SUM(E701+E1661+E2621+E3581+E4541)</f>
        <v>86502</v>
      </c>
      <c r="F5501" s="3">
        <f t="shared" si="3915"/>
        <v>63545</v>
      </c>
      <c r="G5501" s="1">
        <f t="shared" si="3901"/>
        <v>150047</v>
      </c>
      <c r="H5501" s="2">
        <f t="shared" si="3902"/>
        <v>0.57649936353275977</v>
      </c>
      <c r="I5501" s="2">
        <f t="shared" si="3903"/>
        <v>0.42350063646724029</v>
      </c>
      <c r="J5501" s="3">
        <f t="shared" ref="J5501:K5501" si="3916">SUM(J701+J1661+J2621+J3581+J4541)</f>
        <v>33581.379999999997</v>
      </c>
      <c r="K5501" s="3">
        <f t="shared" si="3916"/>
        <v>56690.990000000005</v>
      </c>
      <c r="L5501" s="1">
        <f t="shared" si="3795"/>
        <v>90272.37</v>
      </c>
      <c r="M5501" s="2">
        <f t="shared" si="3796"/>
        <v>0.37200064648795639</v>
      </c>
      <c r="N5501" s="2">
        <f t="shared" si="3797"/>
        <v>0.62799935351204372</v>
      </c>
    </row>
    <row r="5502" spans="1:14" x14ac:dyDescent="0.35">
      <c r="A5502" t="s">
        <v>38</v>
      </c>
      <c r="B5502" t="s">
        <v>22</v>
      </c>
      <c r="C5502">
        <v>2012</v>
      </c>
      <c r="D5502" t="s">
        <v>32</v>
      </c>
      <c r="E5502" s="3">
        <f t="shared" ref="E5502:F5502" si="3917">SUM(E702+E1662+E2622+E3582+E4542)</f>
        <v>85746</v>
      </c>
      <c r="F5502" s="3">
        <f t="shared" si="3917"/>
        <v>64253</v>
      </c>
      <c r="G5502" s="1">
        <f t="shared" si="3901"/>
        <v>149999</v>
      </c>
      <c r="H5502" s="2">
        <f t="shared" si="3902"/>
        <v>0.57164381095873973</v>
      </c>
      <c r="I5502" s="2">
        <f t="shared" si="3903"/>
        <v>0.42835618904126027</v>
      </c>
      <c r="J5502" s="3">
        <f t="shared" ref="J5502:K5502" si="3918">SUM(J702+J1662+J2622+J3582+J4542)</f>
        <v>33252.01</v>
      </c>
      <c r="K5502" s="3">
        <f t="shared" si="3918"/>
        <v>56067.18</v>
      </c>
      <c r="L5502" s="1">
        <f t="shared" si="3795"/>
        <v>89319.19</v>
      </c>
      <c r="M5502" s="2">
        <f t="shared" si="3796"/>
        <v>0.37228293270460694</v>
      </c>
      <c r="N5502" s="2">
        <f t="shared" si="3797"/>
        <v>0.62771706729539301</v>
      </c>
    </row>
    <row r="5503" spans="1:14" x14ac:dyDescent="0.35">
      <c r="A5503" t="s">
        <v>38</v>
      </c>
      <c r="B5503" t="s">
        <v>23</v>
      </c>
      <c r="C5503">
        <v>2012</v>
      </c>
      <c r="D5503" t="s">
        <v>32</v>
      </c>
      <c r="E5503" s="3">
        <f t="shared" ref="E5503:F5503" si="3919">SUM(E703+E1663+E2623+E3583+E4543)</f>
        <v>84096</v>
      </c>
      <c r="F5503" s="3">
        <f t="shared" si="3919"/>
        <v>65865</v>
      </c>
      <c r="G5503" s="1">
        <f t="shared" si="3901"/>
        <v>149961</v>
      </c>
      <c r="H5503" s="2">
        <f t="shared" si="3902"/>
        <v>0.56078580430912039</v>
      </c>
      <c r="I5503" s="2">
        <f t="shared" si="3903"/>
        <v>0.43921419569087961</v>
      </c>
      <c r="J5503" s="3">
        <f t="shared" ref="J5503:K5503" si="3920">SUM(J703+J1663+J2623+J3583+J4543)</f>
        <v>32302.850000000002</v>
      </c>
      <c r="K5503" s="3">
        <f t="shared" si="3920"/>
        <v>54468.710000000006</v>
      </c>
      <c r="L5503" s="1">
        <f t="shared" si="3795"/>
        <v>86771.560000000012</v>
      </c>
      <c r="M5503" s="2">
        <f t="shared" si="3796"/>
        <v>0.37227462546484119</v>
      </c>
      <c r="N5503" s="2">
        <f t="shared" si="3797"/>
        <v>0.62772537453515875</v>
      </c>
    </row>
    <row r="5504" spans="1:14" x14ac:dyDescent="0.35">
      <c r="A5504" t="s">
        <v>38</v>
      </c>
      <c r="B5504" t="s">
        <v>24</v>
      </c>
      <c r="C5504">
        <v>2012</v>
      </c>
      <c r="D5504" t="s">
        <v>32</v>
      </c>
      <c r="E5504" s="3">
        <f t="shared" ref="E5504:F5504" si="3921">SUM(E704+E1664+E2624+E3584+E4544)</f>
        <v>82485</v>
      </c>
      <c r="F5504" s="3">
        <f t="shared" si="3921"/>
        <v>67198</v>
      </c>
      <c r="G5504" s="1">
        <f t="shared" si="3901"/>
        <v>149683</v>
      </c>
      <c r="H5504" s="2">
        <f t="shared" si="3902"/>
        <v>0.55106458315239537</v>
      </c>
      <c r="I5504" s="2">
        <f t="shared" si="3903"/>
        <v>0.44893541684760463</v>
      </c>
      <c r="J5504" s="3">
        <f t="shared" ref="J5504:K5504" si="3922">SUM(J704+J1664+J2624+J3584+J4544)</f>
        <v>32195.010000000002</v>
      </c>
      <c r="K5504" s="3">
        <f t="shared" si="3922"/>
        <v>56924.359999999993</v>
      </c>
      <c r="L5504" s="1">
        <f t="shared" si="3795"/>
        <v>89119.37</v>
      </c>
      <c r="M5504" s="2">
        <f t="shared" si="3796"/>
        <v>0.36125715430887811</v>
      </c>
      <c r="N5504" s="2">
        <f t="shared" si="3797"/>
        <v>0.63874284569112183</v>
      </c>
    </row>
    <row r="5505" spans="1:14" x14ac:dyDescent="0.35">
      <c r="A5505" t="s">
        <v>38</v>
      </c>
      <c r="B5505" t="s">
        <v>25</v>
      </c>
      <c r="C5505">
        <v>2012</v>
      </c>
      <c r="D5505" t="s">
        <v>32</v>
      </c>
      <c r="E5505" s="3">
        <f t="shared" ref="E5505:F5505" si="3923">SUM(E705+E1665+E2625+E3585+E4545)</f>
        <v>81934</v>
      </c>
      <c r="F5505" s="3">
        <f t="shared" si="3923"/>
        <v>67284</v>
      </c>
      <c r="G5505" s="1">
        <f t="shared" si="3901"/>
        <v>149218</v>
      </c>
      <c r="H5505" s="2">
        <f t="shared" si="3902"/>
        <v>0.54908925196692093</v>
      </c>
      <c r="I5505" s="2">
        <f t="shared" si="3903"/>
        <v>0.45091074803307912</v>
      </c>
      <c r="J5505" s="3">
        <f t="shared" ref="J5505:K5505" si="3924">SUM(J705+J1665+J2625+J3585+J4545)</f>
        <v>31839.7</v>
      </c>
      <c r="K5505" s="3">
        <f t="shared" si="3924"/>
        <v>57145.279999999999</v>
      </c>
      <c r="L5505" s="1">
        <f t="shared" si="3795"/>
        <v>88984.98</v>
      </c>
      <c r="M5505" s="2">
        <f t="shared" si="3796"/>
        <v>0.35780982363540459</v>
      </c>
      <c r="N5505" s="2">
        <f t="shared" si="3797"/>
        <v>0.64219017636459552</v>
      </c>
    </row>
    <row r="5506" spans="1:14" x14ac:dyDescent="0.35">
      <c r="A5506" t="s">
        <v>38</v>
      </c>
      <c r="B5506" t="s">
        <v>26</v>
      </c>
      <c r="C5506">
        <v>2012</v>
      </c>
      <c r="D5506" t="s">
        <v>32</v>
      </c>
      <c r="E5506" s="3">
        <f t="shared" ref="E5506:F5506" si="3925">SUM(E706+E1666+E2626+E3586+E4546)</f>
        <v>81401</v>
      </c>
      <c r="F5506" s="3">
        <f t="shared" si="3925"/>
        <v>67497</v>
      </c>
      <c r="G5506" s="1">
        <f t="shared" si="3901"/>
        <v>148898</v>
      </c>
      <c r="H5506" s="2">
        <f t="shared" si="3902"/>
        <v>0.54668968018374997</v>
      </c>
      <c r="I5506" s="2">
        <f t="shared" si="3903"/>
        <v>0.45331031981625003</v>
      </c>
      <c r="J5506" s="3">
        <f t="shared" ref="J5506:K5506" si="3926">SUM(J706+J1666+J2626+J3586+J4546)</f>
        <v>31916.840000000004</v>
      </c>
      <c r="K5506" s="3">
        <f t="shared" si="3926"/>
        <v>57380.68</v>
      </c>
      <c r="L5506" s="1">
        <f t="shared" si="3795"/>
        <v>89297.52</v>
      </c>
      <c r="M5506" s="2">
        <f t="shared" si="3796"/>
        <v>0.35742134831963979</v>
      </c>
      <c r="N5506" s="2">
        <f t="shared" si="3797"/>
        <v>0.64257865168036021</v>
      </c>
    </row>
    <row r="5507" spans="1:14" x14ac:dyDescent="0.35">
      <c r="A5507" t="s">
        <v>38</v>
      </c>
      <c r="B5507" t="s">
        <v>27</v>
      </c>
      <c r="C5507">
        <v>2012</v>
      </c>
      <c r="D5507" t="s">
        <v>32</v>
      </c>
      <c r="E5507" s="3">
        <f t="shared" ref="E5507:F5507" si="3927">SUM(E707+E1667+E2627+E3587+E4547)</f>
        <v>80864</v>
      </c>
      <c r="F5507" s="3">
        <f t="shared" si="3927"/>
        <v>66877</v>
      </c>
      <c r="G5507" s="1">
        <f t="shared" si="3901"/>
        <v>147741</v>
      </c>
      <c r="H5507" s="2">
        <f t="shared" si="3902"/>
        <v>0.54733621675770439</v>
      </c>
      <c r="I5507" s="2">
        <f t="shared" si="3903"/>
        <v>0.45266378324229561</v>
      </c>
      <c r="J5507" s="3">
        <f t="shared" ref="J5507:K5507" si="3928">SUM(J707+J1667+J2627+J3587+J4547)</f>
        <v>31745.059999999998</v>
      </c>
      <c r="K5507" s="3">
        <f t="shared" si="3928"/>
        <v>57465.67</v>
      </c>
      <c r="L5507" s="1">
        <f t="shared" ref="L5507:L5570" si="3929">SUM(J5507:K5507)</f>
        <v>89210.73</v>
      </c>
      <c r="M5507" s="2">
        <f t="shared" ref="M5507:M5570" si="3930">SUM(J5507)/L5507</f>
        <v>0.35584351792659918</v>
      </c>
      <c r="N5507" s="2">
        <f t="shared" ref="N5507:N5570" si="3931">SUM(K5507/L5507)</f>
        <v>0.64415648207340082</v>
      </c>
    </row>
    <row r="5508" spans="1:14" x14ac:dyDescent="0.35">
      <c r="A5508" t="s">
        <v>38</v>
      </c>
      <c r="B5508" t="s">
        <v>28</v>
      </c>
      <c r="C5508">
        <v>2012</v>
      </c>
      <c r="D5508" t="s">
        <v>32</v>
      </c>
      <c r="E5508" s="3">
        <f t="shared" ref="E5508:F5508" si="3932">SUM(E708+E1668+E2628+E3588+E4548)</f>
        <v>80495</v>
      </c>
      <c r="F5508" s="3">
        <f t="shared" si="3932"/>
        <v>67188</v>
      </c>
      <c r="G5508" s="1">
        <f t="shared" si="3901"/>
        <v>147683</v>
      </c>
      <c r="H5508" s="2">
        <f t="shared" si="3902"/>
        <v>0.54505257883439528</v>
      </c>
      <c r="I5508" s="2">
        <f t="shared" si="3903"/>
        <v>0.45494742116560472</v>
      </c>
      <c r="J5508" s="3">
        <f t="shared" ref="J5508:K5508" si="3933">SUM(J708+J1668+J2628+J3588+J4548)</f>
        <v>31579.5</v>
      </c>
      <c r="K5508" s="3">
        <f t="shared" si="3933"/>
        <v>57483.83</v>
      </c>
      <c r="L5508" s="1">
        <f t="shared" si="3929"/>
        <v>89063.33</v>
      </c>
      <c r="M5508" s="2">
        <f t="shared" si="3930"/>
        <v>0.35457353772871503</v>
      </c>
      <c r="N5508" s="2">
        <f t="shared" si="3931"/>
        <v>0.64542646227128497</v>
      </c>
    </row>
    <row r="5509" spans="1:14" x14ac:dyDescent="0.35">
      <c r="A5509" t="s">
        <v>38</v>
      </c>
      <c r="B5509" t="s">
        <v>29</v>
      </c>
      <c r="C5509">
        <v>2012</v>
      </c>
      <c r="D5509" t="s">
        <v>32</v>
      </c>
      <c r="E5509" s="3">
        <f t="shared" ref="E5509:F5509" si="3934">SUM(E709+E1669+E2629+E3589+E4549)</f>
        <v>80101</v>
      </c>
      <c r="F5509" s="3">
        <f t="shared" si="3934"/>
        <v>67344</v>
      </c>
      <c r="G5509" s="1">
        <f t="shared" si="3901"/>
        <v>147445</v>
      </c>
      <c r="H5509" s="2">
        <f t="shared" si="3902"/>
        <v>0.54326019871816611</v>
      </c>
      <c r="I5509" s="2">
        <f t="shared" si="3903"/>
        <v>0.45673980128183389</v>
      </c>
      <c r="J5509" s="3">
        <f t="shared" ref="J5509:K5509" si="3935">SUM(J709+J1669+J2629+J3589+J4549)</f>
        <v>31620.87</v>
      </c>
      <c r="K5509" s="3">
        <f t="shared" si="3935"/>
        <v>58386.239999999998</v>
      </c>
      <c r="L5509" s="1">
        <f t="shared" si="3929"/>
        <v>90007.11</v>
      </c>
      <c r="M5509" s="2">
        <f t="shared" si="3930"/>
        <v>0.35131524609555842</v>
      </c>
      <c r="N5509" s="2">
        <f t="shared" si="3931"/>
        <v>0.64868475390444147</v>
      </c>
    </row>
    <row r="5510" spans="1:14" x14ac:dyDescent="0.35">
      <c r="A5510" t="s">
        <v>38</v>
      </c>
      <c r="B5510" t="s">
        <v>17</v>
      </c>
      <c r="C5510">
        <v>2013</v>
      </c>
      <c r="D5510" t="s">
        <v>32</v>
      </c>
      <c r="E5510" s="3">
        <f t="shared" ref="E5510:F5510" si="3936">SUM(E710+E1670+E2630+E3590+E4550)</f>
        <v>79750</v>
      </c>
      <c r="F5510" s="3">
        <f t="shared" si="3936"/>
        <v>68423</v>
      </c>
      <c r="G5510" s="1">
        <f t="shared" si="3901"/>
        <v>148173</v>
      </c>
      <c r="H5510" s="2">
        <f t="shared" si="3902"/>
        <v>0.53822221322373176</v>
      </c>
      <c r="I5510" s="2">
        <f t="shared" si="3903"/>
        <v>0.4617777867762683</v>
      </c>
      <c r="J5510" s="3">
        <f t="shared" ref="J5510:K5510" si="3937">SUM(J710+J1670+J2630+J3590+J4550)</f>
        <v>31518.469999999998</v>
      </c>
      <c r="K5510" s="3">
        <f t="shared" si="3937"/>
        <v>58232.68</v>
      </c>
      <c r="L5510" s="1">
        <f t="shared" si="3929"/>
        <v>89751.15</v>
      </c>
      <c r="M5510" s="2">
        <f t="shared" si="3930"/>
        <v>0.35117622448291747</v>
      </c>
      <c r="N5510" s="2">
        <f t="shared" si="3931"/>
        <v>0.64882377551708259</v>
      </c>
    </row>
    <row r="5511" spans="1:14" x14ac:dyDescent="0.35">
      <c r="A5511" t="s">
        <v>38</v>
      </c>
      <c r="B5511" t="s">
        <v>19</v>
      </c>
      <c r="C5511">
        <v>2013</v>
      </c>
      <c r="D5511" t="s">
        <v>32</v>
      </c>
      <c r="E5511" s="3">
        <f t="shared" ref="E5511:F5511" si="3938">SUM(E711+E1671+E2631+E3591+E4551)</f>
        <v>79041</v>
      </c>
      <c r="F5511" s="3">
        <f t="shared" si="3938"/>
        <v>68510</v>
      </c>
      <c r="G5511" s="1">
        <f t="shared" si="3901"/>
        <v>147551</v>
      </c>
      <c r="H5511" s="2">
        <f t="shared" si="3902"/>
        <v>0.53568596620829412</v>
      </c>
      <c r="I5511" s="2">
        <f t="shared" si="3903"/>
        <v>0.46431403379170594</v>
      </c>
      <c r="J5511" s="3">
        <f t="shared" ref="J5511:K5511" si="3939">SUM(J711+J1671+J2631+J3591+J4551)</f>
        <v>32058.879999999997</v>
      </c>
      <c r="K5511" s="3">
        <f t="shared" si="3939"/>
        <v>57026.259999999995</v>
      </c>
      <c r="L5511" s="1">
        <f t="shared" si="3929"/>
        <v>89085.139999999985</v>
      </c>
      <c r="M5511" s="2">
        <f t="shared" si="3930"/>
        <v>0.35986787470951948</v>
      </c>
      <c r="N5511" s="2">
        <f t="shared" si="3931"/>
        <v>0.64013212529048058</v>
      </c>
    </row>
    <row r="5512" spans="1:14" x14ac:dyDescent="0.35">
      <c r="A5512" t="s">
        <v>38</v>
      </c>
      <c r="B5512" t="s">
        <v>20</v>
      </c>
      <c r="C5512">
        <v>2013</v>
      </c>
      <c r="D5512" t="s">
        <v>32</v>
      </c>
      <c r="E5512" s="3">
        <f t="shared" ref="E5512:F5512" si="3940">SUM(E712+E1672+E2632+E3592+E4552)</f>
        <v>78521</v>
      </c>
      <c r="F5512" s="3">
        <f t="shared" si="3940"/>
        <v>68793</v>
      </c>
      <c r="G5512" s="1">
        <f t="shared" si="3901"/>
        <v>147314</v>
      </c>
      <c r="H5512" s="2">
        <f t="shared" si="3902"/>
        <v>0.53301790732720589</v>
      </c>
      <c r="I5512" s="2">
        <f t="shared" si="3903"/>
        <v>0.46698209267279417</v>
      </c>
      <c r="J5512" s="3">
        <f t="shared" ref="J5512:K5512" si="3941">SUM(J712+J1672+J2632+J3592+J4552)</f>
        <v>32040.67</v>
      </c>
      <c r="K5512" s="3">
        <f t="shared" si="3941"/>
        <v>57182.01</v>
      </c>
      <c r="L5512" s="1">
        <f t="shared" si="3929"/>
        <v>89222.68</v>
      </c>
      <c r="M5512" s="2">
        <f t="shared" si="3930"/>
        <v>0.35910902922889115</v>
      </c>
      <c r="N5512" s="2">
        <f t="shared" si="3931"/>
        <v>0.6408909707711089</v>
      </c>
    </row>
    <row r="5513" spans="1:14" x14ac:dyDescent="0.35">
      <c r="A5513" t="s">
        <v>38</v>
      </c>
      <c r="B5513" t="s">
        <v>21</v>
      </c>
      <c r="C5513">
        <v>2013</v>
      </c>
      <c r="D5513" t="s">
        <v>32</v>
      </c>
      <c r="E5513" s="3">
        <f t="shared" ref="E5513:F5513" si="3942">SUM(E713+E1673+E2633+E3593+E4553)</f>
        <v>77948</v>
      </c>
      <c r="F5513" s="3">
        <f t="shared" si="3942"/>
        <v>69182</v>
      </c>
      <c r="G5513" s="1">
        <f t="shared" si="3901"/>
        <v>147130</v>
      </c>
      <c r="H5513" s="2">
        <f t="shared" si="3902"/>
        <v>0.52978998164888191</v>
      </c>
      <c r="I5513" s="2">
        <f t="shared" si="3903"/>
        <v>0.47021001835111809</v>
      </c>
      <c r="J5513" s="3">
        <f t="shared" ref="J5513:K5513" si="3943">SUM(J713+J1673+J2633+J3593+J4553)</f>
        <v>31978.120000000003</v>
      </c>
      <c r="K5513" s="3">
        <f t="shared" si="3943"/>
        <v>57405.64</v>
      </c>
      <c r="L5513" s="1">
        <f t="shared" si="3929"/>
        <v>89383.760000000009</v>
      </c>
      <c r="M5513" s="2">
        <f t="shared" si="3930"/>
        <v>0.35776208116552716</v>
      </c>
      <c r="N5513" s="2">
        <f t="shared" si="3931"/>
        <v>0.64223791883447279</v>
      </c>
    </row>
    <row r="5514" spans="1:14" x14ac:dyDescent="0.35">
      <c r="A5514" t="s">
        <v>38</v>
      </c>
      <c r="B5514" t="s">
        <v>22</v>
      </c>
      <c r="C5514">
        <v>2013</v>
      </c>
      <c r="D5514" t="s">
        <v>32</v>
      </c>
      <c r="E5514" s="3">
        <f t="shared" ref="E5514:F5514" si="3944">SUM(E714+E1674+E2634+E3594+E4554)</f>
        <v>77552</v>
      </c>
      <c r="F5514" s="3">
        <f t="shared" si="3944"/>
        <v>69304</v>
      </c>
      <c r="G5514" s="1">
        <f t="shared" si="3901"/>
        <v>146856</v>
      </c>
      <c r="H5514" s="2">
        <f t="shared" si="3902"/>
        <v>0.52808193059868169</v>
      </c>
      <c r="I5514" s="2">
        <f t="shared" si="3903"/>
        <v>0.47191806940131831</v>
      </c>
      <c r="J5514" s="3">
        <f t="shared" ref="J5514:K5514" si="3945">SUM(J714+J1674+J2634+J3594+J4554)</f>
        <v>31857.200000000001</v>
      </c>
      <c r="K5514" s="3">
        <f t="shared" si="3945"/>
        <v>56750.68</v>
      </c>
      <c r="L5514" s="1">
        <f t="shared" si="3929"/>
        <v>88607.88</v>
      </c>
      <c r="M5514" s="2">
        <f t="shared" si="3930"/>
        <v>0.35953010048316242</v>
      </c>
      <c r="N5514" s="2">
        <f t="shared" si="3931"/>
        <v>0.64046989951683753</v>
      </c>
    </row>
    <row r="5515" spans="1:14" x14ac:dyDescent="0.35">
      <c r="A5515" t="s">
        <v>38</v>
      </c>
      <c r="B5515" t="s">
        <v>23</v>
      </c>
      <c r="C5515">
        <v>2013</v>
      </c>
      <c r="D5515" t="s">
        <v>32</v>
      </c>
      <c r="E5515" s="3">
        <f t="shared" ref="E5515:F5515" si="3946">SUM(E715+E1675+E2635+E3595+E4555)</f>
        <v>76956</v>
      </c>
      <c r="F5515" s="3">
        <f t="shared" si="3946"/>
        <v>69438</v>
      </c>
      <c r="G5515" s="1">
        <f t="shared" si="3901"/>
        <v>146394</v>
      </c>
      <c r="H5515" s="2">
        <f t="shared" si="3902"/>
        <v>0.52567728185581375</v>
      </c>
      <c r="I5515" s="2">
        <f t="shared" si="3903"/>
        <v>0.47432271814418625</v>
      </c>
      <c r="J5515" s="3">
        <f t="shared" ref="J5515:K5515" si="3947">SUM(J715+J1675+J2635+J3595+J4555)</f>
        <v>31901.18</v>
      </c>
      <c r="K5515" s="3">
        <f t="shared" si="3947"/>
        <v>56932.17</v>
      </c>
      <c r="L5515" s="1">
        <f t="shared" si="3929"/>
        <v>88833.35</v>
      </c>
      <c r="M5515" s="2">
        <f t="shared" si="3930"/>
        <v>0.35911265307454915</v>
      </c>
      <c r="N5515" s="2">
        <f t="shared" si="3931"/>
        <v>0.6408873469254508</v>
      </c>
    </row>
    <row r="5516" spans="1:14" x14ac:dyDescent="0.35">
      <c r="A5516" t="s">
        <v>38</v>
      </c>
      <c r="B5516" t="s">
        <v>24</v>
      </c>
      <c r="C5516">
        <v>2013</v>
      </c>
      <c r="D5516" t="s">
        <v>32</v>
      </c>
      <c r="E5516" s="3">
        <f t="shared" ref="E5516:F5516" si="3948">SUM(E716+E1676+E2636+E3596+E4556)</f>
        <v>76574</v>
      </c>
      <c r="F5516" s="3">
        <f t="shared" si="3948"/>
        <v>69458</v>
      </c>
      <c r="G5516" s="1">
        <f t="shared" si="3901"/>
        <v>146032</v>
      </c>
      <c r="H5516" s="2">
        <f t="shared" si="3902"/>
        <v>0.52436452284430812</v>
      </c>
      <c r="I5516" s="2">
        <f t="shared" si="3903"/>
        <v>0.47563547715569188</v>
      </c>
      <c r="J5516" s="3">
        <f t="shared" ref="J5516:K5516" si="3949">SUM(J716+J1676+J2636+J3596+J4556)</f>
        <v>32164.76</v>
      </c>
      <c r="K5516" s="3">
        <f t="shared" si="3949"/>
        <v>56856.35</v>
      </c>
      <c r="L5516" s="1">
        <f t="shared" si="3929"/>
        <v>89021.11</v>
      </c>
      <c r="M5516" s="2">
        <f t="shared" si="3930"/>
        <v>0.36131609682242782</v>
      </c>
      <c r="N5516" s="2">
        <f t="shared" si="3931"/>
        <v>0.63868390317757218</v>
      </c>
    </row>
    <row r="5517" spans="1:14" x14ac:dyDescent="0.35">
      <c r="A5517" t="s">
        <v>38</v>
      </c>
      <c r="B5517" t="s">
        <v>25</v>
      </c>
      <c r="C5517">
        <v>2013</v>
      </c>
      <c r="D5517" t="s">
        <v>32</v>
      </c>
      <c r="E5517" s="3">
        <f t="shared" ref="E5517:F5517" si="3950">SUM(E717+E1677+E2637+E3597+E4557)</f>
        <v>76222</v>
      </c>
      <c r="F5517" s="3">
        <f t="shared" si="3950"/>
        <v>69394</v>
      </c>
      <c r="G5517" s="1">
        <f t="shared" si="3901"/>
        <v>145616</v>
      </c>
      <c r="H5517" s="2">
        <f t="shared" si="3902"/>
        <v>0.5234452257993627</v>
      </c>
      <c r="I5517" s="2">
        <f t="shared" si="3903"/>
        <v>0.4765547742006373</v>
      </c>
      <c r="J5517" s="3">
        <f t="shared" ref="J5517:K5517" si="3951">SUM(J717+J1677+J2637+J3597+J4557)</f>
        <v>30839.78</v>
      </c>
      <c r="K5517" s="3">
        <f t="shared" si="3951"/>
        <v>56919.55</v>
      </c>
      <c r="L5517" s="1">
        <f t="shared" si="3929"/>
        <v>87759.33</v>
      </c>
      <c r="M5517" s="2">
        <f t="shared" si="3930"/>
        <v>0.35141312040554545</v>
      </c>
      <c r="N5517" s="2">
        <f t="shared" si="3931"/>
        <v>0.64858687959445449</v>
      </c>
    </row>
    <row r="5518" spans="1:14" x14ac:dyDescent="0.35">
      <c r="A5518" t="s">
        <v>38</v>
      </c>
      <c r="B5518" t="s">
        <v>26</v>
      </c>
      <c r="C5518">
        <v>2013</v>
      </c>
      <c r="D5518" t="s">
        <v>32</v>
      </c>
      <c r="E5518" s="3">
        <f t="shared" ref="E5518:F5518" si="3952">SUM(E718+E1678+E2638+E3598+E4558)</f>
        <v>75771</v>
      </c>
      <c r="F5518" s="3">
        <f t="shared" si="3952"/>
        <v>69501</v>
      </c>
      <c r="G5518" s="1">
        <f t="shared" si="3901"/>
        <v>145272</v>
      </c>
      <c r="H5518" s="2">
        <f t="shared" si="3902"/>
        <v>0.5215802081612424</v>
      </c>
      <c r="I5518" s="2">
        <f t="shared" si="3903"/>
        <v>0.47841979183875766</v>
      </c>
      <c r="J5518" s="3">
        <f t="shared" ref="J5518:K5518" si="3953">SUM(J718+J1678+J2638+J3598+J4558)</f>
        <v>30252.93</v>
      </c>
      <c r="K5518" s="3">
        <f t="shared" si="3953"/>
        <v>57237.15</v>
      </c>
      <c r="L5518" s="1">
        <f t="shared" si="3929"/>
        <v>87490.08</v>
      </c>
      <c r="M5518" s="2">
        <f t="shared" si="3930"/>
        <v>0.34578697379177159</v>
      </c>
      <c r="N5518" s="2">
        <f t="shared" si="3931"/>
        <v>0.65421302620822841</v>
      </c>
    </row>
    <row r="5519" spans="1:14" x14ac:dyDescent="0.35">
      <c r="A5519" t="s">
        <v>38</v>
      </c>
      <c r="B5519" t="s">
        <v>27</v>
      </c>
      <c r="C5519">
        <v>2013</v>
      </c>
      <c r="D5519" t="s">
        <v>32</v>
      </c>
      <c r="E5519" s="3">
        <f t="shared" ref="E5519:F5519" si="3954">SUM(E719+E1679+E2639+E3599+E4559)</f>
        <v>75433</v>
      </c>
      <c r="F5519" s="3">
        <f t="shared" si="3954"/>
        <v>70111</v>
      </c>
      <c r="G5519" s="1">
        <f t="shared" si="3901"/>
        <v>145544</v>
      </c>
      <c r="H5519" s="2">
        <f t="shared" si="3902"/>
        <v>0.51828313087451217</v>
      </c>
      <c r="I5519" s="2">
        <f t="shared" si="3903"/>
        <v>0.48171686912548783</v>
      </c>
      <c r="J5519" s="3">
        <f t="shared" ref="J5519:K5519" si="3955">SUM(J719+J1679+J2639+J3599+J4559)</f>
        <v>30797.34</v>
      </c>
      <c r="K5519" s="3">
        <f t="shared" si="3955"/>
        <v>57509.24</v>
      </c>
      <c r="L5519" s="1">
        <f t="shared" si="3929"/>
        <v>88306.58</v>
      </c>
      <c r="M5519" s="2">
        <f t="shared" si="3930"/>
        <v>0.34875475870541017</v>
      </c>
      <c r="N5519" s="2">
        <f t="shared" si="3931"/>
        <v>0.65124524129458983</v>
      </c>
    </row>
    <row r="5520" spans="1:14" x14ac:dyDescent="0.35">
      <c r="A5520" t="s">
        <v>38</v>
      </c>
      <c r="B5520" t="s">
        <v>28</v>
      </c>
      <c r="C5520">
        <v>2013</v>
      </c>
      <c r="D5520" t="s">
        <v>32</v>
      </c>
      <c r="E5520" s="3">
        <f t="shared" ref="E5520:F5520" si="3956">SUM(E720+E1680+E2640+E3600+E4560)</f>
        <v>75023</v>
      </c>
      <c r="F5520" s="3">
        <f t="shared" si="3956"/>
        <v>70160</v>
      </c>
      <c r="G5520" s="1">
        <f t="shared" si="3901"/>
        <v>145183</v>
      </c>
      <c r="H5520" s="2">
        <f t="shared" si="3902"/>
        <v>0.51674782860252233</v>
      </c>
      <c r="I5520" s="2">
        <f t="shared" si="3903"/>
        <v>0.48325217139747767</v>
      </c>
      <c r="J5520" s="3">
        <f t="shared" ref="J5520:K5520" si="3957">SUM(J720+J1680+J2640+J3600+J4560)</f>
        <v>31079.55</v>
      </c>
      <c r="K5520" s="3">
        <f t="shared" si="3957"/>
        <v>57353.840000000004</v>
      </c>
      <c r="L5520" s="1">
        <f t="shared" si="3929"/>
        <v>88433.39</v>
      </c>
      <c r="M5520" s="2">
        <f t="shared" si="3930"/>
        <v>0.35144587355522616</v>
      </c>
      <c r="N5520" s="2">
        <f t="shared" si="3931"/>
        <v>0.64855412644477395</v>
      </c>
    </row>
    <row r="5521" spans="1:14" x14ac:dyDescent="0.35">
      <c r="A5521" t="s">
        <v>38</v>
      </c>
      <c r="B5521" t="s">
        <v>29</v>
      </c>
      <c r="C5521">
        <v>2013</v>
      </c>
      <c r="D5521" t="s">
        <v>32</v>
      </c>
      <c r="E5521" s="3">
        <f t="shared" ref="E5521:F5521" si="3958">SUM(E721+E1681+E2641+E3601+E4561)</f>
        <v>74611</v>
      </c>
      <c r="F5521" s="3">
        <f t="shared" si="3958"/>
        <v>69615</v>
      </c>
      <c r="G5521" s="1">
        <f t="shared" si="3901"/>
        <v>144226</v>
      </c>
      <c r="H5521" s="2">
        <f t="shared" si="3902"/>
        <v>0.5173200393826356</v>
      </c>
      <c r="I5521" s="2">
        <f t="shared" si="3903"/>
        <v>0.4826799606173644</v>
      </c>
      <c r="J5521" s="3">
        <f t="shared" ref="J5521:K5521" si="3959">SUM(J721+J1681+J2641+J3601+J4561)</f>
        <v>31075.9</v>
      </c>
      <c r="K5521" s="3">
        <f t="shared" si="3959"/>
        <v>57837.34</v>
      </c>
      <c r="L5521" s="1">
        <f t="shared" si="3929"/>
        <v>88913.239999999991</v>
      </c>
      <c r="M5521" s="2">
        <f t="shared" si="3930"/>
        <v>0.3495081272485403</v>
      </c>
      <c r="N5521" s="2">
        <f t="shared" si="3931"/>
        <v>0.65049187275145981</v>
      </c>
    </row>
    <row r="5522" spans="1:14" x14ac:dyDescent="0.35">
      <c r="A5522" t="s">
        <v>38</v>
      </c>
      <c r="B5522" t="s">
        <v>17</v>
      </c>
      <c r="C5522">
        <v>2014</v>
      </c>
      <c r="D5522" t="s">
        <v>32</v>
      </c>
      <c r="E5522" s="3">
        <f t="shared" ref="E5522:F5522" si="3960">SUM(E722+E1682+E2642+E3602+E4562)</f>
        <v>73169</v>
      </c>
      <c r="F5522" s="3">
        <f t="shared" si="3960"/>
        <v>68998</v>
      </c>
      <c r="G5522" s="1">
        <f t="shared" si="3901"/>
        <v>142167</v>
      </c>
      <c r="H5522" s="2">
        <f t="shared" si="3902"/>
        <v>0.51466936771543326</v>
      </c>
      <c r="I5522" s="2">
        <f t="shared" si="3903"/>
        <v>0.48533063228456674</v>
      </c>
      <c r="J5522" s="3">
        <f t="shared" ref="J5522:K5522" si="3961">SUM(J722+J1682+J2642+J3602+J4562)</f>
        <v>30881.72</v>
      </c>
      <c r="K5522" s="3">
        <f t="shared" si="3961"/>
        <v>56043.83</v>
      </c>
      <c r="L5522" s="1">
        <f t="shared" si="3929"/>
        <v>86925.55</v>
      </c>
      <c r="M5522" s="2">
        <f t="shared" si="3930"/>
        <v>0.35526631698045052</v>
      </c>
      <c r="N5522" s="2">
        <f t="shared" si="3931"/>
        <v>0.64473368301954948</v>
      </c>
    </row>
    <row r="5523" spans="1:14" x14ac:dyDescent="0.35">
      <c r="A5523" t="s">
        <v>38</v>
      </c>
      <c r="B5523" t="s">
        <v>19</v>
      </c>
      <c r="C5523">
        <v>2014</v>
      </c>
      <c r="D5523" t="s">
        <v>32</v>
      </c>
      <c r="E5523" s="3">
        <f t="shared" ref="E5523:F5523" si="3962">SUM(E723+E1683+E2643+E3603+E4563)</f>
        <v>72866</v>
      </c>
      <c r="F5523" s="3">
        <f t="shared" si="3962"/>
        <v>68210</v>
      </c>
      <c r="G5523" s="1">
        <f t="shared" si="3901"/>
        <v>141076</v>
      </c>
      <c r="H5523" s="2">
        <f t="shared" si="3902"/>
        <v>0.51650174374096236</v>
      </c>
      <c r="I5523" s="2">
        <f t="shared" si="3903"/>
        <v>0.4834982562590377</v>
      </c>
      <c r="J5523" s="3">
        <f t="shared" ref="J5523:K5523" si="3963">SUM(J723+J1683+J2643+J3603+J4563)</f>
        <v>30765.750000000004</v>
      </c>
      <c r="K5523" s="3">
        <f t="shared" si="3963"/>
        <v>56415.22</v>
      </c>
      <c r="L5523" s="1">
        <f t="shared" si="3929"/>
        <v>87180.97</v>
      </c>
      <c r="M5523" s="2">
        <f t="shared" si="3930"/>
        <v>0.35289524766700808</v>
      </c>
      <c r="N5523" s="2">
        <f t="shared" si="3931"/>
        <v>0.64710475233299192</v>
      </c>
    </row>
    <row r="5524" spans="1:14" x14ac:dyDescent="0.35">
      <c r="A5524" t="s">
        <v>38</v>
      </c>
      <c r="B5524" t="s">
        <v>20</v>
      </c>
      <c r="C5524">
        <v>2014</v>
      </c>
      <c r="D5524" t="s">
        <v>32</v>
      </c>
      <c r="E5524" s="3">
        <f t="shared" ref="E5524:F5524" si="3964">SUM(E724+E1684+E2644+E3604+E4564)</f>
        <v>72348</v>
      </c>
      <c r="F5524" s="3">
        <f t="shared" si="3964"/>
        <v>68423</v>
      </c>
      <c r="G5524" s="1">
        <f t="shared" si="3901"/>
        <v>140771</v>
      </c>
      <c r="H5524" s="2">
        <f t="shared" si="3902"/>
        <v>0.51394108161482122</v>
      </c>
      <c r="I5524" s="2">
        <f t="shared" si="3903"/>
        <v>0.48605891838517878</v>
      </c>
      <c r="J5524" s="3">
        <f t="shared" ref="J5524:K5524" si="3965">SUM(J724+J1684+J2644+J3604+J4564)</f>
        <v>30778.539999999997</v>
      </c>
      <c r="K5524" s="3">
        <f t="shared" si="3965"/>
        <v>56113.33</v>
      </c>
      <c r="L5524" s="1">
        <f t="shared" si="3929"/>
        <v>86891.87</v>
      </c>
      <c r="M5524" s="2">
        <f t="shared" si="3930"/>
        <v>0.3542165682474091</v>
      </c>
      <c r="N5524" s="2">
        <f t="shared" si="3931"/>
        <v>0.6457834317525909</v>
      </c>
    </row>
    <row r="5525" spans="1:14" x14ac:dyDescent="0.35">
      <c r="A5525" t="s">
        <v>38</v>
      </c>
      <c r="B5525" t="s">
        <v>21</v>
      </c>
      <c r="C5525">
        <v>2014</v>
      </c>
      <c r="D5525" t="s">
        <v>32</v>
      </c>
      <c r="E5525" s="3">
        <f t="shared" ref="E5525:F5525" si="3966">SUM(E725+E1685+E2645+E3605+E4565)</f>
        <v>72942</v>
      </c>
      <c r="F5525" s="3">
        <f t="shared" si="3966"/>
        <v>70399</v>
      </c>
      <c r="G5525" s="1">
        <f t="shared" si="3901"/>
        <v>143341</v>
      </c>
      <c r="H5525" s="2">
        <f t="shared" si="3902"/>
        <v>0.50887045576631951</v>
      </c>
      <c r="I5525" s="2">
        <f t="shared" si="3903"/>
        <v>0.49112954423368055</v>
      </c>
      <c r="J5525" s="3">
        <f t="shared" ref="J5525:K5525" si="3967">SUM(J725+J1685+J2645+J3605+J4565)</f>
        <v>30791.66</v>
      </c>
      <c r="K5525" s="3">
        <f t="shared" si="3967"/>
        <v>57636.700000000004</v>
      </c>
      <c r="L5525" s="1">
        <f t="shared" si="3929"/>
        <v>88428.36</v>
      </c>
      <c r="M5525" s="2">
        <f t="shared" si="3930"/>
        <v>0.34821023481607033</v>
      </c>
      <c r="N5525" s="2">
        <f t="shared" si="3931"/>
        <v>0.65178976518392973</v>
      </c>
    </row>
    <row r="5526" spans="1:14" x14ac:dyDescent="0.35">
      <c r="A5526" t="s">
        <v>38</v>
      </c>
      <c r="B5526" t="s">
        <v>22</v>
      </c>
      <c r="C5526">
        <v>2014</v>
      </c>
      <c r="D5526" t="s">
        <v>32</v>
      </c>
      <c r="E5526" s="3">
        <f t="shared" ref="E5526:F5526" si="3968">SUM(E726+E1686+E2646+E3606+E4566)</f>
        <v>72700</v>
      </c>
      <c r="F5526" s="3">
        <f t="shared" si="3968"/>
        <v>70576</v>
      </c>
      <c r="G5526" s="1">
        <f t="shared" si="3901"/>
        <v>143276</v>
      </c>
      <c r="H5526" s="2">
        <f t="shared" si="3902"/>
        <v>0.50741226723247435</v>
      </c>
      <c r="I5526" s="2">
        <f t="shared" si="3903"/>
        <v>0.4925877327675256</v>
      </c>
      <c r="J5526" s="3">
        <f t="shared" ref="J5526:K5526" si="3969">SUM(J726+J1686+J2646+J3606+J4566)</f>
        <v>30763.55</v>
      </c>
      <c r="K5526" s="3">
        <f t="shared" si="3969"/>
        <v>57526.97</v>
      </c>
      <c r="L5526" s="1">
        <f t="shared" si="3929"/>
        <v>88290.52</v>
      </c>
      <c r="M5526" s="2">
        <f t="shared" si="3930"/>
        <v>0.34843548322062207</v>
      </c>
      <c r="N5526" s="2">
        <f t="shared" si="3931"/>
        <v>0.65156451677937788</v>
      </c>
    </row>
    <row r="5527" spans="1:14" x14ac:dyDescent="0.35">
      <c r="A5527" t="s">
        <v>38</v>
      </c>
      <c r="B5527" t="s">
        <v>23</v>
      </c>
      <c r="C5527">
        <v>2014</v>
      </c>
      <c r="D5527" t="s">
        <v>32</v>
      </c>
      <c r="E5527" s="3">
        <f t="shared" ref="E5527:F5527" si="3970">SUM(E727+E1687+E2647+E3607+E4567)</f>
        <v>72389</v>
      </c>
      <c r="F5527" s="3">
        <f t="shared" si="3970"/>
        <v>70458</v>
      </c>
      <c r="G5527" s="1">
        <f t="shared" si="3901"/>
        <v>142847</v>
      </c>
      <c r="H5527" s="2">
        <f t="shared" si="3902"/>
        <v>0.50675897988757201</v>
      </c>
      <c r="I5527" s="2">
        <f t="shared" si="3903"/>
        <v>0.49324102011242799</v>
      </c>
      <c r="J5527" s="3">
        <f t="shared" ref="J5527:K5527" si="3971">SUM(J727+J1687+J2647+J3607+J4567)</f>
        <v>30815.4</v>
      </c>
      <c r="K5527" s="3">
        <f t="shared" si="3971"/>
        <v>57215.880000000005</v>
      </c>
      <c r="L5527" s="1">
        <f t="shared" si="3929"/>
        <v>88031.28</v>
      </c>
      <c r="M5527" s="2">
        <f t="shared" si="3930"/>
        <v>0.35005057293271213</v>
      </c>
      <c r="N5527" s="2">
        <f t="shared" si="3931"/>
        <v>0.64994942706728798</v>
      </c>
    </row>
    <row r="5528" spans="1:14" x14ac:dyDescent="0.35">
      <c r="A5528" t="s">
        <v>38</v>
      </c>
      <c r="B5528" t="s">
        <v>24</v>
      </c>
      <c r="C5528">
        <v>2014</v>
      </c>
      <c r="D5528" t="s">
        <v>32</v>
      </c>
      <c r="E5528" s="3">
        <f t="shared" ref="E5528:F5528" si="3972">SUM(E728+E1688+E2648+E3608+E4568)</f>
        <v>72002</v>
      </c>
      <c r="F5528" s="3">
        <f t="shared" si="3972"/>
        <v>70515</v>
      </c>
      <c r="G5528" s="1">
        <f t="shared" si="3901"/>
        <v>142517</v>
      </c>
      <c r="H5528" s="2">
        <f t="shared" si="3902"/>
        <v>0.50521692149006781</v>
      </c>
      <c r="I5528" s="2">
        <f t="shared" si="3903"/>
        <v>0.49478307850993214</v>
      </c>
      <c r="J5528" s="3">
        <f t="shared" ref="J5528:K5528" si="3973">SUM(J728+J1688+J2648+J3608+J4568)</f>
        <v>30783.759999999998</v>
      </c>
      <c r="K5528" s="3">
        <f t="shared" si="3973"/>
        <v>57224.490000000005</v>
      </c>
      <c r="L5528" s="1">
        <f t="shared" si="3929"/>
        <v>88008.25</v>
      </c>
      <c r="M5528" s="2">
        <f t="shared" si="3930"/>
        <v>0.3497826624208526</v>
      </c>
      <c r="N5528" s="2">
        <f t="shared" si="3931"/>
        <v>0.65021733757914746</v>
      </c>
    </row>
    <row r="5529" spans="1:14" x14ac:dyDescent="0.35">
      <c r="A5529" t="s">
        <v>38</v>
      </c>
      <c r="B5529" t="s">
        <v>25</v>
      </c>
      <c r="C5529">
        <v>2014</v>
      </c>
      <c r="D5529" t="s">
        <v>32</v>
      </c>
      <c r="E5529" s="3">
        <f t="shared" ref="E5529:F5529" si="3974">SUM(E729+E1689+E2649+E3609+E4569)</f>
        <v>71612</v>
      </c>
      <c r="F5529" s="3">
        <f t="shared" si="3974"/>
        <v>70519</v>
      </c>
      <c r="G5529" s="1">
        <f t="shared" si="3901"/>
        <v>142131</v>
      </c>
      <c r="H5529" s="2">
        <f t="shared" si="3902"/>
        <v>0.50384504436048438</v>
      </c>
      <c r="I5529" s="2">
        <f t="shared" si="3903"/>
        <v>0.49615495563951567</v>
      </c>
      <c r="J5529" s="3">
        <f t="shared" ref="J5529:K5529" si="3975">SUM(J729+J1689+J2649+J3609+J4569)</f>
        <v>30654.079999999998</v>
      </c>
      <c r="K5529" s="3">
        <f t="shared" si="3975"/>
        <v>57313.929999999993</v>
      </c>
      <c r="L5529" s="1">
        <f t="shared" si="3929"/>
        <v>87968.01</v>
      </c>
      <c r="M5529" s="2">
        <f t="shared" si="3930"/>
        <v>0.3484684943992708</v>
      </c>
      <c r="N5529" s="2">
        <f t="shared" si="3931"/>
        <v>0.65153150560072914</v>
      </c>
    </row>
    <row r="5530" spans="1:14" x14ac:dyDescent="0.35">
      <c r="A5530" t="s">
        <v>38</v>
      </c>
      <c r="B5530" t="s">
        <v>26</v>
      </c>
      <c r="C5530">
        <v>2014</v>
      </c>
      <c r="D5530" t="s">
        <v>32</v>
      </c>
      <c r="E5530" s="3">
        <f t="shared" ref="E5530:F5530" si="3976">SUM(E730+E1690+E2650+E3610+E4570)</f>
        <v>71209</v>
      </c>
      <c r="F5530" s="3">
        <f t="shared" si="3976"/>
        <v>70553</v>
      </c>
      <c r="G5530" s="1">
        <f t="shared" si="3901"/>
        <v>141762</v>
      </c>
      <c r="H5530" s="2">
        <f t="shared" si="3902"/>
        <v>0.50231373710867511</v>
      </c>
      <c r="I5530" s="2">
        <f t="shared" si="3903"/>
        <v>0.49768626289132489</v>
      </c>
      <c r="J5530" s="3">
        <f t="shared" ref="J5530:K5530" si="3977">SUM(J730+J1690+J2650+J3610+J4570)</f>
        <v>30722.81</v>
      </c>
      <c r="K5530" s="3">
        <f t="shared" si="3977"/>
        <v>57423.68</v>
      </c>
      <c r="L5530" s="1">
        <f t="shared" si="3929"/>
        <v>88146.49</v>
      </c>
      <c r="M5530" s="2">
        <f t="shared" si="3930"/>
        <v>0.34854263624110271</v>
      </c>
      <c r="N5530" s="2">
        <f t="shared" si="3931"/>
        <v>0.65145736375889718</v>
      </c>
    </row>
    <row r="5531" spans="1:14" x14ac:dyDescent="0.35">
      <c r="A5531" t="s">
        <v>38</v>
      </c>
      <c r="B5531" t="s">
        <v>27</v>
      </c>
      <c r="C5531">
        <v>2014</v>
      </c>
      <c r="D5531" t="s">
        <v>32</v>
      </c>
      <c r="E5531" s="3">
        <f t="shared" ref="E5531:F5531" si="3978">SUM(E731+E1691+E2651+E3611+E4571)</f>
        <v>70897</v>
      </c>
      <c r="F5531" s="3">
        <f t="shared" si="3978"/>
        <v>70719</v>
      </c>
      <c r="G5531" s="1">
        <f t="shared" si="3901"/>
        <v>141616</v>
      </c>
      <c r="H5531" s="2">
        <f t="shared" si="3902"/>
        <v>0.50062846006101003</v>
      </c>
      <c r="I5531" s="2">
        <f t="shared" si="3903"/>
        <v>0.49937153993898997</v>
      </c>
      <c r="J5531" s="3">
        <f t="shared" ref="J5531:K5531" si="3979">SUM(J731+J1691+J2651+J3611+J4571)</f>
        <v>30565.48</v>
      </c>
      <c r="K5531" s="3">
        <f t="shared" si="3979"/>
        <v>58165.51</v>
      </c>
      <c r="L5531" s="1">
        <f t="shared" si="3929"/>
        <v>88730.99</v>
      </c>
      <c r="M5531" s="2">
        <f t="shared" si="3930"/>
        <v>0.34447355991407286</v>
      </c>
      <c r="N5531" s="2">
        <f t="shared" si="3931"/>
        <v>0.65552644008592709</v>
      </c>
    </row>
    <row r="5532" spans="1:14" x14ac:dyDescent="0.35">
      <c r="A5532" t="s">
        <v>38</v>
      </c>
      <c r="B5532" t="s">
        <v>28</v>
      </c>
      <c r="C5532">
        <v>2014</v>
      </c>
      <c r="D5532" t="s">
        <v>32</v>
      </c>
      <c r="E5532" s="3">
        <f t="shared" ref="E5532:F5532" si="3980">SUM(E732+E1692+E2652+E3612+E4572)</f>
        <v>70622</v>
      </c>
      <c r="F5532" s="3">
        <f t="shared" si="3980"/>
        <v>70757</v>
      </c>
      <c r="G5532" s="1">
        <f t="shared" si="3901"/>
        <v>141379</v>
      </c>
      <c r="H5532" s="2">
        <f t="shared" si="3902"/>
        <v>0.49952255992757055</v>
      </c>
      <c r="I5532" s="2">
        <f t="shared" si="3903"/>
        <v>0.50047744007242945</v>
      </c>
      <c r="J5532" s="3">
        <f t="shared" ref="J5532:K5532" si="3981">SUM(J732+J1692+J2652+J3612+J4572)</f>
        <v>29937.620000000003</v>
      </c>
      <c r="K5532" s="3">
        <f t="shared" si="3981"/>
        <v>57398.32</v>
      </c>
      <c r="L5532" s="1">
        <f t="shared" si="3929"/>
        <v>87335.94</v>
      </c>
      <c r="M5532" s="2">
        <f t="shared" si="3930"/>
        <v>0.34278694429807477</v>
      </c>
      <c r="N5532" s="2">
        <f t="shared" si="3931"/>
        <v>0.65721305570192523</v>
      </c>
    </row>
    <row r="5533" spans="1:14" x14ac:dyDescent="0.35">
      <c r="A5533" t="s">
        <v>38</v>
      </c>
      <c r="B5533" t="s">
        <v>29</v>
      </c>
      <c r="C5533">
        <v>2014</v>
      </c>
      <c r="D5533" t="s">
        <v>32</v>
      </c>
      <c r="E5533" s="3">
        <f t="shared" ref="E5533:F5533" si="3982">SUM(E733+E1693+E2653+E3613+E4573)</f>
        <v>70284</v>
      </c>
      <c r="F5533" s="3">
        <f t="shared" si="3982"/>
        <v>70797</v>
      </c>
      <c r="G5533" s="1">
        <f t="shared" si="3901"/>
        <v>141081</v>
      </c>
      <c r="H5533" s="2">
        <f t="shared" si="3902"/>
        <v>0.4981818955068365</v>
      </c>
      <c r="I5533" s="2">
        <f t="shared" si="3903"/>
        <v>0.50181810449316355</v>
      </c>
      <c r="J5533" s="3">
        <f t="shared" ref="J5533:K5533" si="3983">SUM(J733+J1693+J2653+J3613+J4573)</f>
        <v>31550.749999999996</v>
      </c>
      <c r="K5533" s="3">
        <f t="shared" si="3983"/>
        <v>57902.95</v>
      </c>
      <c r="L5533" s="1">
        <f t="shared" si="3929"/>
        <v>89453.7</v>
      </c>
      <c r="M5533" s="2">
        <f t="shared" si="3930"/>
        <v>0.35270480706779034</v>
      </c>
      <c r="N5533" s="2">
        <f t="shared" si="3931"/>
        <v>0.64729519293220961</v>
      </c>
    </row>
    <row r="5534" spans="1:14" x14ac:dyDescent="0.35">
      <c r="A5534" t="s">
        <v>38</v>
      </c>
      <c r="B5534" t="s">
        <v>17</v>
      </c>
      <c r="C5534">
        <v>2015</v>
      </c>
      <c r="D5534" t="s">
        <v>32</v>
      </c>
      <c r="E5534" s="3">
        <f t="shared" ref="E5534:F5534" si="3984">SUM(E734+E1694+E2654+E3614+E4574)</f>
        <v>70034</v>
      </c>
      <c r="F5534" s="3">
        <f t="shared" si="3984"/>
        <v>70828</v>
      </c>
      <c r="G5534" s="1">
        <f t="shared" si="3901"/>
        <v>140862</v>
      </c>
      <c r="H5534" s="2">
        <f t="shared" si="3902"/>
        <v>0.49718163876702021</v>
      </c>
      <c r="I5534" s="2">
        <f t="shared" si="3903"/>
        <v>0.50281836123297985</v>
      </c>
      <c r="J5534" s="3">
        <f t="shared" ref="J5534:K5534" si="3985">SUM(J734+J1694+J2654+J3614+J4574)</f>
        <v>30718.240000000002</v>
      </c>
      <c r="K5534" s="3">
        <f t="shared" si="3985"/>
        <v>58432.27</v>
      </c>
      <c r="L5534" s="1">
        <f t="shared" si="3929"/>
        <v>89150.51</v>
      </c>
      <c r="M5534" s="2">
        <f t="shared" si="3930"/>
        <v>0.34456606025024428</v>
      </c>
      <c r="N5534" s="2">
        <f t="shared" si="3931"/>
        <v>0.65543393974975583</v>
      </c>
    </row>
    <row r="5535" spans="1:14" x14ac:dyDescent="0.35">
      <c r="A5535" t="s">
        <v>38</v>
      </c>
      <c r="B5535" t="s">
        <v>19</v>
      </c>
      <c r="C5535">
        <v>2015</v>
      </c>
      <c r="D5535" t="s">
        <v>32</v>
      </c>
      <c r="E5535" s="3">
        <f t="shared" ref="E5535:F5535" si="3986">SUM(E735+E1695+E2655+E3615+E4575)</f>
        <v>69680</v>
      </c>
      <c r="F5535" s="3">
        <f t="shared" si="3986"/>
        <v>70915</v>
      </c>
      <c r="G5535" s="1">
        <f t="shared" si="3901"/>
        <v>140595</v>
      </c>
      <c r="H5535" s="2">
        <f t="shared" si="3902"/>
        <v>0.49560795191863155</v>
      </c>
      <c r="I5535" s="2">
        <f t="shared" si="3903"/>
        <v>0.5043920480813685</v>
      </c>
      <c r="J5535" s="3">
        <f t="shared" ref="J5535:K5535" si="3987">SUM(J735+J1695+J2655+J3615+J4575)</f>
        <v>30507.79</v>
      </c>
      <c r="K5535" s="3">
        <f t="shared" si="3987"/>
        <v>57799.819999999992</v>
      </c>
      <c r="L5535" s="1">
        <f t="shared" si="3929"/>
        <v>88307.609999999986</v>
      </c>
      <c r="M5535" s="2">
        <f t="shared" si="3930"/>
        <v>0.34547181154602652</v>
      </c>
      <c r="N5535" s="2">
        <f t="shared" si="3931"/>
        <v>0.65452818845397354</v>
      </c>
    </row>
    <row r="5536" spans="1:14" x14ac:dyDescent="0.35">
      <c r="A5536" t="s">
        <v>38</v>
      </c>
      <c r="B5536" t="s">
        <v>20</v>
      </c>
      <c r="C5536">
        <v>2015</v>
      </c>
      <c r="D5536" t="s">
        <v>32</v>
      </c>
      <c r="E5536" s="3">
        <f t="shared" ref="E5536:F5536" si="3988">SUM(E736+E1696+E2656+E3616+E4576)</f>
        <v>69260</v>
      </c>
      <c r="F5536" s="3">
        <f t="shared" si="3988"/>
        <v>70913</v>
      </c>
      <c r="G5536" s="1">
        <f t="shared" si="3901"/>
        <v>140173</v>
      </c>
      <c r="H5536" s="2">
        <f t="shared" si="3902"/>
        <v>0.49410371469541209</v>
      </c>
      <c r="I5536" s="2">
        <f t="shared" si="3903"/>
        <v>0.50589628530458786</v>
      </c>
      <c r="J5536" s="3">
        <f t="shared" ref="J5536:K5536" si="3989">SUM(J736+J1696+J2656+J3616+J4576)</f>
        <v>30665.64</v>
      </c>
      <c r="K5536" s="3">
        <f t="shared" si="3989"/>
        <v>57938.57</v>
      </c>
      <c r="L5536" s="1">
        <f t="shared" si="3929"/>
        <v>88604.209999999992</v>
      </c>
      <c r="M5536" s="2">
        <f t="shared" si="3930"/>
        <v>0.3460968728235374</v>
      </c>
      <c r="N5536" s="2">
        <f t="shared" si="3931"/>
        <v>0.65390312717646271</v>
      </c>
    </row>
    <row r="5537" spans="1:14" x14ac:dyDescent="0.35">
      <c r="A5537" t="s">
        <v>38</v>
      </c>
      <c r="B5537" t="s">
        <v>21</v>
      </c>
      <c r="C5537">
        <v>2015</v>
      </c>
      <c r="D5537" t="s">
        <v>32</v>
      </c>
      <c r="E5537" s="3">
        <f t="shared" ref="E5537:F5537" si="3990">SUM(E737+E1697+E2657+E3617+E4577)</f>
        <v>68881</v>
      </c>
      <c r="F5537" s="3">
        <f t="shared" si="3990"/>
        <v>71192</v>
      </c>
      <c r="G5537" s="1">
        <f t="shared" si="3901"/>
        <v>140073</v>
      </c>
      <c r="H5537" s="2">
        <f t="shared" si="3902"/>
        <v>0.49175072997651226</v>
      </c>
      <c r="I5537" s="2">
        <f t="shared" si="3903"/>
        <v>0.50824927002348774</v>
      </c>
      <c r="J5537" s="3">
        <f t="shared" ref="J5537:K5537" si="3991">SUM(J737+J1697+J2657+J3617+J4577)</f>
        <v>30327.86</v>
      </c>
      <c r="K5537" s="3">
        <f t="shared" si="3991"/>
        <v>57765.270000000004</v>
      </c>
      <c r="L5537" s="1">
        <f t="shared" si="3929"/>
        <v>88093.13</v>
      </c>
      <c r="M5537" s="2">
        <f t="shared" si="3930"/>
        <v>0.34427043289300763</v>
      </c>
      <c r="N5537" s="2">
        <f t="shared" si="3931"/>
        <v>0.65572956710699237</v>
      </c>
    </row>
    <row r="5538" spans="1:14" x14ac:dyDescent="0.35">
      <c r="A5538" t="s">
        <v>38</v>
      </c>
      <c r="B5538" t="s">
        <v>22</v>
      </c>
      <c r="C5538">
        <v>2015</v>
      </c>
      <c r="D5538" t="s">
        <v>32</v>
      </c>
      <c r="E5538" s="3">
        <f t="shared" ref="E5538:F5538" si="3992">SUM(E738+E1698+E2658+E3618+E4578)</f>
        <v>68213</v>
      </c>
      <c r="F5538" s="3">
        <f t="shared" si="3992"/>
        <v>71405</v>
      </c>
      <c r="G5538" s="1">
        <f t="shared" si="3901"/>
        <v>139618</v>
      </c>
      <c r="H5538" s="2">
        <f t="shared" si="3902"/>
        <v>0.48856880917933215</v>
      </c>
      <c r="I5538" s="2">
        <f t="shared" si="3903"/>
        <v>0.51143119082066779</v>
      </c>
      <c r="J5538" s="3">
        <f t="shared" ref="J5538:K5538" si="3993">SUM(J738+J1698+J2658+J3618+J4578)</f>
        <v>30162.59</v>
      </c>
      <c r="K5538" s="3">
        <f t="shared" si="3993"/>
        <v>57702.25</v>
      </c>
      <c r="L5538" s="1">
        <f t="shared" si="3929"/>
        <v>87864.84</v>
      </c>
      <c r="M5538" s="2">
        <f t="shared" si="3930"/>
        <v>0.34328395749653673</v>
      </c>
      <c r="N5538" s="2">
        <f t="shared" si="3931"/>
        <v>0.65671604250346327</v>
      </c>
    </row>
    <row r="5539" spans="1:14" x14ac:dyDescent="0.35">
      <c r="A5539" t="s">
        <v>38</v>
      </c>
      <c r="B5539" t="s">
        <v>23</v>
      </c>
      <c r="C5539">
        <v>2015</v>
      </c>
      <c r="D5539" t="s">
        <v>32</v>
      </c>
      <c r="E5539" s="3">
        <f t="shared" ref="E5539:F5539" si="3994">SUM(E739+E1699+E2659+E3619+E4579)</f>
        <v>66538</v>
      </c>
      <c r="F5539" s="3">
        <f t="shared" si="3994"/>
        <v>71734</v>
      </c>
      <c r="G5539" s="1">
        <f t="shared" si="3901"/>
        <v>138272</v>
      </c>
      <c r="H5539" s="2">
        <f t="shared" si="3902"/>
        <v>0.48121094654015273</v>
      </c>
      <c r="I5539" s="2">
        <f t="shared" si="3903"/>
        <v>0.51878905345984727</v>
      </c>
      <c r="J5539" s="3">
        <f t="shared" ref="J5539:K5539" si="3995">SUM(J739+J1699+J2659+J3619+J4579)</f>
        <v>29938.22</v>
      </c>
      <c r="K5539" s="3">
        <f t="shared" si="3995"/>
        <v>57727.89</v>
      </c>
      <c r="L5539" s="1">
        <f t="shared" si="3929"/>
        <v>87666.11</v>
      </c>
      <c r="M5539" s="2">
        <f t="shared" si="3930"/>
        <v>0.34150277684272751</v>
      </c>
      <c r="N5539" s="2">
        <f t="shared" si="3931"/>
        <v>0.65849722315727255</v>
      </c>
    </row>
    <row r="5540" spans="1:14" x14ac:dyDescent="0.35">
      <c r="A5540" t="s">
        <v>38</v>
      </c>
      <c r="B5540" t="s">
        <v>24</v>
      </c>
      <c r="C5540">
        <v>2015</v>
      </c>
      <c r="D5540" t="s">
        <v>32</v>
      </c>
      <c r="E5540" s="3">
        <f t="shared" ref="E5540:F5540" si="3996">SUM(E740+E1700+E2660+E3620+E4580)</f>
        <v>65905</v>
      </c>
      <c r="F5540" s="3">
        <f t="shared" si="3996"/>
        <v>71947</v>
      </c>
      <c r="G5540" s="1">
        <f t="shared" si="3901"/>
        <v>137852</v>
      </c>
      <c r="H5540" s="2">
        <f t="shared" si="3902"/>
        <v>0.47808519281548328</v>
      </c>
      <c r="I5540" s="2">
        <f t="shared" si="3903"/>
        <v>0.52191480718451677</v>
      </c>
      <c r="J5540" s="3">
        <f t="shared" ref="J5540:K5540" si="3997">SUM(J740+J1700+J2660+J3620+J4580)</f>
        <v>26960.19</v>
      </c>
      <c r="K5540" s="3">
        <f t="shared" si="3997"/>
        <v>58336.33</v>
      </c>
      <c r="L5540" s="1">
        <f t="shared" si="3929"/>
        <v>85296.52</v>
      </c>
      <c r="M5540" s="2">
        <f t="shared" si="3930"/>
        <v>0.31607608376050977</v>
      </c>
      <c r="N5540" s="2">
        <f t="shared" si="3931"/>
        <v>0.68392391623949023</v>
      </c>
    </row>
    <row r="5541" spans="1:14" x14ac:dyDescent="0.35">
      <c r="A5541" t="s">
        <v>38</v>
      </c>
      <c r="B5541" t="s">
        <v>25</v>
      </c>
      <c r="C5541">
        <v>2015</v>
      </c>
      <c r="D5541" t="s">
        <v>32</v>
      </c>
      <c r="E5541" s="3">
        <f t="shared" ref="E5541:F5541" si="3998">SUM(E741+E1701+E2661+E3621+E4581)</f>
        <v>65563</v>
      </c>
      <c r="F5541" s="3">
        <f t="shared" si="3998"/>
        <v>71901</v>
      </c>
      <c r="G5541" s="1">
        <f t="shared" si="3901"/>
        <v>137464</v>
      </c>
      <c r="H5541" s="2">
        <f t="shared" si="3902"/>
        <v>0.47694669149741026</v>
      </c>
      <c r="I5541" s="2">
        <f t="shared" si="3903"/>
        <v>0.5230533085025898</v>
      </c>
      <c r="J5541" s="3">
        <f t="shared" ref="J5541:K5541" si="3999">SUM(J741+J1701+J2661+J3621+J4581)</f>
        <v>25428.600000000002</v>
      </c>
      <c r="K5541" s="3">
        <f t="shared" si="3999"/>
        <v>58296.13</v>
      </c>
      <c r="L5541" s="1">
        <f t="shared" si="3929"/>
        <v>83724.73</v>
      </c>
      <c r="M5541" s="2">
        <f t="shared" si="3930"/>
        <v>0.30371671547940499</v>
      </c>
      <c r="N5541" s="2">
        <f t="shared" si="3931"/>
        <v>0.69628328452059507</v>
      </c>
    </row>
    <row r="5542" spans="1:14" x14ac:dyDescent="0.35">
      <c r="A5542" t="s">
        <v>38</v>
      </c>
      <c r="B5542" t="s">
        <v>26</v>
      </c>
      <c r="C5542">
        <v>2015</v>
      </c>
      <c r="D5542" t="s">
        <v>32</v>
      </c>
      <c r="E5542" s="3">
        <f t="shared" ref="E5542:F5542" si="4000">SUM(E742+E1702+E2662+E3622+E4582)</f>
        <v>65084</v>
      </c>
      <c r="F5542" s="3">
        <f t="shared" si="4000"/>
        <v>72094</v>
      </c>
      <c r="G5542" s="1">
        <f t="shared" si="3901"/>
        <v>137178</v>
      </c>
      <c r="H5542" s="2">
        <f t="shared" si="3902"/>
        <v>0.47444925571155727</v>
      </c>
      <c r="I5542" s="2">
        <f t="shared" si="3903"/>
        <v>0.52555074428844273</v>
      </c>
      <c r="J5542" s="3">
        <f t="shared" ref="J5542:K5542" si="4001">SUM(J742+J1702+J2662+J3622+J4582)</f>
        <v>33742.490000000005</v>
      </c>
      <c r="K5542" s="3">
        <f t="shared" si="4001"/>
        <v>58459.37</v>
      </c>
      <c r="L5542" s="1">
        <f t="shared" si="3929"/>
        <v>92201.860000000015</v>
      </c>
      <c r="M5542" s="2">
        <f t="shared" si="3930"/>
        <v>0.36596322460306113</v>
      </c>
      <c r="N5542" s="2">
        <f t="shared" si="3931"/>
        <v>0.63403677539693881</v>
      </c>
    </row>
    <row r="5543" spans="1:14" x14ac:dyDescent="0.35">
      <c r="A5543" t="s">
        <v>38</v>
      </c>
      <c r="B5543" t="s">
        <v>27</v>
      </c>
      <c r="C5543">
        <v>2015</v>
      </c>
      <c r="D5543" t="s">
        <v>32</v>
      </c>
      <c r="E5543" s="3">
        <f t="shared" ref="E5543:F5543" si="4002">SUM(E743+E1703+E2663+E3623+E4583)</f>
        <v>64896</v>
      </c>
      <c r="F5543" s="3">
        <f t="shared" si="4002"/>
        <v>72141</v>
      </c>
      <c r="G5543" s="1">
        <f t="shared" si="3901"/>
        <v>137037</v>
      </c>
      <c r="H5543" s="2">
        <f t="shared" si="3902"/>
        <v>0.47356553339609009</v>
      </c>
      <c r="I5543" s="2">
        <f t="shared" si="3903"/>
        <v>0.52643446660390991</v>
      </c>
      <c r="J5543" s="3">
        <f t="shared" ref="J5543:K5543" si="4003">SUM(J743+J1703+J2663+J3623+J4583)</f>
        <v>34092.479999999996</v>
      </c>
      <c r="K5543" s="3">
        <f t="shared" si="4003"/>
        <v>58539.46</v>
      </c>
      <c r="L5543" s="1">
        <f t="shared" si="3929"/>
        <v>92631.94</v>
      </c>
      <c r="M5543" s="2">
        <f t="shared" si="3930"/>
        <v>0.36804238365298186</v>
      </c>
      <c r="N5543" s="2">
        <f t="shared" si="3931"/>
        <v>0.63195761634701808</v>
      </c>
    </row>
    <row r="5544" spans="1:14" x14ac:dyDescent="0.35">
      <c r="A5544" t="s">
        <v>38</v>
      </c>
      <c r="B5544" t="s">
        <v>28</v>
      </c>
      <c r="C5544">
        <v>2015</v>
      </c>
      <c r="D5544" t="s">
        <v>32</v>
      </c>
      <c r="E5544" s="3">
        <f t="shared" ref="E5544:F5544" si="4004">SUM(E744+E1704+E2664+E3624+E4584)</f>
        <v>64470</v>
      </c>
      <c r="F5544" s="3">
        <f t="shared" si="4004"/>
        <v>72469</v>
      </c>
      <c r="G5544" s="1">
        <f t="shared" si="3901"/>
        <v>136939</v>
      </c>
      <c r="H5544" s="2">
        <f t="shared" si="3902"/>
        <v>0.47079356501800074</v>
      </c>
      <c r="I5544" s="2">
        <f t="shared" si="3903"/>
        <v>0.52920643498199926</v>
      </c>
      <c r="J5544" s="3">
        <f t="shared" ref="J5544:K5544" si="4005">SUM(J744+J1704+J2664+J3624+J4584)</f>
        <v>27801.07</v>
      </c>
      <c r="K5544" s="3">
        <f t="shared" si="4005"/>
        <v>58731.06</v>
      </c>
      <c r="L5544" s="1">
        <f t="shared" si="3929"/>
        <v>86532.13</v>
      </c>
      <c r="M5544" s="2">
        <f t="shared" si="3930"/>
        <v>0.32128031518466027</v>
      </c>
      <c r="N5544" s="2">
        <f t="shared" si="3931"/>
        <v>0.67871968481533962</v>
      </c>
    </row>
    <row r="5545" spans="1:14" x14ac:dyDescent="0.35">
      <c r="A5545" t="s">
        <v>38</v>
      </c>
      <c r="B5545" t="s">
        <v>29</v>
      </c>
      <c r="C5545">
        <v>2015</v>
      </c>
      <c r="D5545" t="s">
        <v>32</v>
      </c>
      <c r="E5545" s="3">
        <f t="shared" ref="E5545:F5545" si="4006">SUM(E745+E1705+E2665+E3625+E4585)</f>
        <v>64097</v>
      </c>
      <c r="F5545" s="3">
        <f t="shared" si="4006"/>
        <v>72622</v>
      </c>
      <c r="G5545" s="1">
        <f t="shared" si="3901"/>
        <v>136719</v>
      </c>
      <c r="H5545" s="2">
        <f t="shared" si="3902"/>
        <v>0.46882291415238553</v>
      </c>
      <c r="I5545" s="2">
        <f t="shared" si="3903"/>
        <v>0.53117708584761447</v>
      </c>
      <c r="J5545" s="3">
        <f t="shared" ref="J5545:K5545" si="4007">SUM(J745+J1705+J2665+J3625+J4585)</f>
        <v>27259.989999999998</v>
      </c>
      <c r="K5545" s="3">
        <f t="shared" si="4007"/>
        <v>59006.18</v>
      </c>
      <c r="L5545" s="1">
        <f t="shared" si="3929"/>
        <v>86266.17</v>
      </c>
      <c r="M5545" s="2">
        <f t="shared" si="3930"/>
        <v>0.31599861220221087</v>
      </c>
      <c r="N5545" s="2">
        <f t="shared" si="3931"/>
        <v>0.68400138779778907</v>
      </c>
    </row>
    <row r="5546" spans="1:14" x14ac:dyDescent="0.35">
      <c r="A5546" t="s">
        <v>38</v>
      </c>
      <c r="B5546" t="s">
        <v>17</v>
      </c>
      <c r="C5546">
        <v>2016</v>
      </c>
      <c r="D5546" t="s">
        <v>32</v>
      </c>
      <c r="E5546" s="3">
        <f t="shared" ref="E5546:F5546" si="4008">SUM(E746+E1706+E2666+E3626+E4586)</f>
        <v>63787</v>
      </c>
      <c r="F5546" s="3">
        <f t="shared" si="4008"/>
        <v>72791</v>
      </c>
      <c r="G5546" s="1">
        <f t="shared" si="3901"/>
        <v>136578</v>
      </c>
      <c r="H5546" s="2">
        <f t="shared" si="3902"/>
        <v>0.4670371509320681</v>
      </c>
      <c r="I5546" s="2">
        <f t="shared" si="3903"/>
        <v>0.5329628490679319</v>
      </c>
      <c r="J5546" s="3">
        <f t="shared" ref="J5546:K5546" si="4009">SUM(J746+J1706+J2666+J3626+J4586)</f>
        <v>27148.930000000004</v>
      </c>
      <c r="K5546" s="3">
        <f t="shared" si="4009"/>
        <v>59185.29</v>
      </c>
      <c r="L5546" s="1">
        <f t="shared" si="3929"/>
        <v>86334.22</v>
      </c>
      <c r="M5546" s="2">
        <f t="shared" si="3930"/>
        <v>0.31446314103492223</v>
      </c>
      <c r="N5546" s="2">
        <f t="shared" si="3931"/>
        <v>0.68553685896507777</v>
      </c>
    </row>
    <row r="5547" spans="1:14" x14ac:dyDescent="0.35">
      <c r="A5547" t="s">
        <v>38</v>
      </c>
      <c r="B5547" t="s">
        <v>19</v>
      </c>
      <c r="C5547">
        <v>2016</v>
      </c>
      <c r="D5547" t="s">
        <v>32</v>
      </c>
      <c r="E5547" s="3">
        <f t="shared" ref="E5547:F5547" si="4010">SUM(E747+E1707+E2667+E3627+E4587)</f>
        <v>63398</v>
      </c>
      <c r="F5547" s="3">
        <f t="shared" si="4010"/>
        <v>72981</v>
      </c>
      <c r="G5547" s="1">
        <f t="shared" si="3901"/>
        <v>136379</v>
      </c>
      <c r="H5547" s="2">
        <f t="shared" si="3902"/>
        <v>0.46486629173113164</v>
      </c>
      <c r="I5547" s="2">
        <f t="shared" si="3903"/>
        <v>0.53513370826886841</v>
      </c>
      <c r="J5547" s="3">
        <f t="shared" ref="J5547:K5547" si="4011">SUM(J747+J1707+J2667+J3627+J4587)</f>
        <v>26900.780000000002</v>
      </c>
      <c r="K5547" s="3">
        <f t="shared" si="4011"/>
        <v>58795.62</v>
      </c>
      <c r="L5547" s="1">
        <f t="shared" si="3929"/>
        <v>85696.400000000009</v>
      </c>
      <c r="M5547" s="2">
        <f t="shared" si="3930"/>
        <v>0.31390793545586509</v>
      </c>
      <c r="N5547" s="2">
        <f t="shared" si="3931"/>
        <v>0.68609206454413485</v>
      </c>
    </row>
    <row r="5548" spans="1:14" x14ac:dyDescent="0.35">
      <c r="A5548" t="s">
        <v>38</v>
      </c>
      <c r="B5548" t="s">
        <v>20</v>
      </c>
      <c r="C5548">
        <v>2016</v>
      </c>
      <c r="D5548" t="s">
        <v>32</v>
      </c>
      <c r="E5548" s="3">
        <f t="shared" ref="E5548:F5548" si="4012">SUM(E748+E1708+E2668+E3628+E4588)</f>
        <v>63130</v>
      </c>
      <c r="F5548" s="3">
        <f t="shared" si="4012"/>
        <v>73119</v>
      </c>
      <c r="G5548" s="1">
        <f t="shared" si="3901"/>
        <v>136249</v>
      </c>
      <c r="H5548" s="2">
        <f t="shared" si="3902"/>
        <v>0.46334285022275395</v>
      </c>
      <c r="I5548" s="2">
        <f t="shared" si="3903"/>
        <v>0.5366571497772461</v>
      </c>
      <c r="J5548" s="3">
        <f t="shared" ref="J5548:K5548" si="4013">SUM(J748+J1708+J2668+J3628+J4588)</f>
        <v>26578.38</v>
      </c>
      <c r="K5548" s="3">
        <f t="shared" si="4013"/>
        <v>58797.24</v>
      </c>
      <c r="L5548" s="1">
        <f t="shared" si="3929"/>
        <v>85375.62</v>
      </c>
      <c r="M5548" s="2">
        <f t="shared" si="3930"/>
        <v>0.31131112137165157</v>
      </c>
      <c r="N5548" s="2">
        <f t="shared" si="3931"/>
        <v>0.68868887862834849</v>
      </c>
    </row>
    <row r="5549" spans="1:14" x14ac:dyDescent="0.35">
      <c r="A5549" t="s">
        <v>38</v>
      </c>
      <c r="B5549" t="s">
        <v>21</v>
      </c>
      <c r="C5549">
        <v>2016</v>
      </c>
      <c r="D5549" t="s">
        <v>32</v>
      </c>
      <c r="E5549" s="3">
        <f t="shared" ref="E5549:F5549" si="4014">SUM(E749+E1709+E2669+E3629+E4589)</f>
        <v>62796</v>
      </c>
      <c r="F5549" s="3">
        <f t="shared" si="4014"/>
        <v>73323</v>
      </c>
      <c r="G5549" s="1">
        <f t="shared" si="3901"/>
        <v>136119</v>
      </c>
      <c r="H5549" s="2">
        <f t="shared" si="3902"/>
        <v>0.46133162894232255</v>
      </c>
      <c r="I5549" s="2">
        <f t="shared" si="3903"/>
        <v>0.53866837105767751</v>
      </c>
      <c r="J5549" s="3">
        <f t="shared" ref="J5549:K5549" si="4015">SUM(J749+J1709+J2669+J3629+J4589)</f>
        <v>26285.439999999999</v>
      </c>
      <c r="K5549" s="3">
        <f t="shared" si="4015"/>
        <v>58818.369999999995</v>
      </c>
      <c r="L5549" s="1">
        <f t="shared" si="3929"/>
        <v>85103.81</v>
      </c>
      <c r="M5549" s="2">
        <f t="shared" si="3930"/>
        <v>0.30886325770843864</v>
      </c>
      <c r="N5549" s="2">
        <f t="shared" si="3931"/>
        <v>0.6911367422915613</v>
      </c>
    </row>
    <row r="5550" spans="1:14" x14ac:dyDescent="0.35">
      <c r="A5550" t="s">
        <v>38</v>
      </c>
      <c r="B5550" t="s">
        <v>22</v>
      </c>
      <c r="C5550">
        <v>2016</v>
      </c>
      <c r="D5550" t="s">
        <v>32</v>
      </c>
      <c r="E5550" s="3">
        <f t="shared" ref="E5550:F5550" si="4016">SUM(E750+E1710+E2670+E3630+E4590)</f>
        <v>62521</v>
      </c>
      <c r="F5550" s="3">
        <f t="shared" si="4016"/>
        <v>73579</v>
      </c>
      <c r="G5550" s="1">
        <f t="shared" si="3901"/>
        <v>136100</v>
      </c>
      <c r="H5550" s="2">
        <f t="shared" si="3902"/>
        <v>0.45937545922116091</v>
      </c>
      <c r="I5550" s="2">
        <f t="shared" si="3903"/>
        <v>0.54062454077883904</v>
      </c>
      <c r="J5550" s="3">
        <f t="shared" ref="J5550:K5550" si="4017">SUM(J750+J1710+J2670+J3630+J4590)</f>
        <v>26031.98</v>
      </c>
      <c r="K5550" s="3">
        <f t="shared" si="4017"/>
        <v>58736.770000000004</v>
      </c>
      <c r="L5550" s="1">
        <f t="shared" si="3929"/>
        <v>84768.75</v>
      </c>
      <c r="M5550" s="2">
        <f t="shared" si="3930"/>
        <v>0.30709406473494066</v>
      </c>
      <c r="N5550" s="2">
        <f t="shared" si="3931"/>
        <v>0.69290593526505939</v>
      </c>
    </row>
    <row r="5551" spans="1:14" x14ac:dyDescent="0.35">
      <c r="A5551" t="s">
        <v>38</v>
      </c>
      <c r="B5551" t="s">
        <v>23</v>
      </c>
      <c r="C5551">
        <v>2016</v>
      </c>
      <c r="D5551" t="s">
        <v>32</v>
      </c>
      <c r="E5551" s="3">
        <f t="shared" ref="E5551:F5551" si="4018">SUM(E751+E1711+E2671+E3631+E4591)</f>
        <v>62153</v>
      </c>
      <c r="F5551" s="3">
        <f t="shared" si="4018"/>
        <v>73636</v>
      </c>
      <c r="G5551" s="1">
        <f t="shared" si="3901"/>
        <v>135789</v>
      </c>
      <c r="H5551" s="2">
        <f t="shared" si="3902"/>
        <v>0.45771748816178043</v>
      </c>
      <c r="I5551" s="2">
        <f t="shared" si="3903"/>
        <v>0.54228251183821963</v>
      </c>
      <c r="J5551" s="3">
        <f t="shared" ref="J5551:K5551" si="4019">SUM(J751+J1711+J2671+J3631+J4591)</f>
        <v>26037.47</v>
      </c>
      <c r="K5551" s="3">
        <f t="shared" si="4019"/>
        <v>58530.53</v>
      </c>
      <c r="L5551" s="1">
        <f t="shared" si="3929"/>
        <v>84568</v>
      </c>
      <c r="M5551" s="2">
        <f t="shared" si="3930"/>
        <v>0.30788797180966798</v>
      </c>
      <c r="N5551" s="2">
        <f t="shared" si="3931"/>
        <v>0.69211202819033202</v>
      </c>
    </row>
    <row r="5552" spans="1:14" x14ac:dyDescent="0.35">
      <c r="A5552" t="s">
        <v>38</v>
      </c>
      <c r="B5552" t="s">
        <v>24</v>
      </c>
      <c r="C5552">
        <v>2016</v>
      </c>
      <c r="D5552" t="s">
        <v>32</v>
      </c>
      <c r="E5552" s="3">
        <f t="shared" ref="E5552:F5552" si="4020">SUM(E752+E1712+E2672+E3632+E4592)</f>
        <v>61875</v>
      </c>
      <c r="F5552" s="3">
        <f t="shared" si="4020"/>
        <v>73653</v>
      </c>
      <c r="G5552" s="1">
        <f t="shared" si="3901"/>
        <v>135528</v>
      </c>
      <c r="H5552" s="2">
        <f t="shared" si="3902"/>
        <v>0.4565477244554631</v>
      </c>
      <c r="I5552" s="2">
        <f t="shared" si="3903"/>
        <v>0.5434522755445369</v>
      </c>
      <c r="J5552" s="3">
        <f t="shared" ref="J5552:K5552" si="4021">SUM(J752+J1712+J2672+J3632+J4592)</f>
        <v>26385.143</v>
      </c>
      <c r="K5552" s="3">
        <f t="shared" si="4021"/>
        <v>58535.502</v>
      </c>
      <c r="L5552" s="1">
        <f t="shared" si="3929"/>
        <v>84920.645000000004</v>
      </c>
      <c r="M5552" s="2">
        <f t="shared" si="3930"/>
        <v>0.31070351620621817</v>
      </c>
      <c r="N5552" s="2">
        <f t="shared" si="3931"/>
        <v>0.68929648379378183</v>
      </c>
    </row>
    <row r="5553" spans="1:14" x14ac:dyDescent="0.35">
      <c r="A5553" t="s">
        <v>38</v>
      </c>
      <c r="B5553" t="s">
        <v>25</v>
      </c>
      <c r="C5553">
        <v>2016</v>
      </c>
      <c r="D5553" t="s">
        <v>32</v>
      </c>
      <c r="E5553" s="3">
        <f t="shared" ref="E5553:F5553" si="4022">SUM(E753+E1713+E2673+E3633+E4593)</f>
        <v>61529</v>
      </c>
      <c r="F5553" s="3">
        <f t="shared" si="4022"/>
        <v>73796</v>
      </c>
      <c r="G5553" s="1">
        <f t="shared" si="3901"/>
        <v>135325</v>
      </c>
      <c r="H5553" s="2">
        <f t="shared" si="3902"/>
        <v>0.45467578052835766</v>
      </c>
      <c r="I5553" s="2">
        <f t="shared" si="3903"/>
        <v>0.54532421947164234</v>
      </c>
      <c r="J5553" s="3">
        <f t="shared" ref="J5553:K5553" si="4023">SUM(J753+J1713+J2673+J3633+J4593)</f>
        <v>25513.148000000001</v>
      </c>
      <c r="K5553" s="3">
        <f t="shared" si="4023"/>
        <v>58729.144</v>
      </c>
      <c r="L5553" s="1">
        <f t="shared" si="3929"/>
        <v>84242.292000000001</v>
      </c>
      <c r="M5553" s="2">
        <f t="shared" si="3930"/>
        <v>0.30285439052394253</v>
      </c>
      <c r="N5553" s="2">
        <f t="shared" si="3931"/>
        <v>0.69714560947605742</v>
      </c>
    </row>
    <row r="5554" spans="1:14" x14ac:dyDescent="0.35">
      <c r="A5554" t="s">
        <v>38</v>
      </c>
      <c r="B5554" t="s">
        <v>26</v>
      </c>
      <c r="C5554">
        <v>2016</v>
      </c>
      <c r="D5554" t="s">
        <v>32</v>
      </c>
      <c r="E5554" s="3">
        <f t="shared" ref="E5554:F5554" si="4024">SUM(E754+E1714+E2674+E3634+E4594)</f>
        <v>61092</v>
      </c>
      <c r="F5554" s="3">
        <f t="shared" si="4024"/>
        <v>73899</v>
      </c>
      <c r="G5554" s="1">
        <f t="shared" si="3901"/>
        <v>134991</v>
      </c>
      <c r="H5554" s="2">
        <f t="shared" si="3902"/>
        <v>0.45256350423361558</v>
      </c>
      <c r="I5554" s="2">
        <f t="shared" si="3903"/>
        <v>0.54743649576638442</v>
      </c>
      <c r="J5554" s="3">
        <f t="shared" ref="J5554:K5554" si="4025">SUM(J754+J1714+J2674+J3634+J4594)</f>
        <v>25504.233000000004</v>
      </c>
      <c r="K5554" s="3">
        <f t="shared" si="4025"/>
        <v>59288.528000000006</v>
      </c>
      <c r="L5554" s="1">
        <f t="shared" si="3929"/>
        <v>84792.761000000013</v>
      </c>
      <c r="M5554" s="2">
        <f t="shared" si="3930"/>
        <v>0.30078314114574001</v>
      </c>
      <c r="N5554" s="2">
        <f t="shared" si="3931"/>
        <v>0.69921685885425988</v>
      </c>
    </row>
    <row r="5555" spans="1:14" x14ac:dyDescent="0.35">
      <c r="A5555" t="s">
        <v>38</v>
      </c>
      <c r="B5555" t="s">
        <v>27</v>
      </c>
      <c r="C5555">
        <v>2016</v>
      </c>
      <c r="D5555" t="s">
        <v>32</v>
      </c>
      <c r="E5555" s="3">
        <f t="shared" ref="E5555:F5555" si="4026">SUM(E755+E1715+E2675+E3635+E4595)</f>
        <v>60774</v>
      </c>
      <c r="F5555" s="3">
        <f t="shared" si="4026"/>
        <v>73692</v>
      </c>
      <c r="G5555" s="1">
        <f t="shared" si="3901"/>
        <v>134466</v>
      </c>
      <c r="H5555" s="2">
        <f t="shared" si="3902"/>
        <v>0.45196555263040472</v>
      </c>
      <c r="I5555" s="2">
        <f t="shared" si="3903"/>
        <v>0.54803444736959528</v>
      </c>
      <c r="J5555" s="3">
        <f t="shared" ref="J5555:K5555" si="4027">SUM(J755+J1715+J2675+J3635+J4595)</f>
        <v>25272.789999999997</v>
      </c>
      <c r="K5555" s="3">
        <f t="shared" si="4027"/>
        <v>58906.79</v>
      </c>
      <c r="L5555" s="1">
        <f t="shared" si="3929"/>
        <v>84179.58</v>
      </c>
      <c r="M5555" s="2">
        <f t="shared" si="3930"/>
        <v>0.30022471007814483</v>
      </c>
      <c r="N5555" s="2">
        <f t="shared" si="3931"/>
        <v>0.69977528992185511</v>
      </c>
    </row>
    <row r="5556" spans="1:14" x14ac:dyDescent="0.35">
      <c r="A5556" t="s">
        <v>38</v>
      </c>
      <c r="B5556" t="s">
        <v>28</v>
      </c>
      <c r="C5556">
        <v>2016</v>
      </c>
      <c r="D5556" t="s">
        <v>32</v>
      </c>
      <c r="E5556" s="3">
        <f t="shared" ref="E5556:F5556" si="4028">SUM(E756+E1716+E2676+E3636+E4596)</f>
        <v>59788</v>
      </c>
      <c r="F5556" s="3">
        <f t="shared" si="4028"/>
        <v>72372</v>
      </c>
      <c r="G5556" s="1">
        <f t="shared" si="3901"/>
        <v>132160</v>
      </c>
      <c r="H5556" s="2">
        <f t="shared" si="3902"/>
        <v>0.45239104116222761</v>
      </c>
      <c r="I5556" s="2">
        <f t="shared" si="3903"/>
        <v>0.54760895883777239</v>
      </c>
      <c r="J5556" s="3">
        <f t="shared" ref="J5556:K5556" si="4029">SUM(J756+J1716+J2676+J3636+J4596)</f>
        <v>25024.6</v>
      </c>
      <c r="K5556" s="3">
        <f t="shared" si="4029"/>
        <v>58512.88</v>
      </c>
      <c r="L5556" s="1">
        <f t="shared" si="3929"/>
        <v>83537.48</v>
      </c>
      <c r="M5556" s="2">
        <f t="shared" si="3930"/>
        <v>0.29956134659556405</v>
      </c>
      <c r="N5556" s="2">
        <f t="shared" si="3931"/>
        <v>0.70043865340443601</v>
      </c>
    </row>
    <row r="5557" spans="1:14" x14ac:dyDescent="0.35">
      <c r="A5557" t="s">
        <v>38</v>
      </c>
      <c r="B5557" t="s">
        <v>29</v>
      </c>
      <c r="C5557">
        <v>2016</v>
      </c>
      <c r="D5557" t="s">
        <v>32</v>
      </c>
      <c r="E5557" s="3">
        <f t="shared" ref="E5557:F5557" si="4030">SUM(E757+E1717+E2677+E3637+E4597)</f>
        <v>60211</v>
      </c>
      <c r="F5557" s="3">
        <f t="shared" si="4030"/>
        <v>73940</v>
      </c>
      <c r="G5557" s="1">
        <f t="shared" si="3901"/>
        <v>134151</v>
      </c>
      <c r="H5557" s="2">
        <f t="shared" si="3902"/>
        <v>0.44883004972009155</v>
      </c>
      <c r="I5557" s="2">
        <f t="shared" si="3903"/>
        <v>0.55116995027990845</v>
      </c>
      <c r="J5557" s="3">
        <f t="shared" ref="J5557:K5557" si="4031">SUM(J757+J1717+J2677+J3637+J4597)</f>
        <v>24520.27</v>
      </c>
      <c r="K5557" s="3">
        <f t="shared" si="4031"/>
        <v>59277.97</v>
      </c>
      <c r="L5557" s="1">
        <f t="shared" si="3929"/>
        <v>83798.240000000005</v>
      </c>
      <c r="M5557" s="2">
        <f t="shared" si="3930"/>
        <v>0.29261079946309132</v>
      </c>
      <c r="N5557" s="2">
        <f t="shared" si="3931"/>
        <v>0.70738920053690857</v>
      </c>
    </row>
    <row r="5558" spans="1:14" x14ac:dyDescent="0.35">
      <c r="A5558" t="s">
        <v>38</v>
      </c>
      <c r="B5558" t="s">
        <v>17</v>
      </c>
      <c r="C5558">
        <v>2017</v>
      </c>
      <c r="D5558" t="s">
        <v>32</v>
      </c>
      <c r="E5558" s="3">
        <f t="shared" ref="E5558:F5558" si="4032">SUM(E758+E1718+E2678+E3638+E4598)</f>
        <v>60081</v>
      </c>
      <c r="F5558" s="3">
        <f t="shared" si="4032"/>
        <v>73894</v>
      </c>
      <c r="G5558" s="1">
        <f t="shared" si="3901"/>
        <v>133975</v>
      </c>
      <c r="H5558" s="2">
        <f t="shared" si="3902"/>
        <v>0.44844933756297817</v>
      </c>
      <c r="I5558" s="2">
        <f t="shared" si="3903"/>
        <v>0.55155066243702178</v>
      </c>
      <c r="J5558" s="3">
        <f t="shared" ref="J5558:K5558" si="4033">SUM(J758+J1718+J2678+J3638+J4598)</f>
        <v>24946.680000000004</v>
      </c>
      <c r="K5558" s="3">
        <f t="shared" si="4033"/>
        <v>58942.85</v>
      </c>
      <c r="L5558" s="1">
        <f t="shared" si="3929"/>
        <v>83889.53</v>
      </c>
      <c r="M5558" s="2">
        <f t="shared" si="3930"/>
        <v>0.29737536972730688</v>
      </c>
      <c r="N5558" s="2">
        <f t="shared" si="3931"/>
        <v>0.70262463027269317</v>
      </c>
    </row>
    <row r="5559" spans="1:14" x14ac:dyDescent="0.35">
      <c r="A5559" t="s">
        <v>38</v>
      </c>
      <c r="B5559" t="s">
        <v>19</v>
      </c>
      <c r="C5559">
        <v>2017</v>
      </c>
      <c r="D5559" t="s">
        <v>32</v>
      </c>
      <c r="E5559" s="3">
        <f t="shared" ref="E5559:F5559" si="4034">SUM(E759+E1719+E2679+E3639+E4599)</f>
        <v>58269</v>
      </c>
      <c r="F5559" s="3">
        <f t="shared" si="4034"/>
        <v>70914</v>
      </c>
      <c r="G5559" s="1">
        <f t="shared" ref="G5559:G5622" si="4035">SUM(E5559:F5559)</f>
        <v>129183</v>
      </c>
      <c r="H5559" s="2">
        <f t="shared" ref="H5559:H5622" si="4036">SUM(E5559)/G5559</f>
        <v>0.45105780172313692</v>
      </c>
      <c r="I5559" s="2">
        <f t="shared" ref="I5559:I5622" si="4037">SUM(F5559/G5559)</f>
        <v>0.54894219827686308</v>
      </c>
      <c r="J5559" s="3">
        <f t="shared" ref="J5559:K5559" si="4038">SUM(J759+J1719+J2679+J3639+J4599)</f>
        <v>24669.69</v>
      </c>
      <c r="K5559" s="3">
        <f t="shared" si="4038"/>
        <v>56383.929999999993</v>
      </c>
      <c r="L5559" s="1">
        <f t="shared" si="3929"/>
        <v>81053.62</v>
      </c>
      <c r="M5559" s="2">
        <f t="shared" si="3930"/>
        <v>0.30436259355226825</v>
      </c>
      <c r="N5559" s="2">
        <f t="shared" si="3931"/>
        <v>0.69563740644773175</v>
      </c>
    </row>
    <row r="5560" spans="1:14" x14ac:dyDescent="0.35">
      <c r="A5560" t="s">
        <v>38</v>
      </c>
      <c r="B5560" t="s">
        <v>20</v>
      </c>
      <c r="C5560">
        <v>2017</v>
      </c>
      <c r="D5560" t="s">
        <v>32</v>
      </c>
      <c r="E5560" s="3">
        <f t="shared" ref="E5560:F5560" si="4039">SUM(E760+E1720+E2680+E3640+E4600)</f>
        <v>59326</v>
      </c>
      <c r="F5560" s="3">
        <f t="shared" si="4039"/>
        <v>74196</v>
      </c>
      <c r="G5560" s="1">
        <f t="shared" si="4035"/>
        <v>133522</v>
      </c>
      <c r="H5560" s="2">
        <f t="shared" si="4036"/>
        <v>0.44431629244618864</v>
      </c>
      <c r="I5560" s="2">
        <f t="shared" si="4037"/>
        <v>0.55568370755381136</v>
      </c>
      <c r="J5560" s="3">
        <f t="shared" ref="J5560:K5560" si="4040">SUM(J760+J1720+J2680+J3640+J4600)</f>
        <v>24630.760000000002</v>
      </c>
      <c r="K5560" s="3">
        <f t="shared" si="4040"/>
        <v>58377.57</v>
      </c>
      <c r="L5560" s="1">
        <f t="shared" si="3929"/>
        <v>83008.33</v>
      </c>
      <c r="M5560" s="2">
        <f t="shared" si="3930"/>
        <v>0.29672636469135089</v>
      </c>
      <c r="N5560" s="2">
        <f t="shared" si="3931"/>
        <v>0.70327363530864917</v>
      </c>
    </row>
    <row r="5561" spans="1:14" x14ac:dyDescent="0.35">
      <c r="A5561" t="s">
        <v>38</v>
      </c>
      <c r="B5561" t="s">
        <v>21</v>
      </c>
      <c r="C5561">
        <v>2017</v>
      </c>
      <c r="D5561" t="s">
        <v>32</v>
      </c>
      <c r="E5561" s="3">
        <f t="shared" ref="E5561:F5561" si="4041">SUM(E761+E1721+E2681+E3641+E4601)</f>
        <v>58936</v>
      </c>
      <c r="F5561" s="3">
        <f t="shared" si="4041"/>
        <v>74225</v>
      </c>
      <c r="G5561" s="1">
        <f t="shared" si="4035"/>
        <v>133161</v>
      </c>
      <c r="H5561" s="2">
        <f t="shared" si="4036"/>
        <v>0.44259205022491571</v>
      </c>
      <c r="I5561" s="2">
        <f t="shared" si="4037"/>
        <v>0.55740794977508434</v>
      </c>
      <c r="J5561" s="3">
        <f t="shared" ref="J5561:K5561" si="4042">SUM(J761+J1721+J2681+J3641+J4601)</f>
        <v>24364.639999999999</v>
      </c>
      <c r="K5561" s="3">
        <f t="shared" si="4042"/>
        <v>58361.98</v>
      </c>
      <c r="L5561" s="1">
        <f t="shared" si="3929"/>
        <v>82726.62</v>
      </c>
      <c r="M5561" s="2">
        <f t="shared" si="3930"/>
        <v>0.29451995016839805</v>
      </c>
      <c r="N5561" s="2">
        <f t="shared" si="3931"/>
        <v>0.70548004983160206</v>
      </c>
    </row>
    <row r="5562" spans="1:14" x14ac:dyDescent="0.35">
      <c r="A5562" t="s">
        <v>38</v>
      </c>
      <c r="B5562" t="s">
        <v>22</v>
      </c>
      <c r="C5562">
        <v>2017</v>
      </c>
      <c r="D5562" t="s">
        <v>32</v>
      </c>
      <c r="E5562" s="3">
        <f t="shared" ref="E5562:F5562" si="4043">SUM(E762+E1722+E2682+E3642+E4602)</f>
        <v>58660</v>
      </c>
      <c r="F5562" s="3">
        <f t="shared" si="4043"/>
        <v>74497</v>
      </c>
      <c r="G5562" s="1">
        <f t="shared" si="4035"/>
        <v>133157</v>
      </c>
      <c r="H5562" s="2">
        <f t="shared" si="4036"/>
        <v>0.44053260436927838</v>
      </c>
      <c r="I5562" s="2">
        <f t="shared" si="4037"/>
        <v>0.55946739563072168</v>
      </c>
      <c r="J5562" s="3">
        <f t="shared" ref="J5562:K5562" si="4044">SUM(J762+J1722+J2682+J3642+J4602)</f>
        <v>24165.760000000002</v>
      </c>
      <c r="K5562" s="3">
        <f t="shared" si="4044"/>
        <v>58635.14</v>
      </c>
      <c r="L5562" s="1">
        <f t="shared" si="3929"/>
        <v>82800.899999999994</v>
      </c>
      <c r="M5562" s="2">
        <f t="shared" si="3930"/>
        <v>0.29185383250665153</v>
      </c>
      <c r="N5562" s="2">
        <f t="shared" si="3931"/>
        <v>0.70814616749334858</v>
      </c>
    </row>
    <row r="5563" spans="1:14" x14ac:dyDescent="0.35">
      <c r="A5563" t="s">
        <v>38</v>
      </c>
      <c r="B5563" t="s">
        <v>23</v>
      </c>
      <c r="C5563">
        <v>2017</v>
      </c>
      <c r="D5563" t="s">
        <v>32</v>
      </c>
      <c r="E5563" s="3">
        <f t="shared" ref="E5563:F5563" si="4045">SUM(E763+E1723+E2683+E3643+E4603)</f>
        <v>58288</v>
      </c>
      <c r="F5563" s="3">
        <f t="shared" si="4045"/>
        <v>74667</v>
      </c>
      <c r="G5563" s="1">
        <f t="shared" si="4035"/>
        <v>132955</v>
      </c>
      <c r="H5563" s="2">
        <f t="shared" si="4036"/>
        <v>0.4384039712684743</v>
      </c>
      <c r="I5563" s="2">
        <f t="shared" si="4037"/>
        <v>0.5615960287315257</v>
      </c>
      <c r="J5563" s="3">
        <f t="shared" ref="J5563:K5563" si="4046">SUM(J763+J1723+J2683+J3643+J4603)</f>
        <v>23759.510000000002</v>
      </c>
      <c r="K5563" s="3">
        <f t="shared" si="4046"/>
        <v>58429.75</v>
      </c>
      <c r="L5563" s="1">
        <f t="shared" si="3929"/>
        <v>82189.260000000009</v>
      </c>
      <c r="M5563" s="2">
        <f t="shared" si="3930"/>
        <v>0.28908290450601454</v>
      </c>
      <c r="N5563" s="2">
        <f t="shared" si="3931"/>
        <v>0.71091709549398541</v>
      </c>
    </row>
    <row r="5564" spans="1:14" x14ac:dyDescent="0.35">
      <c r="A5564" t="s">
        <v>38</v>
      </c>
      <c r="B5564" t="s">
        <v>24</v>
      </c>
      <c r="C5564">
        <v>2017</v>
      </c>
      <c r="D5564" t="s">
        <v>32</v>
      </c>
      <c r="E5564" s="3">
        <f t="shared" ref="E5564:F5564" si="4047">SUM(E764+E1724+E2684+E3644+E4604)</f>
        <v>57963</v>
      </c>
      <c r="F5564" s="3">
        <f t="shared" si="4047"/>
        <v>74489</v>
      </c>
      <c r="G5564" s="1">
        <f t="shared" si="4035"/>
        <v>132452</v>
      </c>
      <c r="H5564" s="2">
        <f t="shared" si="4036"/>
        <v>0.43761513604928576</v>
      </c>
      <c r="I5564" s="2">
        <f t="shared" si="4037"/>
        <v>0.56238486395071419</v>
      </c>
      <c r="J5564" s="3">
        <f t="shared" ref="J5564:K5564" si="4048">SUM(J764+J1724+J2684+J3644+J4604)</f>
        <v>23242.559999999998</v>
      </c>
      <c r="K5564" s="3">
        <f t="shared" si="4048"/>
        <v>57989.37</v>
      </c>
      <c r="L5564" s="1">
        <f t="shared" si="3929"/>
        <v>81231.929999999993</v>
      </c>
      <c r="M5564" s="2">
        <f t="shared" si="3930"/>
        <v>0.28612591132575577</v>
      </c>
      <c r="N5564" s="2">
        <f t="shared" si="3931"/>
        <v>0.71387408867424429</v>
      </c>
    </row>
    <row r="5565" spans="1:14" x14ac:dyDescent="0.35">
      <c r="A5565" t="s">
        <v>38</v>
      </c>
      <c r="B5565" t="s">
        <v>25</v>
      </c>
      <c r="C5565">
        <v>2017</v>
      </c>
      <c r="D5565" t="s">
        <v>32</v>
      </c>
      <c r="E5565" s="3">
        <f t="shared" ref="E5565:F5565" si="4049">SUM(E765+E1725+E2685+E3645+E4605)</f>
        <v>57584</v>
      </c>
      <c r="F5565" s="3">
        <f t="shared" si="4049"/>
        <v>74676</v>
      </c>
      <c r="G5565" s="1">
        <f t="shared" si="4035"/>
        <v>132260</v>
      </c>
      <c r="H5565" s="2">
        <f t="shared" si="4036"/>
        <v>0.43538484802661426</v>
      </c>
      <c r="I5565" s="2">
        <f t="shared" si="4037"/>
        <v>0.56461515197338574</v>
      </c>
      <c r="J5565" s="3">
        <f t="shared" ref="J5565:K5565" si="4050">SUM(J765+J1725+J2685+J3645+J4605)</f>
        <v>24309.21</v>
      </c>
      <c r="K5565" s="3">
        <f t="shared" si="4050"/>
        <v>58208.979999999996</v>
      </c>
      <c r="L5565" s="1">
        <f t="shared" si="3929"/>
        <v>82518.19</v>
      </c>
      <c r="M5565" s="2">
        <f t="shared" si="3930"/>
        <v>0.29459213780622184</v>
      </c>
      <c r="N5565" s="2">
        <f t="shared" si="3931"/>
        <v>0.70540786219377805</v>
      </c>
    </row>
    <row r="5566" spans="1:14" x14ac:dyDescent="0.35">
      <c r="A5566" t="s">
        <v>38</v>
      </c>
      <c r="B5566" t="s">
        <v>26</v>
      </c>
      <c r="C5566">
        <v>2017</v>
      </c>
      <c r="D5566" t="s">
        <v>32</v>
      </c>
      <c r="E5566" s="3">
        <f t="shared" ref="E5566:F5566" si="4051">SUM(E766+E1726+E2686+E3646+E4606)</f>
        <v>57183</v>
      </c>
      <c r="F5566" s="3">
        <f t="shared" si="4051"/>
        <v>74712</v>
      </c>
      <c r="G5566" s="1">
        <f t="shared" si="4035"/>
        <v>131895</v>
      </c>
      <c r="H5566" s="2">
        <f t="shared" si="4036"/>
        <v>0.43354941430683497</v>
      </c>
      <c r="I5566" s="2">
        <f t="shared" si="4037"/>
        <v>0.56645058569316498</v>
      </c>
      <c r="J5566" s="3">
        <f t="shared" ref="J5566:K5566" si="4052">SUM(J766+J1726+J2686+J3646+J4606)</f>
        <v>23563</v>
      </c>
      <c r="K5566" s="3">
        <f t="shared" si="4052"/>
        <v>58260.53</v>
      </c>
      <c r="L5566" s="1">
        <f t="shared" si="3929"/>
        <v>81823.53</v>
      </c>
      <c r="M5566" s="2">
        <f t="shared" si="3930"/>
        <v>0.28797339836108271</v>
      </c>
      <c r="N5566" s="2">
        <f t="shared" si="3931"/>
        <v>0.71202660163891729</v>
      </c>
    </row>
    <row r="5567" spans="1:14" x14ac:dyDescent="0.35">
      <c r="A5567" t="s">
        <v>38</v>
      </c>
      <c r="B5567" t="s">
        <v>27</v>
      </c>
      <c r="C5567">
        <v>2017</v>
      </c>
      <c r="D5567" t="s">
        <v>32</v>
      </c>
      <c r="E5567" s="3">
        <f t="shared" ref="E5567:F5567" si="4053">SUM(E767+E1727+E2687+E3647+E4607)</f>
        <v>56968</v>
      </c>
      <c r="F5567" s="3">
        <f t="shared" si="4053"/>
        <v>74793</v>
      </c>
      <c r="G5567" s="1">
        <f t="shared" si="4035"/>
        <v>131761</v>
      </c>
      <c r="H5567" s="2">
        <f t="shared" si="4036"/>
        <v>0.43235858865673454</v>
      </c>
      <c r="I5567" s="2">
        <f t="shared" si="4037"/>
        <v>0.56764141134326551</v>
      </c>
      <c r="J5567" s="3">
        <f t="shared" ref="J5567:K5567" si="4054">SUM(J767+J1727+J2687+J3647+J4607)</f>
        <v>22764.48</v>
      </c>
      <c r="K5567" s="3">
        <f t="shared" si="4054"/>
        <v>58373.5</v>
      </c>
      <c r="L5567" s="1">
        <f t="shared" si="3929"/>
        <v>81137.98</v>
      </c>
      <c r="M5567" s="2">
        <f t="shared" si="3930"/>
        <v>0.28056503255318904</v>
      </c>
      <c r="N5567" s="2">
        <f t="shared" si="3931"/>
        <v>0.71943496744681101</v>
      </c>
    </row>
    <row r="5568" spans="1:14" x14ac:dyDescent="0.35">
      <c r="A5568" t="s">
        <v>38</v>
      </c>
      <c r="B5568" t="s">
        <v>28</v>
      </c>
      <c r="C5568">
        <v>2017</v>
      </c>
      <c r="D5568" t="s">
        <v>32</v>
      </c>
      <c r="E5568" s="3">
        <f t="shared" ref="E5568:F5568" si="4055">SUM(E768+E1728+E2688+E3648+E4608)</f>
        <v>56706</v>
      </c>
      <c r="F5568" s="3">
        <f t="shared" si="4055"/>
        <v>74870</v>
      </c>
      <c r="G5568" s="1">
        <f t="shared" si="4035"/>
        <v>131576</v>
      </c>
      <c r="H5568" s="2">
        <f t="shared" si="4036"/>
        <v>0.43097525384568613</v>
      </c>
      <c r="I5568" s="2">
        <f t="shared" si="4037"/>
        <v>0.56902474615431387</v>
      </c>
      <c r="J5568" s="3">
        <f t="shared" ref="J5568:K5568" si="4056">SUM(J768+J1728+J2688+J3648+J4608)</f>
        <v>22957.389999999996</v>
      </c>
      <c r="K5568" s="3">
        <f t="shared" si="4056"/>
        <v>58380.15</v>
      </c>
      <c r="L5568" s="1">
        <f t="shared" si="3929"/>
        <v>81337.539999999994</v>
      </c>
      <c r="M5568" s="2">
        <f t="shared" si="3930"/>
        <v>0.28224839354620262</v>
      </c>
      <c r="N5568" s="2">
        <f t="shared" si="3931"/>
        <v>0.71775160645379743</v>
      </c>
    </row>
    <row r="5569" spans="1:14" x14ac:dyDescent="0.35">
      <c r="A5569" t="s">
        <v>38</v>
      </c>
      <c r="B5569" t="s">
        <v>29</v>
      </c>
      <c r="C5569">
        <v>2017</v>
      </c>
      <c r="D5569" t="s">
        <v>32</v>
      </c>
      <c r="E5569" s="3">
        <f t="shared" ref="E5569:F5569" si="4057">SUM(E769+E1729+E2689+E3649+E4609)</f>
        <v>56746</v>
      </c>
      <c r="F5569" s="3">
        <f t="shared" si="4057"/>
        <v>75562</v>
      </c>
      <c r="G5569" s="1">
        <f t="shared" si="4035"/>
        <v>132308</v>
      </c>
      <c r="H5569" s="2">
        <f t="shared" si="4036"/>
        <v>0.42889318862049158</v>
      </c>
      <c r="I5569" s="2">
        <f t="shared" si="4037"/>
        <v>0.57110681137950847</v>
      </c>
      <c r="J5569" s="3">
        <f t="shared" ref="J5569:K5569" si="4058">SUM(J769+J1729+J2689+J3649+J4609)</f>
        <v>23386.829999999998</v>
      </c>
      <c r="K5569" s="3">
        <f t="shared" si="4058"/>
        <v>58665.119999999995</v>
      </c>
      <c r="L5569" s="1">
        <f t="shared" si="3929"/>
        <v>82051.95</v>
      </c>
      <c r="M5569" s="2">
        <f t="shared" si="3930"/>
        <v>0.28502467034604295</v>
      </c>
      <c r="N5569" s="2">
        <f t="shared" si="3931"/>
        <v>0.71497532965395705</v>
      </c>
    </row>
    <row r="5570" spans="1:14" x14ac:dyDescent="0.35">
      <c r="A5570" t="s">
        <v>38</v>
      </c>
      <c r="B5570" t="s">
        <v>17</v>
      </c>
      <c r="C5570">
        <v>2002</v>
      </c>
      <c r="D5570" t="s">
        <v>33</v>
      </c>
      <c r="E5570" s="1">
        <f>SUM(E4802+E4994+E5186+E5378)</f>
        <v>4822129</v>
      </c>
      <c r="F5570" s="1">
        <f>SUM(F4802+F4994+F5186+F5378)</f>
        <v>82419</v>
      </c>
      <c r="G5570" s="1">
        <f t="shared" si="4035"/>
        <v>4904548</v>
      </c>
      <c r="H5570" s="2">
        <f t="shared" si="4036"/>
        <v>0.98319539333695993</v>
      </c>
      <c r="I5570" s="2">
        <f t="shared" si="4037"/>
        <v>1.6804606663040102E-2</v>
      </c>
      <c r="J5570" s="1">
        <f>SUM(J4802+J4994+J5186+J5378)</f>
        <v>9169824.7623999994</v>
      </c>
      <c r="K5570" s="1">
        <f>SUM(K4802+K4994+K5186+K5378)</f>
        <v>306815.81599999993</v>
      </c>
      <c r="L5570" s="1">
        <f t="shared" si="3929"/>
        <v>9476640.5783999991</v>
      </c>
      <c r="M5570" s="2">
        <f t="shared" si="3930"/>
        <v>0.96762398938086547</v>
      </c>
      <c r="N5570" s="2">
        <f t="shared" si="3931"/>
        <v>3.2376010619134567E-2</v>
      </c>
    </row>
    <row r="5571" spans="1:14" x14ac:dyDescent="0.35">
      <c r="A5571" t="s">
        <v>38</v>
      </c>
      <c r="B5571" t="s">
        <v>19</v>
      </c>
      <c r="C5571">
        <v>2002</v>
      </c>
      <c r="D5571" t="s">
        <v>33</v>
      </c>
      <c r="E5571" s="1">
        <f>SUM(E4803+E4995+E5187+E5379)</f>
        <v>4829902</v>
      </c>
      <c r="F5571" s="1">
        <f t="shared" ref="F5571:F5634" si="4059">SUM(F4803+F4995+F5187+F5379)</f>
        <v>123509</v>
      </c>
      <c r="G5571" s="1">
        <f t="shared" si="4035"/>
        <v>4953411</v>
      </c>
      <c r="H5571" s="2">
        <f t="shared" si="4036"/>
        <v>0.97506586875185608</v>
      </c>
      <c r="I5571" s="2">
        <f t="shared" si="4037"/>
        <v>2.4934131248143955E-2</v>
      </c>
      <c r="J5571" s="1">
        <f t="shared" ref="J5571:K5571" si="4060">SUM(J4803+J4995+J5187+J5379)</f>
        <v>9153578.1784000006</v>
      </c>
      <c r="K5571" s="1">
        <f t="shared" si="4060"/>
        <v>1367285.41</v>
      </c>
      <c r="L5571" s="1">
        <f t="shared" ref="L5571:L5634" si="4061">SUM(J5571:K5571)</f>
        <v>10520863.588400001</v>
      </c>
      <c r="M5571" s="2">
        <f t="shared" ref="M5571:M5634" si="4062">SUM(J5571)/L5571</f>
        <v>0.87004057238157428</v>
      </c>
      <c r="N5571" s="2">
        <f t="shared" ref="N5571:N5634" si="4063">SUM(K5571/L5571)</f>
        <v>0.12995942761842566</v>
      </c>
    </row>
    <row r="5572" spans="1:14" x14ac:dyDescent="0.35">
      <c r="A5572" t="s">
        <v>38</v>
      </c>
      <c r="B5572" t="s">
        <v>20</v>
      </c>
      <c r="C5572">
        <v>2002</v>
      </c>
      <c r="D5572" t="s">
        <v>33</v>
      </c>
      <c r="E5572" s="1">
        <f t="shared" ref="E5572" si="4064">SUM(E4804+E4996+E5188+E5380)</f>
        <v>5585958</v>
      </c>
      <c r="F5572" s="1">
        <f t="shared" si="4059"/>
        <v>146252</v>
      </c>
      <c r="G5572" s="1">
        <f t="shared" si="4035"/>
        <v>5732210</v>
      </c>
      <c r="H5572" s="2">
        <f t="shared" si="4036"/>
        <v>0.9744859312551355</v>
      </c>
      <c r="I5572" s="2">
        <f t="shared" si="4037"/>
        <v>2.5514068744864546E-2</v>
      </c>
      <c r="J5572" s="1">
        <f t="shared" ref="J5572:K5572" si="4065">SUM(J4804+J4996+J5188+J5380)</f>
        <v>10561647.130430002</v>
      </c>
      <c r="K5572" s="1">
        <f t="shared" si="4065"/>
        <v>2890161.72554</v>
      </c>
      <c r="L5572" s="1">
        <f t="shared" si="4061"/>
        <v>13451808.855970003</v>
      </c>
      <c r="M5572" s="2">
        <f t="shared" si="4062"/>
        <v>0.78514698235120051</v>
      </c>
      <c r="N5572" s="2">
        <f t="shared" si="4063"/>
        <v>0.21485301764879947</v>
      </c>
    </row>
    <row r="5573" spans="1:14" x14ac:dyDescent="0.35">
      <c r="A5573" t="s">
        <v>38</v>
      </c>
      <c r="B5573" t="s">
        <v>21</v>
      </c>
      <c r="C5573">
        <v>2002</v>
      </c>
      <c r="D5573" t="s">
        <v>33</v>
      </c>
      <c r="E5573" s="1">
        <f t="shared" ref="E5573" si="4066">SUM(E4805+E4997+E5189+E5381)</f>
        <v>5590395</v>
      </c>
      <c r="F5573" s="1">
        <f t="shared" si="4059"/>
        <v>158211</v>
      </c>
      <c r="G5573" s="1">
        <f t="shared" si="4035"/>
        <v>5748606</v>
      </c>
      <c r="H5573" s="2">
        <f t="shared" si="4036"/>
        <v>0.97247837127818471</v>
      </c>
      <c r="I5573" s="2">
        <f t="shared" si="4037"/>
        <v>2.752162872181534E-2</v>
      </c>
      <c r="J5573" s="1">
        <f t="shared" ref="J5573:K5573" si="4067">SUM(J4805+J4997+J5189+J5381)</f>
        <v>10695782.011890002</v>
      </c>
      <c r="K5573" s="1">
        <f t="shared" si="4067"/>
        <v>2791334.0101199998</v>
      </c>
      <c r="L5573" s="1">
        <f t="shared" si="4061"/>
        <v>13487116.022010002</v>
      </c>
      <c r="M5573" s="2">
        <f t="shared" si="4062"/>
        <v>0.79303699875015943</v>
      </c>
      <c r="N5573" s="2">
        <f t="shared" si="4063"/>
        <v>0.20696300124984049</v>
      </c>
    </row>
    <row r="5574" spans="1:14" x14ac:dyDescent="0.35">
      <c r="A5574" t="s">
        <v>38</v>
      </c>
      <c r="B5574" t="s">
        <v>22</v>
      </c>
      <c r="C5574">
        <v>2002</v>
      </c>
      <c r="D5574" t="s">
        <v>33</v>
      </c>
      <c r="E5574" s="1">
        <f t="shared" ref="E5574" si="4068">SUM(E4806+E4998+E5190+E5382)</f>
        <v>5551942</v>
      </c>
      <c r="F5574" s="1">
        <f t="shared" si="4059"/>
        <v>193062</v>
      </c>
      <c r="G5574" s="1">
        <f t="shared" si="4035"/>
        <v>5745004</v>
      </c>
      <c r="H5574" s="2">
        <f t="shared" si="4036"/>
        <v>0.96639480146576051</v>
      </c>
      <c r="I5574" s="2">
        <f t="shared" si="4037"/>
        <v>3.3605198534239489E-2</v>
      </c>
      <c r="J5574" s="1">
        <f t="shared" ref="J5574:K5574" si="4069">SUM(J4806+J4998+J5190+J5382)</f>
        <v>12063278.394090001</v>
      </c>
      <c r="K5574" s="1">
        <f t="shared" si="4069"/>
        <v>3050193.8780799997</v>
      </c>
      <c r="L5574" s="1">
        <f t="shared" si="4061"/>
        <v>15113472.27217</v>
      </c>
      <c r="M5574" s="2">
        <f t="shared" si="4062"/>
        <v>0.79818046950755073</v>
      </c>
      <c r="N5574" s="2">
        <f t="shared" si="4063"/>
        <v>0.20181953049244927</v>
      </c>
    </row>
    <row r="5575" spans="1:14" x14ac:dyDescent="0.35">
      <c r="A5575" t="s">
        <v>38</v>
      </c>
      <c r="B5575" t="s">
        <v>23</v>
      </c>
      <c r="C5575">
        <v>2002</v>
      </c>
      <c r="D5575" t="s">
        <v>33</v>
      </c>
      <c r="E5575" s="1">
        <f t="shared" ref="E5575" si="4070">SUM(E4807+E4999+E5191+E5383)</f>
        <v>5595444</v>
      </c>
      <c r="F5575" s="1">
        <f t="shared" si="4059"/>
        <v>240378</v>
      </c>
      <c r="G5575" s="1">
        <f t="shared" si="4035"/>
        <v>5835822</v>
      </c>
      <c r="H5575" s="2">
        <f t="shared" si="4036"/>
        <v>0.95880991572395458</v>
      </c>
      <c r="I5575" s="2">
        <f t="shared" si="4037"/>
        <v>4.1190084276045431E-2</v>
      </c>
      <c r="J5575" s="1">
        <f t="shared" ref="J5575:K5575" si="4071">SUM(J4807+J4999+J5191+J5383)</f>
        <v>13517037.929180002</v>
      </c>
      <c r="K5575" s="1">
        <f t="shared" si="4071"/>
        <v>4248498.8560000006</v>
      </c>
      <c r="L5575" s="1">
        <f t="shared" si="4061"/>
        <v>17765536.785180002</v>
      </c>
      <c r="M5575" s="2">
        <f t="shared" si="4062"/>
        <v>0.76085727623248089</v>
      </c>
      <c r="N5575" s="2">
        <f t="shared" si="4063"/>
        <v>0.23914272376751911</v>
      </c>
    </row>
    <row r="5576" spans="1:14" x14ac:dyDescent="0.35">
      <c r="A5576" t="s">
        <v>38</v>
      </c>
      <c r="B5576" t="s">
        <v>24</v>
      </c>
      <c r="C5576">
        <v>2002</v>
      </c>
      <c r="D5576" t="s">
        <v>33</v>
      </c>
      <c r="E5576" s="1">
        <f t="shared" ref="E5576" si="4072">SUM(E4808+E5000+E5192+E5384)</f>
        <v>5584268</v>
      </c>
      <c r="F5576" s="1">
        <f t="shared" si="4059"/>
        <v>224745</v>
      </c>
      <c r="G5576" s="1">
        <f t="shared" si="4035"/>
        <v>5809013</v>
      </c>
      <c r="H5576" s="2">
        <f t="shared" si="4036"/>
        <v>0.96131098346655453</v>
      </c>
      <c r="I5576" s="2">
        <f t="shared" si="4037"/>
        <v>3.8689016533445524E-2</v>
      </c>
      <c r="J5576" s="1">
        <f t="shared" ref="J5576:K5576" si="4073">SUM(J4808+J5000+J5192+J5384)</f>
        <v>16028805.152889999</v>
      </c>
      <c r="K5576" s="1">
        <f t="shared" si="4073"/>
        <v>5975454.4789999994</v>
      </c>
      <c r="L5576" s="1">
        <f t="shared" si="4061"/>
        <v>22004259.631889999</v>
      </c>
      <c r="M5576" s="2">
        <f t="shared" si="4062"/>
        <v>0.72844101192389199</v>
      </c>
      <c r="N5576" s="2">
        <f t="shared" si="4063"/>
        <v>0.27155898807610795</v>
      </c>
    </row>
    <row r="5577" spans="1:14" x14ac:dyDescent="0.35">
      <c r="A5577" t="s">
        <v>38</v>
      </c>
      <c r="B5577" t="s">
        <v>25</v>
      </c>
      <c r="C5577">
        <v>2002</v>
      </c>
      <c r="D5577" t="s">
        <v>33</v>
      </c>
      <c r="E5577" s="1">
        <f t="shared" ref="E5577" si="4074">SUM(E4809+E5001+E5193+E5385)</f>
        <v>5515314</v>
      </c>
      <c r="F5577" s="1">
        <f t="shared" si="4059"/>
        <v>377298</v>
      </c>
      <c r="G5577" s="1">
        <f t="shared" si="4035"/>
        <v>5892612</v>
      </c>
      <c r="H5577" s="2">
        <f t="shared" si="4036"/>
        <v>0.9359710091212522</v>
      </c>
      <c r="I5577" s="2">
        <f t="shared" si="4037"/>
        <v>6.4028990878747832E-2</v>
      </c>
      <c r="J5577" s="1">
        <f t="shared" ref="J5577:K5577" si="4075">SUM(J4809+J5001+J5193+J5385)</f>
        <v>14965454.835999997</v>
      </c>
      <c r="K5577" s="1">
        <f t="shared" si="4075"/>
        <v>4080839.0100000007</v>
      </c>
      <c r="L5577" s="1">
        <f t="shared" si="4061"/>
        <v>19046293.845999997</v>
      </c>
      <c r="M5577" s="2">
        <f t="shared" si="4062"/>
        <v>0.78574104531853395</v>
      </c>
      <c r="N5577" s="2">
        <f t="shared" si="4063"/>
        <v>0.21425895468146613</v>
      </c>
    </row>
    <row r="5578" spans="1:14" x14ac:dyDescent="0.35">
      <c r="A5578" t="s">
        <v>38</v>
      </c>
      <c r="B5578" t="s">
        <v>26</v>
      </c>
      <c r="C5578">
        <v>2002</v>
      </c>
      <c r="D5578" t="s">
        <v>33</v>
      </c>
      <c r="E5578" s="1">
        <f t="shared" ref="E5578" si="4076">SUM(E4810+E5002+E5194+E5386)</f>
        <v>5493739</v>
      </c>
      <c r="F5578" s="1">
        <f t="shared" si="4059"/>
        <v>401447</v>
      </c>
      <c r="G5578" s="1">
        <f t="shared" si="4035"/>
        <v>5895186</v>
      </c>
      <c r="H5578" s="2">
        <f t="shared" si="4036"/>
        <v>0.93190257270932586</v>
      </c>
      <c r="I5578" s="2">
        <f t="shared" si="4037"/>
        <v>6.8097427290674126E-2</v>
      </c>
      <c r="J5578" s="1">
        <f t="shared" ref="J5578:K5578" si="4077">SUM(J4810+J5002+J5194+J5386)</f>
        <v>17690060.696999997</v>
      </c>
      <c r="K5578" s="1">
        <f t="shared" si="4077"/>
        <v>6070465.1129999999</v>
      </c>
      <c r="L5578" s="1">
        <f t="shared" si="4061"/>
        <v>23760525.809999995</v>
      </c>
      <c r="M5578" s="2">
        <f t="shared" si="4062"/>
        <v>0.74451469796829384</v>
      </c>
      <c r="N5578" s="2">
        <f t="shared" si="4063"/>
        <v>0.25548530203170622</v>
      </c>
    </row>
    <row r="5579" spans="1:14" x14ac:dyDescent="0.35">
      <c r="A5579" t="s">
        <v>38</v>
      </c>
      <c r="B5579" t="s">
        <v>27</v>
      </c>
      <c r="C5579">
        <v>2002</v>
      </c>
      <c r="D5579" t="s">
        <v>33</v>
      </c>
      <c r="E5579" s="1">
        <f t="shared" ref="E5579" si="4078">SUM(E4811+E5003+E5195+E5387)</f>
        <v>5393271</v>
      </c>
      <c r="F5579" s="1">
        <f t="shared" si="4059"/>
        <v>418357</v>
      </c>
      <c r="G5579" s="1">
        <f t="shared" si="4035"/>
        <v>5811628</v>
      </c>
      <c r="H5579" s="2">
        <f t="shared" si="4036"/>
        <v>0.92801380267284828</v>
      </c>
      <c r="I5579" s="2">
        <f t="shared" si="4037"/>
        <v>7.198619732715171E-2</v>
      </c>
      <c r="J5579" s="1">
        <f t="shared" ref="J5579:K5579" si="4079">SUM(J4811+J5003+J5195+J5387)</f>
        <v>13143331.835999999</v>
      </c>
      <c r="K5579" s="1">
        <f t="shared" si="4079"/>
        <v>5441851.8474000003</v>
      </c>
      <c r="L5579" s="1">
        <f t="shared" si="4061"/>
        <v>18585183.683399998</v>
      </c>
      <c r="M5579" s="2">
        <f t="shared" si="4062"/>
        <v>0.70719407781476074</v>
      </c>
      <c r="N5579" s="2">
        <f t="shared" si="4063"/>
        <v>0.29280592218523938</v>
      </c>
    </row>
    <row r="5580" spans="1:14" x14ac:dyDescent="0.35">
      <c r="A5580" t="s">
        <v>38</v>
      </c>
      <c r="B5580" t="s">
        <v>28</v>
      </c>
      <c r="C5580">
        <v>2002</v>
      </c>
      <c r="D5580" t="s">
        <v>33</v>
      </c>
      <c r="E5580" s="1">
        <f t="shared" ref="E5580" si="4080">SUM(E4812+E5004+E5196+E5388)</f>
        <v>5380645</v>
      </c>
      <c r="F5580" s="1">
        <f t="shared" si="4059"/>
        <v>433586</v>
      </c>
      <c r="G5580" s="1">
        <f t="shared" si="4035"/>
        <v>5814231</v>
      </c>
      <c r="H5580" s="2">
        <f t="shared" si="4036"/>
        <v>0.92542676752953223</v>
      </c>
      <c r="I5580" s="2">
        <f t="shared" si="4037"/>
        <v>7.4573232470467724E-2</v>
      </c>
      <c r="J5580" s="1">
        <f t="shared" ref="J5580:K5580" si="4081">SUM(J4812+J5004+J5196+J5388)</f>
        <v>10292354.808000002</v>
      </c>
      <c r="K5580" s="1">
        <f t="shared" si="4081"/>
        <v>4910064.3229999999</v>
      </c>
      <c r="L5580" s="1">
        <f t="shared" si="4061"/>
        <v>15202419.131000001</v>
      </c>
      <c r="M5580" s="2">
        <f t="shared" si="4062"/>
        <v>0.67702085564871417</v>
      </c>
      <c r="N5580" s="2">
        <f t="shared" si="4063"/>
        <v>0.32297914435128589</v>
      </c>
    </row>
    <row r="5581" spans="1:14" x14ac:dyDescent="0.35">
      <c r="A5581" t="s">
        <v>38</v>
      </c>
      <c r="B5581" t="s">
        <v>29</v>
      </c>
      <c r="C5581">
        <v>2002</v>
      </c>
      <c r="D5581" t="s">
        <v>33</v>
      </c>
      <c r="E5581" s="1">
        <f t="shared" ref="E5581" si="4082">SUM(E4813+E5005+E5197+E5389)</f>
        <v>5373936</v>
      </c>
      <c r="F5581" s="1">
        <f t="shared" si="4059"/>
        <v>453740</v>
      </c>
      <c r="G5581" s="1">
        <f t="shared" si="4035"/>
        <v>5827676</v>
      </c>
      <c r="H5581" s="2">
        <f t="shared" si="4036"/>
        <v>0.92214048962227824</v>
      </c>
      <c r="I5581" s="2">
        <f t="shared" si="4037"/>
        <v>7.785951037772175E-2</v>
      </c>
      <c r="J5581" s="1">
        <f t="shared" ref="J5581:K5581" si="4083">SUM(J4813+J5005+J5197+J5389)</f>
        <v>10408330.215999998</v>
      </c>
      <c r="K5581" s="1">
        <f t="shared" si="4083"/>
        <v>4468035.1239999998</v>
      </c>
      <c r="L5581" s="1">
        <f t="shared" si="4061"/>
        <v>14876365.339999998</v>
      </c>
      <c r="M5581" s="2">
        <f t="shared" si="4062"/>
        <v>0.69965545871704171</v>
      </c>
      <c r="N5581" s="2">
        <f t="shared" si="4063"/>
        <v>0.30034454128295834</v>
      </c>
    </row>
    <row r="5582" spans="1:14" x14ac:dyDescent="0.35">
      <c r="A5582" t="s">
        <v>38</v>
      </c>
      <c r="B5582" t="s">
        <v>17</v>
      </c>
      <c r="C5582">
        <v>2003</v>
      </c>
      <c r="D5582" t="s">
        <v>33</v>
      </c>
      <c r="E5582" s="1">
        <f t="shared" ref="E5582" si="4084">SUM(E4814+E5006+E5198+E5390)</f>
        <v>5489061</v>
      </c>
      <c r="F5582" s="1">
        <f t="shared" si="4059"/>
        <v>484687</v>
      </c>
      <c r="G5582" s="1">
        <f t="shared" si="4035"/>
        <v>5973748</v>
      </c>
      <c r="H5582" s="2">
        <f t="shared" si="4036"/>
        <v>0.91886383556855766</v>
      </c>
      <c r="I5582" s="2">
        <f t="shared" si="4037"/>
        <v>8.1136164431442365E-2</v>
      </c>
      <c r="J5582" s="1">
        <f t="shared" ref="J5582:K5582" si="4085">SUM(J4814+J5006+J5198+J5390)</f>
        <v>11531263</v>
      </c>
      <c r="K5582" s="1">
        <f t="shared" si="4085"/>
        <v>4556206</v>
      </c>
      <c r="L5582" s="1">
        <f t="shared" si="4061"/>
        <v>16087469</v>
      </c>
      <c r="M5582" s="2">
        <f t="shared" si="4062"/>
        <v>0.7167854060822122</v>
      </c>
      <c r="N5582" s="2">
        <f t="shared" si="4063"/>
        <v>0.2832145939177878</v>
      </c>
    </row>
    <row r="5583" spans="1:14" x14ac:dyDescent="0.35">
      <c r="A5583" t="s">
        <v>38</v>
      </c>
      <c r="B5583" t="s">
        <v>19</v>
      </c>
      <c r="C5583">
        <v>2003</v>
      </c>
      <c r="D5583" t="s">
        <v>33</v>
      </c>
      <c r="E5583" s="1">
        <f t="shared" ref="E5583" si="4086">SUM(E4815+E5007+E5199+E5391)</f>
        <v>5389247</v>
      </c>
      <c r="F5583" s="1">
        <f t="shared" si="4059"/>
        <v>503146</v>
      </c>
      <c r="G5583" s="1">
        <f t="shared" si="4035"/>
        <v>5892393</v>
      </c>
      <c r="H5583" s="2">
        <f t="shared" si="4036"/>
        <v>0.91461092293063273</v>
      </c>
      <c r="I5583" s="2">
        <f t="shared" si="4037"/>
        <v>8.5389077069367228E-2</v>
      </c>
      <c r="J5583" s="1">
        <f t="shared" ref="J5583:K5583" si="4087">SUM(J4815+J5007+J5199+J5391)</f>
        <v>11128649</v>
      </c>
      <c r="K5583" s="1">
        <f t="shared" si="4087"/>
        <v>4681944</v>
      </c>
      <c r="L5583" s="1">
        <f t="shared" si="4061"/>
        <v>15810593</v>
      </c>
      <c r="M5583" s="2">
        <f t="shared" si="4062"/>
        <v>0.70387296668758725</v>
      </c>
      <c r="N5583" s="2">
        <f t="shared" si="4063"/>
        <v>0.29612703331241275</v>
      </c>
    </row>
    <row r="5584" spans="1:14" x14ac:dyDescent="0.35">
      <c r="A5584" t="s">
        <v>38</v>
      </c>
      <c r="B5584" t="s">
        <v>20</v>
      </c>
      <c r="C5584">
        <v>2003</v>
      </c>
      <c r="D5584" t="s">
        <v>33</v>
      </c>
      <c r="E5584" s="1">
        <f t="shared" ref="E5584" si="4088">SUM(E4816+E5008+E5200+E5392)</f>
        <v>5457986</v>
      </c>
      <c r="F5584" s="1">
        <f t="shared" si="4059"/>
        <v>537616</v>
      </c>
      <c r="G5584" s="1">
        <f t="shared" si="4035"/>
        <v>5995602</v>
      </c>
      <c r="H5584" s="2">
        <f t="shared" si="4036"/>
        <v>0.91033160640082511</v>
      </c>
      <c r="I5584" s="2">
        <f t="shared" si="4037"/>
        <v>8.9668393599174862E-2</v>
      </c>
      <c r="J5584" s="1">
        <f t="shared" ref="J5584:K5584" si="4089">SUM(J4816+J5008+J5200+J5392)</f>
        <v>9901080</v>
      </c>
      <c r="K5584" s="1">
        <f t="shared" si="4089"/>
        <v>4528604</v>
      </c>
      <c r="L5584" s="1">
        <f t="shared" si="4061"/>
        <v>14429684</v>
      </c>
      <c r="M5584" s="2">
        <f t="shared" si="4062"/>
        <v>0.68616055625334549</v>
      </c>
      <c r="N5584" s="2">
        <f t="shared" si="4063"/>
        <v>0.31383944374665446</v>
      </c>
    </row>
    <row r="5585" spans="1:14" x14ac:dyDescent="0.35">
      <c r="A5585" t="s">
        <v>38</v>
      </c>
      <c r="B5585" t="s">
        <v>21</v>
      </c>
      <c r="C5585">
        <v>2003</v>
      </c>
      <c r="D5585" t="s">
        <v>33</v>
      </c>
      <c r="E5585" s="1">
        <f t="shared" ref="E5585" si="4090">SUM(E4817+E5009+E5201+E5393)</f>
        <v>5385072</v>
      </c>
      <c r="F5585" s="1">
        <f t="shared" si="4059"/>
        <v>562549</v>
      </c>
      <c r="G5585" s="1">
        <f t="shared" si="4035"/>
        <v>5947621</v>
      </c>
      <c r="H5585" s="2">
        <f t="shared" si="4036"/>
        <v>0.90541613192905201</v>
      </c>
      <c r="I5585" s="2">
        <f t="shared" si="4037"/>
        <v>9.4583868070948027E-2</v>
      </c>
      <c r="J5585" s="1">
        <f t="shared" ref="J5585:K5585" si="4091">SUM(J4817+J5009+J5201+J5393)</f>
        <v>9064977.852</v>
      </c>
      <c r="K5585" s="1">
        <f t="shared" si="4091"/>
        <v>4623405.3509999998</v>
      </c>
      <c r="L5585" s="1">
        <f t="shared" si="4061"/>
        <v>13688383.203</v>
      </c>
      <c r="M5585" s="2">
        <f t="shared" si="4062"/>
        <v>0.66223875512290475</v>
      </c>
      <c r="N5585" s="2">
        <f t="shared" si="4063"/>
        <v>0.33776124487709519</v>
      </c>
    </row>
    <row r="5586" spans="1:14" x14ac:dyDescent="0.35">
      <c r="A5586" t="s">
        <v>38</v>
      </c>
      <c r="B5586" t="s">
        <v>22</v>
      </c>
      <c r="C5586">
        <v>2003</v>
      </c>
      <c r="D5586" t="s">
        <v>33</v>
      </c>
      <c r="E5586" s="1">
        <f t="shared" ref="E5586" si="4092">SUM(E4818+E5010+E5202+E5394)</f>
        <v>5366866</v>
      </c>
      <c r="F5586" s="1">
        <f t="shared" si="4059"/>
        <v>591852</v>
      </c>
      <c r="G5586" s="1">
        <f t="shared" si="4035"/>
        <v>5958718</v>
      </c>
      <c r="H5586" s="2">
        <f t="shared" si="4036"/>
        <v>0.90067460819592404</v>
      </c>
      <c r="I5586" s="2">
        <f t="shared" si="4037"/>
        <v>9.9325391804075971E-2</v>
      </c>
      <c r="J5586" s="1">
        <f t="shared" ref="J5586:K5586" si="4093">SUM(J4818+J5010+J5202+J5394)</f>
        <v>10594882.695</v>
      </c>
      <c r="K5586" s="1">
        <f t="shared" si="4093"/>
        <v>5397374.3440000005</v>
      </c>
      <c r="L5586" s="1">
        <f t="shared" si="4061"/>
        <v>15992257.039000001</v>
      </c>
      <c r="M5586" s="2">
        <f t="shared" si="4062"/>
        <v>0.66250077579183908</v>
      </c>
      <c r="N5586" s="2">
        <f t="shared" si="4063"/>
        <v>0.33749922420816092</v>
      </c>
    </row>
    <row r="5587" spans="1:14" x14ac:dyDescent="0.35">
      <c r="A5587" t="s">
        <v>38</v>
      </c>
      <c r="B5587" t="s">
        <v>23</v>
      </c>
      <c r="C5587">
        <v>2003</v>
      </c>
      <c r="D5587" t="s">
        <v>33</v>
      </c>
      <c r="E5587" s="1">
        <f t="shared" ref="E5587" si="4094">SUM(E4819+E5011+E5203+E5395)</f>
        <v>5334573</v>
      </c>
      <c r="F5587" s="1">
        <f t="shared" si="4059"/>
        <v>626023</v>
      </c>
      <c r="G5587" s="1">
        <f t="shared" si="4035"/>
        <v>5960596</v>
      </c>
      <c r="H5587" s="2">
        <f t="shared" si="4036"/>
        <v>0.89497308658395902</v>
      </c>
      <c r="I5587" s="2">
        <f t="shared" si="4037"/>
        <v>0.10502691341604095</v>
      </c>
      <c r="J5587" s="1">
        <f t="shared" ref="J5587:K5587" si="4095">SUM(J4819+J5011+J5203+J5395)</f>
        <v>12712874.436000001</v>
      </c>
      <c r="K5587" s="1">
        <f t="shared" si="4095"/>
        <v>5888786.4760000007</v>
      </c>
      <c r="L5587" s="1">
        <f t="shared" si="4061"/>
        <v>18601660.912</v>
      </c>
      <c r="M5587" s="2">
        <f t="shared" si="4062"/>
        <v>0.68342684538448273</v>
      </c>
      <c r="N5587" s="2">
        <f t="shared" si="4063"/>
        <v>0.31657315461551733</v>
      </c>
    </row>
    <row r="5588" spans="1:14" x14ac:dyDescent="0.35">
      <c r="A5588" t="s">
        <v>38</v>
      </c>
      <c r="B5588" t="s">
        <v>24</v>
      </c>
      <c r="C5588">
        <v>2003</v>
      </c>
      <c r="D5588" t="s">
        <v>33</v>
      </c>
      <c r="E5588" s="1">
        <f t="shared" ref="E5588" si="4096">SUM(E4820+E5012+E5204+E5396)</f>
        <v>5349691</v>
      </c>
      <c r="F5588" s="1">
        <f t="shared" si="4059"/>
        <v>669559</v>
      </c>
      <c r="G5588" s="1">
        <f t="shared" si="4035"/>
        <v>6019250</v>
      </c>
      <c r="H5588" s="2">
        <f t="shared" si="4036"/>
        <v>0.88876371640985175</v>
      </c>
      <c r="I5588" s="2">
        <f t="shared" si="4037"/>
        <v>0.11123628359014827</v>
      </c>
      <c r="J5588" s="1">
        <f t="shared" ref="J5588:K5588" si="4097">SUM(J4820+J5012+J5204+J5396)</f>
        <v>13839478.525</v>
      </c>
      <c r="K5588" s="1">
        <f t="shared" si="4097"/>
        <v>6270861.6549999993</v>
      </c>
      <c r="L5588" s="1">
        <f t="shared" si="4061"/>
        <v>20110340.18</v>
      </c>
      <c r="M5588" s="2">
        <f t="shared" si="4062"/>
        <v>0.68817724618917908</v>
      </c>
      <c r="N5588" s="2">
        <f t="shared" si="4063"/>
        <v>0.31182275381082086</v>
      </c>
    </row>
    <row r="5589" spans="1:14" x14ac:dyDescent="0.35">
      <c r="A5589" t="s">
        <v>38</v>
      </c>
      <c r="B5589" t="s">
        <v>25</v>
      </c>
      <c r="C5589">
        <v>2003</v>
      </c>
      <c r="D5589" t="s">
        <v>33</v>
      </c>
      <c r="E5589" s="1">
        <f t="shared" ref="E5589" si="4098">SUM(E4821+E5013+E5205+E5397)</f>
        <v>5283115</v>
      </c>
      <c r="F5589" s="1">
        <f t="shared" si="4059"/>
        <v>702419</v>
      </c>
      <c r="G5589" s="1">
        <f t="shared" si="4035"/>
        <v>5985534</v>
      </c>
      <c r="H5589" s="2">
        <f t="shared" si="4036"/>
        <v>0.88264722913611382</v>
      </c>
      <c r="I5589" s="2">
        <f t="shared" si="4037"/>
        <v>0.11735277086388617</v>
      </c>
      <c r="J5589" s="1">
        <f t="shared" ref="J5589:K5589" si="4099">SUM(J4821+J5013+J5205+J5397)</f>
        <v>14633313.514</v>
      </c>
      <c r="K5589" s="1">
        <f t="shared" si="4099"/>
        <v>6721187.0169999991</v>
      </c>
      <c r="L5589" s="1">
        <f t="shared" si="4061"/>
        <v>21354500.530999999</v>
      </c>
      <c r="M5589" s="2">
        <f t="shared" si="4062"/>
        <v>0.6852566508290393</v>
      </c>
      <c r="N5589" s="2">
        <f t="shared" si="4063"/>
        <v>0.31474334917096075</v>
      </c>
    </row>
    <row r="5590" spans="1:14" x14ac:dyDescent="0.35">
      <c r="A5590" t="s">
        <v>38</v>
      </c>
      <c r="B5590" t="s">
        <v>26</v>
      </c>
      <c r="C5590">
        <v>2003</v>
      </c>
      <c r="D5590" t="s">
        <v>33</v>
      </c>
      <c r="E5590" s="1">
        <f t="shared" ref="E5590" si="4100">SUM(E4822+E5014+E5206+E5398)</f>
        <v>5246303</v>
      </c>
      <c r="F5590" s="1">
        <f t="shared" si="4059"/>
        <v>748347</v>
      </c>
      <c r="G5590" s="1">
        <f t="shared" si="4035"/>
        <v>5994650</v>
      </c>
      <c r="H5590" s="2">
        <f t="shared" si="4036"/>
        <v>0.87516418806769369</v>
      </c>
      <c r="I5590" s="2">
        <f t="shared" si="4037"/>
        <v>0.12483581193230631</v>
      </c>
      <c r="J5590" s="1">
        <f t="shared" ref="J5590:K5590" si="4101">SUM(J4822+J5014+J5206+J5398)</f>
        <v>13597471.740999999</v>
      </c>
      <c r="K5590" s="1">
        <f t="shared" si="4101"/>
        <v>6670996.9390000002</v>
      </c>
      <c r="L5590" s="1">
        <f t="shared" si="4061"/>
        <v>20268468.68</v>
      </c>
      <c r="M5590" s="2">
        <f t="shared" si="4062"/>
        <v>0.67086823162015019</v>
      </c>
      <c r="N5590" s="2">
        <f t="shared" si="4063"/>
        <v>0.32913176837984981</v>
      </c>
    </row>
    <row r="5591" spans="1:14" x14ac:dyDescent="0.35">
      <c r="A5591" t="s">
        <v>38</v>
      </c>
      <c r="B5591" t="s">
        <v>27</v>
      </c>
      <c r="C5591">
        <v>2003</v>
      </c>
      <c r="D5591" t="s">
        <v>33</v>
      </c>
      <c r="E5591" s="1">
        <f t="shared" ref="E5591" si="4102">SUM(E4823+E5015+E5207+E5399)</f>
        <v>5267617</v>
      </c>
      <c r="F5591" s="1">
        <f t="shared" si="4059"/>
        <v>810086</v>
      </c>
      <c r="G5591" s="1">
        <f t="shared" si="4035"/>
        <v>6077703</v>
      </c>
      <c r="H5591" s="2">
        <f t="shared" si="4036"/>
        <v>0.86671181530259045</v>
      </c>
      <c r="I5591" s="2">
        <f t="shared" si="4037"/>
        <v>0.13328818469740952</v>
      </c>
      <c r="J5591" s="1">
        <f t="shared" ref="J5591:K5591" si="4103">SUM(J4823+J5015+J5207+J5399)</f>
        <v>10937645.57</v>
      </c>
      <c r="K5591" s="1">
        <f t="shared" si="4103"/>
        <v>6199161.0300000003</v>
      </c>
      <c r="L5591" s="1">
        <f t="shared" si="4061"/>
        <v>17136806.600000001</v>
      </c>
      <c r="M5591" s="2">
        <f t="shared" si="4062"/>
        <v>0.63825459581250099</v>
      </c>
      <c r="N5591" s="2">
        <f t="shared" si="4063"/>
        <v>0.36174540418749895</v>
      </c>
    </row>
    <row r="5592" spans="1:14" x14ac:dyDescent="0.35">
      <c r="A5592" t="s">
        <v>38</v>
      </c>
      <c r="B5592" t="s">
        <v>28</v>
      </c>
      <c r="C5592">
        <v>2003</v>
      </c>
      <c r="D5592" t="s">
        <v>33</v>
      </c>
      <c r="E5592" s="1">
        <f t="shared" ref="E5592" si="4104">SUM(E4824+E5016+E5208+E5400)</f>
        <v>5026778</v>
      </c>
      <c r="F5592" s="1">
        <f t="shared" si="4059"/>
        <v>805786</v>
      </c>
      <c r="G5592" s="1">
        <f t="shared" si="4035"/>
        <v>5832564</v>
      </c>
      <c r="H5592" s="2">
        <f t="shared" si="4036"/>
        <v>0.86184703674061702</v>
      </c>
      <c r="I5592" s="2">
        <f t="shared" si="4037"/>
        <v>0.138152963259383</v>
      </c>
      <c r="J5592" s="1">
        <f t="shared" ref="J5592:K5592" si="4105">SUM(J4824+J5016+J5208+J5400)</f>
        <v>9231428.8499999996</v>
      </c>
      <c r="K5592" s="1">
        <f t="shared" si="4105"/>
        <v>5844239.6799999997</v>
      </c>
      <c r="L5592" s="1">
        <f t="shared" si="4061"/>
        <v>15075668.529999999</v>
      </c>
      <c r="M5592" s="2">
        <f t="shared" si="4062"/>
        <v>0.61233960083626227</v>
      </c>
      <c r="N5592" s="2">
        <f t="shared" si="4063"/>
        <v>0.38766039916373779</v>
      </c>
    </row>
    <row r="5593" spans="1:14" x14ac:dyDescent="0.35">
      <c r="A5593" t="s">
        <v>38</v>
      </c>
      <c r="B5593" t="s">
        <v>29</v>
      </c>
      <c r="C5593">
        <v>2003</v>
      </c>
      <c r="D5593" t="s">
        <v>33</v>
      </c>
      <c r="E5593" s="1">
        <f t="shared" ref="E5593" si="4106">SUM(E4825+E5017+E5209+E5401)</f>
        <v>5132821</v>
      </c>
      <c r="F5593" s="1">
        <f t="shared" si="4059"/>
        <v>869716</v>
      </c>
      <c r="G5593" s="1">
        <f t="shared" si="4035"/>
        <v>6002537</v>
      </c>
      <c r="H5593" s="2">
        <f t="shared" si="4036"/>
        <v>0.85510859824770757</v>
      </c>
      <c r="I5593" s="2">
        <f t="shared" si="4037"/>
        <v>0.1448914017522924</v>
      </c>
      <c r="J5593" s="1">
        <f t="shared" ref="J5593:K5593" si="4107">SUM(J4825+J5017+J5209+J5401)</f>
        <v>9088002.2200000007</v>
      </c>
      <c r="K5593" s="1">
        <f t="shared" si="4107"/>
        <v>5893722.9800000004</v>
      </c>
      <c r="L5593" s="1">
        <f t="shared" si="4061"/>
        <v>14981725.200000001</v>
      </c>
      <c r="M5593" s="2">
        <f t="shared" si="4062"/>
        <v>0.60660585471157891</v>
      </c>
      <c r="N5593" s="2">
        <f t="shared" si="4063"/>
        <v>0.39339414528842115</v>
      </c>
    </row>
    <row r="5594" spans="1:14" x14ac:dyDescent="0.35">
      <c r="A5594" t="s">
        <v>38</v>
      </c>
      <c r="B5594" t="s">
        <v>17</v>
      </c>
      <c r="C5594">
        <v>2004</v>
      </c>
      <c r="D5594" t="s">
        <v>33</v>
      </c>
      <c r="E5594" s="1">
        <f t="shared" ref="E5594" si="4108">SUM(E4826+E5018+E5210+E5402)</f>
        <v>5150497</v>
      </c>
      <c r="F5594" s="1">
        <f t="shared" si="4059"/>
        <v>885231</v>
      </c>
      <c r="G5594" s="1">
        <f t="shared" si="4035"/>
        <v>6035728</v>
      </c>
      <c r="H5594" s="2">
        <f t="shared" si="4036"/>
        <v>0.85333484212674926</v>
      </c>
      <c r="I5594" s="2">
        <f t="shared" si="4037"/>
        <v>0.14666515787325074</v>
      </c>
      <c r="J5594" s="1">
        <f t="shared" ref="J5594:K5594" si="4109">SUM(J4826+J5018+J5210+J5402)</f>
        <v>9825092.3300000001</v>
      </c>
      <c r="K5594" s="1">
        <f t="shared" si="4109"/>
        <v>6151239.9699999997</v>
      </c>
      <c r="L5594" s="1">
        <f t="shared" si="4061"/>
        <v>15976332.300000001</v>
      </c>
      <c r="M5594" s="2">
        <f t="shared" si="4062"/>
        <v>0.61497796524925807</v>
      </c>
      <c r="N5594" s="2">
        <f t="shared" si="4063"/>
        <v>0.38502203475074187</v>
      </c>
    </row>
    <row r="5595" spans="1:14" x14ac:dyDescent="0.35">
      <c r="A5595" t="s">
        <v>38</v>
      </c>
      <c r="B5595" t="s">
        <v>19</v>
      </c>
      <c r="C5595">
        <v>2004</v>
      </c>
      <c r="D5595" t="s">
        <v>33</v>
      </c>
      <c r="E5595" s="1">
        <f t="shared" ref="E5595" si="4110">SUM(E4827+E5019+E5211+E5403)</f>
        <v>5105537</v>
      </c>
      <c r="F5595" s="1">
        <f t="shared" si="4059"/>
        <v>891342</v>
      </c>
      <c r="G5595" s="1">
        <f t="shared" si="4035"/>
        <v>5996879</v>
      </c>
      <c r="H5595" s="2">
        <f t="shared" si="4036"/>
        <v>0.85136568538401391</v>
      </c>
      <c r="I5595" s="2">
        <f t="shared" si="4037"/>
        <v>0.14863431461598609</v>
      </c>
      <c r="J5595" s="1">
        <f t="shared" ref="J5595:K5595" si="4111">SUM(J4827+J5019+J5211+J5403)</f>
        <v>9439260.7299999986</v>
      </c>
      <c r="K5595" s="1">
        <f t="shared" si="4111"/>
        <v>6106021.5999999996</v>
      </c>
      <c r="L5595" s="1">
        <f t="shared" si="4061"/>
        <v>15545282.329999998</v>
      </c>
      <c r="M5595" s="2">
        <f t="shared" si="4062"/>
        <v>0.60721063340121395</v>
      </c>
      <c r="N5595" s="2">
        <f t="shared" si="4063"/>
        <v>0.39278936659878599</v>
      </c>
    </row>
    <row r="5596" spans="1:14" x14ac:dyDescent="0.35">
      <c r="A5596" t="s">
        <v>38</v>
      </c>
      <c r="B5596" t="s">
        <v>20</v>
      </c>
      <c r="C5596">
        <v>2004</v>
      </c>
      <c r="D5596" t="s">
        <v>33</v>
      </c>
      <c r="E5596" s="1">
        <f t="shared" ref="E5596" si="4112">SUM(E4828+E5020+E5212+E5404)</f>
        <v>5204539</v>
      </c>
      <c r="F5596" s="1">
        <f t="shared" si="4059"/>
        <v>940833</v>
      </c>
      <c r="G5596" s="1">
        <f t="shared" si="4035"/>
        <v>6145372</v>
      </c>
      <c r="H5596" s="2">
        <f t="shared" si="4036"/>
        <v>0.84690381640037415</v>
      </c>
      <c r="I5596" s="2">
        <f t="shared" si="4037"/>
        <v>0.15309618359962587</v>
      </c>
      <c r="J5596" s="1">
        <f t="shared" ref="J5596:K5596" si="4113">SUM(J4828+J5020+J5212+J5404)</f>
        <v>8780204.7699999996</v>
      </c>
      <c r="K5596" s="1">
        <f t="shared" si="4113"/>
        <v>5895489.8200000003</v>
      </c>
      <c r="L5596" s="1">
        <f t="shared" si="4061"/>
        <v>14675694.59</v>
      </c>
      <c r="M5596" s="2">
        <f t="shared" si="4062"/>
        <v>0.59828205855297778</v>
      </c>
      <c r="N5596" s="2">
        <f t="shared" si="4063"/>
        <v>0.40171794144702222</v>
      </c>
    </row>
    <row r="5597" spans="1:14" x14ac:dyDescent="0.35">
      <c r="A5597" t="s">
        <v>38</v>
      </c>
      <c r="B5597" t="s">
        <v>21</v>
      </c>
      <c r="C5597">
        <v>2004</v>
      </c>
      <c r="D5597" t="s">
        <v>33</v>
      </c>
      <c r="E5597" s="1">
        <f t="shared" ref="E5597" si="4114">SUM(E4829+E5021+E5213+E5405)</f>
        <v>5110287</v>
      </c>
      <c r="F5597" s="1">
        <f t="shared" si="4059"/>
        <v>938900</v>
      </c>
      <c r="G5597" s="1">
        <f t="shared" si="4035"/>
        <v>6049187</v>
      </c>
      <c r="H5597" s="2">
        <f t="shared" si="4036"/>
        <v>0.84478906008361121</v>
      </c>
      <c r="I5597" s="2">
        <f t="shared" si="4037"/>
        <v>0.15521093991638876</v>
      </c>
      <c r="J5597" s="1">
        <f t="shared" ref="J5597:K5597" si="4115">SUM(J4829+J5021+J5213+J5405)</f>
        <v>8383976.75</v>
      </c>
      <c r="K5597" s="1">
        <f t="shared" si="4115"/>
        <v>6400482.7700000005</v>
      </c>
      <c r="L5597" s="1">
        <f t="shared" si="4061"/>
        <v>14784459.52</v>
      </c>
      <c r="M5597" s="2">
        <f t="shared" si="4062"/>
        <v>0.56708036831907127</v>
      </c>
      <c r="N5597" s="2">
        <f t="shared" si="4063"/>
        <v>0.43291963168092873</v>
      </c>
    </row>
    <row r="5598" spans="1:14" x14ac:dyDescent="0.35">
      <c r="A5598" t="s">
        <v>38</v>
      </c>
      <c r="B5598" t="s">
        <v>22</v>
      </c>
      <c r="C5598">
        <v>2004</v>
      </c>
      <c r="D5598" t="s">
        <v>33</v>
      </c>
      <c r="E5598" s="1">
        <f t="shared" ref="E5598" si="4116">SUM(E4830+E5022+E5214+E5406)</f>
        <v>5051103</v>
      </c>
      <c r="F5598" s="1">
        <f t="shared" si="4059"/>
        <v>953177</v>
      </c>
      <c r="G5598" s="1">
        <f t="shared" si="4035"/>
        <v>6004280</v>
      </c>
      <c r="H5598" s="2">
        <f t="shared" si="4036"/>
        <v>0.84125040804226314</v>
      </c>
      <c r="I5598" s="2">
        <f t="shared" si="4037"/>
        <v>0.1587495919577368</v>
      </c>
      <c r="J5598" s="1">
        <f t="shared" ref="J5598:K5598" si="4117">SUM(J4830+J5022+J5214+J5406)</f>
        <v>8775793.9199999999</v>
      </c>
      <c r="K5598" s="1">
        <f t="shared" si="4117"/>
        <v>6559893.1600000001</v>
      </c>
      <c r="L5598" s="1">
        <f t="shared" si="4061"/>
        <v>15335687.08</v>
      </c>
      <c r="M5598" s="2">
        <f t="shared" si="4062"/>
        <v>0.57224654325693247</v>
      </c>
      <c r="N5598" s="2">
        <f t="shared" si="4063"/>
        <v>0.42775345674306758</v>
      </c>
    </row>
    <row r="5599" spans="1:14" x14ac:dyDescent="0.35">
      <c r="A5599" t="s">
        <v>38</v>
      </c>
      <c r="B5599" t="s">
        <v>23</v>
      </c>
      <c r="C5599">
        <v>2004</v>
      </c>
      <c r="D5599" t="s">
        <v>33</v>
      </c>
      <c r="E5599" s="1">
        <f t="shared" ref="E5599" si="4118">SUM(E4831+E5023+E5215+E5407)</f>
        <v>5096455</v>
      </c>
      <c r="F5599" s="1">
        <f t="shared" si="4059"/>
        <v>1004258</v>
      </c>
      <c r="G5599" s="1">
        <f t="shared" si="4035"/>
        <v>6100713</v>
      </c>
      <c r="H5599" s="2">
        <f t="shared" si="4036"/>
        <v>0.83538678184008985</v>
      </c>
      <c r="I5599" s="2">
        <f t="shared" si="4037"/>
        <v>0.16461321815991017</v>
      </c>
      <c r="J5599" s="1">
        <f t="shared" ref="J5599:K5599" si="4119">SUM(J4831+J5023+J5215+J5407)</f>
        <v>10929247.470000001</v>
      </c>
      <c r="K5599" s="1">
        <f t="shared" si="4119"/>
        <v>7892029.2800000003</v>
      </c>
      <c r="L5599" s="1">
        <f t="shared" si="4061"/>
        <v>18821276.75</v>
      </c>
      <c r="M5599" s="2">
        <f t="shared" si="4062"/>
        <v>0.58068576405158068</v>
      </c>
      <c r="N5599" s="2">
        <f t="shared" si="4063"/>
        <v>0.41931423594841938</v>
      </c>
    </row>
    <row r="5600" spans="1:14" x14ac:dyDescent="0.35">
      <c r="A5600" t="s">
        <v>38</v>
      </c>
      <c r="B5600" t="s">
        <v>24</v>
      </c>
      <c r="C5600">
        <v>2004</v>
      </c>
      <c r="D5600" t="s">
        <v>33</v>
      </c>
      <c r="E5600" s="1">
        <f t="shared" ref="E5600" si="4120">SUM(E4832+E5024+E5216+E5408)</f>
        <v>5029217</v>
      </c>
      <c r="F5600" s="1">
        <f t="shared" si="4059"/>
        <v>1038213</v>
      </c>
      <c r="G5600" s="1">
        <f t="shared" si="4035"/>
        <v>6067430</v>
      </c>
      <c r="H5600" s="2">
        <f t="shared" si="4036"/>
        <v>0.82888751909787173</v>
      </c>
      <c r="I5600" s="2">
        <f t="shared" si="4037"/>
        <v>0.17111248090212824</v>
      </c>
      <c r="J5600" s="1">
        <f t="shared" ref="J5600:K5600" si="4121">SUM(J4832+J5024+J5216+J5408)</f>
        <v>11810712.98</v>
      </c>
      <c r="K5600" s="1">
        <f t="shared" si="4121"/>
        <v>8284288.6500000004</v>
      </c>
      <c r="L5600" s="1">
        <f t="shared" si="4061"/>
        <v>20095001.630000003</v>
      </c>
      <c r="M5600" s="2">
        <f t="shared" si="4062"/>
        <v>0.58774381796355191</v>
      </c>
      <c r="N5600" s="2">
        <f t="shared" si="4063"/>
        <v>0.41225618203644798</v>
      </c>
    </row>
    <row r="5601" spans="1:14" x14ac:dyDescent="0.35">
      <c r="A5601" t="s">
        <v>38</v>
      </c>
      <c r="B5601" t="s">
        <v>25</v>
      </c>
      <c r="C5601">
        <v>2004</v>
      </c>
      <c r="D5601" t="s">
        <v>33</v>
      </c>
      <c r="E5601" s="1">
        <f t="shared" ref="E5601" si="4122">SUM(E4833+E5025+E5217+E5409)</f>
        <v>5038193</v>
      </c>
      <c r="F5601" s="1">
        <f t="shared" si="4059"/>
        <v>1096075</v>
      </c>
      <c r="G5601" s="1">
        <f t="shared" si="4035"/>
        <v>6134268</v>
      </c>
      <c r="H5601" s="2">
        <f t="shared" si="4036"/>
        <v>0.82131934894269376</v>
      </c>
      <c r="I5601" s="2">
        <f t="shared" si="4037"/>
        <v>0.17868065105730627</v>
      </c>
      <c r="J5601" s="1">
        <f t="shared" ref="J5601:K5601" si="4123">SUM(J4833+J5025+J5217+J5409)</f>
        <v>12124729.9</v>
      </c>
      <c r="K5601" s="1">
        <f t="shared" si="4123"/>
        <v>8757524.040000001</v>
      </c>
      <c r="L5601" s="1">
        <f t="shared" si="4061"/>
        <v>20882253.940000001</v>
      </c>
      <c r="M5601" s="2">
        <f t="shared" si="4062"/>
        <v>0.5806236211300474</v>
      </c>
      <c r="N5601" s="2">
        <f t="shared" si="4063"/>
        <v>0.4193763788699526</v>
      </c>
    </row>
    <row r="5602" spans="1:14" x14ac:dyDescent="0.35">
      <c r="A5602" t="s">
        <v>38</v>
      </c>
      <c r="B5602" t="s">
        <v>26</v>
      </c>
      <c r="C5602">
        <v>2004</v>
      </c>
      <c r="D5602" t="s">
        <v>33</v>
      </c>
      <c r="E5602" s="1">
        <f t="shared" ref="E5602" si="4124">SUM(E4834+E5026+E5218+E5410)</f>
        <v>4946665</v>
      </c>
      <c r="F5602" s="1">
        <f t="shared" si="4059"/>
        <v>1131120</v>
      </c>
      <c r="G5602" s="1">
        <f t="shared" si="4035"/>
        <v>6077785</v>
      </c>
      <c r="H5602" s="2">
        <f t="shared" si="4036"/>
        <v>0.81389272572162397</v>
      </c>
      <c r="I5602" s="2">
        <f t="shared" si="4037"/>
        <v>0.18610727427837609</v>
      </c>
      <c r="J5602" s="1">
        <f t="shared" ref="J5602:K5602" si="4125">SUM(J4834+J5026+J5218+J5410)</f>
        <v>11368509.540000003</v>
      </c>
      <c r="K5602" s="1">
        <f t="shared" si="4125"/>
        <v>8685355.9800000004</v>
      </c>
      <c r="L5602" s="1">
        <f t="shared" si="4061"/>
        <v>20053865.520000003</v>
      </c>
      <c r="M5602" s="2">
        <f t="shared" si="4062"/>
        <v>0.56689866243802367</v>
      </c>
      <c r="N5602" s="2">
        <f t="shared" si="4063"/>
        <v>0.43310133756197638</v>
      </c>
    </row>
    <row r="5603" spans="1:14" x14ac:dyDescent="0.35">
      <c r="A5603" t="s">
        <v>38</v>
      </c>
      <c r="B5603" t="s">
        <v>27</v>
      </c>
      <c r="C5603">
        <v>2004</v>
      </c>
      <c r="D5603" t="s">
        <v>33</v>
      </c>
      <c r="E5603" s="1">
        <f t="shared" ref="E5603" si="4126">SUM(E4835+E5027+E5219+E5411)</f>
        <v>4907622</v>
      </c>
      <c r="F5603" s="1">
        <f t="shared" si="4059"/>
        <v>1174470</v>
      </c>
      <c r="G5603" s="1">
        <f t="shared" si="4035"/>
        <v>6082092</v>
      </c>
      <c r="H5603" s="2">
        <f t="shared" si="4036"/>
        <v>0.80689703477027308</v>
      </c>
      <c r="I5603" s="2">
        <f t="shared" si="4037"/>
        <v>0.19310296522972686</v>
      </c>
      <c r="J5603" s="1">
        <f t="shared" ref="J5603:K5603" si="4127">SUM(J4835+J5027+J5219+J5411)</f>
        <v>9997503.7449999992</v>
      </c>
      <c r="K5603" s="1">
        <f t="shared" si="4127"/>
        <v>8515581.7480000015</v>
      </c>
      <c r="L5603" s="1">
        <f t="shared" si="4061"/>
        <v>18513085.493000001</v>
      </c>
      <c r="M5603" s="2">
        <f t="shared" si="4062"/>
        <v>0.54002363618858473</v>
      </c>
      <c r="N5603" s="2">
        <f t="shared" si="4063"/>
        <v>0.45997636381141521</v>
      </c>
    </row>
    <row r="5604" spans="1:14" x14ac:dyDescent="0.35">
      <c r="A5604" t="s">
        <v>38</v>
      </c>
      <c r="B5604" t="s">
        <v>28</v>
      </c>
      <c r="C5604">
        <v>2004</v>
      </c>
      <c r="D5604" t="s">
        <v>33</v>
      </c>
      <c r="E5604" s="1">
        <f t="shared" ref="E5604" si="4128">SUM(E4836+E5028+E5220+E5412)</f>
        <v>4844284</v>
      </c>
      <c r="F5604" s="1">
        <f t="shared" si="4059"/>
        <v>1205722</v>
      </c>
      <c r="G5604" s="1">
        <f t="shared" si="4035"/>
        <v>6050006</v>
      </c>
      <c r="H5604" s="2">
        <f t="shared" si="4036"/>
        <v>0.80070730508366439</v>
      </c>
      <c r="I5604" s="2">
        <f t="shared" si="4037"/>
        <v>0.19929269491633561</v>
      </c>
      <c r="J5604" s="1">
        <f t="shared" ref="J5604:K5604" si="4129">SUM(J4836+J5028+J5220+J5412)</f>
        <v>8397639.6219999995</v>
      </c>
      <c r="K5604" s="1">
        <f t="shared" si="4129"/>
        <v>7666456.3779999996</v>
      </c>
      <c r="L5604" s="1">
        <f t="shared" si="4061"/>
        <v>16064096</v>
      </c>
      <c r="M5604" s="2">
        <f t="shared" si="4062"/>
        <v>0.52275830659876532</v>
      </c>
      <c r="N5604" s="2">
        <f t="shared" si="4063"/>
        <v>0.47724169340123462</v>
      </c>
    </row>
    <row r="5605" spans="1:14" x14ac:dyDescent="0.35">
      <c r="A5605" t="s">
        <v>38</v>
      </c>
      <c r="B5605" t="s">
        <v>29</v>
      </c>
      <c r="C5605">
        <v>2004</v>
      </c>
      <c r="D5605" t="s">
        <v>33</v>
      </c>
      <c r="E5605" s="1">
        <f t="shared" ref="E5605" si="4130">SUM(E4837+E5029+E5221+E5413)</f>
        <v>4799112</v>
      </c>
      <c r="F5605" s="1">
        <f t="shared" si="4059"/>
        <v>1237387</v>
      </c>
      <c r="G5605" s="1">
        <f t="shared" si="4035"/>
        <v>6036499</v>
      </c>
      <c r="H5605" s="2">
        <f t="shared" si="4036"/>
        <v>0.79501578646828241</v>
      </c>
      <c r="I5605" s="2">
        <f t="shared" si="4037"/>
        <v>0.20498421353171764</v>
      </c>
      <c r="J5605" s="1">
        <f t="shared" ref="J5605:K5605" si="4131">SUM(J4837+J5029+J5221+J5413)</f>
        <v>7878616.6730000004</v>
      </c>
      <c r="K5605" s="1">
        <f t="shared" si="4131"/>
        <v>7544372.3709999993</v>
      </c>
      <c r="L5605" s="1">
        <f t="shared" si="4061"/>
        <v>15422989.044</v>
      </c>
      <c r="M5605" s="2">
        <f t="shared" si="4062"/>
        <v>0.51083591193141742</v>
      </c>
      <c r="N5605" s="2">
        <f t="shared" si="4063"/>
        <v>0.48916408806858253</v>
      </c>
    </row>
    <row r="5606" spans="1:14" x14ac:dyDescent="0.35">
      <c r="A5606" t="s">
        <v>38</v>
      </c>
      <c r="B5606" t="s">
        <v>17</v>
      </c>
      <c r="C5606">
        <v>2005</v>
      </c>
      <c r="D5606" t="s">
        <v>33</v>
      </c>
      <c r="E5606" s="1">
        <f t="shared" ref="E5606" si="4132">SUM(E4838+E5030+E5222+E5414)</f>
        <v>4816078</v>
      </c>
      <c r="F5606" s="1">
        <f t="shared" si="4059"/>
        <v>1294536</v>
      </c>
      <c r="G5606" s="1">
        <f t="shared" si="4035"/>
        <v>6110614</v>
      </c>
      <c r="H5606" s="2">
        <f t="shared" si="4036"/>
        <v>0.78814960329682093</v>
      </c>
      <c r="I5606" s="2">
        <f t="shared" si="4037"/>
        <v>0.21185039670317909</v>
      </c>
      <c r="J5606" s="1">
        <f t="shared" ref="J5606:K5606" si="4133">SUM(J4838+J5030+J5222+J5414)</f>
        <v>8853439.1099999994</v>
      </c>
      <c r="K5606" s="1">
        <f t="shared" si="4133"/>
        <v>7801587.919999999</v>
      </c>
      <c r="L5606" s="1">
        <f t="shared" si="4061"/>
        <v>16655027.029999997</v>
      </c>
      <c r="M5606" s="2">
        <f t="shared" si="4062"/>
        <v>0.53157758879962624</v>
      </c>
      <c r="N5606" s="2">
        <f t="shared" si="4063"/>
        <v>0.46842241120037381</v>
      </c>
    </row>
    <row r="5607" spans="1:14" x14ac:dyDescent="0.35">
      <c r="A5607" t="s">
        <v>38</v>
      </c>
      <c r="B5607" t="s">
        <v>19</v>
      </c>
      <c r="C5607">
        <v>2005</v>
      </c>
      <c r="D5607" t="s">
        <v>33</v>
      </c>
      <c r="E5607" s="1">
        <f t="shared" ref="E5607" si="4134">SUM(E4839+E5031+E5223+E5415)</f>
        <v>4717057</v>
      </c>
      <c r="F5607" s="1">
        <f t="shared" si="4059"/>
        <v>1303919</v>
      </c>
      <c r="G5607" s="1">
        <f t="shared" si="4035"/>
        <v>6020976</v>
      </c>
      <c r="H5607" s="2">
        <f t="shared" si="4036"/>
        <v>0.78343726997084862</v>
      </c>
      <c r="I5607" s="2">
        <f t="shared" si="4037"/>
        <v>0.21656273002915141</v>
      </c>
      <c r="J5607" s="1">
        <f t="shared" ref="J5607:K5607" si="4135">SUM(J4839+J5031+J5223+J5415)</f>
        <v>7924283.5000000009</v>
      </c>
      <c r="K5607" s="1">
        <f t="shared" si="4135"/>
        <v>7364625.0700000003</v>
      </c>
      <c r="L5607" s="1">
        <f t="shared" si="4061"/>
        <v>15288908.57</v>
      </c>
      <c r="M5607" s="2">
        <f t="shared" si="4062"/>
        <v>0.51830275939703663</v>
      </c>
      <c r="N5607" s="2">
        <f t="shared" si="4063"/>
        <v>0.48169724060296348</v>
      </c>
    </row>
    <row r="5608" spans="1:14" x14ac:dyDescent="0.35">
      <c r="A5608" t="s">
        <v>38</v>
      </c>
      <c r="B5608" t="s">
        <v>20</v>
      </c>
      <c r="C5608">
        <v>2005</v>
      </c>
      <c r="D5608" t="s">
        <v>33</v>
      </c>
      <c r="E5608" s="1">
        <f t="shared" ref="E5608" si="4136">SUM(E4840+E5032+E5224+E5416)</f>
        <v>4755897</v>
      </c>
      <c r="F5608" s="1">
        <f t="shared" si="4059"/>
        <v>1363564</v>
      </c>
      <c r="G5608" s="1">
        <f t="shared" si="4035"/>
        <v>6119461</v>
      </c>
      <c r="H5608" s="2">
        <f t="shared" si="4036"/>
        <v>0.77717580028698607</v>
      </c>
      <c r="I5608" s="2">
        <f t="shared" si="4037"/>
        <v>0.22282419971301395</v>
      </c>
      <c r="J5608" s="1">
        <f t="shared" ref="J5608:K5608" si="4137">SUM(J4840+J5032+J5224+J5416)</f>
        <v>7188567.2200000007</v>
      </c>
      <c r="K5608" s="1">
        <f t="shared" si="4137"/>
        <v>7783225.3099999996</v>
      </c>
      <c r="L5608" s="1">
        <f t="shared" si="4061"/>
        <v>14971792.530000001</v>
      </c>
      <c r="M5608" s="2">
        <f t="shared" si="4062"/>
        <v>0.48014071832719951</v>
      </c>
      <c r="N5608" s="2">
        <f t="shared" si="4063"/>
        <v>0.51985928167280038</v>
      </c>
    </row>
    <row r="5609" spans="1:14" x14ac:dyDescent="0.35">
      <c r="A5609" t="s">
        <v>38</v>
      </c>
      <c r="B5609" t="s">
        <v>21</v>
      </c>
      <c r="C5609">
        <v>2005</v>
      </c>
      <c r="D5609" t="s">
        <v>33</v>
      </c>
      <c r="E5609" s="1">
        <f t="shared" ref="E5609" si="4138">SUM(E4841+E5033+E5225+E5417)</f>
        <v>4690428</v>
      </c>
      <c r="F5609" s="1">
        <f t="shared" si="4059"/>
        <v>1397616</v>
      </c>
      <c r="G5609" s="1">
        <f t="shared" si="4035"/>
        <v>6088044</v>
      </c>
      <c r="H5609" s="2">
        <f t="shared" si="4036"/>
        <v>0.77043267098595214</v>
      </c>
      <c r="I5609" s="2">
        <f t="shared" si="4037"/>
        <v>0.22956732901404786</v>
      </c>
      <c r="J5609" s="1">
        <f t="shared" ref="J5609:K5609" si="4139">SUM(J4841+J5033+J5225+J5417)</f>
        <v>6987864.9399999985</v>
      </c>
      <c r="K5609" s="1">
        <f t="shared" si="4139"/>
        <v>7776254.1299999999</v>
      </c>
      <c r="L5609" s="1">
        <f t="shared" si="4061"/>
        <v>14764119.069999998</v>
      </c>
      <c r="M5609" s="2">
        <f t="shared" si="4062"/>
        <v>0.47330050014287778</v>
      </c>
      <c r="N5609" s="2">
        <f t="shared" si="4063"/>
        <v>0.52669949985712228</v>
      </c>
    </row>
    <row r="5610" spans="1:14" x14ac:dyDescent="0.35">
      <c r="A5610" t="s">
        <v>38</v>
      </c>
      <c r="B5610" t="s">
        <v>22</v>
      </c>
      <c r="C5610">
        <v>2005</v>
      </c>
      <c r="D5610" t="s">
        <v>33</v>
      </c>
      <c r="E5610" s="1">
        <f t="shared" ref="E5610" si="4140">SUM(E4842+E5034+E5226+E5418)</f>
        <v>4662988</v>
      </c>
      <c r="F5610" s="1">
        <f t="shared" si="4059"/>
        <v>1448496</v>
      </c>
      <c r="G5610" s="1">
        <f t="shared" si="4035"/>
        <v>6111484</v>
      </c>
      <c r="H5610" s="2">
        <f t="shared" si="4036"/>
        <v>0.76298784386901775</v>
      </c>
      <c r="I5610" s="2">
        <f t="shared" si="4037"/>
        <v>0.23701215613098225</v>
      </c>
      <c r="J5610" s="1">
        <f t="shared" ref="J5610:K5610" si="4141">SUM(J4842+J5034+J5226+J5418)</f>
        <v>7162928.3399999999</v>
      </c>
      <c r="K5610" s="1">
        <f t="shared" si="4141"/>
        <v>7955543.6199999992</v>
      </c>
      <c r="L5610" s="1">
        <f t="shared" si="4061"/>
        <v>15118471.959999999</v>
      </c>
      <c r="M5610" s="2">
        <f t="shared" si="4062"/>
        <v>0.47378652809301502</v>
      </c>
      <c r="N5610" s="2">
        <f t="shared" si="4063"/>
        <v>0.52621347190698498</v>
      </c>
    </row>
    <row r="5611" spans="1:14" x14ac:dyDescent="0.35">
      <c r="A5611" t="s">
        <v>38</v>
      </c>
      <c r="B5611" t="s">
        <v>23</v>
      </c>
      <c r="C5611">
        <v>2005</v>
      </c>
      <c r="D5611" t="s">
        <v>33</v>
      </c>
      <c r="E5611" s="1">
        <f t="shared" ref="E5611" si="4142">SUM(E4843+E5035+E5227+E5419)</f>
        <v>4638683</v>
      </c>
      <c r="F5611" s="1">
        <f t="shared" si="4059"/>
        <v>1516618</v>
      </c>
      <c r="G5611" s="1">
        <f t="shared" si="4035"/>
        <v>6155301</v>
      </c>
      <c r="H5611" s="2">
        <f t="shared" si="4036"/>
        <v>0.75360782519002723</v>
      </c>
      <c r="I5611" s="2">
        <f t="shared" si="4037"/>
        <v>0.24639217480997275</v>
      </c>
      <c r="J5611" s="1">
        <f t="shared" ref="J5611:K5611" si="4143">SUM(J4843+J5035+J5227+J5419)</f>
        <v>9421770.8300000001</v>
      </c>
      <c r="K5611" s="1">
        <f t="shared" si="4143"/>
        <v>9723544.290000001</v>
      </c>
      <c r="L5611" s="1">
        <f t="shared" si="4061"/>
        <v>19145315.120000001</v>
      </c>
      <c r="M5611" s="2">
        <f t="shared" si="4062"/>
        <v>0.49211886933935195</v>
      </c>
      <c r="N5611" s="2">
        <f t="shared" si="4063"/>
        <v>0.50788113066064799</v>
      </c>
    </row>
    <row r="5612" spans="1:14" x14ac:dyDescent="0.35">
      <c r="A5612" t="s">
        <v>38</v>
      </c>
      <c r="B5612" t="s">
        <v>24</v>
      </c>
      <c r="C5612">
        <v>2005</v>
      </c>
      <c r="D5612" t="s">
        <v>33</v>
      </c>
      <c r="E5612" s="1">
        <f t="shared" ref="E5612" si="4144">SUM(E4844+E5036+E5228+E5420)</f>
        <v>4572481</v>
      </c>
      <c r="F5612" s="1">
        <f t="shared" si="4059"/>
        <v>1561441</v>
      </c>
      <c r="G5612" s="1">
        <f t="shared" si="4035"/>
        <v>6133922</v>
      </c>
      <c r="H5612" s="2">
        <f t="shared" si="4036"/>
        <v>0.74544166032760117</v>
      </c>
      <c r="I5612" s="2">
        <f t="shared" si="4037"/>
        <v>0.25455833967239883</v>
      </c>
      <c r="J5612" s="1">
        <f t="shared" ref="J5612:K5612" si="4145">SUM(J4844+J5036+J5228+J5420)</f>
        <v>11004806.799999999</v>
      </c>
      <c r="K5612" s="1">
        <f t="shared" si="4145"/>
        <v>10589223.439999999</v>
      </c>
      <c r="L5612" s="1">
        <f t="shared" si="4061"/>
        <v>21594030.239999998</v>
      </c>
      <c r="M5612" s="2">
        <f t="shared" si="4062"/>
        <v>0.50962264467033547</v>
      </c>
      <c r="N5612" s="2">
        <f t="shared" si="4063"/>
        <v>0.49037735532966448</v>
      </c>
    </row>
    <row r="5613" spans="1:14" x14ac:dyDescent="0.35">
      <c r="A5613" t="s">
        <v>38</v>
      </c>
      <c r="B5613" t="s">
        <v>25</v>
      </c>
      <c r="C5613">
        <v>2005</v>
      </c>
      <c r="D5613" t="s">
        <v>33</v>
      </c>
      <c r="E5613" s="1">
        <f t="shared" ref="E5613" si="4146">SUM(E4845+E5037+E5229+E5421)</f>
        <v>4618552</v>
      </c>
      <c r="F5613" s="1">
        <f t="shared" si="4059"/>
        <v>1658203</v>
      </c>
      <c r="G5613" s="1">
        <f t="shared" si="4035"/>
        <v>6276755</v>
      </c>
      <c r="H5613" s="2">
        <f t="shared" si="4036"/>
        <v>0.73581842847139967</v>
      </c>
      <c r="I5613" s="2">
        <f t="shared" si="4037"/>
        <v>0.26418157152860039</v>
      </c>
      <c r="J5613" s="1">
        <f t="shared" ref="J5613:K5613" si="4147">SUM(J4845+J5037+J5229+J5421)</f>
        <v>10605769.43</v>
      </c>
      <c r="K5613" s="1">
        <f t="shared" si="4147"/>
        <v>10871320.25</v>
      </c>
      <c r="L5613" s="1">
        <f t="shared" si="4061"/>
        <v>21477089.68</v>
      </c>
      <c r="M5613" s="2">
        <f t="shared" si="4062"/>
        <v>0.49381781181816065</v>
      </c>
      <c r="N5613" s="2">
        <f t="shared" si="4063"/>
        <v>0.50618218818183935</v>
      </c>
    </row>
    <row r="5614" spans="1:14" x14ac:dyDescent="0.35">
      <c r="A5614" t="s">
        <v>38</v>
      </c>
      <c r="B5614" t="s">
        <v>26</v>
      </c>
      <c r="C5614">
        <v>2005</v>
      </c>
      <c r="D5614" t="s">
        <v>33</v>
      </c>
      <c r="E5614" s="1">
        <f t="shared" ref="E5614" si="4148">SUM(E4846+E5038+E5230+E5422)</f>
        <v>4507277</v>
      </c>
      <c r="F5614" s="1">
        <f t="shared" si="4059"/>
        <v>1694176</v>
      </c>
      <c r="G5614" s="1">
        <f t="shared" si="4035"/>
        <v>6201453</v>
      </c>
      <c r="H5614" s="2">
        <f t="shared" si="4036"/>
        <v>0.72680982988986609</v>
      </c>
      <c r="I5614" s="2">
        <f t="shared" si="4037"/>
        <v>0.27319017011013386</v>
      </c>
      <c r="J5614" s="1">
        <f t="shared" ref="J5614:K5614" si="4149">SUM(J4846+J5038+J5230+J5422)</f>
        <v>10856106.229999999</v>
      </c>
      <c r="K5614" s="1">
        <f t="shared" si="4149"/>
        <v>11464745.920000002</v>
      </c>
      <c r="L5614" s="1">
        <f t="shared" si="4061"/>
        <v>22320852.149999999</v>
      </c>
      <c r="M5614" s="2">
        <f t="shared" si="4062"/>
        <v>0.48636611886701642</v>
      </c>
      <c r="N5614" s="2">
        <f t="shared" si="4063"/>
        <v>0.51363388113298369</v>
      </c>
    </row>
    <row r="5615" spans="1:14" x14ac:dyDescent="0.35">
      <c r="A5615" t="s">
        <v>38</v>
      </c>
      <c r="B5615" t="s">
        <v>27</v>
      </c>
      <c r="C5615">
        <v>2005</v>
      </c>
      <c r="D5615" t="s">
        <v>33</v>
      </c>
      <c r="E5615" s="1">
        <f t="shared" ref="E5615" si="4150">SUM(E4847+E5039+E5231+E5423)</f>
        <v>4456299</v>
      </c>
      <c r="F5615" s="1">
        <f t="shared" si="4059"/>
        <v>1738240</v>
      </c>
      <c r="G5615" s="1">
        <f t="shared" si="4035"/>
        <v>6194539</v>
      </c>
      <c r="H5615" s="2">
        <f t="shared" si="4036"/>
        <v>0.71939154794246996</v>
      </c>
      <c r="I5615" s="2">
        <f t="shared" si="4037"/>
        <v>0.28060845205753004</v>
      </c>
      <c r="J5615" s="1">
        <f t="shared" ref="J5615:K5615" si="4151">SUM(J4847+J5039+J5231+J5423)</f>
        <v>9209917.9900000002</v>
      </c>
      <c r="K5615" s="1">
        <f t="shared" si="4151"/>
        <v>10350487.940000001</v>
      </c>
      <c r="L5615" s="1">
        <f t="shared" si="4061"/>
        <v>19560405.93</v>
      </c>
      <c r="M5615" s="2">
        <f t="shared" si="4062"/>
        <v>0.47084493148859718</v>
      </c>
      <c r="N5615" s="2">
        <f t="shared" si="4063"/>
        <v>0.52915506851140293</v>
      </c>
    </row>
    <row r="5616" spans="1:14" x14ac:dyDescent="0.35">
      <c r="A5616" t="s">
        <v>38</v>
      </c>
      <c r="B5616" t="s">
        <v>28</v>
      </c>
      <c r="C5616">
        <v>2005</v>
      </c>
      <c r="D5616" t="s">
        <v>33</v>
      </c>
      <c r="E5616" s="1">
        <f t="shared" ref="E5616" si="4152">SUM(E4848+E5040+E5232+E5424)</f>
        <v>4389541</v>
      </c>
      <c r="F5616" s="1">
        <f t="shared" si="4059"/>
        <v>1761318</v>
      </c>
      <c r="G5616" s="1">
        <f t="shared" si="4035"/>
        <v>6150859</v>
      </c>
      <c r="H5616" s="2">
        <f t="shared" si="4036"/>
        <v>0.71364682558972659</v>
      </c>
      <c r="I5616" s="2">
        <f t="shared" si="4037"/>
        <v>0.28635317441027341</v>
      </c>
      <c r="J5616" s="1">
        <f t="shared" ref="J5616:K5616" si="4153">SUM(J4848+J5040+J5232+J5424)</f>
        <v>6801365.8199999994</v>
      </c>
      <c r="K5616" s="1">
        <f t="shared" si="4153"/>
        <v>8900906.620000001</v>
      </c>
      <c r="L5616" s="1">
        <f t="shared" si="4061"/>
        <v>15702272.440000001</v>
      </c>
      <c r="M5616" s="2">
        <f t="shared" si="4062"/>
        <v>0.43314531995217365</v>
      </c>
      <c r="N5616" s="2">
        <f t="shared" si="4063"/>
        <v>0.56685468004782624</v>
      </c>
    </row>
    <row r="5617" spans="1:14" x14ac:dyDescent="0.35">
      <c r="A5617" t="s">
        <v>38</v>
      </c>
      <c r="B5617" t="s">
        <v>29</v>
      </c>
      <c r="C5617">
        <v>2005</v>
      </c>
      <c r="D5617" t="s">
        <v>33</v>
      </c>
      <c r="E5617" s="1">
        <f t="shared" ref="E5617" si="4154">SUM(E4849+E5041+E5233+E5425)</f>
        <v>4375469</v>
      </c>
      <c r="F5617" s="1">
        <f t="shared" si="4059"/>
        <v>1792941</v>
      </c>
      <c r="G5617" s="1">
        <f t="shared" si="4035"/>
        <v>6168410</v>
      </c>
      <c r="H5617" s="2">
        <f t="shared" si="4036"/>
        <v>0.70933498259681182</v>
      </c>
      <c r="I5617" s="2">
        <f t="shared" si="4037"/>
        <v>0.29066501740318818</v>
      </c>
      <c r="J5617" s="1">
        <f t="shared" ref="J5617:K5617" si="4155">SUM(J4849+J5041+J5233+J5425)</f>
        <v>7012905.7699999996</v>
      </c>
      <c r="K5617" s="1">
        <f t="shared" si="4155"/>
        <v>8936100.9900000002</v>
      </c>
      <c r="L5617" s="1">
        <f t="shared" si="4061"/>
        <v>15949006.76</v>
      </c>
      <c r="M5617" s="2">
        <f t="shared" si="4062"/>
        <v>0.4397079940795009</v>
      </c>
      <c r="N5617" s="2">
        <f t="shared" si="4063"/>
        <v>0.5602920059204991</v>
      </c>
    </row>
    <row r="5618" spans="1:14" x14ac:dyDescent="0.35">
      <c r="A5618" t="s">
        <v>38</v>
      </c>
      <c r="B5618" t="s">
        <v>17</v>
      </c>
      <c r="C5618">
        <v>2006</v>
      </c>
      <c r="D5618" t="s">
        <v>33</v>
      </c>
      <c r="E5618" s="1">
        <f t="shared" ref="E5618" si="4156">SUM(E4850+E5042+E5234+E5426)</f>
        <v>4395049</v>
      </c>
      <c r="F5618" s="1">
        <f t="shared" si="4059"/>
        <v>1833195</v>
      </c>
      <c r="G5618" s="1">
        <f t="shared" si="4035"/>
        <v>6228244</v>
      </c>
      <c r="H5618" s="2">
        <f t="shared" si="4036"/>
        <v>0.70566422895442116</v>
      </c>
      <c r="I5618" s="2">
        <f t="shared" si="4037"/>
        <v>0.29433577104557884</v>
      </c>
      <c r="J5618" s="1">
        <f t="shared" ref="J5618:K5618" si="4157">SUM(J4850+J5042+J5234+J5426)</f>
        <v>7233760.46</v>
      </c>
      <c r="K5618" s="1">
        <f t="shared" si="4157"/>
        <v>8905560.040000001</v>
      </c>
      <c r="L5618" s="1">
        <f t="shared" si="4061"/>
        <v>16139320.5</v>
      </c>
      <c r="M5618" s="2">
        <f t="shared" si="4062"/>
        <v>0.44820725011316309</v>
      </c>
      <c r="N5618" s="2">
        <f t="shared" si="4063"/>
        <v>0.55179274988683702</v>
      </c>
    </row>
    <row r="5619" spans="1:14" x14ac:dyDescent="0.35">
      <c r="A5619" t="s">
        <v>38</v>
      </c>
      <c r="B5619" t="s">
        <v>19</v>
      </c>
      <c r="C5619">
        <v>2006</v>
      </c>
      <c r="D5619" t="s">
        <v>33</v>
      </c>
      <c r="E5619" s="1">
        <f t="shared" ref="E5619" si="4158">SUM(E4851+E5043+E5235+E5427)</f>
        <v>4344129</v>
      </c>
      <c r="F5619" s="1">
        <f t="shared" si="4059"/>
        <v>1839176</v>
      </c>
      <c r="G5619" s="1">
        <f t="shared" si="4035"/>
        <v>6183305</v>
      </c>
      <c r="H5619" s="2">
        <f t="shared" si="4036"/>
        <v>0.7025577745234951</v>
      </c>
      <c r="I5619" s="2">
        <f t="shared" si="4037"/>
        <v>0.2974422254765049</v>
      </c>
      <c r="J5619" s="1">
        <f t="shared" ref="J5619:K5619" si="4159">SUM(J4851+J5043+J5235+J5427)</f>
        <v>6433436.4899999993</v>
      </c>
      <c r="K5619" s="1">
        <f t="shared" si="4159"/>
        <v>8165768.29</v>
      </c>
      <c r="L5619" s="1">
        <f t="shared" si="4061"/>
        <v>14599204.779999999</v>
      </c>
      <c r="M5619" s="2">
        <f t="shared" si="4062"/>
        <v>0.44067033697708019</v>
      </c>
      <c r="N5619" s="2">
        <f t="shared" si="4063"/>
        <v>0.55932966302291987</v>
      </c>
    </row>
    <row r="5620" spans="1:14" x14ac:dyDescent="0.35">
      <c r="A5620" t="s">
        <v>38</v>
      </c>
      <c r="B5620" t="s">
        <v>20</v>
      </c>
      <c r="C5620">
        <v>2006</v>
      </c>
      <c r="D5620" t="s">
        <v>33</v>
      </c>
      <c r="E5620" s="1">
        <f t="shared" ref="E5620" si="4160">SUM(E4852+E5044+E5236+E5428)</f>
        <v>4430543</v>
      </c>
      <c r="F5620" s="1">
        <f t="shared" si="4059"/>
        <v>1911432</v>
      </c>
      <c r="G5620" s="1">
        <f t="shared" si="4035"/>
        <v>6341975</v>
      </c>
      <c r="H5620" s="2">
        <f t="shared" si="4036"/>
        <v>0.69860619128899115</v>
      </c>
      <c r="I5620" s="2">
        <f t="shared" si="4037"/>
        <v>0.30139380871100879</v>
      </c>
      <c r="J5620" s="1">
        <f t="shared" ref="J5620:K5620" si="4161">SUM(J4852+J5044+J5236+J5428)</f>
        <v>6559692.7999999998</v>
      </c>
      <c r="K5620" s="1">
        <f t="shared" si="4161"/>
        <v>9026437.6899999995</v>
      </c>
      <c r="L5620" s="1">
        <f t="shared" si="4061"/>
        <v>15586130.489999998</v>
      </c>
      <c r="M5620" s="2">
        <f t="shared" si="4062"/>
        <v>0.4208673091893253</v>
      </c>
      <c r="N5620" s="2">
        <f t="shared" si="4063"/>
        <v>0.57913269081067476</v>
      </c>
    </row>
    <row r="5621" spans="1:14" x14ac:dyDescent="0.35">
      <c r="A5621" t="s">
        <v>38</v>
      </c>
      <c r="B5621" t="s">
        <v>21</v>
      </c>
      <c r="C5621">
        <v>2006</v>
      </c>
      <c r="D5621" t="s">
        <v>33</v>
      </c>
      <c r="E5621" s="1">
        <f t="shared" ref="E5621" si="4162">SUM(E4853+E5045+E5237+E5429)</f>
        <v>4305573</v>
      </c>
      <c r="F5621" s="1">
        <f t="shared" si="4059"/>
        <v>1894236</v>
      </c>
      <c r="G5621" s="1">
        <f t="shared" si="4035"/>
        <v>6199809</v>
      </c>
      <c r="H5621" s="2">
        <f t="shared" si="4036"/>
        <v>0.6944686521794462</v>
      </c>
      <c r="I5621" s="2">
        <f t="shared" si="4037"/>
        <v>0.3055313478205538</v>
      </c>
      <c r="J5621" s="1">
        <f t="shared" ref="J5621:K5621" si="4163">SUM(J4853+J5045+J5237+J5429)</f>
        <v>6595781.8300000001</v>
      </c>
      <c r="K5621" s="1">
        <f t="shared" si="4163"/>
        <v>9231471.4100000001</v>
      </c>
      <c r="L5621" s="1">
        <f t="shared" si="4061"/>
        <v>15827253.24</v>
      </c>
      <c r="M5621" s="2">
        <f t="shared" si="4062"/>
        <v>0.41673572350068749</v>
      </c>
      <c r="N5621" s="2">
        <f t="shared" si="4063"/>
        <v>0.58326427649931256</v>
      </c>
    </row>
    <row r="5622" spans="1:14" x14ac:dyDescent="0.35">
      <c r="A5622" t="s">
        <v>38</v>
      </c>
      <c r="B5622" t="s">
        <v>22</v>
      </c>
      <c r="C5622">
        <v>2006</v>
      </c>
      <c r="D5622" t="s">
        <v>33</v>
      </c>
      <c r="E5622" s="1">
        <f t="shared" ref="E5622" si="4164">SUM(E4854+E5046+E5238+E5430)</f>
        <v>4345677</v>
      </c>
      <c r="F5622" s="1">
        <f t="shared" si="4059"/>
        <v>1968244</v>
      </c>
      <c r="G5622" s="1">
        <f t="shared" si="4035"/>
        <v>6313921</v>
      </c>
      <c r="H5622" s="2">
        <f t="shared" si="4036"/>
        <v>0.68826914369058467</v>
      </c>
      <c r="I5622" s="2">
        <f t="shared" si="4037"/>
        <v>0.31173085630941533</v>
      </c>
      <c r="J5622" s="1">
        <f t="shared" ref="J5622:K5622" si="4165">SUM(J4854+J5046+J5238+J5430)</f>
        <v>7292227.25</v>
      </c>
      <c r="K5622" s="1">
        <f t="shared" si="4165"/>
        <v>9948665.8900000006</v>
      </c>
      <c r="L5622" s="1">
        <f t="shared" si="4061"/>
        <v>17240893.140000001</v>
      </c>
      <c r="M5622" s="2">
        <f t="shared" si="4062"/>
        <v>0.42296110710654283</v>
      </c>
      <c r="N5622" s="2">
        <f t="shared" si="4063"/>
        <v>0.57703889289345711</v>
      </c>
    </row>
    <row r="5623" spans="1:14" x14ac:dyDescent="0.35">
      <c r="A5623" t="s">
        <v>38</v>
      </c>
      <c r="B5623" t="s">
        <v>23</v>
      </c>
      <c r="C5623">
        <v>2006</v>
      </c>
      <c r="D5623" t="s">
        <v>33</v>
      </c>
      <c r="E5623" s="1">
        <f t="shared" ref="E5623" si="4166">SUM(E4855+E5047+E5239+E5431)</f>
        <v>4306554</v>
      </c>
      <c r="F5623" s="1">
        <f t="shared" si="4059"/>
        <v>2017682</v>
      </c>
      <c r="G5623" s="1">
        <f t="shared" ref="G5623:G5686" si="4167">SUM(E5623:F5623)</f>
        <v>6324236</v>
      </c>
      <c r="H5623" s="2">
        <f t="shared" ref="H5623:H5686" si="4168">SUM(E5623)/G5623</f>
        <v>0.68096035631813867</v>
      </c>
      <c r="I5623" s="2">
        <f t="shared" ref="I5623:I5686" si="4169">SUM(F5623/G5623)</f>
        <v>0.31903964368186133</v>
      </c>
      <c r="J5623" s="1">
        <f t="shared" ref="J5623:K5623" si="4170">SUM(J4855+J5047+J5239+J5431)</f>
        <v>8835973.0199999996</v>
      </c>
      <c r="K5623" s="1">
        <f t="shared" si="4170"/>
        <v>11294308.109999999</v>
      </c>
      <c r="L5623" s="1">
        <f t="shared" si="4061"/>
        <v>20130281.129999999</v>
      </c>
      <c r="M5623" s="2">
        <f t="shared" si="4062"/>
        <v>0.43893937511045578</v>
      </c>
      <c r="N5623" s="2">
        <f t="shared" si="4063"/>
        <v>0.56106062488954422</v>
      </c>
    </row>
    <row r="5624" spans="1:14" x14ac:dyDescent="0.35">
      <c r="A5624" t="s">
        <v>38</v>
      </c>
      <c r="B5624" t="s">
        <v>24</v>
      </c>
      <c r="C5624">
        <v>2006</v>
      </c>
      <c r="D5624" t="s">
        <v>33</v>
      </c>
      <c r="E5624" s="1">
        <f t="shared" ref="E5624" si="4171">SUM(E4856+E5048+E5240+E5432)</f>
        <v>4202428</v>
      </c>
      <c r="F5624" s="1">
        <f t="shared" si="4059"/>
        <v>2038195</v>
      </c>
      <c r="G5624" s="1">
        <f t="shared" si="4167"/>
        <v>6240623</v>
      </c>
      <c r="H5624" s="2">
        <f t="shared" si="4168"/>
        <v>0.67339879367813116</v>
      </c>
      <c r="I5624" s="2">
        <f t="shared" si="4169"/>
        <v>0.32660120632186884</v>
      </c>
      <c r="J5624" s="1">
        <f t="shared" ref="J5624:K5624" si="4172">SUM(J4856+J5048+J5240+J5432)</f>
        <v>9572711.3499999996</v>
      </c>
      <c r="K5624" s="1">
        <f t="shared" si="4172"/>
        <v>11754659.98</v>
      </c>
      <c r="L5624" s="1">
        <f t="shared" si="4061"/>
        <v>21327371.329999998</v>
      </c>
      <c r="M5624" s="2">
        <f t="shared" si="4062"/>
        <v>0.44884628311106545</v>
      </c>
      <c r="N5624" s="2">
        <f t="shared" si="4063"/>
        <v>0.55115371688893466</v>
      </c>
    </row>
    <row r="5625" spans="1:14" x14ac:dyDescent="0.35">
      <c r="A5625" t="s">
        <v>38</v>
      </c>
      <c r="B5625" t="s">
        <v>25</v>
      </c>
      <c r="C5625">
        <v>2006</v>
      </c>
      <c r="D5625" t="s">
        <v>33</v>
      </c>
      <c r="E5625" s="1">
        <f t="shared" ref="E5625" si="4173">SUM(E4857+E5049+E5241+E5433)</f>
        <v>4247598</v>
      </c>
      <c r="F5625" s="1">
        <f t="shared" si="4059"/>
        <v>2140173</v>
      </c>
      <c r="G5625" s="1">
        <f t="shared" si="4167"/>
        <v>6387771</v>
      </c>
      <c r="H5625" s="2">
        <f t="shared" si="4168"/>
        <v>0.66495777635109332</v>
      </c>
      <c r="I5625" s="2">
        <f t="shared" si="4169"/>
        <v>0.33504222364890662</v>
      </c>
      <c r="J5625" s="1">
        <f t="shared" ref="J5625:K5625" si="4174">SUM(J4857+J5049+J5241+J5433)</f>
        <v>10238226.15</v>
      </c>
      <c r="K5625" s="1">
        <f t="shared" si="4174"/>
        <v>12372219.02</v>
      </c>
      <c r="L5625" s="1">
        <f t="shared" si="4061"/>
        <v>22610445.170000002</v>
      </c>
      <c r="M5625" s="2">
        <f t="shared" si="4062"/>
        <v>0.45280957862715093</v>
      </c>
      <c r="N5625" s="2">
        <f t="shared" si="4063"/>
        <v>0.54719042137284901</v>
      </c>
    </row>
    <row r="5626" spans="1:14" x14ac:dyDescent="0.35">
      <c r="A5626" t="s">
        <v>38</v>
      </c>
      <c r="B5626" t="s">
        <v>26</v>
      </c>
      <c r="C5626">
        <v>2006</v>
      </c>
      <c r="D5626" t="s">
        <v>33</v>
      </c>
      <c r="E5626" s="1">
        <f t="shared" ref="E5626" si="4175">SUM(E4858+E5050+E5242+E5434)</f>
        <v>4121667</v>
      </c>
      <c r="F5626" s="1">
        <f t="shared" si="4059"/>
        <v>2146110</v>
      </c>
      <c r="G5626" s="1">
        <f t="shared" si="4167"/>
        <v>6267777</v>
      </c>
      <c r="H5626" s="2">
        <f t="shared" si="4168"/>
        <v>0.65759630567584004</v>
      </c>
      <c r="I5626" s="2">
        <f t="shared" si="4169"/>
        <v>0.3424036943241599</v>
      </c>
      <c r="J5626" s="1">
        <f t="shared" ref="J5626:K5626" si="4176">SUM(J4858+J5050+J5242+J5434)</f>
        <v>9826965.0600000005</v>
      </c>
      <c r="K5626" s="1">
        <f t="shared" si="4176"/>
        <v>12395437.110000001</v>
      </c>
      <c r="L5626" s="1">
        <f t="shared" si="4061"/>
        <v>22222402.170000002</v>
      </c>
      <c r="M5626" s="2">
        <f t="shared" si="4062"/>
        <v>0.44220984683943371</v>
      </c>
      <c r="N5626" s="2">
        <f t="shared" si="4063"/>
        <v>0.55779015316056624</v>
      </c>
    </row>
    <row r="5627" spans="1:14" x14ac:dyDescent="0.35">
      <c r="A5627" t="s">
        <v>38</v>
      </c>
      <c r="B5627" t="s">
        <v>27</v>
      </c>
      <c r="C5627">
        <v>2006</v>
      </c>
      <c r="D5627" t="s">
        <v>33</v>
      </c>
      <c r="E5627" s="1">
        <f t="shared" ref="E5627" si="4177">SUM(E4859+E5051+E5243+E5435)</f>
        <v>4121162</v>
      </c>
      <c r="F5627" s="1">
        <f t="shared" si="4059"/>
        <v>2229556</v>
      </c>
      <c r="G5627" s="1">
        <f t="shared" si="4167"/>
        <v>6350718</v>
      </c>
      <c r="H5627" s="2">
        <f t="shared" si="4168"/>
        <v>0.64892851485454084</v>
      </c>
      <c r="I5627" s="2">
        <f t="shared" si="4169"/>
        <v>0.35107148514545916</v>
      </c>
      <c r="J5627" s="1">
        <f t="shared" ref="J5627:K5627" si="4178">SUM(J4859+J5051+J5243+J5435)</f>
        <v>7730372.3199999994</v>
      </c>
      <c r="K5627" s="1">
        <f t="shared" si="4178"/>
        <v>11144133.359999999</v>
      </c>
      <c r="L5627" s="1">
        <f t="shared" si="4061"/>
        <v>18874505.68</v>
      </c>
      <c r="M5627" s="2">
        <f t="shared" si="4062"/>
        <v>0.40956687560783839</v>
      </c>
      <c r="N5627" s="2">
        <f t="shared" si="4063"/>
        <v>0.59043312439216156</v>
      </c>
    </row>
    <row r="5628" spans="1:14" x14ac:dyDescent="0.35">
      <c r="A5628" t="s">
        <v>38</v>
      </c>
      <c r="B5628" t="s">
        <v>28</v>
      </c>
      <c r="C5628">
        <v>2006</v>
      </c>
      <c r="D5628" t="s">
        <v>33</v>
      </c>
      <c r="E5628" s="1">
        <f t="shared" ref="E5628" si="4179">SUM(E4860+E5052+E5244+E5436)</f>
        <v>4018992</v>
      </c>
      <c r="F5628" s="1">
        <f t="shared" si="4059"/>
        <v>2237986</v>
      </c>
      <c r="G5628" s="1">
        <f t="shared" si="4167"/>
        <v>6256978</v>
      </c>
      <c r="H5628" s="2">
        <f t="shared" si="4168"/>
        <v>0.64232158080146673</v>
      </c>
      <c r="I5628" s="2">
        <f t="shared" si="4169"/>
        <v>0.35767841919853322</v>
      </c>
      <c r="J5628" s="1">
        <f t="shared" ref="J5628:K5628" si="4180">SUM(J4860+J5052+J5244+J5436)</f>
        <v>6156742.5</v>
      </c>
      <c r="K5628" s="1">
        <f t="shared" si="4180"/>
        <v>9575847.1600000001</v>
      </c>
      <c r="L5628" s="1">
        <f t="shared" si="4061"/>
        <v>15732589.66</v>
      </c>
      <c r="M5628" s="2">
        <f t="shared" si="4062"/>
        <v>0.39133687670336148</v>
      </c>
      <c r="N5628" s="2">
        <f t="shared" si="4063"/>
        <v>0.60866312329663852</v>
      </c>
    </row>
    <row r="5629" spans="1:14" x14ac:dyDescent="0.35">
      <c r="A5629" t="s">
        <v>38</v>
      </c>
      <c r="B5629" t="s">
        <v>29</v>
      </c>
      <c r="C5629">
        <v>2006</v>
      </c>
      <c r="D5629" t="s">
        <v>33</v>
      </c>
      <c r="E5629" s="1">
        <f t="shared" ref="E5629" si="4181">SUM(E4861+E5053+E5245+E5437)</f>
        <v>3950159</v>
      </c>
      <c r="F5629" s="1">
        <f t="shared" si="4059"/>
        <v>2256911</v>
      </c>
      <c r="G5629" s="1">
        <f t="shared" si="4167"/>
        <v>6207070</v>
      </c>
      <c r="H5629" s="2">
        <f t="shared" si="4168"/>
        <v>0.63639672180271856</v>
      </c>
      <c r="I5629" s="2">
        <f t="shared" si="4169"/>
        <v>0.3636032781972815</v>
      </c>
      <c r="J5629" s="1">
        <f t="shared" ref="J5629:K5629" si="4182">SUM(J4861+J5053+J5245+J5437)</f>
        <v>6264091.5099999998</v>
      </c>
      <c r="K5629" s="1">
        <f t="shared" si="4182"/>
        <v>9471793.540000001</v>
      </c>
      <c r="L5629" s="1">
        <f t="shared" si="4061"/>
        <v>15735885.050000001</v>
      </c>
      <c r="M5629" s="2">
        <f t="shared" si="4062"/>
        <v>0.39807684728861181</v>
      </c>
      <c r="N5629" s="2">
        <f t="shared" si="4063"/>
        <v>0.60192315271138819</v>
      </c>
    </row>
    <row r="5630" spans="1:14" x14ac:dyDescent="0.35">
      <c r="A5630" t="s">
        <v>38</v>
      </c>
      <c r="B5630" t="s">
        <v>17</v>
      </c>
      <c r="C5630">
        <v>2007</v>
      </c>
      <c r="D5630" t="s">
        <v>33</v>
      </c>
      <c r="E5630" s="1">
        <f t="shared" ref="E5630" si="4183">SUM(E4862+E5054+E5246+E5438)</f>
        <v>3977432</v>
      </c>
      <c r="F5630" s="1">
        <f t="shared" si="4059"/>
        <v>2338515</v>
      </c>
      <c r="G5630" s="1">
        <f t="shared" si="4167"/>
        <v>6315947</v>
      </c>
      <c r="H5630" s="2">
        <f t="shared" si="4168"/>
        <v>0.62974435979275956</v>
      </c>
      <c r="I5630" s="2">
        <f t="shared" si="4169"/>
        <v>0.3702556402072405</v>
      </c>
      <c r="J5630" s="1">
        <f t="shared" ref="J5630:K5630" si="4184">SUM(J4862+J5054+J5246+J5438)</f>
        <v>7003183.0199999996</v>
      </c>
      <c r="K5630" s="1">
        <f t="shared" si="4184"/>
        <v>9807347.2200000007</v>
      </c>
      <c r="L5630" s="1">
        <f t="shared" si="4061"/>
        <v>16810530.240000002</v>
      </c>
      <c r="M5630" s="2">
        <f t="shared" si="4062"/>
        <v>0.41659501039034441</v>
      </c>
      <c r="N5630" s="2">
        <f t="shared" si="4063"/>
        <v>0.58340498960965548</v>
      </c>
    </row>
    <row r="5631" spans="1:14" x14ac:dyDescent="0.35">
      <c r="A5631" t="s">
        <v>38</v>
      </c>
      <c r="B5631" t="s">
        <v>19</v>
      </c>
      <c r="C5631">
        <v>2007</v>
      </c>
      <c r="D5631" t="s">
        <v>33</v>
      </c>
      <c r="E5631" s="1">
        <f t="shared" ref="E5631" si="4185">SUM(E4863+E5055+E5247+E5439)</f>
        <v>3919715</v>
      </c>
      <c r="F5631" s="1">
        <f t="shared" si="4059"/>
        <v>2352975</v>
      </c>
      <c r="G5631" s="1">
        <f t="shared" si="4167"/>
        <v>6272690</v>
      </c>
      <c r="H5631" s="2">
        <f t="shared" si="4168"/>
        <v>0.62488581453889802</v>
      </c>
      <c r="I5631" s="2">
        <f t="shared" si="4169"/>
        <v>0.37511418546110203</v>
      </c>
      <c r="J5631" s="1">
        <f t="shared" ref="J5631:K5631" si="4186">SUM(J4863+J5055+J5247+J5439)</f>
        <v>7100979.6599999992</v>
      </c>
      <c r="K5631" s="1">
        <f t="shared" si="4186"/>
        <v>9863818.9800000004</v>
      </c>
      <c r="L5631" s="1">
        <f t="shared" si="4061"/>
        <v>16964798.640000001</v>
      </c>
      <c r="M5631" s="2">
        <f t="shared" si="4062"/>
        <v>0.41857140840193308</v>
      </c>
      <c r="N5631" s="2">
        <f t="shared" si="4063"/>
        <v>0.58142859159806681</v>
      </c>
    </row>
    <row r="5632" spans="1:14" x14ac:dyDescent="0.35">
      <c r="A5632" t="s">
        <v>38</v>
      </c>
      <c r="B5632" t="s">
        <v>20</v>
      </c>
      <c r="C5632">
        <v>2007</v>
      </c>
      <c r="D5632" t="s">
        <v>33</v>
      </c>
      <c r="E5632" s="1">
        <f t="shared" ref="E5632" si="4187">SUM(E4864+E5056+E5248+E5440)</f>
        <v>3950142</v>
      </c>
      <c r="F5632" s="1">
        <f t="shared" si="4059"/>
        <v>2430629</v>
      </c>
      <c r="G5632" s="1">
        <f t="shared" si="4167"/>
        <v>6380771</v>
      </c>
      <c r="H5632" s="2">
        <f t="shared" si="4168"/>
        <v>0.61906970176488074</v>
      </c>
      <c r="I5632" s="2">
        <f t="shared" si="4169"/>
        <v>0.38093029823511926</v>
      </c>
      <c r="J5632" s="1">
        <f t="shared" ref="J5632:K5632" si="4188">SUM(J4864+J5056+J5248+J5440)</f>
        <v>6018599.7599999998</v>
      </c>
      <c r="K5632" s="1">
        <f t="shared" si="4188"/>
        <v>9181578.8400000017</v>
      </c>
      <c r="L5632" s="1">
        <f t="shared" si="4061"/>
        <v>15200178.600000001</v>
      </c>
      <c r="M5632" s="2">
        <f t="shared" si="4062"/>
        <v>0.39595585804498373</v>
      </c>
      <c r="N5632" s="2">
        <f t="shared" si="4063"/>
        <v>0.60404414195501632</v>
      </c>
    </row>
    <row r="5633" spans="1:14" x14ac:dyDescent="0.35">
      <c r="A5633" t="s">
        <v>38</v>
      </c>
      <c r="B5633" t="s">
        <v>21</v>
      </c>
      <c r="C5633">
        <v>2007</v>
      </c>
      <c r="D5633" t="s">
        <v>33</v>
      </c>
      <c r="E5633" s="1">
        <f t="shared" ref="E5633" si="4189">SUM(E4865+E5057+E5249+E5441)</f>
        <v>3866115</v>
      </c>
      <c r="F5633" s="1">
        <f t="shared" si="4059"/>
        <v>2431788</v>
      </c>
      <c r="G5633" s="1">
        <f t="shared" si="4167"/>
        <v>6297903</v>
      </c>
      <c r="H5633" s="2">
        <f t="shared" si="4168"/>
        <v>0.61387337975831002</v>
      </c>
      <c r="I5633" s="2">
        <f t="shared" si="4169"/>
        <v>0.38612662024168998</v>
      </c>
      <c r="J5633" s="1">
        <f t="shared" ref="J5633:K5633" si="4190">SUM(J4865+J5057+J5249+J5441)</f>
        <v>5733980.3509999998</v>
      </c>
      <c r="K5633" s="1">
        <f t="shared" si="4190"/>
        <v>9471081.6789999995</v>
      </c>
      <c r="L5633" s="1">
        <f t="shared" si="4061"/>
        <v>15205062.029999999</v>
      </c>
      <c r="M5633" s="2">
        <f t="shared" si="4062"/>
        <v>0.37710996112259859</v>
      </c>
      <c r="N5633" s="2">
        <f t="shared" si="4063"/>
        <v>0.62289003887740135</v>
      </c>
    </row>
    <row r="5634" spans="1:14" x14ac:dyDescent="0.35">
      <c r="A5634" t="s">
        <v>38</v>
      </c>
      <c r="B5634" t="s">
        <v>22</v>
      </c>
      <c r="C5634">
        <v>2007</v>
      </c>
      <c r="D5634" t="s">
        <v>33</v>
      </c>
      <c r="E5634" s="1">
        <f t="shared" ref="E5634" si="4191">SUM(E4866+E5058+E5250+E5442)</f>
        <v>3894595</v>
      </c>
      <c r="F5634" s="1">
        <f t="shared" si="4059"/>
        <v>2509710</v>
      </c>
      <c r="G5634" s="1">
        <f t="shared" si="4167"/>
        <v>6404305</v>
      </c>
      <c r="H5634" s="2">
        <f t="shared" si="4168"/>
        <v>0.60812141208140458</v>
      </c>
      <c r="I5634" s="2">
        <f t="shared" si="4169"/>
        <v>0.39187858791859537</v>
      </c>
      <c r="J5634" s="1">
        <f t="shared" ref="J5634:K5634" si="4192">SUM(J4866+J5058+J5250+J5442)</f>
        <v>5970757.6310000001</v>
      </c>
      <c r="K5634" s="1">
        <f t="shared" si="4192"/>
        <v>10013077.067</v>
      </c>
      <c r="L5634" s="1">
        <f t="shared" si="4061"/>
        <v>15983834.697999999</v>
      </c>
      <c r="M5634" s="2">
        <f t="shared" si="4062"/>
        <v>0.37354976098114301</v>
      </c>
      <c r="N5634" s="2">
        <f t="shared" si="4063"/>
        <v>0.62645023901885699</v>
      </c>
    </row>
    <row r="5635" spans="1:14" x14ac:dyDescent="0.35">
      <c r="A5635" t="s">
        <v>38</v>
      </c>
      <c r="B5635" t="s">
        <v>23</v>
      </c>
      <c r="C5635">
        <v>2007</v>
      </c>
      <c r="D5635" t="s">
        <v>33</v>
      </c>
      <c r="E5635" s="1">
        <f t="shared" ref="E5635:F5635" si="4193">SUM(E4867+E5059+E5251+E5443)</f>
        <v>3848168</v>
      </c>
      <c r="F5635" s="1">
        <f t="shared" si="4193"/>
        <v>2526047</v>
      </c>
      <c r="G5635" s="1">
        <f t="shared" si="4167"/>
        <v>6374215</v>
      </c>
      <c r="H5635" s="2">
        <f t="shared" si="4168"/>
        <v>0.60370853509020328</v>
      </c>
      <c r="I5635" s="2">
        <f t="shared" si="4169"/>
        <v>0.39629146490979672</v>
      </c>
      <c r="J5635" s="1">
        <f t="shared" ref="J5635:K5635" si="4194">SUM(J4867+J5059+J5251+J5443)</f>
        <v>7203756.9440000001</v>
      </c>
      <c r="K5635" s="1">
        <f t="shared" si="4194"/>
        <v>11319499.261</v>
      </c>
      <c r="L5635" s="1">
        <f t="shared" ref="L5635:L5698" si="4195">SUM(J5635:K5635)</f>
        <v>18523256.204999998</v>
      </c>
      <c r="M5635" s="2">
        <f t="shared" ref="M5635:M5698" si="4196">SUM(J5635)/L5635</f>
        <v>0.38890337985259221</v>
      </c>
      <c r="N5635" s="2">
        <f t="shared" ref="N5635:N5698" si="4197">SUM(K5635/L5635)</f>
        <v>0.61109662014740784</v>
      </c>
    </row>
    <row r="5636" spans="1:14" x14ac:dyDescent="0.35">
      <c r="A5636" t="s">
        <v>38</v>
      </c>
      <c r="B5636" t="s">
        <v>24</v>
      </c>
      <c r="C5636">
        <v>2007</v>
      </c>
      <c r="D5636" t="s">
        <v>33</v>
      </c>
      <c r="E5636" s="1">
        <f t="shared" ref="E5636:F5636" si="4198">SUM(E4868+E5060+E5252+E5444)</f>
        <v>3821704</v>
      </c>
      <c r="F5636" s="1">
        <f t="shared" si="4198"/>
        <v>2559365</v>
      </c>
      <c r="G5636" s="1">
        <f t="shared" si="4167"/>
        <v>6381069</v>
      </c>
      <c r="H5636" s="2">
        <f t="shared" si="4168"/>
        <v>0.59891281539190377</v>
      </c>
      <c r="I5636" s="2">
        <f t="shared" si="4169"/>
        <v>0.40108718460809623</v>
      </c>
      <c r="J5636" s="1">
        <f t="shared" ref="J5636:K5636" si="4199">SUM(J4868+J5060+J5252+J5444)</f>
        <v>8140594.3499999996</v>
      </c>
      <c r="K5636" s="1">
        <f t="shared" si="4199"/>
        <v>12180418.290000001</v>
      </c>
      <c r="L5636" s="1">
        <f t="shared" si="4195"/>
        <v>20321012.640000001</v>
      </c>
      <c r="M5636" s="2">
        <f t="shared" si="4196"/>
        <v>0.40059983693804735</v>
      </c>
      <c r="N5636" s="2">
        <f t="shared" si="4197"/>
        <v>0.59940016306195265</v>
      </c>
    </row>
    <row r="5637" spans="1:14" x14ac:dyDescent="0.35">
      <c r="A5637" t="s">
        <v>38</v>
      </c>
      <c r="B5637" t="s">
        <v>25</v>
      </c>
      <c r="C5637">
        <v>2007</v>
      </c>
      <c r="D5637" t="s">
        <v>33</v>
      </c>
      <c r="E5637" s="1">
        <f t="shared" ref="E5637:F5637" si="4200">SUM(E4869+E5061+E5253+E5445)</f>
        <v>3853831</v>
      </c>
      <c r="F5637" s="1">
        <f t="shared" si="4200"/>
        <v>2632681</v>
      </c>
      <c r="G5637" s="1">
        <f t="shared" si="4167"/>
        <v>6486512</v>
      </c>
      <c r="H5637" s="2">
        <f t="shared" si="4168"/>
        <v>0.59412994225556048</v>
      </c>
      <c r="I5637" s="2">
        <f t="shared" si="4169"/>
        <v>0.40587005774443952</v>
      </c>
      <c r="J5637" s="1">
        <f t="shared" ref="J5637:K5637" si="4201">SUM(J4869+J5061+J5253+J5445)</f>
        <v>8442679.6799999997</v>
      </c>
      <c r="K5637" s="1">
        <f t="shared" si="4201"/>
        <v>12372814.228</v>
      </c>
      <c r="L5637" s="1">
        <f t="shared" si="4195"/>
        <v>20815493.908</v>
      </c>
      <c r="M5637" s="2">
        <f t="shared" si="4196"/>
        <v>0.40559593336169808</v>
      </c>
      <c r="N5637" s="2">
        <f t="shared" si="4197"/>
        <v>0.59440406663830192</v>
      </c>
    </row>
    <row r="5638" spans="1:14" x14ac:dyDescent="0.35">
      <c r="A5638" t="s">
        <v>38</v>
      </c>
      <c r="B5638" t="s">
        <v>26</v>
      </c>
      <c r="C5638">
        <v>2007</v>
      </c>
      <c r="D5638" t="s">
        <v>33</v>
      </c>
      <c r="E5638" s="1">
        <f t="shared" ref="E5638:F5638" si="4202">SUM(E4870+E5062+E5254+E5446)</f>
        <v>3726270</v>
      </c>
      <c r="F5638" s="1">
        <f t="shared" si="4202"/>
        <v>2576148</v>
      </c>
      <c r="G5638" s="1">
        <f t="shared" si="4167"/>
        <v>6302418</v>
      </c>
      <c r="H5638" s="2">
        <f t="shared" si="4168"/>
        <v>0.59124450330016198</v>
      </c>
      <c r="I5638" s="2">
        <f t="shared" si="4169"/>
        <v>0.40875549669983807</v>
      </c>
      <c r="J5638" s="1">
        <f t="shared" ref="J5638:K5638" si="4203">SUM(J4870+J5062+J5254+J5446)</f>
        <v>8869873.4199999999</v>
      </c>
      <c r="K5638" s="1">
        <f t="shared" si="4203"/>
        <v>12870355.390000001</v>
      </c>
      <c r="L5638" s="1">
        <f t="shared" si="4195"/>
        <v>21740228.810000002</v>
      </c>
      <c r="M5638" s="2">
        <f t="shared" si="4196"/>
        <v>0.40799356333913389</v>
      </c>
      <c r="N5638" s="2">
        <f t="shared" si="4197"/>
        <v>0.59200643666086605</v>
      </c>
    </row>
    <row r="5639" spans="1:14" x14ac:dyDescent="0.35">
      <c r="A5639" t="s">
        <v>38</v>
      </c>
      <c r="B5639" t="s">
        <v>27</v>
      </c>
      <c r="C5639">
        <v>2007</v>
      </c>
      <c r="D5639" t="s">
        <v>33</v>
      </c>
      <c r="E5639" s="1">
        <f t="shared" ref="E5639:F5639" si="4204">SUM(E4871+E5063+E5255+E5447)</f>
        <v>3758102</v>
      </c>
      <c r="F5639" s="1">
        <f t="shared" si="4204"/>
        <v>2656296</v>
      </c>
      <c r="G5639" s="1">
        <f t="shared" si="4167"/>
        <v>6414398</v>
      </c>
      <c r="H5639" s="2">
        <f t="shared" si="4168"/>
        <v>0.58588537848758371</v>
      </c>
      <c r="I5639" s="2">
        <f t="shared" si="4169"/>
        <v>0.41411462151241629</v>
      </c>
      <c r="J5639" s="1">
        <f t="shared" ref="J5639:K5639" si="4205">SUM(J4871+J5063+J5255+J5447)</f>
        <v>7867771.9600000009</v>
      </c>
      <c r="K5639" s="1">
        <f t="shared" si="4205"/>
        <v>12058594.129999999</v>
      </c>
      <c r="L5639" s="1">
        <f t="shared" si="4195"/>
        <v>19926366.09</v>
      </c>
      <c r="M5639" s="2">
        <f t="shared" si="4196"/>
        <v>0.39484228707152097</v>
      </c>
      <c r="N5639" s="2">
        <f t="shared" si="4197"/>
        <v>0.60515771292847897</v>
      </c>
    </row>
    <row r="5640" spans="1:14" x14ac:dyDescent="0.35">
      <c r="A5640" t="s">
        <v>38</v>
      </c>
      <c r="B5640" t="s">
        <v>28</v>
      </c>
      <c r="C5640">
        <v>2007</v>
      </c>
      <c r="D5640" t="s">
        <v>33</v>
      </c>
      <c r="E5640" s="1">
        <f t="shared" ref="E5640:F5640" si="4206">SUM(E4872+E5064+E5256+E5448)</f>
        <v>3726356</v>
      </c>
      <c r="F5640" s="1">
        <f t="shared" si="4206"/>
        <v>2681882</v>
      </c>
      <c r="G5640" s="1">
        <f t="shared" si="4167"/>
        <v>6408238</v>
      </c>
      <c r="H5640" s="2">
        <f t="shared" si="4168"/>
        <v>0.58149463237788612</v>
      </c>
      <c r="I5640" s="2">
        <f t="shared" si="4169"/>
        <v>0.41850536762211393</v>
      </c>
      <c r="J5640" s="1">
        <f t="shared" ref="J5640:K5640" si="4207">SUM(J4872+J5064+J5256+J5448)</f>
        <v>6170536.3999999994</v>
      </c>
      <c r="K5640" s="1">
        <f t="shared" si="4207"/>
        <v>10436215.020000001</v>
      </c>
      <c r="L5640" s="1">
        <f t="shared" si="4195"/>
        <v>16606751.420000002</v>
      </c>
      <c r="M5640" s="2">
        <f t="shared" si="4196"/>
        <v>0.3715679390834164</v>
      </c>
      <c r="N5640" s="2">
        <f t="shared" si="4197"/>
        <v>0.62843206091658355</v>
      </c>
    </row>
    <row r="5641" spans="1:14" x14ac:dyDescent="0.35">
      <c r="A5641" t="s">
        <v>38</v>
      </c>
      <c r="B5641" t="s">
        <v>29</v>
      </c>
      <c r="C5641">
        <v>2007</v>
      </c>
      <c r="D5641" t="s">
        <v>33</v>
      </c>
      <c r="E5641" s="1">
        <f t="shared" ref="E5641:F5641" si="4208">SUM(E4873+E5065+E5257+E5449)</f>
        <v>3713527</v>
      </c>
      <c r="F5641" s="1">
        <f t="shared" si="4208"/>
        <v>2711749</v>
      </c>
      <c r="G5641" s="1">
        <f t="shared" si="4167"/>
        <v>6425276</v>
      </c>
      <c r="H5641" s="2">
        <f t="shared" si="4168"/>
        <v>0.57795602865931361</v>
      </c>
      <c r="I5641" s="2">
        <f t="shared" si="4169"/>
        <v>0.42204397134068639</v>
      </c>
      <c r="J5641" s="1">
        <f t="shared" ref="J5641:K5641" si="4209">SUM(J4873+J5065+J5257+J5449)</f>
        <v>6244772.3399999999</v>
      </c>
      <c r="K5641" s="1">
        <f t="shared" si="4209"/>
        <v>10524338.17</v>
      </c>
      <c r="L5641" s="1">
        <f t="shared" si="4195"/>
        <v>16769110.51</v>
      </c>
      <c r="M5641" s="2">
        <f t="shared" si="4196"/>
        <v>0.37239735144425379</v>
      </c>
      <c r="N5641" s="2">
        <f t="shared" si="4197"/>
        <v>0.62760264855574621</v>
      </c>
    </row>
    <row r="5642" spans="1:14" x14ac:dyDescent="0.35">
      <c r="A5642" t="s">
        <v>38</v>
      </c>
      <c r="B5642" t="s">
        <v>17</v>
      </c>
      <c r="C5642">
        <v>2008</v>
      </c>
      <c r="D5642" t="s">
        <v>33</v>
      </c>
      <c r="E5642" s="1">
        <f t="shared" ref="E5642:F5642" si="4210">SUM(E4874+E5066+E5258+E5450)</f>
        <v>3694889</v>
      </c>
      <c r="F5642" s="1">
        <f t="shared" si="4210"/>
        <v>2734373</v>
      </c>
      <c r="G5642" s="1">
        <f t="shared" si="4167"/>
        <v>6429262</v>
      </c>
      <c r="H5642" s="2">
        <f t="shared" si="4168"/>
        <v>0.57469877569151795</v>
      </c>
      <c r="I5642" s="2">
        <f t="shared" si="4169"/>
        <v>0.42530122430848205</v>
      </c>
      <c r="J5642" s="1">
        <f t="shared" ref="J5642:K5642" si="4211">SUM(J4874+J5066+J5258+J5450)</f>
        <v>6865059.4799999995</v>
      </c>
      <c r="K5642" s="1">
        <f t="shared" si="4211"/>
        <v>10816041.23</v>
      </c>
      <c r="L5642" s="1">
        <f t="shared" si="4195"/>
        <v>17681100.710000001</v>
      </c>
      <c r="M5642" s="2">
        <f t="shared" si="4196"/>
        <v>0.38827104672942048</v>
      </c>
      <c r="N5642" s="2">
        <f t="shared" si="4197"/>
        <v>0.61172895327057952</v>
      </c>
    </row>
    <row r="5643" spans="1:14" x14ac:dyDescent="0.35">
      <c r="A5643" t="s">
        <v>38</v>
      </c>
      <c r="B5643" t="s">
        <v>19</v>
      </c>
      <c r="C5643">
        <v>2008</v>
      </c>
      <c r="D5643" t="s">
        <v>33</v>
      </c>
      <c r="E5643" s="1">
        <f t="shared" ref="E5643:F5643" si="4212">SUM(E4875+E5067+E5259+E5451)</f>
        <v>3677276</v>
      </c>
      <c r="F5643" s="1">
        <f t="shared" si="4212"/>
        <v>2759004</v>
      </c>
      <c r="G5643" s="1">
        <f t="shared" si="4167"/>
        <v>6436280</v>
      </c>
      <c r="H5643" s="2">
        <f t="shared" si="4168"/>
        <v>0.57133561622552154</v>
      </c>
      <c r="I5643" s="2">
        <f t="shared" si="4169"/>
        <v>0.42866438377447841</v>
      </c>
      <c r="J5643" s="1">
        <f t="shared" ref="J5643:K5643" si="4213">SUM(J4875+J5067+J5259+J5451)</f>
        <v>6464964.1900000004</v>
      </c>
      <c r="K5643" s="1">
        <f t="shared" si="4213"/>
        <v>10161950.840000002</v>
      </c>
      <c r="L5643" s="1">
        <f t="shared" si="4195"/>
        <v>16626915.030000001</v>
      </c>
      <c r="M5643" s="2">
        <f t="shared" si="4196"/>
        <v>0.3888252377747311</v>
      </c>
      <c r="N5643" s="2">
        <f t="shared" si="4197"/>
        <v>0.61117476222526901</v>
      </c>
    </row>
    <row r="5644" spans="1:14" x14ac:dyDescent="0.35">
      <c r="A5644" t="s">
        <v>38</v>
      </c>
      <c r="B5644" t="s">
        <v>20</v>
      </c>
      <c r="C5644">
        <v>2008</v>
      </c>
      <c r="D5644" t="s">
        <v>33</v>
      </c>
      <c r="E5644" s="1">
        <f t="shared" ref="E5644:F5644" si="4214">SUM(E4876+E5068+E5260+E5452)</f>
        <v>3660972</v>
      </c>
      <c r="F5644" s="1">
        <f t="shared" si="4214"/>
        <v>2787609</v>
      </c>
      <c r="G5644" s="1">
        <f t="shared" si="4167"/>
        <v>6448581</v>
      </c>
      <c r="H5644" s="2">
        <f t="shared" si="4168"/>
        <v>0.56771745597985046</v>
      </c>
      <c r="I5644" s="2">
        <f t="shared" si="4169"/>
        <v>0.43228254402014954</v>
      </c>
      <c r="J5644" s="1">
        <f t="shared" ref="J5644:K5644" si="4215">SUM(J4876+J5068+J5260+J5452)</f>
        <v>5813231.4699999997</v>
      </c>
      <c r="K5644" s="1">
        <f t="shared" si="4215"/>
        <v>9765310.6100000013</v>
      </c>
      <c r="L5644" s="1">
        <f t="shared" si="4195"/>
        <v>15578542.080000002</v>
      </c>
      <c r="M5644" s="2">
        <f t="shared" si="4196"/>
        <v>0.37315632234053053</v>
      </c>
      <c r="N5644" s="2">
        <f t="shared" si="4197"/>
        <v>0.62684367765946936</v>
      </c>
    </row>
    <row r="5645" spans="1:14" x14ac:dyDescent="0.35">
      <c r="A5645" t="s">
        <v>38</v>
      </c>
      <c r="B5645" t="s">
        <v>21</v>
      </c>
      <c r="C5645">
        <v>2008</v>
      </c>
      <c r="D5645" t="s">
        <v>33</v>
      </c>
      <c r="E5645" s="1">
        <f t="shared" ref="E5645:F5645" si="4216">SUM(E4877+E5069+E5261+E5453)</f>
        <v>3638693</v>
      </c>
      <c r="F5645" s="1">
        <f t="shared" si="4216"/>
        <v>2819586</v>
      </c>
      <c r="G5645" s="1">
        <f t="shared" si="4167"/>
        <v>6458279</v>
      </c>
      <c r="H5645" s="2">
        <f t="shared" si="4168"/>
        <v>0.56341526899039207</v>
      </c>
      <c r="I5645" s="2">
        <f t="shared" si="4169"/>
        <v>0.43658473100960798</v>
      </c>
      <c r="J5645" s="1">
        <f t="shared" ref="J5645:K5645" si="4217">SUM(J4877+J5069+J5261+J5453)</f>
        <v>5640708.4000000004</v>
      </c>
      <c r="K5645" s="1">
        <f t="shared" si="4217"/>
        <v>10073484.290000001</v>
      </c>
      <c r="L5645" s="1">
        <f t="shared" si="4195"/>
        <v>15714192.690000001</v>
      </c>
      <c r="M5645" s="2">
        <f t="shared" si="4196"/>
        <v>0.35895629583246508</v>
      </c>
      <c r="N5645" s="2">
        <f t="shared" si="4197"/>
        <v>0.64104370416753498</v>
      </c>
    </row>
    <row r="5646" spans="1:14" x14ac:dyDescent="0.35">
      <c r="A5646" t="s">
        <v>38</v>
      </c>
      <c r="B5646" t="s">
        <v>22</v>
      </c>
      <c r="C5646">
        <v>2008</v>
      </c>
      <c r="D5646" t="s">
        <v>33</v>
      </c>
      <c r="E5646" s="1">
        <f t="shared" ref="E5646:F5646" si="4218">SUM(E4878+E5070+E5262+E5454)</f>
        <v>3622151</v>
      </c>
      <c r="F5646" s="1">
        <f t="shared" si="4218"/>
        <v>2883327</v>
      </c>
      <c r="G5646" s="1">
        <f t="shared" si="4167"/>
        <v>6505478</v>
      </c>
      <c r="H5646" s="2">
        <f t="shared" si="4168"/>
        <v>0.55678475893700663</v>
      </c>
      <c r="I5646" s="2">
        <f t="shared" si="4169"/>
        <v>0.44321524106299337</v>
      </c>
      <c r="J5646" s="1">
        <f t="shared" ref="J5646:K5646" si="4219">SUM(J4878+J5070+J5262+J5454)</f>
        <v>5741647.6699999999</v>
      </c>
      <c r="K5646" s="1">
        <f t="shared" si="4219"/>
        <v>10316816.640000001</v>
      </c>
      <c r="L5646" s="1">
        <f t="shared" si="4195"/>
        <v>16058464.310000001</v>
      </c>
      <c r="M5646" s="2">
        <f t="shared" si="4196"/>
        <v>0.35754649754550533</v>
      </c>
      <c r="N5646" s="2">
        <f t="shared" si="4197"/>
        <v>0.64245350245449473</v>
      </c>
    </row>
    <row r="5647" spans="1:14" x14ac:dyDescent="0.35">
      <c r="A5647" t="s">
        <v>38</v>
      </c>
      <c r="B5647" t="s">
        <v>23</v>
      </c>
      <c r="C5647">
        <v>2008</v>
      </c>
      <c r="D5647" t="s">
        <v>33</v>
      </c>
      <c r="E5647" s="1">
        <f t="shared" ref="E5647:F5647" si="4220">SUM(E4879+E5071+E5263+E5455)</f>
        <v>3612157</v>
      </c>
      <c r="F5647" s="1">
        <f t="shared" si="4220"/>
        <v>2879242</v>
      </c>
      <c r="G5647" s="1">
        <f t="shared" si="4167"/>
        <v>6491399</v>
      </c>
      <c r="H5647" s="2">
        <f t="shared" si="4168"/>
        <v>0.55645277697457818</v>
      </c>
      <c r="I5647" s="2">
        <f t="shared" si="4169"/>
        <v>0.44354722302542177</v>
      </c>
      <c r="J5647" s="1">
        <f t="shared" ref="J5647:K5647" si="4221">SUM(J4879+J5071+J5263+J5455)</f>
        <v>8044744.9670000002</v>
      </c>
      <c r="K5647" s="1">
        <f t="shared" si="4221"/>
        <v>12825863.189999998</v>
      </c>
      <c r="L5647" s="1">
        <f t="shared" si="4195"/>
        <v>20870608.156999998</v>
      </c>
      <c r="M5647" s="2">
        <f t="shared" si="4196"/>
        <v>0.38545810004591524</v>
      </c>
      <c r="N5647" s="2">
        <f t="shared" si="4197"/>
        <v>0.6145418999540847</v>
      </c>
    </row>
    <row r="5648" spans="1:14" x14ac:dyDescent="0.35">
      <c r="A5648" t="s">
        <v>38</v>
      </c>
      <c r="B5648" t="s">
        <v>24</v>
      </c>
      <c r="C5648">
        <v>2008</v>
      </c>
      <c r="D5648" t="s">
        <v>33</v>
      </c>
      <c r="E5648" s="1">
        <f t="shared" ref="E5648:F5648" si="4222">SUM(E4880+E5072+E5264+E5456)</f>
        <v>3606851</v>
      </c>
      <c r="F5648" s="1">
        <f t="shared" si="4222"/>
        <v>2887091</v>
      </c>
      <c r="G5648" s="1">
        <f t="shared" si="4167"/>
        <v>6493942</v>
      </c>
      <c r="H5648" s="2">
        <f t="shared" si="4168"/>
        <v>0.55541780323877243</v>
      </c>
      <c r="I5648" s="2">
        <f t="shared" si="4169"/>
        <v>0.44458219676122762</v>
      </c>
      <c r="J5648" s="1">
        <f t="shared" ref="J5648:K5648" si="4223">SUM(J4880+J5072+J5264+J5456)</f>
        <v>8572907.2139999978</v>
      </c>
      <c r="K5648" s="1">
        <f t="shared" si="4223"/>
        <v>13419374.527000001</v>
      </c>
      <c r="L5648" s="1">
        <f t="shared" si="4195"/>
        <v>21992281.740999997</v>
      </c>
      <c r="M5648" s="2">
        <f t="shared" si="4196"/>
        <v>0.38981435919027951</v>
      </c>
      <c r="N5648" s="2">
        <f t="shared" si="4197"/>
        <v>0.6101856408097206</v>
      </c>
    </row>
    <row r="5649" spans="1:14" x14ac:dyDescent="0.35">
      <c r="A5649" t="s">
        <v>38</v>
      </c>
      <c r="B5649" t="s">
        <v>25</v>
      </c>
      <c r="C5649">
        <v>2008</v>
      </c>
      <c r="D5649" t="s">
        <v>33</v>
      </c>
      <c r="E5649" s="1">
        <f t="shared" ref="E5649:F5649" si="4224">SUM(E4881+E5073+E5265+E5457)</f>
        <v>3597417</v>
      </c>
      <c r="F5649" s="1">
        <f t="shared" si="4224"/>
        <v>2905036</v>
      </c>
      <c r="G5649" s="1">
        <f t="shared" si="4167"/>
        <v>6502453</v>
      </c>
      <c r="H5649" s="2">
        <f t="shared" si="4168"/>
        <v>0.55323998497182525</v>
      </c>
      <c r="I5649" s="2">
        <f t="shared" si="4169"/>
        <v>0.44676001502817475</v>
      </c>
      <c r="J5649" s="1">
        <f t="shared" ref="J5649:K5649" si="4225">SUM(J4881+J5073+J5265+J5457)</f>
        <v>8772151.7629999984</v>
      </c>
      <c r="K5649" s="1">
        <f t="shared" si="4225"/>
        <v>14112899.926999999</v>
      </c>
      <c r="L5649" s="1">
        <f t="shared" si="4195"/>
        <v>22885051.689999998</v>
      </c>
      <c r="M5649" s="2">
        <f t="shared" si="4196"/>
        <v>0.3833136093301085</v>
      </c>
      <c r="N5649" s="2">
        <f t="shared" si="4197"/>
        <v>0.6166863906698915</v>
      </c>
    </row>
    <row r="5650" spans="1:14" x14ac:dyDescent="0.35">
      <c r="A5650" t="s">
        <v>38</v>
      </c>
      <c r="B5650" t="s">
        <v>26</v>
      </c>
      <c r="C5650">
        <v>2008</v>
      </c>
      <c r="D5650" t="s">
        <v>33</v>
      </c>
      <c r="E5650" s="1">
        <f t="shared" ref="E5650:F5650" si="4226">SUM(E4882+E5074+E5266+E5458)</f>
        <v>3573298</v>
      </c>
      <c r="F5650" s="1">
        <f t="shared" si="4226"/>
        <v>2920523</v>
      </c>
      <c r="G5650" s="1">
        <f t="shared" si="4167"/>
        <v>6493821</v>
      </c>
      <c r="H5650" s="2">
        <f t="shared" si="4168"/>
        <v>0.55026124064707049</v>
      </c>
      <c r="I5650" s="2">
        <f t="shared" si="4169"/>
        <v>0.44973875935292951</v>
      </c>
      <c r="J5650" s="1">
        <f t="shared" ref="J5650:K5650" si="4227">SUM(J4882+J5074+J5266+J5458)</f>
        <v>8095036.2920000004</v>
      </c>
      <c r="K5650" s="1">
        <f t="shared" si="4227"/>
        <v>13162801.064999999</v>
      </c>
      <c r="L5650" s="1">
        <f t="shared" si="4195"/>
        <v>21257837.357000001</v>
      </c>
      <c r="M5650" s="2">
        <f t="shared" si="4196"/>
        <v>0.38080243799279906</v>
      </c>
      <c r="N5650" s="2">
        <f t="shared" si="4197"/>
        <v>0.61919756200720089</v>
      </c>
    </row>
    <row r="5651" spans="1:14" x14ac:dyDescent="0.35">
      <c r="A5651" t="s">
        <v>38</v>
      </c>
      <c r="B5651" t="s">
        <v>27</v>
      </c>
      <c r="C5651">
        <v>2008</v>
      </c>
      <c r="D5651" t="s">
        <v>33</v>
      </c>
      <c r="E5651" s="1">
        <f t="shared" ref="E5651:F5651" si="4228">SUM(E4883+E5075+E5267+E5459)</f>
        <v>3541332</v>
      </c>
      <c r="F5651" s="1">
        <f t="shared" si="4228"/>
        <v>2925030</v>
      </c>
      <c r="G5651" s="1">
        <f t="shared" si="4167"/>
        <v>6466362</v>
      </c>
      <c r="H5651" s="2">
        <f t="shared" si="4168"/>
        <v>0.5476544616586575</v>
      </c>
      <c r="I5651" s="2">
        <f t="shared" si="4169"/>
        <v>0.4523455383413425</v>
      </c>
      <c r="J5651" s="1">
        <f t="shared" ref="J5651:K5651" si="4229">SUM(J4883+J5075+J5267+J5459)</f>
        <v>5454443.9199999999</v>
      </c>
      <c r="K5651" s="1">
        <f t="shared" si="4229"/>
        <v>10096889.699999999</v>
      </c>
      <c r="L5651" s="1">
        <f t="shared" si="4195"/>
        <v>15551333.619999999</v>
      </c>
      <c r="M5651" s="2">
        <f t="shared" si="4196"/>
        <v>0.35073801728394793</v>
      </c>
      <c r="N5651" s="2">
        <f t="shared" si="4197"/>
        <v>0.64926198271605207</v>
      </c>
    </row>
    <row r="5652" spans="1:14" x14ac:dyDescent="0.35">
      <c r="A5652" t="s">
        <v>38</v>
      </c>
      <c r="B5652" t="s">
        <v>28</v>
      </c>
      <c r="C5652">
        <v>2008</v>
      </c>
      <c r="D5652" t="s">
        <v>33</v>
      </c>
      <c r="E5652" s="1">
        <f t="shared" ref="E5652:F5652" si="4230">SUM(E4884+E5076+E5268+E5460)</f>
        <v>3496355</v>
      </c>
      <c r="F5652" s="1">
        <f t="shared" si="4230"/>
        <v>2935591</v>
      </c>
      <c r="G5652" s="1">
        <f t="shared" si="4167"/>
        <v>6431946</v>
      </c>
      <c r="H5652" s="2">
        <f t="shared" si="4168"/>
        <v>0.54359209483412951</v>
      </c>
      <c r="I5652" s="2">
        <f t="shared" si="4169"/>
        <v>0.45640790516587049</v>
      </c>
      <c r="J5652" s="1">
        <f t="shared" ref="J5652:K5652" si="4231">SUM(J4884+J5076+J5268+J5460)</f>
        <v>5749660.6100000003</v>
      </c>
      <c r="K5652" s="1">
        <f t="shared" si="4231"/>
        <v>10869963.01</v>
      </c>
      <c r="L5652" s="1">
        <f t="shared" si="4195"/>
        <v>16619623.620000001</v>
      </c>
      <c r="M5652" s="2">
        <f t="shared" si="4196"/>
        <v>0.34595612641196505</v>
      </c>
      <c r="N5652" s="2">
        <f t="shared" si="4197"/>
        <v>0.65404387358803495</v>
      </c>
    </row>
    <row r="5653" spans="1:14" x14ac:dyDescent="0.35">
      <c r="A5653" t="s">
        <v>38</v>
      </c>
      <c r="B5653" t="s">
        <v>29</v>
      </c>
      <c r="C5653">
        <v>2008</v>
      </c>
      <c r="D5653" t="s">
        <v>33</v>
      </c>
      <c r="E5653" s="1">
        <f t="shared" ref="E5653:F5653" si="4232">SUM(E4885+E5077+E5269+E5461)</f>
        <v>3507572</v>
      </c>
      <c r="F5653" s="1">
        <f t="shared" si="4232"/>
        <v>2978833</v>
      </c>
      <c r="G5653" s="1">
        <f t="shared" si="4167"/>
        <v>6486405</v>
      </c>
      <c r="H5653" s="2">
        <f t="shared" si="4168"/>
        <v>0.54075747659913309</v>
      </c>
      <c r="I5653" s="2">
        <f t="shared" si="4169"/>
        <v>0.45924252340086691</v>
      </c>
      <c r="J5653" s="1">
        <f t="shared" ref="J5653:K5653" si="4233">SUM(J4885+J5077+J5269+J5461)</f>
        <v>5539687.9100000001</v>
      </c>
      <c r="K5653" s="1">
        <f t="shared" si="4233"/>
        <v>10422758.99</v>
      </c>
      <c r="L5653" s="1">
        <f t="shared" si="4195"/>
        <v>15962446.9</v>
      </c>
      <c r="M5653" s="2">
        <f t="shared" si="4196"/>
        <v>0.34704503292662481</v>
      </c>
      <c r="N5653" s="2">
        <f t="shared" si="4197"/>
        <v>0.65295496707337519</v>
      </c>
    </row>
    <row r="5654" spans="1:14" x14ac:dyDescent="0.35">
      <c r="A5654" t="s">
        <v>38</v>
      </c>
      <c r="B5654" t="s">
        <v>17</v>
      </c>
      <c r="C5654">
        <v>2009</v>
      </c>
      <c r="D5654" t="s">
        <v>33</v>
      </c>
      <c r="E5654" s="1">
        <f t="shared" ref="E5654:F5654" si="4234">SUM(E4886+E5078+E5270+E5462)</f>
        <v>3499047</v>
      </c>
      <c r="F5654" s="1">
        <f t="shared" si="4234"/>
        <v>2991743</v>
      </c>
      <c r="G5654" s="1">
        <f t="shared" si="4167"/>
        <v>6490790</v>
      </c>
      <c r="H5654" s="2">
        <f t="shared" si="4168"/>
        <v>0.53907875620687162</v>
      </c>
      <c r="I5654" s="2">
        <f t="shared" si="4169"/>
        <v>0.46092124379312843</v>
      </c>
      <c r="J5654" s="1">
        <f t="shared" ref="J5654:K5654" si="4235">SUM(J4886+J5078+J5270+J5462)</f>
        <v>6417161.9100000001</v>
      </c>
      <c r="K5654" s="1">
        <f t="shared" si="4235"/>
        <v>11275969.249999998</v>
      </c>
      <c r="L5654" s="1">
        <f t="shared" si="4195"/>
        <v>17693131.159999996</v>
      </c>
      <c r="M5654" s="2">
        <f t="shared" si="4196"/>
        <v>0.3626922703488285</v>
      </c>
      <c r="N5654" s="2">
        <f t="shared" si="4197"/>
        <v>0.63730772965117166</v>
      </c>
    </row>
    <row r="5655" spans="1:14" x14ac:dyDescent="0.35">
      <c r="A5655" t="s">
        <v>38</v>
      </c>
      <c r="B5655" t="s">
        <v>19</v>
      </c>
      <c r="C5655">
        <v>2009</v>
      </c>
      <c r="D5655" t="s">
        <v>33</v>
      </c>
      <c r="E5655" s="1">
        <f t="shared" ref="E5655:F5655" si="4236">SUM(E4887+E5079+E5271+E5463)</f>
        <v>3484958</v>
      </c>
      <c r="F5655" s="1">
        <f t="shared" si="4236"/>
        <v>3004112</v>
      </c>
      <c r="G5655" s="1">
        <f t="shared" si="4167"/>
        <v>6489070</v>
      </c>
      <c r="H5655" s="2">
        <f t="shared" si="4168"/>
        <v>0.53705045561228337</v>
      </c>
      <c r="I5655" s="2">
        <f t="shared" si="4169"/>
        <v>0.46294954438771657</v>
      </c>
      <c r="J5655" s="1">
        <f t="shared" ref="J5655:K5655" si="4237">SUM(J4887+J5079+J5271+J5463)</f>
        <v>5544699.2200000007</v>
      </c>
      <c r="K5655" s="1">
        <f t="shared" si="4237"/>
        <v>9995424.2599999998</v>
      </c>
      <c r="L5655" s="1">
        <f t="shared" si="4195"/>
        <v>15540123.48</v>
      </c>
      <c r="M5655" s="2">
        <f t="shared" si="4196"/>
        <v>0.35679891650384754</v>
      </c>
      <c r="N5655" s="2">
        <f t="shared" si="4197"/>
        <v>0.64320108349615246</v>
      </c>
    </row>
    <row r="5656" spans="1:14" x14ac:dyDescent="0.35">
      <c r="A5656" t="s">
        <v>38</v>
      </c>
      <c r="B5656" t="s">
        <v>20</v>
      </c>
      <c r="C5656">
        <v>2009</v>
      </c>
      <c r="D5656" t="s">
        <v>33</v>
      </c>
      <c r="E5656" s="1">
        <f t="shared" ref="E5656:F5656" si="4238">SUM(E4888+E5080+E5272+E5464)</f>
        <v>3474795</v>
      </c>
      <c r="F5656" s="1">
        <f t="shared" si="4238"/>
        <v>3028459</v>
      </c>
      <c r="G5656" s="1">
        <f t="shared" si="4167"/>
        <v>6503254</v>
      </c>
      <c r="H5656" s="2">
        <f t="shared" si="4168"/>
        <v>0.53431635916419684</v>
      </c>
      <c r="I5656" s="2">
        <f t="shared" si="4169"/>
        <v>0.4656836408358031</v>
      </c>
      <c r="J5656" s="1">
        <f t="shared" ref="J5656:K5656" si="4239">SUM(J4888+J5080+J5272+J5464)</f>
        <v>4988015.74</v>
      </c>
      <c r="K5656" s="1">
        <f t="shared" si="4239"/>
        <v>9591157.0999999996</v>
      </c>
      <c r="L5656" s="1">
        <f t="shared" si="4195"/>
        <v>14579172.84</v>
      </c>
      <c r="M5656" s="2">
        <f t="shared" si="4196"/>
        <v>0.34213297247664703</v>
      </c>
      <c r="N5656" s="2">
        <f t="shared" si="4197"/>
        <v>0.65786702752335291</v>
      </c>
    </row>
    <row r="5657" spans="1:14" x14ac:dyDescent="0.35">
      <c r="A5657" t="s">
        <v>38</v>
      </c>
      <c r="B5657" t="s">
        <v>21</v>
      </c>
      <c r="C5657">
        <v>2009</v>
      </c>
      <c r="D5657" t="s">
        <v>33</v>
      </c>
      <c r="E5657" s="1">
        <f t="shared" ref="E5657:F5657" si="4240">SUM(E4889+E5081+E5273+E5465)</f>
        <v>3457418</v>
      </c>
      <c r="F5657" s="1">
        <f t="shared" si="4240"/>
        <v>3055073</v>
      </c>
      <c r="G5657" s="1">
        <f t="shared" si="4167"/>
        <v>6512491</v>
      </c>
      <c r="H5657" s="2">
        <f t="shared" si="4168"/>
        <v>0.53089025382146404</v>
      </c>
      <c r="I5657" s="2">
        <f t="shared" si="4169"/>
        <v>0.46910974617853601</v>
      </c>
      <c r="J5657" s="1">
        <f t="shared" ref="J5657:K5657" si="4241">SUM(J4889+J5081+J5273+J5465)</f>
        <v>5039119.46</v>
      </c>
      <c r="K5657" s="1">
        <f t="shared" si="4241"/>
        <v>9818152.8499999996</v>
      </c>
      <c r="L5657" s="1">
        <f t="shared" si="4195"/>
        <v>14857272.309999999</v>
      </c>
      <c r="M5657" s="2">
        <f t="shared" si="4196"/>
        <v>0.3391685468811334</v>
      </c>
      <c r="N5657" s="2">
        <f t="shared" si="4197"/>
        <v>0.6608314531188666</v>
      </c>
    </row>
    <row r="5658" spans="1:14" x14ac:dyDescent="0.35">
      <c r="A5658" t="s">
        <v>38</v>
      </c>
      <c r="B5658" t="s">
        <v>22</v>
      </c>
      <c r="C5658">
        <v>2009</v>
      </c>
      <c r="D5658" t="s">
        <v>33</v>
      </c>
      <c r="E5658" s="1">
        <f t="shared" ref="E5658:F5658" si="4242">SUM(E4890+E5082+E5274+E5466)</f>
        <v>3437700</v>
      </c>
      <c r="F5658" s="1">
        <f t="shared" si="4242"/>
        <v>3083354</v>
      </c>
      <c r="G5658" s="1">
        <f t="shared" si="4167"/>
        <v>6521054</v>
      </c>
      <c r="H5658" s="2">
        <f t="shared" si="4168"/>
        <v>0.52716938090069487</v>
      </c>
      <c r="I5658" s="2">
        <f t="shared" si="4169"/>
        <v>0.47283061909930513</v>
      </c>
      <c r="J5658" s="1">
        <f t="shared" ref="J5658:K5658" si="4243">SUM(J4890+J5082+J5274+J5466)</f>
        <v>5343176.12</v>
      </c>
      <c r="K5658" s="1">
        <f t="shared" si="4243"/>
        <v>10447516.18</v>
      </c>
      <c r="L5658" s="1">
        <f t="shared" si="4195"/>
        <v>15790692.300000001</v>
      </c>
      <c r="M5658" s="2">
        <f t="shared" si="4196"/>
        <v>0.33837503881954561</v>
      </c>
      <c r="N5658" s="2">
        <f t="shared" si="4197"/>
        <v>0.66162496118045433</v>
      </c>
    </row>
    <row r="5659" spans="1:14" x14ac:dyDescent="0.35">
      <c r="A5659" t="s">
        <v>38</v>
      </c>
      <c r="B5659" t="s">
        <v>23</v>
      </c>
      <c r="C5659">
        <v>2009</v>
      </c>
      <c r="D5659" t="s">
        <v>33</v>
      </c>
      <c r="E5659" s="1">
        <f t="shared" ref="E5659:F5659" si="4244">SUM(E4891+E5083+E5275+E5467)</f>
        <v>3418658</v>
      </c>
      <c r="F5659" s="1">
        <f t="shared" si="4244"/>
        <v>3113093</v>
      </c>
      <c r="G5659" s="1">
        <f t="shared" si="4167"/>
        <v>6531751</v>
      </c>
      <c r="H5659" s="2">
        <f t="shared" si="4168"/>
        <v>0.52339074162502519</v>
      </c>
      <c r="I5659" s="2">
        <f t="shared" si="4169"/>
        <v>0.47660925837497481</v>
      </c>
      <c r="J5659" s="1">
        <f t="shared" ref="J5659:K5659" si="4245">SUM(J4891+J5083+J5275+J5467)</f>
        <v>6605000.0200000005</v>
      </c>
      <c r="K5659" s="1">
        <f t="shared" si="4245"/>
        <v>12232657.350000001</v>
      </c>
      <c r="L5659" s="1">
        <f t="shared" si="4195"/>
        <v>18837657.370000001</v>
      </c>
      <c r="M5659" s="2">
        <f t="shared" si="4196"/>
        <v>0.35062746339780149</v>
      </c>
      <c r="N5659" s="2">
        <f t="shared" si="4197"/>
        <v>0.64937253660219862</v>
      </c>
    </row>
    <row r="5660" spans="1:14" x14ac:dyDescent="0.35">
      <c r="A5660" t="s">
        <v>38</v>
      </c>
      <c r="B5660" t="s">
        <v>24</v>
      </c>
      <c r="C5660">
        <v>2009</v>
      </c>
      <c r="D5660" t="s">
        <v>33</v>
      </c>
      <c r="E5660" s="1">
        <f t="shared" ref="E5660:F5660" si="4246">SUM(E4892+E5084+E5276+E5468)</f>
        <v>3394522</v>
      </c>
      <c r="F5660" s="1">
        <f t="shared" si="4246"/>
        <v>3141747</v>
      </c>
      <c r="G5660" s="1">
        <f t="shared" si="4167"/>
        <v>6536269</v>
      </c>
      <c r="H5660" s="2">
        <f t="shared" si="4168"/>
        <v>0.51933633698368287</v>
      </c>
      <c r="I5660" s="2">
        <f t="shared" si="4169"/>
        <v>0.48066366301631713</v>
      </c>
      <c r="J5660" s="1">
        <f t="shared" ref="J5660:K5660" si="4247">SUM(J4892+J5084+J5276+J5468)</f>
        <v>8243724.3799999999</v>
      </c>
      <c r="K5660" s="1">
        <f t="shared" si="4247"/>
        <v>14374684.280000001</v>
      </c>
      <c r="L5660" s="1">
        <f t="shared" si="4195"/>
        <v>22618408.66</v>
      </c>
      <c r="M5660" s="2">
        <f t="shared" si="4196"/>
        <v>0.36446968944277619</v>
      </c>
      <c r="N5660" s="2">
        <f t="shared" si="4197"/>
        <v>0.63553031055722387</v>
      </c>
    </row>
    <row r="5661" spans="1:14" x14ac:dyDescent="0.35">
      <c r="A5661" t="s">
        <v>38</v>
      </c>
      <c r="B5661" t="s">
        <v>25</v>
      </c>
      <c r="C5661">
        <v>2009</v>
      </c>
      <c r="D5661" t="s">
        <v>33</v>
      </c>
      <c r="E5661" s="1">
        <f t="shared" ref="E5661:F5661" si="4248">SUM(E4893+E5085+E5277+E5469)</f>
        <v>3367610</v>
      </c>
      <c r="F5661" s="1">
        <f t="shared" si="4248"/>
        <v>3178903</v>
      </c>
      <c r="G5661" s="1">
        <f t="shared" si="4167"/>
        <v>6546513</v>
      </c>
      <c r="H5661" s="2">
        <f t="shared" si="4168"/>
        <v>0.51441278738772844</v>
      </c>
      <c r="I5661" s="2">
        <f t="shared" si="4169"/>
        <v>0.48558721261227161</v>
      </c>
      <c r="J5661" s="1">
        <f t="shared" ref="J5661:K5661" si="4249">SUM(J4893+J5085+J5277+J5469)</f>
        <v>8118315.0700000012</v>
      </c>
      <c r="K5661" s="1">
        <f t="shared" si="4249"/>
        <v>14354593.49</v>
      </c>
      <c r="L5661" s="1">
        <f t="shared" si="4195"/>
        <v>22472908.560000002</v>
      </c>
      <c r="M5661" s="2">
        <f t="shared" si="4196"/>
        <v>0.36124896999091427</v>
      </c>
      <c r="N5661" s="2">
        <f t="shared" si="4197"/>
        <v>0.63875103000908573</v>
      </c>
    </row>
    <row r="5662" spans="1:14" x14ac:dyDescent="0.35">
      <c r="A5662" t="s">
        <v>38</v>
      </c>
      <c r="B5662" t="s">
        <v>26</v>
      </c>
      <c r="C5662">
        <v>2009</v>
      </c>
      <c r="D5662" t="s">
        <v>33</v>
      </c>
      <c r="E5662" s="1">
        <f t="shared" ref="E5662:F5662" si="4250">SUM(E4894+E5086+E5278+E5470)</f>
        <v>3336495</v>
      </c>
      <c r="F5662" s="1">
        <f t="shared" si="4250"/>
        <v>3225977</v>
      </c>
      <c r="G5662" s="1">
        <f t="shared" si="4167"/>
        <v>6562472</v>
      </c>
      <c r="H5662" s="2">
        <f t="shared" si="4168"/>
        <v>0.50842045497489363</v>
      </c>
      <c r="I5662" s="2">
        <f t="shared" si="4169"/>
        <v>0.49157954502510637</v>
      </c>
      <c r="J5662" s="1">
        <f t="shared" ref="J5662:K5662" si="4251">SUM(J4894+J5086+J5278+J5470)</f>
        <v>7541618.1299999999</v>
      </c>
      <c r="K5662" s="1">
        <f t="shared" si="4251"/>
        <v>13908294.640000001</v>
      </c>
      <c r="L5662" s="1">
        <f t="shared" si="4195"/>
        <v>21449912.77</v>
      </c>
      <c r="M5662" s="2">
        <f t="shared" si="4196"/>
        <v>0.35159201861873118</v>
      </c>
      <c r="N5662" s="2">
        <f t="shared" si="4197"/>
        <v>0.64840798138126887</v>
      </c>
    </row>
    <row r="5663" spans="1:14" x14ac:dyDescent="0.35">
      <c r="A5663" t="s">
        <v>38</v>
      </c>
      <c r="B5663" t="s">
        <v>27</v>
      </c>
      <c r="C5663">
        <v>2009</v>
      </c>
      <c r="D5663" t="s">
        <v>33</v>
      </c>
      <c r="E5663" s="1">
        <f t="shared" ref="E5663:F5663" si="4252">SUM(E4895+E5087+E5279+E5471)</f>
        <v>3299235</v>
      </c>
      <c r="F5663" s="1">
        <f t="shared" si="4252"/>
        <v>3254343</v>
      </c>
      <c r="G5663" s="1">
        <f t="shared" si="4167"/>
        <v>6553578</v>
      </c>
      <c r="H5663" s="2">
        <f t="shared" si="4168"/>
        <v>0.50342499929046391</v>
      </c>
      <c r="I5663" s="2">
        <f t="shared" si="4169"/>
        <v>0.49657500070953609</v>
      </c>
      <c r="J5663" s="1">
        <f t="shared" ref="J5663:K5663" si="4253">SUM(J4895+J5087+J5279+J5471)</f>
        <v>5768464.4099999992</v>
      </c>
      <c r="K5663" s="1">
        <f t="shared" si="4253"/>
        <v>11774886.82</v>
      </c>
      <c r="L5663" s="1">
        <f t="shared" si="4195"/>
        <v>17543351.23</v>
      </c>
      <c r="M5663" s="2">
        <f t="shared" si="4196"/>
        <v>0.32881200030559948</v>
      </c>
      <c r="N5663" s="2">
        <f t="shared" si="4197"/>
        <v>0.67118799969440046</v>
      </c>
    </row>
    <row r="5664" spans="1:14" x14ac:dyDescent="0.35">
      <c r="A5664" t="s">
        <v>38</v>
      </c>
      <c r="B5664" t="s">
        <v>28</v>
      </c>
      <c r="C5664">
        <v>2009</v>
      </c>
      <c r="D5664" t="s">
        <v>33</v>
      </c>
      <c r="E5664" s="1">
        <f t="shared" ref="E5664:F5664" si="4254">SUM(E4896+E5088+E5280+E5472)</f>
        <v>3272936</v>
      </c>
      <c r="F5664" s="1">
        <f t="shared" si="4254"/>
        <v>3276021</v>
      </c>
      <c r="G5664" s="1">
        <f t="shared" si="4167"/>
        <v>6548957</v>
      </c>
      <c r="H5664" s="2">
        <f t="shared" si="4168"/>
        <v>0.49976446631120042</v>
      </c>
      <c r="I5664" s="2">
        <f t="shared" si="4169"/>
        <v>0.50023553368879958</v>
      </c>
      <c r="J5664" s="1">
        <f t="shared" ref="J5664:K5664" si="4255">SUM(J4896+J5088+J5280+J5472)</f>
        <v>4765942.5299999993</v>
      </c>
      <c r="K5664" s="1">
        <f t="shared" si="4255"/>
        <v>10580476.41</v>
      </c>
      <c r="L5664" s="1">
        <f t="shared" si="4195"/>
        <v>15346418.939999999</v>
      </c>
      <c r="M5664" s="2">
        <f t="shared" si="4196"/>
        <v>0.31055730647217683</v>
      </c>
      <c r="N5664" s="2">
        <f t="shared" si="4197"/>
        <v>0.68944269352782317</v>
      </c>
    </row>
    <row r="5665" spans="1:14" x14ac:dyDescent="0.35">
      <c r="A5665" t="s">
        <v>38</v>
      </c>
      <c r="B5665" t="s">
        <v>29</v>
      </c>
      <c r="C5665">
        <v>2009</v>
      </c>
      <c r="D5665" t="s">
        <v>33</v>
      </c>
      <c r="E5665" s="1">
        <f t="shared" ref="E5665:F5665" si="4256">SUM(E4897+E5089+E5281+E5473)</f>
        <v>3250488</v>
      </c>
      <c r="F5665" s="1">
        <f t="shared" si="4256"/>
        <v>3300169</v>
      </c>
      <c r="G5665" s="1">
        <f t="shared" si="4167"/>
        <v>6550657</v>
      </c>
      <c r="H5665" s="2">
        <f t="shared" si="4168"/>
        <v>0.49620793761602844</v>
      </c>
      <c r="I5665" s="2">
        <f t="shared" si="4169"/>
        <v>0.50379206238397156</v>
      </c>
      <c r="J5665" s="1">
        <f t="shared" ref="J5665:K5665" si="4257">SUM(J4897+J5089+J5281+J5473)</f>
        <v>5179371.169999999</v>
      </c>
      <c r="K5665" s="1">
        <f t="shared" si="4257"/>
        <v>11113291.189999999</v>
      </c>
      <c r="L5665" s="1">
        <f t="shared" si="4195"/>
        <v>16292662.359999999</v>
      </c>
      <c r="M5665" s="2">
        <f t="shared" si="4196"/>
        <v>0.31789593717450604</v>
      </c>
      <c r="N5665" s="2">
        <f t="shared" si="4197"/>
        <v>0.68210406282549396</v>
      </c>
    </row>
    <row r="5666" spans="1:14" x14ac:dyDescent="0.35">
      <c r="A5666" t="s">
        <v>38</v>
      </c>
      <c r="B5666" t="s">
        <v>17</v>
      </c>
      <c r="C5666">
        <v>2010</v>
      </c>
      <c r="D5666" t="s">
        <v>33</v>
      </c>
      <c r="E5666" s="1">
        <f t="shared" ref="E5666:F5666" si="4258">SUM(E4898+E5090+E5282+E5474)</f>
        <v>3203131</v>
      </c>
      <c r="F5666" s="1">
        <f t="shared" si="4258"/>
        <v>3265220</v>
      </c>
      <c r="G5666" s="1">
        <f t="shared" si="4167"/>
        <v>6468351</v>
      </c>
      <c r="H5666" s="2">
        <f t="shared" si="4168"/>
        <v>0.49520055420616477</v>
      </c>
      <c r="I5666" s="2">
        <f t="shared" si="4169"/>
        <v>0.50479944579383529</v>
      </c>
      <c r="J5666" s="1">
        <f t="shared" ref="J5666:K5666" si="4259">SUM(J4898+J5090+J5282+J5474)</f>
        <v>6469781.0879999995</v>
      </c>
      <c r="K5666" s="1">
        <f t="shared" si="4259"/>
        <v>12144095.359000001</v>
      </c>
      <c r="L5666" s="1">
        <f t="shared" si="4195"/>
        <v>18613876.447000001</v>
      </c>
      <c r="M5666" s="2">
        <f t="shared" si="4196"/>
        <v>0.34757838360116194</v>
      </c>
      <c r="N5666" s="2">
        <f t="shared" si="4197"/>
        <v>0.65242161639883811</v>
      </c>
    </row>
    <row r="5667" spans="1:14" x14ac:dyDescent="0.35">
      <c r="A5667" t="s">
        <v>38</v>
      </c>
      <c r="B5667" t="s">
        <v>19</v>
      </c>
      <c r="C5667">
        <v>2010</v>
      </c>
      <c r="D5667" t="s">
        <v>33</v>
      </c>
      <c r="E5667" s="1">
        <f t="shared" ref="E5667:F5667" si="4260">SUM(E4899+E5091+E5283+E5475)</f>
        <v>3214727</v>
      </c>
      <c r="F5667" s="1">
        <f t="shared" si="4260"/>
        <v>3346793</v>
      </c>
      <c r="G5667" s="1">
        <f t="shared" si="4167"/>
        <v>6561520</v>
      </c>
      <c r="H5667" s="2">
        <f t="shared" si="4168"/>
        <v>0.48993632572940415</v>
      </c>
      <c r="I5667" s="2">
        <f t="shared" si="4169"/>
        <v>0.51006367427059585</v>
      </c>
      <c r="J5667" s="1">
        <f t="shared" ref="J5667:K5667" si="4261">SUM(J4899+J5091+J5283+J5475)</f>
        <v>5555763.8669999996</v>
      </c>
      <c r="K5667" s="1">
        <f t="shared" si="4261"/>
        <v>11166919.773</v>
      </c>
      <c r="L5667" s="1">
        <f t="shared" si="4195"/>
        <v>16722683.640000001</v>
      </c>
      <c r="M5667" s="2">
        <f t="shared" si="4196"/>
        <v>0.33222920355383817</v>
      </c>
      <c r="N5667" s="2">
        <f t="shared" si="4197"/>
        <v>0.66777079644616177</v>
      </c>
    </row>
    <row r="5668" spans="1:14" x14ac:dyDescent="0.35">
      <c r="A5668" t="s">
        <v>38</v>
      </c>
      <c r="B5668" t="s">
        <v>20</v>
      </c>
      <c r="C5668">
        <v>2010</v>
      </c>
      <c r="D5668" t="s">
        <v>33</v>
      </c>
      <c r="E5668" s="1">
        <f t="shared" ref="E5668:F5668" si="4262">SUM(E4900+E5092+E5284+E5476)</f>
        <v>3193773</v>
      </c>
      <c r="F5668" s="1">
        <f t="shared" si="4262"/>
        <v>3371129</v>
      </c>
      <c r="G5668" s="1">
        <f t="shared" si="4167"/>
        <v>6564902</v>
      </c>
      <c r="H5668" s="2">
        <f t="shared" si="4168"/>
        <v>0.48649210605124038</v>
      </c>
      <c r="I5668" s="2">
        <f t="shared" si="4169"/>
        <v>0.51350789394875962</v>
      </c>
      <c r="J5668" s="1">
        <f t="shared" ref="J5668:K5668" si="4263">SUM(J4900+J5092+J5284+J5476)</f>
        <v>5187644.1579999998</v>
      </c>
      <c r="K5668" s="1">
        <f t="shared" si="4263"/>
        <v>10843502.243000003</v>
      </c>
      <c r="L5668" s="1">
        <f t="shared" si="4195"/>
        <v>16031146.401000002</v>
      </c>
      <c r="M5668" s="2">
        <f t="shared" si="4196"/>
        <v>0.32359782814262122</v>
      </c>
      <c r="N5668" s="2">
        <f t="shared" si="4197"/>
        <v>0.67640217185737872</v>
      </c>
    </row>
    <row r="5669" spans="1:14" x14ac:dyDescent="0.35">
      <c r="A5669" t="s">
        <v>38</v>
      </c>
      <c r="B5669" t="s">
        <v>21</v>
      </c>
      <c r="C5669">
        <v>2010</v>
      </c>
      <c r="D5669" t="s">
        <v>33</v>
      </c>
      <c r="E5669" s="1">
        <f t="shared" ref="E5669:F5669" si="4264">SUM(E4901+E5093+E5285+E5477)</f>
        <v>3179609</v>
      </c>
      <c r="F5669" s="1">
        <f t="shared" si="4264"/>
        <v>3398044</v>
      </c>
      <c r="G5669" s="1">
        <f t="shared" si="4167"/>
        <v>6577653</v>
      </c>
      <c r="H5669" s="2">
        <f t="shared" si="4168"/>
        <v>0.48339567319832771</v>
      </c>
      <c r="I5669" s="2">
        <f t="shared" si="4169"/>
        <v>0.51660432680167223</v>
      </c>
      <c r="J5669" s="1">
        <f t="shared" ref="J5669:K5669" si="4265">SUM(J4901+J5093+J5285+J5477)</f>
        <v>4570856.17</v>
      </c>
      <c r="K5669" s="1">
        <f t="shared" si="4265"/>
        <v>10612688.201000001</v>
      </c>
      <c r="L5669" s="1">
        <f t="shared" si="4195"/>
        <v>15183544.371000001</v>
      </c>
      <c r="M5669" s="2">
        <f t="shared" si="4196"/>
        <v>0.30104012991394574</v>
      </c>
      <c r="N5669" s="2">
        <f t="shared" si="4197"/>
        <v>0.69895987008605431</v>
      </c>
    </row>
    <row r="5670" spans="1:14" x14ac:dyDescent="0.35">
      <c r="A5670" t="s">
        <v>38</v>
      </c>
      <c r="B5670" t="s">
        <v>22</v>
      </c>
      <c r="C5670">
        <v>2010</v>
      </c>
      <c r="D5670" t="s">
        <v>33</v>
      </c>
      <c r="E5670" s="1">
        <f t="shared" ref="E5670:F5670" si="4266">SUM(E4902+E5094+E5286+E5478)</f>
        <v>3161010</v>
      </c>
      <c r="F5670" s="1">
        <f t="shared" si="4266"/>
        <v>3422353</v>
      </c>
      <c r="G5670" s="1">
        <f t="shared" si="4167"/>
        <v>6583363</v>
      </c>
      <c r="H5670" s="2">
        <f t="shared" si="4168"/>
        <v>0.48015125400194397</v>
      </c>
      <c r="I5670" s="2">
        <f t="shared" si="4169"/>
        <v>0.51984874599805597</v>
      </c>
      <c r="J5670" s="1">
        <f t="shared" ref="J5670:K5670" si="4267">SUM(J4902+J5094+J5286+J5478)</f>
        <v>4608924.7699999996</v>
      </c>
      <c r="K5670" s="1">
        <f t="shared" si="4267"/>
        <v>11124708.948999999</v>
      </c>
      <c r="L5670" s="1">
        <f t="shared" si="4195"/>
        <v>15733633.718999999</v>
      </c>
      <c r="M5670" s="2">
        <f t="shared" si="4196"/>
        <v>0.29293454088957488</v>
      </c>
      <c r="N5670" s="2">
        <f t="shared" si="4197"/>
        <v>0.70706545911042507</v>
      </c>
    </row>
    <row r="5671" spans="1:14" x14ac:dyDescent="0.35">
      <c r="A5671" t="s">
        <v>38</v>
      </c>
      <c r="B5671" t="s">
        <v>23</v>
      </c>
      <c r="C5671">
        <v>2010</v>
      </c>
      <c r="D5671" t="s">
        <v>33</v>
      </c>
      <c r="E5671" s="1">
        <f t="shared" ref="E5671:F5671" si="4268">SUM(E4903+E5095+E5287+E5479)</f>
        <v>3141437</v>
      </c>
      <c r="F5671" s="1">
        <f t="shared" si="4268"/>
        <v>3454065</v>
      </c>
      <c r="G5671" s="1">
        <f t="shared" si="4167"/>
        <v>6595502</v>
      </c>
      <c r="H5671" s="2">
        <f t="shared" si="4168"/>
        <v>0.47629990863470284</v>
      </c>
      <c r="I5671" s="2">
        <f t="shared" si="4169"/>
        <v>0.52370009136529716</v>
      </c>
      <c r="J5671" s="1">
        <f t="shared" ref="J5671:K5671" si="4269">SUM(J4903+J5095+J5287+J5479)</f>
        <v>6424869.9500000002</v>
      </c>
      <c r="K5671" s="1">
        <f t="shared" si="4269"/>
        <v>13635674.722000001</v>
      </c>
      <c r="L5671" s="1">
        <f t="shared" si="4195"/>
        <v>20060544.672000002</v>
      </c>
      <c r="M5671" s="2">
        <f t="shared" si="4196"/>
        <v>0.32027395342698101</v>
      </c>
      <c r="N5671" s="2">
        <f t="shared" si="4197"/>
        <v>0.67972604657301894</v>
      </c>
    </row>
    <row r="5672" spans="1:14" x14ac:dyDescent="0.35">
      <c r="A5672" t="s">
        <v>38</v>
      </c>
      <c r="B5672" t="s">
        <v>24</v>
      </c>
      <c r="C5672">
        <v>2010</v>
      </c>
      <c r="D5672" t="s">
        <v>33</v>
      </c>
      <c r="E5672" s="1">
        <f t="shared" ref="E5672:F5672" si="4270">SUM(E4904+E5096+E5288+E5480)</f>
        <v>3114265</v>
      </c>
      <c r="F5672" s="1">
        <f t="shared" si="4270"/>
        <v>3483750</v>
      </c>
      <c r="G5672" s="1">
        <f t="shared" si="4167"/>
        <v>6598015</v>
      </c>
      <c r="H5672" s="2">
        <f t="shared" si="4168"/>
        <v>0.47200029099661034</v>
      </c>
      <c r="I5672" s="2">
        <f t="shared" si="4169"/>
        <v>0.52799970900338966</v>
      </c>
      <c r="J5672" s="1">
        <f t="shared" ref="J5672:K5672" si="4271">SUM(J4904+J5096+J5288+J5480)</f>
        <v>7253327</v>
      </c>
      <c r="K5672" s="1">
        <f t="shared" si="4271"/>
        <v>14836580.289999999</v>
      </c>
      <c r="L5672" s="1">
        <f t="shared" si="4195"/>
        <v>22089907.289999999</v>
      </c>
      <c r="M5672" s="2">
        <f t="shared" si="4196"/>
        <v>0.328354795915488</v>
      </c>
      <c r="N5672" s="2">
        <f t="shared" si="4197"/>
        <v>0.671645204084512</v>
      </c>
    </row>
    <row r="5673" spans="1:14" x14ac:dyDescent="0.35">
      <c r="A5673" t="s">
        <v>38</v>
      </c>
      <c r="B5673" t="s">
        <v>25</v>
      </c>
      <c r="C5673">
        <v>2010</v>
      </c>
      <c r="D5673" t="s">
        <v>33</v>
      </c>
      <c r="E5673" s="1">
        <f t="shared" ref="E5673:F5673" si="4272">SUM(E4905+E5097+E5289+E5481)</f>
        <v>3071555</v>
      </c>
      <c r="F5673" s="1">
        <f t="shared" si="4272"/>
        <v>3486618</v>
      </c>
      <c r="G5673" s="1">
        <f t="shared" si="4167"/>
        <v>6558173</v>
      </c>
      <c r="H5673" s="2">
        <f t="shared" si="4168"/>
        <v>0.46835528736433152</v>
      </c>
      <c r="I5673" s="2">
        <f t="shared" si="4169"/>
        <v>0.53164471263566848</v>
      </c>
      <c r="J5673" s="1">
        <f t="shared" ref="J5673:K5673" si="4273">SUM(J4905+J5097+J5289+J5481)</f>
        <v>7379770.2599999998</v>
      </c>
      <c r="K5673" s="1">
        <f t="shared" si="4273"/>
        <v>15099096.65</v>
      </c>
      <c r="L5673" s="1">
        <f t="shared" si="4195"/>
        <v>22478866.91</v>
      </c>
      <c r="M5673" s="2">
        <f t="shared" si="4196"/>
        <v>0.32829814285332232</v>
      </c>
      <c r="N5673" s="2">
        <f t="shared" si="4197"/>
        <v>0.67170185714667774</v>
      </c>
    </row>
    <row r="5674" spans="1:14" x14ac:dyDescent="0.35">
      <c r="A5674" t="s">
        <v>38</v>
      </c>
      <c r="B5674" t="s">
        <v>26</v>
      </c>
      <c r="C5674">
        <v>2010</v>
      </c>
      <c r="D5674" t="s">
        <v>33</v>
      </c>
      <c r="E5674" s="1">
        <f t="shared" ref="E5674:F5674" si="4274">SUM(E4906+E5098+E5290+E5482)</f>
        <v>3062375</v>
      </c>
      <c r="F5674" s="1">
        <f t="shared" si="4274"/>
        <v>3544761</v>
      </c>
      <c r="G5674" s="1">
        <f t="shared" si="4167"/>
        <v>6607136</v>
      </c>
      <c r="H5674" s="2">
        <f t="shared" si="4168"/>
        <v>0.46349507562732173</v>
      </c>
      <c r="I5674" s="2">
        <f t="shared" si="4169"/>
        <v>0.53650492437267827</v>
      </c>
      <c r="J5674" s="1">
        <f t="shared" ref="J5674:K5674" si="4275">SUM(J4906+J5098+J5290+J5482)</f>
        <v>7405321.0200000005</v>
      </c>
      <c r="K5674" s="1">
        <f t="shared" si="4275"/>
        <v>15500608.840000002</v>
      </c>
      <c r="L5674" s="1">
        <f t="shared" si="4195"/>
        <v>22905929.860000003</v>
      </c>
      <c r="M5674" s="2">
        <f t="shared" si="4196"/>
        <v>0.32329274843942091</v>
      </c>
      <c r="N5674" s="2">
        <f t="shared" si="4197"/>
        <v>0.67670725156057909</v>
      </c>
    </row>
    <row r="5675" spans="1:14" x14ac:dyDescent="0.35">
      <c r="A5675" t="s">
        <v>38</v>
      </c>
      <c r="B5675" t="s">
        <v>27</v>
      </c>
      <c r="C5675">
        <v>2010</v>
      </c>
      <c r="D5675" t="s">
        <v>33</v>
      </c>
      <c r="E5675" s="1">
        <f t="shared" ref="E5675:F5675" si="4276">SUM(E4907+E5099+E5291+E5483)</f>
        <v>3023009</v>
      </c>
      <c r="F5675" s="1">
        <f t="shared" si="4276"/>
        <v>3534384</v>
      </c>
      <c r="G5675" s="1">
        <f t="shared" si="4167"/>
        <v>6557393</v>
      </c>
      <c r="H5675" s="2">
        <f t="shared" si="4168"/>
        <v>0.46100775109864545</v>
      </c>
      <c r="I5675" s="2">
        <f t="shared" si="4169"/>
        <v>0.53899224890135455</v>
      </c>
      <c r="J5675" s="1">
        <f t="shared" ref="J5675:K5675" si="4277">SUM(J4907+J5099+J5291+J5483)</f>
        <v>5741108.5200000005</v>
      </c>
      <c r="K5675" s="1">
        <f t="shared" si="4277"/>
        <v>12936609.4</v>
      </c>
      <c r="L5675" s="1">
        <f t="shared" si="4195"/>
        <v>18677717.920000002</v>
      </c>
      <c r="M5675" s="2">
        <f t="shared" si="4196"/>
        <v>0.30737740791408202</v>
      </c>
      <c r="N5675" s="2">
        <f t="shared" si="4197"/>
        <v>0.69262259208591792</v>
      </c>
    </row>
    <row r="5676" spans="1:14" x14ac:dyDescent="0.35">
      <c r="A5676" t="s">
        <v>38</v>
      </c>
      <c r="B5676" t="s">
        <v>28</v>
      </c>
      <c r="C5676">
        <v>2010</v>
      </c>
      <c r="D5676" t="s">
        <v>33</v>
      </c>
      <c r="E5676" s="1">
        <f t="shared" ref="E5676:F5676" si="4278">SUM(E4908+E5100+E5292+E5484)</f>
        <v>3001406</v>
      </c>
      <c r="F5676" s="1">
        <f t="shared" si="4278"/>
        <v>3559459</v>
      </c>
      <c r="G5676" s="1">
        <f t="shared" si="4167"/>
        <v>6560865</v>
      </c>
      <c r="H5676" s="2">
        <f t="shared" si="4168"/>
        <v>0.4574710804139393</v>
      </c>
      <c r="I5676" s="2">
        <f t="shared" si="4169"/>
        <v>0.54252891958606064</v>
      </c>
      <c r="J5676" s="1">
        <f t="shared" ref="J5676:K5676" si="4279">SUM(J4908+J5100+J5292+J5484)</f>
        <v>4510085.03</v>
      </c>
      <c r="K5676" s="1">
        <f t="shared" si="4279"/>
        <v>11261330.84</v>
      </c>
      <c r="L5676" s="1">
        <f t="shared" si="4195"/>
        <v>15771415.870000001</v>
      </c>
      <c r="M5676" s="2">
        <f t="shared" si="4196"/>
        <v>0.28596576662333617</v>
      </c>
      <c r="N5676" s="2">
        <f t="shared" si="4197"/>
        <v>0.71403423337666383</v>
      </c>
    </row>
    <row r="5677" spans="1:14" x14ac:dyDescent="0.35">
      <c r="A5677" t="s">
        <v>38</v>
      </c>
      <c r="B5677" t="s">
        <v>29</v>
      </c>
      <c r="C5677">
        <v>2010</v>
      </c>
      <c r="D5677" t="s">
        <v>33</v>
      </c>
      <c r="E5677" s="1">
        <f t="shared" ref="E5677:F5677" si="4280">SUM(E4909+E5101+E5293+E5485)</f>
        <v>2992576</v>
      </c>
      <c r="F5677" s="1">
        <f t="shared" si="4280"/>
        <v>3601976</v>
      </c>
      <c r="G5677" s="1">
        <f t="shared" si="4167"/>
        <v>6594552</v>
      </c>
      <c r="H5677" s="2">
        <f t="shared" si="4168"/>
        <v>0.4537951933656752</v>
      </c>
      <c r="I5677" s="2">
        <f t="shared" si="4169"/>
        <v>0.5462048066343248</v>
      </c>
      <c r="J5677" s="1">
        <f t="shared" ref="J5677:K5677" si="4281">SUM(J4909+J5101+J5293+J5485)</f>
        <v>4749356.29</v>
      </c>
      <c r="K5677" s="1">
        <f t="shared" si="4281"/>
        <v>11692573.800000001</v>
      </c>
      <c r="L5677" s="1">
        <f t="shared" si="4195"/>
        <v>16441930.09</v>
      </c>
      <c r="M5677" s="2">
        <f t="shared" si="4196"/>
        <v>0.28885637294423017</v>
      </c>
      <c r="N5677" s="2">
        <f t="shared" si="4197"/>
        <v>0.71114362705576983</v>
      </c>
    </row>
    <row r="5678" spans="1:14" x14ac:dyDescent="0.35">
      <c r="A5678" t="s">
        <v>38</v>
      </c>
      <c r="B5678" t="s">
        <v>17</v>
      </c>
      <c r="C5678">
        <v>2011</v>
      </c>
      <c r="D5678" t="s">
        <v>33</v>
      </c>
      <c r="E5678" s="1">
        <f t="shared" ref="E5678:F5678" si="4282">SUM(E4910+E5102+E5294+E5486)</f>
        <v>2950866</v>
      </c>
      <c r="F5678" s="1">
        <f t="shared" si="4282"/>
        <v>3569775</v>
      </c>
      <c r="G5678" s="1">
        <f t="shared" si="4167"/>
        <v>6520641</v>
      </c>
      <c r="H5678" s="2">
        <f t="shared" si="4168"/>
        <v>0.45254231907568598</v>
      </c>
      <c r="I5678" s="2">
        <f t="shared" si="4169"/>
        <v>0.54745768092431402</v>
      </c>
      <c r="J5678" s="1">
        <f t="shared" ref="J5678:K5678" si="4283">SUM(J4910+J5102+J5294+J5486)</f>
        <v>5419798.3699999992</v>
      </c>
      <c r="K5678" s="1">
        <f t="shared" si="4283"/>
        <v>12278004.730000002</v>
      </c>
      <c r="L5678" s="1">
        <f t="shared" si="4195"/>
        <v>17697803.100000001</v>
      </c>
      <c r="M5678" s="2">
        <f t="shared" si="4196"/>
        <v>0.30624130799601895</v>
      </c>
      <c r="N5678" s="2">
        <f t="shared" si="4197"/>
        <v>0.6937586920039811</v>
      </c>
    </row>
    <row r="5679" spans="1:14" x14ac:dyDescent="0.35">
      <c r="A5679" t="s">
        <v>38</v>
      </c>
      <c r="B5679" t="s">
        <v>19</v>
      </c>
      <c r="C5679">
        <v>2011</v>
      </c>
      <c r="D5679" t="s">
        <v>33</v>
      </c>
      <c r="E5679" s="1">
        <f t="shared" ref="E5679:F5679" si="4284">SUM(E4911+E5103+E5295+E5487)</f>
        <v>2964275</v>
      </c>
      <c r="F5679" s="1">
        <f t="shared" si="4284"/>
        <v>3654806</v>
      </c>
      <c r="G5679" s="1">
        <f t="shared" si="4167"/>
        <v>6619081</v>
      </c>
      <c r="H5679" s="2">
        <f t="shared" si="4168"/>
        <v>0.44783784939329191</v>
      </c>
      <c r="I5679" s="2">
        <f t="shared" si="4169"/>
        <v>0.55216215060670815</v>
      </c>
      <c r="J5679" s="1">
        <f t="shared" ref="J5679:K5679" si="4285">SUM(J4911+J5103+J5295+J5487)</f>
        <v>5602014.1400000006</v>
      </c>
      <c r="K5679" s="1">
        <f t="shared" si="4285"/>
        <v>12777904.049999999</v>
      </c>
      <c r="L5679" s="1">
        <f t="shared" si="4195"/>
        <v>18379918.189999998</v>
      </c>
      <c r="M5679" s="2">
        <f t="shared" si="4196"/>
        <v>0.30478993878481464</v>
      </c>
      <c r="N5679" s="2">
        <f t="shared" si="4197"/>
        <v>0.69521006121518547</v>
      </c>
    </row>
    <row r="5680" spans="1:14" x14ac:dyDescent="0.35">
      <c r="A5680" t="s">
        <v>38</v>
      </c>
      <c r="B5680" t="s">
        <v>20</v>
      </c>
      <c r="C5680">
        <v>2011</v>
      </c>
      <c r="D5680" t="s">
        <v>33</v>
      </c>
      <c r="E5680" s="1">
        <f t="shared" ref="E5680:F5680" si="4286">SUM(E4912+E5104+E5296+E5488)</f>
        <v>2948945</v>
      </c>
      <c r="F5680" s="1">
        <f t="shared" si="4286"/>
        <v>3685511</v>
      </c>
      <c r="G5680" s="1">
        <f t="shared" si="4167"/>
        <v>6634456</v>
      </c>
      <c r="H5680" s="2">
        <f t="shared" si="4168"/>
        <v>0.44448934471793922</v>
      </c>
      <c r="I5680" s="2">
        <f t="shared" si="4169"/>
        <v>0.55551065528206078</v>
      </c>
      <c r="J5680" s="1">
        <f t="shared" ref="J5680:K5680" si="4287">SUM(J4912+J5104+J5296+J5488)</f>
        <v>4314155.42</v>
      </c>
      <c r="K5680" s="1">
        <f t="shared" si="4287"/>
        <v>10802904.220000001</v>
      </c>
      <c r="L5680" s="1">
        <f t="shared" si="4195"/>
        <v>15117059.640000001</v>
      </c>
      <c r="M5680" s="2">
        <f t="shared" si="4196"/>
        <v>0.28538323739787796</v>
      </c>
      <c r="N5680" s="2">
        <f t="shared" si="4197"/>
        <v>0.71461676260212204</v>
      </c>
    </row>
    <row r="5681" spans="1:14" x14ac:dyDescent="0.35">
      <c r="A5681" t="s">
        <v>38</v>
      </c>
      <c r="B5681" t="s">
        <v>21</v>
      </c>
      <c r="C5681">
        <v>2011</v>
      </c>
      <c r="D5681" t="s">
        <v>33</v>
      </c>
      <c r="E5681" s="1">
        <f t="shared" ref="E5681:F5681" si="4288">SUM(E4913+E5105+E5297+E5489)</f>
        <v>2917251</v>
      </c>
      <c r="F5681" s="1">
        <f t="shared" si="4288"/>
        <v>3684148</v>
      </c>
      <c r="G5681" s="1">
        <f t="shared" si="4167"/>
        <v>6601399</v>
      </c>
      <c r="H5681" s="2">
        <f t="shared" si="4168"/>
        <v>0.44191405488442675</v>
      </c>
      <c r="I5681" s="2">
        <f t="shared" si="4169"/>
        <v>0.55808594511557319</v>
      </c>
      <c r="J5681" s="1">
        <f t="shared" ref="J5681:K5681" si="4289">SUM(J4913+J5105+J5297+J5489)</f>
        <v>4066037.79</v>
      </c>
      <c r="K5681" s="1">
        <f t="shared" si="4289"/>
        <v>10746666.120000001</v>
      </c>
      <c r="L5681" s="1">
        <f t="shared" si="4195"/>
        <v>14812703.91</v>
      </c>
      <c r="M5681" s="2">
        <f t="shared" si="4196"/>
        <v>0.27449666277707968</v>
      </c>
      <c r="N5681" s="2">
        <f t="shared" si="4197"/>
        <v>0.72550333722292037</v>
      </c>
    </row>
    <row r="5682" spans="1:14" x14ac:dyDescent="0.35">
      <c r="A5682" t="s">
        <v>38</v>
      </c>
      <c r="B5682" t="s">
        <v>22</v>
      </c>
      <c r="C5682">
        <v>2011</v>
      </c>
      <c r="D5682" t="s">
        <v>33</v>
      </c>
      <c r="E5682" s="1">
        <f t="shared" ref="E5682:F5682" si="4290">SUM(E4914+E5106+E5298+E5490)</f>
        <v>2885108</v>
      </c>
      <c r="F5682" s="1">
        <f t="shared" si="4290"/>
        <v>3672354</v>
      </c>
      <c r="G5682" s="1">
        <f t="shared" si="4167"/>
        <v>6557462</v>
      </c>
      <c r="H5682" s="2">
        <f t="shared" si="4168"/>
        <v>0.43997327014628523</v>
      </c>
      <c r="I5682" s="2">
        <f t="shared" si="4169"/>
        <v>0.56002672985371471</v>
      </c>
      <c r="J5682" s="1">
        <f t="shared" ref="J5682:K5682" si="4291">SUM(J4914+J5106+J5298+J5490)</f>
        <v>4708862.1399999997</v>
      </c>
      <c r="K5682" s="1">
        <f t="shared" si="4291"/>
        <v>12396180.439999998</v>
      </c>
      <c r="L5682" s="1">
        <f t="shared" si="4195"/>
        <v>17105042.579999998</v>
      </c>
      <c r="M5682" s="2">
        <f t="shared" si="4196"/>
        <v>0.27529087507246652</v>
      </c>
      <c r="N5682" s="2">
        <f t="shared" si="4197"/>
        <v>0.72470912492753348</v>
      </c>
    </row>
    <row r="5683" spans="1:14" x14ac:dyDescent="0.35">
      <c r="A5683" t="s">
        <v>38</v>
      </c>
      <c r="B5683" t="s">
        <v>23</v>
      </c>
      <c r="C5683">
        <v>2011</v>
      </c>
      <c r="D5683" t="s">
        <v>33</v>
      </c>
      <c r="E5683" s="1">
        <f t="shared" ref="E5683:F5683" si="4292">SUM(E4915+E5107+E5299+E5491)</f>
        <v>2901479</v>
      </c>
      <c r="F5683" s="1">
        <f t="shared" si="4292"/>
        <v>3765493</v>
      </c>
      <c r="G5683" s="1">
        <f t="shared" si="4167"/>
        <v>6666972</v>
      </c>
      <c r="H5683" s="2">
        <f t="shared" si="4168"/>
        <v>0.43520191775216693</v>
      </c>
      <c r="I5683" s="2">
        <f t="shared" si="4169"/>
        <v>0.56479808224783301</v>
      </c>
      <c r="J5683" s="1">
        <f t="shared" ref="J5683:K5683" si="4293">SUM(J4915+J5107+J5299+J5491)</f>
        <v>5998753.9900000002</v>
      </c>
      <c r="K5683" s="1">
        <f t="shared" si="4293"/>
        <v>14691437.620000001</v>
      </c>
      <c r="L5683" s="1">
        <f t="shared" si="4195"/>
        <v>20690191.609999999</v>
      </c>
      <c r="M5683" s="2">
        <f t="shared" si="4196"/>
        <v>0.28993225887287954</v>
      </c>
      <c r="N5683" s="2">
        <f t="shared" si="4197"/>
        <v>0.71006774112712057</v>
      </c>
    </row>
    <row r="5684" spans="1:14" x14ac:dyDescent="0.35">
      <c r="A5684" t="s">
        <v>38</v>
      </c>
      <c r="B5684" t="s">
        <v>24</v>
      </c>
      <c r="C5684">
        <v>2011</v>
      </c>
      <c r="D5684" t="s">
        <v>33</v>
      </c>
      <c r="E5684" s="1">
        <f t="shared" ref="E5684:F5684" si="4294">SUM(E4916+E5108+E5300+E5492)</f>
        <v>2857537</v>
      </c>
      <c r="F5684" s="1">
        <f t="shared" si="4294"/>
        <v>3764210</v>
      </c>
      <c r="G5684" s="1">
        <f t="shared" si="4167"/>
        <v>6621747</v>
      </c>
      <c r="H5684" s="2">
        <f t="shared" si="4168"/>
        <v>0.43153823303729361</v>
      </c>
      <c r="I5684" s="2">
        <f t="shared" si="4169"/>
        <v>0.56846176696270634</v>
      </c>
      <c r="J5684" s="1">
        <f t="shared" ref="J5684:K5684" si="4295">SUM(J4916+J5108+J5300+J5492)</f>
        <v>7249851.879999999</v>
      </c>
      <c r="K5684" s="1">
        <f t="shared" si="4295"/>
        <v>16394676.630000001</v>
      </c>
      <c r="L5684" s="1">
        <f t="shared" si="4195"/>
        <v>23644528.509999998</v>
      </c>
      <c r="M5684" s="2">
        <f t="shared" si="4196"/>
        <v>0.30661858522295393</v>
      </c>
      <c r="N5684" s="2">
        <f t="shared" si="4197"/>
        <v>0.69338141477704607</v>
      </c>
    </row>
    <row r="5685" spans="1:14" x14ac:dyDescent="0.35">
      <c r="A5685" t="s">
        <v>38</v>
      </c>
      <c r="B5685" t="s">
        <v>25</v>
      </c>
      <c r="C5685">
        <v>2011</v>
      </c>
      <c r="D5685" t="s">
        <v>33</v>
      </c>
      <c r="E5685" s="1">
        <f t="shared" ref="E5685:F5685" si="4296">SUM(E4917+E5109+E5301+E5493)</f>
        <v>2866281</v>
      </c>
      <c r="F5685" s="1">
        <f t="shared" si="4296"/>
        <v>3823720</v>
      </c>
      <c r="G5685" s="1">
        <f t="shared" si="4167"/>
        <v>6690001</v>
      </c>
      <c r="H5685" s="2">
        <f t="shared" si="4168"/>
        <v>0.4284425368546283</v>
      </c>
      <c r="I5685" s="2">
        <f t="shared" si="4169"/>
        <v>0.5715574631453717</v>
      </c>
      <c r="J5685" s="1">
        <f t="shared" ref="J5685:K5685" si="4297">SUM(J4917+J5109+J5301+J5493)</f>
        <v>7498917.5149999997</v>
      </c>
      <c r="K5685" s="1">
        <f t="shared" si="4297"/>
        <v>16881755.009999998</v>
      </c>
      <c r="L5685" s="1">
        <f t="shared" si="4195"/>
        <v>24380672.524999999</v>
      </c>
      <c r="M5685" s="2">
        <f t="shared" si="4196"/>
        <v>0.30757631920573941</v>
      </c>
      <c r="N5685" s="2">
        <f t="shared" si="4197"/>
        <v>0.69242368079426053</v>
      </c>
    </row>
    <row r="5686" spans="1:14" x14ac:dyDescent="0.35">
      <c r="A5686" t="s">
        <v>38</v>
      </c>
      <c r="B5686" t="s">
        <v>26</v>
      </c>
      <c r="C5686">
        <v>2011</v>
      </c>
      <c r="D5686" t="s">
        <v>33</v>
      </c>
      <c r="E5686" s="1">
        <f t="shared" ref="E5686:F5686" si="4298">SUM(E4918+E5110+E5302+E5494)</f>
        <v>2831450</v>
      </c>
      <c r="F5686" s="1">
        <f t="shared" si="4298"/>
        <v>3797364</v>
      </c>
      <c r="G5686" s="1">
        <f t="shared" si="4167"/>
        <v>6628814</v>
      </c>
      <c r="H5686" s="2">
        <f t="shared" si="4168"/>
        <v>0.42714277395624617</v>
      </c>
      <c r="I5686" s="2">
        <f t="shared" si="4169"/>
        <v>0.57285722604375378</v>
      </c>
      <c r="J5686" s="1">
        <f t="shared" ref="J5686:K5686" si="4299">SUM(J4918+J5110+J5302+J5494)</f>
        <v>7126136.7499999991</v>
      </c>
      <c r="K5686" s="1">
        <f t="shared" si="4299"/>
        <v>16609324.759999998</v>
      </c>
      <c r="L5686" s="1">
        <f t="shared" si="4195"/>
        <v>23735461.509999998</v>
      </c>
      <c r="M5686" s="2">
        <f t="shared" si="4196"/>
        <v>0.3002316490453612</v>
      </c>
      <c r="N5686" s="2">
        <f t="shared" si="4197"/>
        <v>0.69976835095463874</v>
      </c>
    </row>
    <row r="5687" spans="1:14" x14ac:dyDescent="0.35">
      <c r="A5687" t="s">
        <v>38</v>
      </c>
      <c r="B5687" t="s">
        <v>27</v>
      </c>
      <c r="C5687">
        <v>2011</v>
      </c>
      <c r="D5687" t="s">
        <v>33</v>
      </c>
      <c r="E5687" s="1">
        <f t="shared" ref="E5687:F5687" si="4300">SUM(E4919+E5111+E5303+E5495)</f>
        <v>2809824</v>
      </c>
      <c r="F5687" s="1">
        <f t="shared" si="4300"/>
        <v>3802327</v>
      </c>
      <c r="G5687" s="1">
        <f t="shared" ref="G5687:G5750" si="4301">SUM(E5687:F5687)</f>
        <v>6612151</v>
      </c>
      <c r="H5687" s="2">
        <f t="shared" ref="H5687:H5750" si="4302">SUM(E5687)/G5687</f>
        <v>0.42494855305028573</v>
      </c>
      <c r="I5687" s="2">
        <f t="shared" ref="I5687:I5750" si="4303">SUM(F5687/G5687)</f>
        <v>0.57505144694971422</v>
      </c>
      <c r="J5687" s="1">
        <f t="shared" ref="J5687:K5687" si="4304">SUM(J4919+J5111+J5303+J5495)</f>
        <v>5381212.2200000007</v>
      </c>
      <c r="K5687" s="1">
        <f t="shared" si="4304"/>
        <v>13888969.390000001</v>
      </c>
      <c r="L5687" s="1">
        <f t="shared" si="4195"/>
        <v>19270181.609999999</v>
      </c>
      <c r="M5687" s="2">
        <f t="shared" si="4196"/>
        <v>0.2792507267916714</v>
      </c>
      <c r="N5687" s="2">
        <f t="shared" si="4197"/>
        <v>0.72074927320832871</v>
      </c>
    </row>
    <row r="5688" spans="1:14" x14ac:dyDescent="0.35">
      <c r="A5688" t="s">
        <v>38</v>
      </c>
      <c r="B5688" t="s">
        <v>28</v>
      </c>
      <c r="C5688">
        <v>2011</v>
      </c>
      <c r="D5688" t="s">
        <v>33</v>
      </c>
      <c r="E5688" s="1">
        <f t="shared" ref="E5688:F5688" si="4305">SUM(E4920+E5112+E5304+E5496)</f>
        <v>2805278</v>
      </c>
      <c r="F5688" s="1">
        <f t="shared" si="4305"/>
        <v>3849078</v>
      </c>
      <c r="G5688" s="1">
        <f t="shared" si="4301"/>
        <v>6654356</v>
      </c>
      <c r="H5688" s="2">
        <f t="shared" si="4302"/>
        <v>0.4215701714786525</v>
      </c>
      <c r="I5688" s="2">
        <f t="shared" si="4303"/>
        <v>0.5784298285213475</v>
      </c>
      <c r="J5688" s="1">
        <f t="shared" ref="J5688:K5688" si="4306">SUM(J4920+J5112+J5304+J5496)</f>
        <v>4172860.1</v>
      </c>
      <c r="K5688" s="1">
        <f t="shared" si="4306"/>
        <v>11708853.929999998</v>
      </c>
      <c r="L5688" s="1">
        <f t="shared" si="4195"/>
        <v>15881714.029999997</v>
      </c>
      <c r="M5688" s="2">
        <f t="shared" si="4196"/>
        <v>0.26274620561216594</v>
      </c>
      <c r="N5688" s="2">
        <f t="shared" si="4197"/>
        <v>0.73725379438783412</v>
      </c>
    </row>
    <row r="5689" spans="1:14" x14ac:dyDescent="0.35">
      <c r="A5689" t="s">
        <v>38</v>
      </c>
      <c r="B5689" t="s">
        <v>29</v>
      </c>
      <c r="C5689">
        <v>2011</v>
      </c>
      <c r="D5689" t="s">
        <v>33</v>
      </c>
      <c r="E5689" s="1">
        <f t="shared" ref="E5689:F5689" si="4307">SUM(E4921+E5113+E5305+E5497)</f>
        <v>2763265</v>
      </c>
      <c r="F5689" s="1">
        <f t="shared" si="4307"/>
        <v>3796188</v>
      </c>
      <c r="G5689" s="1">
        <f t="shared" si="4301"/>
        <v>6559453</v>
      </c>
      <c r="H5689" s="2">
        <f t="shared" si="4302"/>
        <v>0.42126454751638587</v>
      </c>
      <c r="I5689" s="2">
        <f t="shared" si="4303"/>
        <v>0.57873545248361413</v>
      </c>
      <c r="J5689" s="1">
        <f t="shared" ref="J5689:K5689" si="4308">SUM(J4921+J5113+J5305+J5497)</f>
        <v>4456802.21</v>
      </c>
      <c r="K5689" s="1">
        <f t="shared" si="4308"/>
        <v>12070683</v>
      </c>
      <c r="L5689" s="1">
        <f t="shared" si="4195"/>
        <v>16527485.210000001</v>
      </c>
      <c r="M5689" s="2">
        <f t="shared" si="4196"/>
        <v>0.26966003317331055</v>
      </c>
      <c r="N5689" s="2">
        <f t="shared" si="4197"/>
        <v>0.73033996682668934</v>
      </c>
    </row>
    <row r="5690" spans="1:14" x14ac:dyDescent="0.35">
      <c r="A5690" t="s">
        <v>38</v>
      </c>
      <c r="B5690" t="s">
        <v>17</v>
      </c>
      <c r="C5690">
        <v>2012</v>
      </c>
      <c r="D5690" t="s">
        <v>33</v>
      </c>
      <c r="E5690" s="1">
        <f t="shared" ref="E5690:F5690" si="4309">SUM(E4922+E5114+E5306+E5498)</f>
        <v>2761682</v>
      </c>
      <c r="F5690" s="1">
        <f t="shared" si="4309"/>
        <v>3840548</v>
      </c>
      <c r="G5690" s="1">
        <f t="shared" si="4301"/>
        <v>6602230</v>
      </c>
      <c r="H5690" s="2">
        <f t="shared" si="4302"/>
        <v>0.41829533354639264</v>
      </c>
      <c r="I5690" s="2">
        <f t="shared" si="4303"/>
        <v>0.5817046664536073</v>
      </c>
      <c r="J5690" s="1">
        <f t="shared" ref="J5690:K5690" si="4310">SUM(J4922+J5114+J5306+J5498)</f>
        <v>4777948.09</v>
      </c>
      <c r="K5690" s="1">
        <f t="shared" si="4310"/>
        <v>12615282.99</v>
      </c>
      <c r="L5690" s="1">
        <f t="shared" si="4195"/>
        <v>17393231.079999998</v>
      </c>
      <c r="M5690" s="2">
        <f t="shared" si="4196"/>
        <v>0.27470158178338883</v>
      </c>
      <c r="N5690" s="2">
        <f t="shared" si="4197"/>
        <v>0.72529841821661123</v>
      </c>
    </row>
    <row r="5691" spans="1:14" x14ac:dyDescent="0.35">
      <c r="A5691" t="s">
        <v>38</v>
      </c>
      <c r="B5691" t="s">
        <v>19</v>
      </c>
      <c r="C5691">
        <v>2012</v>
      </c>
      <c r="D5691" t="s">
        <v>33</v>
      </c>
      <c r="E5691" s="1">
        <f t="shared" ref="E5691:F5691" si="4311">SUM(E4923+E5115+E5307+E5499)</f>
        <v>2765948</v>
      </c>
      <c r="F5691" s="1">
        <f t="shared" si="4311"/>
        <v>3894279</v>
      </c>
      <c r="G5691" s="1">
        <f t="shared" si="4301"/>
        <v>6660227</v>
      </c>
      <c r="H5691" s="2">
        <f t="shared" si="4302"/>
        <v>0.41529335261395744</v>
      </c>
      <c r="I5691" s="2">
        <f t="shared" si="4303"/>
        <v>0.5847066473860425</v>
      </c>
      <c r="J5691" s="1">
        <f t="shared" ref="J5691:K5691" si="4312">SUM(J4923+J5115+J5307+J5499)</f>
        <v>4153671.28</v>
      </c>
      <c r="K5691" s="1">
        <f t="shared" si="4312"/>
        <v>11916722.760000002</v>
      </c>
      <c r="L5691" s="1">
        <f t="shared" si="4195"/>
        <v>16070394.040000001</v>
      </c>
      <c r="M5691" s="2">
        <f t="shared" si="4196"/>
        <v>0.25846729518027423</v>
      </c>
      <c r="N5691" s="2">
        <f t="shared" si="4197"/>
        <v>0.74153270481972577</v>
      </c>
    </row>
    <row r="5692" spans="1:14" x14ac:dyDescent="0.35">
      <c r="A5692" t="s">
        <v>38</v>
      </c>
      <c r="B5692" t="s">
        <v>20</v>
      </c>
      <c r="C5692">
        <v>2012</v>
      </c>
      <c r="D5692" t="s">
        <v>33</v>
      </c>
      <c r="E5692" s="1">
        <f t="shared" ref="E5692:F5692" si="4313">SUM(E4924+E5116+E5308+E5500)</f>
        <v>2768830</v>
      </c>
      <c r="F5692" s="1">
        <f t="shared" si="4313"/>
        <v>3953298</v>
      </c>
      <c r="G5692" s="1">
        <f t="shared" si="4301"/>
        <v>6722128</v>
      </c>
      <c r="H5692" s="2">
        <f t="shared" si="4302"/>
        <v>0.41189783949368414</v>
      </c>
      <c r="I5692" s="2">
        <f t="shared" si="4303"/>
        <v>0.58810216050631581</v>
      </c>
      <c r="J5692" s="1">
        <f t="shared" ref="J5692:K5692" si="4314">SUM(J4924+J5116+J5308+J5500)</f>
        <v>3836268.09</v>
      </c>
      <c r="K5692" s="1">
        <f t="shared" si="4314"/>
        <v>11421357.970000003</v>
      </c>
      <c r="L5692" s="1">
        <f t="shared" si="4195"/>
        <v>15257626.060000002</v>
      </c>
      <c r="M5692" s="2">
        <f t="shared" si="4196"/>
        <v>0.25143282938735223</v>
      </c>
      <c r="N5692" s="2">
        <f t="shared" si="4197"/>
        <v>0.74856717061264777</v>
      </c>
    </row>
    <row r="5693" spans="1:14" x14ac:dyDescent="0.35">
      <c r="A5693" t="s">
        <v>38</v>
      </c>
      <c r="B5693" t="s">
        <v>21</v>
      </c>
      <c r="C5693">
        <v>2012</v>
      </c>
      <c r="D5693" t="s">
        <v>33</v>
      </c>
      <c r="E5693" s="1">
        <f t="shared" ref="E5693:F5693" si="4315">SUM(E4925+E5117+E5309+E5501)</f>
        <v>2753448</v>
      </c>
      <c r="F5693" s="1">
        <f t="shared" si="4315"/>
        <v>3976264</v>
      </c>
      <c r="G5693" s="1">
        <f t="shared" si="4301"/>
        <v>6729712</v>
      </c>
      <c r="H5693" s="2">
        <f t="shared" si="4302"/>
        <v>0.40914796948220072</v>
      </c>
      <c r="I5693" s="2">
        <f t="shared" si="4303"/>
        <v>0.59085203051779922</v>
      </c>
      <c r="J5693" s="1">
        <f t="shared" ref="J5693:K5693" si="4316">SUM(J4925+J5117+J5309+J5501)</f>
        <v>4058034.4799999995</v>
      </c>
      <c r="K5693" s="1">
        <f t="shared" si="4316"/>
        <v>12472687.800000003</v>
      </c>
      <c r="L5693" s="1">
        <f t="shared" si="4195"/>
        <v>16530722.280000001</v>
      </c>
      <c r="M5693" s="2">
        <f t="shared" si="4196"/>
        <v>0.2454844023911579</v>
      </c>
      <c r="N5693" s="2">
        <f t="shared" si="4197"/>
        <v>0.75451559760884213</v>
      </c>
    </row>
    <row r="5694" spans="1:14" x14ac:dyDescent="0.35">
      <c r="A5694" t="s">
        <v>38</v>
      </c>
      <c r="B5694" t="s">
        <v>22</v>
      </c>
      <c r="C5694">
        <v>2012</v>
      </c>
      <c r="D5694" t="s">
        <v>33</v>
      </c>
      <c r="E5694" s="1">
        <f t="shared" ref="E5694:F5694" si="4317">SUM(E4926+E5118+E5310+E5502)</f>
        <v>2742121</v>
      </c>
      <c r="F5694" s="1">
        <f t="shared" si="4317"/>
        <v>4001806</v>
      </c>
      <c r="G5694" s="1">
        <f t="shared" si="4301"/>
        <v>6743927</v>
      </c>
      <c r="H5694" s="2">
        <f t="shared" si="4302"/>
        <v>0.40660597304804752</v>
      </c>
      <c r="I5694" s="2">
        <f t="shared" si="4303"/>
        <v>0.59339402695195242</v>
      </c>
      <c r="J5694" s="1">
        <f t="shared" ref="J5694:K5694" si="4318">SUM(J4926+J5118+J5310+J5502)</f>
        <v>4444951.66</v>
      </c>
      <c r="K5694" s="1">
        <f t="shared" si="4318"/>
        <v>13148129.879999999</v>
      </c>
      <c r="L5694" s="1">
        <f t="shared" si="4195"/>
        <v>17593081.539999999</v>
      </c>
      <c r="M5694" s="2">
        <f t="shared" si="4196"/>
        <v>0.25265338820228084</v>
      </c>
      <c r="N5694" s="2">
        <f t="shared" si="4197"/>
        <v>0.74734661179771922</v>
      </c>
    </row>
    <row r="5695" spans="1:14" x14ac:dyDescent="0.35">
      <c r="A5695" t="s">
        <v>38</v>
      </c>
      <c r="B5695" t="s">
        <v>23</v>
      </c>
      <c r="C5695">
        <v>2012</v>
      </c>
      <c r="D5695" t="s">
        <v>33</v>
      </c>
      <c r="E5695" s="1">
        <f t="shared" ref="E5695:F5695" si="4319">SUM(E4927+E5119+E5311+E5503)</f>
        <v>2721348</v>
      </c>
      <c r="F5695" s="1">
        <f t="shared" si="4319"/>
        <v>4023979</v>
      </c>
      <c r="G5695" s="1">
        <f t="shared" si="4301"/>
        <v>6745327</v>
      </c>
      <c r="H5695" s="2">
        <f t="shared" si="4302"/>
        <v>0.40344196804691601</v>
      </c>
      <c r="I5695" s="2">
        <f t="shared" si="4303"/>
        <v>0.59655803195308399</v>
      </c>
      <c r="J5695" s="1">
        <f t="shared" ref="J5695:K5695" si="4320">SUM(J4927+J5119+J5311+J5503)</f>
        <v>5466374.0899999989</v>
      </c>
      <c r="K5695" s="1">
        <f t="shared" si="4320"/>
        <v>15319034.68</v>
      </c>
      <c r="L5695" s="1">
        <f t="shared" si="4195"/>
        <v>20785408.77</v>
      </c>
      <c r="M5695" s="2">
        <f t="shared" si="4196"/>
        <v>0.26299093515494038</v>
      </c>
      <c r="N5695" s="2">
        <f t="shared" si="4197"/>
        <v>0.73700906484505957</v>
      </c>
    </row>
    <row r="5696" spans="1:14" x14ac:dyDescent="0.35">
      <c r="A5696" t="s">
        <v>38</v>
      </c>
      <c r="B5696" t="s">
        <v>24</v>
      </c>
      <c r="C5696">
        <v>2012</v>
      </c>
      <c r="D5696" t="s">
        <v>33</v>
      </c>
      <c r="E5696" s="1">
        <f t="shared" ref="E5696:F5696" si="4321">SUM(E4928+E5120+E5312+E5504)</f>
        <v>2714777</v>
      </c>
      <c r="F5696" s="1">
        <f t="shared" si="4321"/>
        <v>4062495</v>
      </c>
      <c r="G5696" s="1">
        <f t="shared" si="4301"/>
        <v>6777272</v>
      </c>
      <c r="H5696" s="2">
        <f t="shared" si="4302"/>
        <v>0.40057076062462893</v>
      </c>
      <c r="I5696" s="2">
        <f t="shared" si="4303"/>
        <v>0.59942923937537107</v>
      </c>
      <c r="J5696" s="1">
        <f t="shared" ref="J5696:K5696" si="4322">SUM(J4928+J5120+J5312+J5504)</f>
        <v>6217641.0999999996</v>
      </c>
      <c r="K5696" s="1">
        <f t="shared" si="4322"/>
        <v>16589894.49</v>
      </c>
      <c r="L5696" s="1">
        <f t="shared" si="4195"/>
        <v>22807535.59</v>
      </c>
      <c r="M5696" s="2">
        <f t="shared" si="4196"/>
        <v>0.27261345599855752</v>
      </c>
      <c r="N5696" s="2">
        <f t="shared" si="4197"/>
        <v>0.72738654400144243</v>
      </c>
    </row>
    <row r="5697" spans="1:14" x14ac:dyDescent="0.35">
      <c r="A5697" t="s">
        <v>38</v>
      </c>
      <c r="B5697" t="s">
        <v>25</v>
      </c>
      <c r="C5697">
        <v>2012</v>
      </c>
      <c r="D5697" t="s">
        <v>33</v>
      </c>
      <c r="E5697" s="1">
        <f t="shared" ref="E5697:F5697" si="4323">SUM(E4929+E5121+E5313+E5505)</f>
        <v>2708722</v>
      </c>
      <c r="F5697" s="1">
        <f t="shared" si="4323"/>
        <v>4077524</v>
      </c>
      <c r="G5697" s="1">
        <f t="shared" si="4301"/>
        <v>6786246</v>
      </c>
      <c r="H5697" s="2">
        <f t="shared" si="4302"/>
        <v>0.39914880775026429</v>
      </c>
      <c r="I5697" s="2">
        <f t="shared" si="4303"/>
        <v>0.60085119224973571</v>
      </c>
      <c r="J5697" s="1">
        <f t="shared" ref="J5697:K5697" si="4324">SUM(J4929+J5121+J5313+J5505)</f>
        <v>6368033.5960000008</v>
      </c>
      <c r="K5697" s="1">
        <f t="shared" si="4324"/>
        <v>16901103.949000001</v>
      </c>
      <c r="L5697" s="1">
        <f t="shared" si="4195"/>
        <v>23269137.545000002</v>
      </c>
      <c r="M5697" s="2">
        <f t="shared" si="4196"/>
        <v>0.27366865590462519</v>
      </c>
      <c r="N5697" s="2">
        <f t="shared" si="4197"/>
        <v>0.72633134409537481</v>
      </c>
    </row>
    <row r="5698" spans="1:14" x14ac:dyDescent="0.35">
      <c r="A5698" t="s">
        <v>38</v>
      </c>
      <c r="B5698" t="s">
        <v>26</v>
      </c>
      <c r="C5698">
        <v>2012</v>
      </c>
      <c r="D5698" t="s">
        <v>33</v>
      </c>
      <c r="E5698" s="1">
        <f t="shared" ref="E5698:F5698" si="4325">SUM(E4930+E5122+E5314+E5506)</f>
        <v>2700000</v>
      </c>
      <c r="F5698" s="1">
        <f t="shared" si="4325"/>
        <v>4088270</v>
      </c>
      <c r="G5698" s="1">
        <f t="shared" si="4301"/>
        <v>6788270</v>
      </c>
      <c r="H5698" s="2">
        <f t="shared" si="4302"/>
        <v>0.39774493353976786</v>
      </c>
      <c r="I5698" s="2">
        <f t="shared" si="4303"/>
        <v>0.60225506646023219</v>
      </c>
      <c r="J5698" s="1">
        <f t="shared" ref="J5698:K5698" si="4326">SUM(J4930+J5122+J5314+J5506)</f>
        <v>6213333.7299999995</v>
      </c>
      <c r="K5698" s="1">
        <f t="shared" si="4326"/>
        <v>16781043.370000001</v>
      </c>
      <c r="L5698" s="1">
        <f t="shared" si="4195"/>
        <v>22994377.100000001</v>
      </c>
      <c r="M5698" s="2">
        <f t="shared" si="4196"/>
        <v>0.27021100432418321</v>
      </c>
      <c r="N5698" s="2">
        <f t="shared" si="4197"/>
        <v>0.72978899567581679</v>
      </c>
    </row>
    <row r="5699" spans="1:14" x14ac:dyDescent="0.35">
      <c r="A5699" t="s">
        <v>38</v>
      </c>
      <c r="B5699" t="s">
        <v>27</v>
      </c>
      <c r="C5699">
        <v>2012</v>
      </c>
      <c r="D5699" t="s">
        <v>33</v>
      </c>
      <c r="E5699" s="1">
        <f t="shared" ref="E5699:F5699" si="4327">SUM(E4931+E5123+E5315+E5507)</f>
        <v>2688592</v>
      </c>
      <c r="F5699" s="1">
        <f t="shared" si="4327"/>
        <v>4093675</v>
      </c>
      <c r="G5699" s="1">
        <f t="shared" si="4301"/>
        <v>6782267</v>
      </c>
      <c r="H5699" s="2">
        <f t="shared" si="4302"/>
        <v>0.39641494503239111</v>
      </c>
      <c r="I5699" s="2">
        <f t="shared" si="4303"/>
        <v>0.60358505496760895</v>
      </c>
      <c r="J5699" s="1">
        <f t="shared" ref="J5699:K5699" si="4328">SUM(J4931+J5123+J5315+J5507)</f>
        <v>4918023.3899999997</v>
      </c>
      <c r="K5699" s="1">
        <f t="shared" si="4328"/>
        <v>14262612.930000002</v>
      </c>
      <c r="L5699" s="1">
        <f t="shared" ref="L5699:L5761" si="4329">SUM(J5699:K5699)</f>
        <v>19180636.32</v>
      </c>
      <c r="M5699" s="2">
        <f t="shared" ref="M5699:M5761" si="4330">SUM(J5699)/L5699</f>
        <v>0.25640564306367075</v>
      </c>
      <c r="N5699" s="2">
        <f t="shared" ref="N5699:N5761" si="4331">SUM(K5699/L5699)</f>
        <v>0.74359435693632925</v>
      </c>
    </row>
    <row r="5700" spans="1:14" x14ac:dyDescent="0.35">
      <c r="A5700" t="s">
        <v>38</v>
      </c>
      <c r="B5700" t="s">
        <v>28</v>
      </c>
      <c r="C5700">
        <v>2012</v>
      </c>
      <c r="D5700" t="s">
        <v>33</v>
      </c>
      <c r="E5700" s="1">
        <f t="shared" ref="E5700:F5700" si="4332">SUM(E4932+E5124+E5316+E5508)</f>
        <v>2676544</v>
      </c>
      <c r="F5700" s="1">
        <f t="shared" si="4332"/>
        <v>4109432</v>
      </c>
      <c r="G5700" s="1">
        <f t="shared" si="4301"/>
        <v>6785976</v>
      </c>
      <c r="H5700" s="2">
        <f t="shared" si="4302"/>
        <v>0.3944228508913088</v>
      </c>
      <c r="I5700" s="2">
        <f t="shared" si="4303"/>
        <v>0.6055771491086912</v>
      </c>
      <c r="J5700" s="1">
        <f t="shared" ref="J5700:K5700" si="4333">SUM(J4932+J5124+J5316+J5508)</f>
        <v>4138778.26</v>
      </c>
      <c r="K5700" s="1">
        <f t="shared" si="4333"/>
        <v>12772902.540000001</v>
      </c>
      <c r="L5700" s="1">
        <f t="shared" si="4329"/>
        <v>16911680.800000001</v>
      </c>
      <c r="M5700" s="2">
        <f t="shared" si="4330"/>
        <v>0.24472897217880316</v>
      </c>
      <c r="N5700" s="2">
        <f t="shared" si="4331"/>
        <v>0.75527102782119682</v>
      </c>
    </row>
    <row r="5701" spans="1:14" x14ac:dyDescent="0.35">
      <c r="A5701" t="s">
        <v>38</v>
      </c>
      <c r="B5701" t="s">
        <v>29</v>
      </c>
      <c r="C5701">
        <v>2012</v>
      </c>
      <c r="D5701" t="s">
        <v>33</v>
      </c>
      <c r="E5701" s="1">
        <f t="shared" ref="E5701:F5701" si="4334">SUM(E4933+E5125+E5317+E5509)</f>
        <v>2668467</v>
      </c>
      <c r="F5701" s="1">
        <f t="shared" si="4334"/>
        <v>4119665</v>
      </c>
      <c r="G5701" s="1">
        <f t="shared" si="4301"/>
        <v>6788132</v>
      </c>
      <c r="H5701" s="2">
        <f t="shared" si="4302"/>
        <v>0.3931077062143164</v>
      </c>
      <c r="I5701" s="2">
        <f t="shared" si="4303"/>
        <v>0.60689229378568366</v>
      </c>
      <c r="J5701" s="1">
        <f t="shared" ref="J5701:K5701" si="4335">SUM(J4933+J5125+J5317+J5509)</f>
        <v>4035204.8100000005</v>
      </c>
      <c r="K5701" s="1">
        <f t="shared" si="4335"/>
        <v>12465818.420000002</v>
      </c>
      <c r="L5701" s="1">
        <f t="shared" si="4329"/>
        <v>16501023.230000002</v>
      </c>
      <c r="M5701" s="2">
        <f t="shared" si="4330"/>
        <v>0.24454270221641281</v>
      </c>
      <c r="N5701" s="2">
        <f t="shared" si="4331"/>
        <v>0.75545729778358717</v>
      </c>
    </row>
    <row r="5702" spans="1:14" x14ac:dyDescent="0.35">
      <c r="A5702" t="s">
        <v>38</v>
      </c>
      <c r="B5702" t="s">
        <v>17</v>
      </c>
      <c r="C5702">
        <v>2013</v>
      </c>
      <c r="D5702" t="s">
        <v>33</v>
      </c>
      <c r="E5702" s="1">
        <f t="shared" ref="E5702:F5702" si="4336">SUM(E4934+E5126+E5318+E5510)</f>
        <v>2658730</v>
      </c>
      <c r="F5702" s="1">
        <f t="shared" si="4336"/>
        <v>4142382</v>
      </c>
      <c r="G5702" s="1">
        <f t="shared" si="4301"/>
        <v>6801112</v>
      </c>
      <c r="H5702" s="2">
        <f t="shared" si="4302"/>
        <v>0.39092577801982969</v>
      </c>
      <c r="I5702" s="2">
        <f t="shared" si="4303"/>
        <v>0.60907422198017025</v>
      </c>
      <c r="J5702" s="1">
        <f t="shared" ref="J5702:K5702" si="4337">SUM(J4934+J5126+J5318+J5510)</f>
        <v>4681778.67</v>
      </c>
      <c r="K5702" s="1">
        <f t="shared" si="4337"/>
        <v>13479336.399999999</v>
      </c>
      <c r="L5702" s="1">
        <f t="shared" si="4329"/>
        <v>18161115.07</v>
      </c>
      <c r="M5702" s="2">
        <f t="shared" si="4330"/>
        <v>0.25779136644168621</v>
      </c>
      <c r="N5702" s="2">
        <f t="shared" si="4331"/>
        <v>0.74220863355831368</v>
      </c>
    </row>
    <row r="5703" spans="1:14" x14ac:dyDescent="0.35">
      <c r="A5703" t="s">
        <v>38</v>
      </c>
      <c r="B5703" t="s">
        <v>19</v>
      </c>
      <c r="C5703">
        <v>2013</v>
      </c>
      <c r="D5703" t="s">
        <v>33</v>
      </c>
      <c r="E5703" s="1">
        <f t="shared" ref="E5703:F5703" si="4338">SUM(E4935+E5127+E5319+E5511)</f>
        <v>2648180</v>
      </c>
      <c r="F5703" s="1">
        <f t="shared" si="4338"/>
        <v>4155194</v>
      </c>
      <c r="G5703" s="1">
        <f t="shared" si="4301"/>
        <v>6803374</v>
      </c>
      <c r="H5703" s="2">
        <f t="shared" si="4302"/>
        <v>0.38924510103369298</v>
      </c>
      <c r="I5703" s="2">
        <f t="shared" si="4303"/>
        <v>0.61075489896630697</v>
      </c>
      <c r="J5703" s="1">
        <f t="shared" ref="J5703:K5703" si="4339">SUM(J4935+J5127+J5319+J5511)</f>
        <v>4027942.6999999993</v>
      </c>
      <c r="K5703" s="1">
        <f t="shared" si="4339"/>
        <v>12535700.15</v>
      </c>
      <c r="L5703" s="1">
        <f t="shared" si="4329"/>
        <v>16563642.85</v>
      </c>
      <c r="M5703" s="2">
        <f t="shared" si="4330"/>
        <v>0.24317976042329356</v>
      </c>
      <c r="N5703" s="2">
        <f t="shared" si="4331"/>
        <v>0.75682023957670641</v>
      </c>
    </row>
    <row r="5704" spans="1:14" x14ac:dyDescent="0.35">
      <c r="A5704" t="s">
        <v>38</v>
      </c>
      <c r="B5704" t="s">
        <v>20</v>
      </c>
      <c r="C5704">
        <v>2013</v>
      </c>
      <c r="D5704" t="s">
        <v>33</v>
      </c>
      <c r="E5704" s="1">
        <f t="shared" ref="E5704:F5704" si="4340">SUM(E4936+E5128+E5320+E5512)</f>
        <v>2636673</v>
      </c>
      <c r="F5704" s="1">
        <f t="shared" si="4340"/>
        <v>4176100</v>
      </c>
      <c r="G5704" s="1">
        <f t="shared" si="4301"/>
        <v>6812773</v>
      </c>
      <c r="H5704" s="2">
        <f t="shared" si="4302"/>
        <v>0.38701905963988525</v>
      </c>
      <c r="I5704" s="2">
        <f t="shared" si="4303"/>
        <v>0.61298094036011475</v>
      </c>
      <c r="J5704" s="1">
        <f t="shared" ref="J5704:K5704" si="4341">SUM(J4936+J5128+J5320+J5512)</f>
        <v>3663340.0199999996</v>
      </c>
      <c r="K5704" s="1">
        <f t="shared" si="4341"/>
        <v>11676635.460000001</v>
      </c>
      <c r="L5704" s="1">
        <f t="shared" si="4329"/>
        <v>15339975.48</v>
      </c>
      <c r="M5704" s="2">
        <f t="shared" si="4330"/>
        <v>0.23881003100534287</v>
      </c>
      <c r="N5704" s="2">
        <f t="shared" si="4331"/>
        <v>0.76118996899465707</v>
      </c>
    </row>
    <row r="5705" spans="1:14" x14ac:dyDescent="0.35">
      <c r="A5705" t="s">
        <v>38</v>
      </c>
      <c r="B5705" t="s">
        <v>21</v>
      </c>
      <c r="C5705">
        <v>2013</v>
      </c>
      <c r="D5705" t="s">
        <v>33</v>
      </c>
      <c r="E5705" s="1">
        <f t="shared" ref="E5705:F5705" si="4342">SUM(E4937+E5129+E5321+E5513)</f>
        <v>2626490</v>
      </c>
      <c r="F5705" s="1">
        <f t="shared" si="4342"/>
        <v>4202244</v>
      </c>
      <c r="G5705" s="1">
        <f t="shared" si="4301"/>
        <v>6828734</v>
      </c>
      <c r="H5705" s="2">
        <f t="shared" si="4302"/>
        <v>0.38462326984767603</v>
      </c>
      <c r="I5705" s="2">
        <f t="shared" si="4303"/>
        <v>0.61537673015232397</v>
      </c>
      <c r="J5705" s="1">
        <f t="shared" ref="J5705:K5705" si="4343">SUM(J4937+J5129+J5321+J5513)</f>
        <v>3725186.93</v>
      </c>
      <c r="K5705" s="1">
        <f t="shared" si="4343"/>
        <v>12577246.48</v>
      </c>
      <c r="L5705" s="1">
        <f t="shared" si="4329"/>
        <v>16302433.41</v>
      </c>
      <c r="M5705" s="2">
        <f t="shared" si="4330"/>
        <v>0.22850496219263502</v>
      </c>
      <c r="N5705" s="2">
        <f t="shared" si="4331"/>
        <v>0.77149503780736495</v>
      </c>
    </row>
    <row r="5706" spans="1:14" x14ac:dyDescent="0.35">
      <c r="A5706" t="s">
        <v>38</v>
      </c>
      <c r="B5706" t="s">
        <v>22</v>
      </c>
      <c r="C5706">
        <v>2013</v>
      </c>
      <c r="D5706" t="s">
        <v>33</v>
      </c>
      <c r="E5706" s="1">
        <f t="shared" ref="E5706:F5706" si="4344">SUM(E4938+E5130+E5322+E5514)</f>
        <v>2618401</v>
      </c>
      <c r="F5706" s="1">
        <f t="shared" si="4344"/>
        <v>4217164</v>
      </c>
      <c r="G5706" s="1">
        <f t="shared" si="4301"/>
        <v>6835565</v>
      </c>
      <c r="H5706" s="2">
        <f t="shared" si="4302"/>
        <v>0.38305553381468832</v>
      </c>
      <c r="I5706" s="2">
        <f t="shared" si="4303"/>
        <v>0.61694446618531162</v>
      </c>
      <c r="J5706" s="1">
        <f t="shared" ref="J5706:K5706" si="4345">SUM(J4938+J5130+J5322+J5514)</f>
        <v>3785354.96</v>
      </c>
      <c r="K5706" s="1">
        <f t="shared" si="4345"/>
        <v>12821045.690000001</v>
      </c>
      <c r="L5706" s="1">
        <f t="shared" si="4329"/>
        <v>16606400.650000002</v>
      </c>
      <c r="M5706" s="2">
        <f t="shared" si="4330"/>
        <v>0.22794553978197554</v>
      </c>
      <c r="N5706" s="2">
        <f t="shared" si="4331"/>
        <v>0.77205446021802437</v>
      </c>
    </row>
    <row r="5707" spans="1:14" x14ac:dyDescent="0.35">
      <c r="A5707" t="s">
        <v>38</v>
      </c>
      <c r="B5707" t="s">
        <v>23</v>
      </c>
      <c r="C5707">
        <v>2013</v>
      </c>
      <c r="D5707" t="s">
        <v>33</v>
      </c>
      <c r="E5707" s="1">
        <f t="shared" ref="E5707:F5707" si="4346">SUM(E4939+E5131+E5323+E5515)</f>
        <v>2610273</v>
      </c>
      <c r="F5707" s="1">
        <f t="shared" si="4346"/>
        <v>4246700</v>
      </c>
      <c r="G5707" s="1">
        <f t="shared" si="4301"/>
        <v>6856973</v>
      </c>
      <c r="H5707" s="2">
        <f t="shared" si="4302"/>
        <v>0.38067424211820583</v>
      </c>
      <c r="I5707" s="2">
        <f t="shared" si="4303"/>
        <v>0.61932575788179423</v>
      </c>
      <c r="J5707" s="1">
        <f t="shared" ref="J5707:K5707" si="4347">SUM(J4939+J5131+J5323+J5515)</f>
        <v>4831102.88</v>
      </c>
      <c r="K5707" s="1">
        <f t="shared" si="4347"/>
        <v>15478321.07</v>
      </c>
      <c r="L5707" s="1">
        <f t="shared" si="4329"/>
        <v>20309423.949999999</v>
      </c>
      <c r="M5707" s="2">
        <f t="shared" si="4330"/>
        <v>0.23787493391706957</v>
      </c>
      <c r="N5707" s="2">
        <f t="shared" si="4331"/>
        <v>0.76212506608293051</v>
      </c>
    </row>
    <row r="5708" spans="1:14" x14ac:dyDescent="0.35">
      <c r="A5708" t="s">
        <v>38</v>
      </c>
      <c r="B5708" t="s">
        <v>24</v>
      </c>
      <c r="C5708">
        <v>2013</v>
      </c>
      <c r="D5708" t="s">
        <v>33</v>
      </c>
      <c r="E5708" s="1">
        <f t="shared" ref="E5708:F5708" si="4348">SUM(E4940+E5132+E5324+E5516)</f>
        <v>2603586</v>
      </c>
      <c r="F5708" s="1">
        <f t="shared" si="4348"/>
        <v>4268257</v>
      </c>
      <c r="G5708" s="1">
        <f t="shared" si="4301"/>
        <v>6871843</v>
      </c>
      <c r="H5708" s="2">
        <f t="shared" si="4302"/>
        <v>0.37887739868329356</v>
      </c>
      <c r="I5708" s="2">
        <f t="shared" si="4303"/>
        <v>0.62112260131670649</v>
      </c>
      <c r="J5708" s="1">
        <f t="shared" ref="J5708:K5708" si="4349">SUM(J4940+J5132+J5324+J5516)</f>
        <v>5746685.4699999997</v>
      </c>
      <c r="K5708" s="1">
        <f t="shared" si="4349"/>
        <v>17054346.41</v>
      </c>
      <c r="L5708" s="1">
        <f t="shared" si="4329"/>
        <v>22801031.879999999</v>
      </c>
      <c r="M5708" s="2">
        <f t="shared" si="4330"/>
        <v>0.25203620170544666</v>
      </c>
      <c r="N5708" s="2">
        <f t="shared" si="4331"/>
        <v>0.74796379829455339</v>
      </c>
    </row>
    <row r="5709" spans="1:14" x14ac:dyDescent="0.35">
      <c r="A5709" t="s">
        <v>38</v>
      </c>
      <c r="B5709" t="s">
        <v>25</v>
      </c>
      <c r="C5709">
        <v>2013</v>
      </c>
      <c r="D5709" t="s">
        <v>33</v>
      </c>
      <c r="E5709" s="1">
        <f t="shared" ref="E5709:F5709" si="4350">SUM(E4941+E5133+E5325+E5517)</f>
        <v>2597302</v>
      </c>
      <c r="F5709" s="1">
        <f t="shared" si="4350"/>
        <v>4284429</v>
      </c>
      <c r="G5709" s="1">
        <f t="shared" si="4301"/>
        <v>6881731</v>
      </c>
      <c r="H5709" s="2">
        <f t="shared" si="4302"/>
        <v>0.37741986718167275</v>
      </c>
      <c r="I5709" s="2">
        <f t="shared" si="4303"/>
        <v>0.62258013281832725</v>
      </c>
      <c r="J5709" s="1">
        <f t="shared" ref="J5709:K5709" si="4351">SUM(J4941+J5133+J5325+J5517)</f>
        <v>5868978.8999999994</v>
      </c>
      <c r="K5709" s="1">
        <f t="shared" si="4351"/>
        <v>17411157.940000001</v>
      </c>
      <c r="L5709" s="1">
        <f t="shared" si="4329"/>
        <v>23280136.84</v>
      </c>
      <c r="M5709" s="2">
        <f t="shared" si="4330"/>
        <v>0.25210242277940148</v>
      </c>
      <c r="N5709" s="2">
        <f t="shared" si="4331"/>
        <v>0.74789757722059858</v>
      </c>
    </row>
    <row r="5710" spans="1:14" x14ac:dyDescent="0.35">
      <c r="A5710" t="s">
        <v>38</v>
      </c>
      <c r="B5710" t="s">
        <v>26</v>
      </c>
      <c r="C5710">
        <v>2013</v>
      </c>
      <c r="D5710" t="s">
        <v>33</v>
      </c>
      <c r="E5710" s="1">
        <f t="shared" ref="E5710:F5710" si="4352">SUM(E4942+E5134+E5326+E5518)</f>
        <v>2589116</v>
      </c>
      <c r="F5710" s="1">
        <f t="shared" si="4352"/>
        <v>4292492</v>
      </c>
      <c r="G5710" s="1">
        <f t="shared" si="4301"/>
        <v>6881608</v>
      </c>
      <c r="H5710" s="2">
        <f t="shared" si="4302"/>
        <v>0.37623706552305797</v>
      </c>
      <c r="I5710" s="2">
        <f t="shared" si="4303"/>
        <v>0.62376293447694198</v>
      </c>
      <c r="J5710" s="1">
        <f t="shared" ref="J5710:K5710" si="4353">SUM(J4942+J5134+J5326+J5518)</f>
        <v>5967717.0700000003</v>
      </c>
      <c r="K5710" s="1">
        <f t="shared" si="4353"/>
        <v>17785726.939999998</v>
      </c>
      <c r="L5710" s="1">
        <f t="shared" si="4329"/>
        <v>23753444.009999998</v>
      </c>
      <c r="M5710" s="2">
        <f t="shared" si="4330"/>
        <v>0.25123586573330764</v>
      </c>
      <c r="N5710" s="2">
        <f t="shared" si="4331"/>
        <v>0.7487641342666923</v>
      </c>
    </row>
    <row r="5711" spans="1:14" x14ac:dyDescent="0.35">
      <c r="A5711" t="s">
        <v>38</v>
      </c>
      <c r="B5711" t="s">
        <v>27</v>
      </c>
      <c r="C5711">
        <v>2013</v>
      </c>
      <c r="D5711" t="s">
        <v>33</v>
      </c>
      <c r="E5711" s="1">
        <f t="shared" ref="E5711:F5711" si="4354">SUM(E4943+E5135+E5327+E5519)</f>
        <v>2581364</v>
      </c>
      <c r="F5711" s="1">
        <f t="shared" si="4354"/>
        <v>4300864</v>
      </c>
      <c r="G5711" s="1">
        <f t="shared" si="4301"/>
        <v>6882228</v>
      </c>
      <c r="H5711" s="2">
        <f t="shared" si="4302"/>
        <v>0.3750767919923606</v>
      </c>
      <c r="I5711" s="2">
        <f t="shared" si="4303"/>
        <v>0.62492320800763934</v>
      </c>
      <c r="J5711" s="1">
        <f t="shared" ref="J5711:K5711" si="4355">SUM(J4943+J5135+J5327+J5519)</f>
        <v>4908809.43</v>
      </c>
      <c r="K5711" s="1">
        <f t="shared" si="4355"/>
        <v>15630942.08</v>
      </c>
      <c r="L5711" s="1">
        <f t="shared" si="4329"/>
        <v>20539751.509999998</v>
      </c>
      <c r="M5711" s="2">
        <f t="shared" si="4330"/>
        <v>0.23899069215175719</v>
      </c>
      <c r="N5711" s="2">
        <f t="shared" si="4331"/>
        <v>0.76100930784824283</v>
      </c>
    </row>
    <row r="5712" spans="1:14" x14ac:dyDescent="0.35">
      <c r="A5712" t="s">
        <v>38</v>
      </c>
      <c r="B5712" t="s">
        <v>28</v>
      </c>
      <c r="C5712">
        <v>2013</v>
      </c>
      <c r="D5712" t="s">
        <v>33</v>
      </c>
      <c r="E5712" s="1">
        <f t="shared" ref="E5712:F5712" si="4356">SUM(E4944+E5136+E5328+E5520)</f>
        <v>2572645</v>
      </c>
      <c r="F5712" s="1">
        <f t="shared" si="4356"/>
        <v>4324515</v>
      </c>
      <c r="G5712" s="1">
        <f t="shared" si="4301"/>
        <v>6897160</v>
      </c>
      <c r="H5712" s="2">
        <f t="shared" si="4302"/>
        <v>0.37300062634475639</v>
      </c>
      <c r="I5712" s="2">
        <f t="shared" si="4303"/>
        <v>0.62699937365524361</v>
      </c>
      <c r="J5712" s="1">
        <f t="shared" ref="J5712:K5712" si="4357">SUM(J4944+J5136+J5328+J5520)</f>
        <v>3732795.8199999994</v>
      </c>
      <c r="K5712" s="1">
        <f t="shared" si="4357"/>
        <v>13261224.333999999</v>
      </c>
      <c r="L5712" s="1">
        <f t="shared" si="4329"/>
        <v>16994020.153999999</v>
      </c>
      <c r="M5712" s="2">
        <f t="shared" si="4330"/>
        <v>0.21965348906105572</v>
      </c>
      <c r="N5712" s="2">
        <f t="shared" si="4331"/>
        <v>0.78034651093894425</v>
      </c>
    </row>
    <row r="5713" spans="1:14" x14ac:dyDescent="0.35">
      <c r="A5713" t="s">
        <v>38</v>
      </c>
      <c r="B5713" t="s">
        <v>29</v>
      </c>
      <c r="C5713">
        <v>2013</v>
      </c>
      <c r="D5713" t="s">
        <v>33</v>
      </c>
      <c r="E5713" s="1">
        <f t="shared" ref="E5713:F5713" si="4358">SUM(E4945+E5137+E5329+E5521)</f>
        <v>2566592</v>
      </c>
      <c r="F5713" s="1">
        <f t="shared" si="4358"/>
        <v>4314504</v>
      </c>
      <c r="G5713" s="1">
        <f t="shared" si="4301"/>
        <v>6881096</v>
      </c>
      <c r="H5713" s="2">
        <f t="shared" si="4302"/>
        <v>0.37299174433840193</v>
      </c>
      <c r="I5713" s="2">
        <f t="shared" si="4303"/>
        <v>0.62700825566159812</v>
      </c>
      <c r="J5713" s="1">
        <f t="shared" ref="J5713:K5713" si="4359">SUM(J4945+J5137+J5329+J5521)</f>
        <v>4290134.6900000004</v>
      </c>
      <c r="K5713" s="1">
        <f t="shared" si="4359"/>
        <v>14371386.67</v>
      </c>
      <c r="L5713" s="1">
        <f t="shared" si="4329"/>
        <v>18661521.359999999</v>
      </c>
      <c r="M5713" s="2">
        <f t="shared" si="4330"/>
        <v>0.22989201186971181</v>
      </c>
      <c r="N5713" s="2">
        <f t="shared" si="4331"/>
        <v>0.77010798813028825</v>
      </c>
    </row>
    <row r="5714" spans="1:14" x14ac:dyDescent="0.35">
      <c r="A5714" t="s">
        <v>38</v>
      </c>
      <c r="B5714" t="s">
        <v>17</v>
      </c>
      <c r="C5714">
        <v>2014</v>
      </c>
      <c r="D5714" t="s">
        <v>33</v>
      </c>
      <c r="E5714" s="1">
        <f t="shared" ref="E5714:F5714" si="4360">SUM(E4946+E5138+E5330+E5522)</f>
        <v>2551775</v>
      </c>
      <c r="F5714" s="1">
        <f t="shared" si="4360"/>
        <v>4293595</v>
      </c>
      <c r="G5714" s="1">
        <f t="shared" si="4301"/>
        <v>6845370</v>
      </c>
      <c r="H5714" s="2">
        <f t="shared" si="4302"/>
        <v>0.37277386028804871</v>
      </c>
      <c r="I5714" s="2">
        <f t="shared" si="4303"/>
        <v>0.62722613971195129</v>
      </c>
      <c r="J5714" s="1">
        <f t="shared" ref="J5714:K5714" si="4361">SUM(J4946+J5138+J5330+J5522)</f>
        <v>4782428.3199999994</v>
      </c>
      <c r="K5714" s="1">
        <f t="shared" si="4361"/>
        <v>15035023.439999999</v>
      </c>
      <c r="L5714" s="1">
        <f t="shared" si="4329"/>
        <v>19817451.759999998</v>
      </c>
      <c r="M5714" s="2">
        <f t="shared" si="4330"/>
        <v>0.24132408030647831</v>
      </c>
      <c r="N5714" s="2">
        <f t="shared" si="4331"/>
        <v>0.75867591969352177</v>
      </c>
    </row>
    <row r="5715" spans="1:14" x14ac:dyDescent="0.35">
      <c r="A5715" t="s">
        <v>38</v>
      </c>
      <c r="B5715" t="s">
        <v>19</v>
      </c>
      <c r="C5715">
        <v>2014</v>
      </c>
      <c r="D5715" t="s">
        <v>33</v>
      </c>
      <c r="E5715" s="1">
        <f t="shared" ref="E5715:F5715" si="4362">SUM(E4947+E5139+E5331+E5523)</f>
        <v>2540931</v>
      </c>
      <c r="F5715" s="1">
        <f t="shared" si="4362"/>
        <v>4325215</v>
      </c>
      <c r="G5715" s="1">
        <f t="shared" si="4301"/>
        <v>6866146</v>
      </c>
      <c r="H5715" s="2">
        <f t="shared" si="4302"/>
        <v>0.37006655553202628</v>
      </c>
      <c r="I5715" s="2">
        <f t="shared" si="4303"/>
        <v>0.62993344446797372</v>
      </c>
      <c r="J5715" s="1">
        <f t="shared" ref="J5715:K5715" si="4363">SUM(J4947+J5139+J5331+J5523)</f>
        <v>4362370.03</v>
      </c>
      <c r="K5715" s="1">
        <f t="shared" si="4363"/>
        <v>14266081.49</v>
      </c>
      <c r="L5715" s="1">
        <f t="shared" si="4329"/>
        <v>18628451.52</v>
      </c>
      <c r="M5715" s="2">
        <f t="shared" si="4330"/>
        <v>0.2341778126494542</v>
      </c>
      <c r="N5715" s="2">
        <f t="shared" si="4331"/>
        <v>0.76582218735054586</v>
      </c>
    </row>
    <row r="5716" spans="1:14" x14ac:dyDescent="0.35">
      <c r="A5716" t="s">
        <v>38</v>
      </c>
      <c r="B5716" t="s">
        <v>20</v>
      </c>
      <c r="C5716">
        <v>2014</v>
      </c>
      <c r="D5716" t="s">
        <v>33</v>
      </c>
      <c r="E5716" s="1">
        <f t="shared" ref="E5716:F5716" si="4364">SUM(E4948+E5140+E5332+E5524)</f>
        <v>2528709</v>
      </c>
      <c r="F5716" s="1">
        <f t="shared" si="4364"/>
        <v>4340994</v>
      </c>
      <c r="G5716" s="1">
        <f t="shared" si="4301"/>
        <v>6869703</v>
      </c>
      <c r="H5716" s="2">
        <f t="shared" si="4302"/>
        <v>0.36809582597675622</v>
      </c>
      <c r="I5716" s="2">
        <f t="shared" si="4303"/>
        <v>0.63190417402324384</v>
      </c>
      <c r="J5716" s="1">
        <f t="shared" ref="J5716:K5716" si="4365">SUM(J4948+J5140+J5332+J5524)</f>
        <v>3906203.01</v>
      </c>
      <c r="K5716" s="1">
        <f t="shared" si="4365"/>
        <v>13257774.889999999</v>
      </c>
      <c r="L5716" s="1">
        <f t="shared" si="4329"/>
        <v>17163977.899999999</v>
      </c>
      <c r="M5716" s="2">
        <f t="shared" si="4330"/>
        <v>0.22758145184980691</v>
      </c>
      <c r="N5716" s="2">
        <f t="shared" si="4331"/>
        <v>0.77241854815019306</v>
      </c>
    </row>
    <row r="5717" spans="1:14" x14ac:dyDescent="0.35">
      <c r="A5717" t="s">
        <v>38</v>
      </c>
      <c r="B5717" t="s">
        <v>21</v>
      </c>
      <c r="C5717">
        <v>2014</v>
      </c>
      <c r="D5717" t="s">
        <v>33</v>
      </c>
      <c r="E5717" s="1">
        <f t="shared" ref="E5717:F5717" si="4366">SUM(E4949+E5141+E5333+E5525)</f>
        <v>2534159</v>
      </c>
      <c r="F5717" s="1">
        <f t="shared" si="4366"/>
        <v>4399694</v>
      </c>
      <c r="G5717" s="1">
        <f t="shared" si="4301"/>
        <v>6933853</v>
      </c>
      <c r="H5717" s="2">
        <f t="shared" si="4302"/>
        <v>0.36547630877089549</v>
      </c>
      <c r="I5717" s="2">
        <f t="shared" si="4303"/>
        <v>0.63452369122910446</v>
      </c>
      <c r="J5717" s="1">
        <f t="shared" ref="J5717:K5717" si="4367">SUM(J4949+J5141+J5333+J5525)</f>
        <v>3510541.05</v>
      </c>
      <c r="K5717" s="1">
        <f t="shared" si="4367"/>
        <v>13137012.66</v>
      </c>
      <c r="L5717" s="1">
        <f t="shared" si="4329"/>
        <v>16647553.710000001</v>
      </c>
      <c r="M5717" s="2">
        <f t="shared" si="4330"/>
        <v>0.2108742888687157</v>
      </c>
      <c r="N5717" s="2">
        <f t="shared" si="4331"/>
        <v>0.78912571113128427</v>
      </c>
    </row>
    <row r="5718" spans="1:14" x14ac:dyDescent="0.35">
      <c r="A5718" t="s">
        <v>38</v>
      </c>
      <c r="B5718" t="s">
        <v>22</v>
      </c>
      <c r="C5718">
        <v>2014</v>
      </c>
      <c r="D5718" t="s">
        <v>33</v>
      </c>
      <c r="E5718" s="1">
        <f t="shared" ref="E5718:F5718" si="4368">SUM(E4950+E5142+E5334+E5526)</f>
        <v>2529336</v>
      </c>
      <c r="F5718" s="1">
        <f t="shared" si="4368"/>
        <v>4414125</v>
      </c>
      <c r="G5718" s="1">
        <f t="shared" si="4301"/>
        <v>6943461</v>
      </c>
      <c r="H5718" s="2">
        <f t="shared" si="4302"/>
        <v>0.36427597130595246</v>
      </c>
      <c r="I5718" s="2">
        <f t="shared" si="4303"/>
        <v>0.63572402869404754</v>
      </c>
      <c r="J5718" s="1">
        <f t="shared" ref="J5718:K5718" si="4369">SUM(J4950+J5142+J5334+J5526)</f>
        <v>3793747.77</v>
      </c>
      <c r="K5718" s="1">
        <f t="shared" si="4369"/>
        <v>13731122.26</v>
      </c>
      <c r="L5718" s="1">
        <f t="shared" si="4329"/>
        <v>17524870.030000001</v>
      </c>
      <c r="M5718" s="2">
        <f t="shared" si="4330"/>
        <v>0.21647794040729898</v>
      </c>
      <c r="N5718" s="2">
        <f t="shared" si="4331"/>
        <v>0.78352205959270094</v>
      </c>
    </row>
    <row r="5719" spans="1:14" x14ac:dyDescent="0.35">
      <c r="A5719" t="s">
        <v>38</v>
      </c>
      <c r="B5719" t="s">
        <v>23</v>
      </c>
      <c r="C5719">
        <v>2014</v>
      </c>
      <c r="D5719" t="s">
        <v>33</v>
      </c>
      <c r="E5719" s="1">
        <f t="shared" ref="E5719:F5719" si="4370">SUM(E4951+E5143+E5335+E5527)</f>
        <v>2524439</v>
      </c>
      <c r="F5719" s="1">
        <f t="shared" si="4370"/>
        <v>4434931</v>
      </c>
      <c r="G5719" s="1">
        <f t="shared" si="4301"/>
        <v>6959370</v>
      </c>
      <c r="H5719" s="2">
        <f t="shared" si="4302"/>
        <v>0.362739587060323</v>
      </c>
      <c r="I5719" s="2">
        <f t="shared" si="4303"/>
        <v>0.63726041293967706</v>
      </c>
      <c r="J5719" s="1">
        <f t="shared" ref="J5719:K5719" si="4371">SUM(J4951+J5143+J5335+J5527)</f>
        <v>4634133.8600000003</v>
      </c>
      <c r="K5719" s="1">
        <f t="shared" si="4371"/>
        <v>16010580.610000001</v>
      </c>
      <c r="L5719" s="1">
        <f t="shared" si="4329"/>
        <v>20644714.470000003</v>
      </c>
      <c r="M5719" s="2">
        <f t="shared" si="4330"/>
        <v>0.22447071703191251</v>
      </c>
      <c r="N5719" s="2">
        <f t="shared" si="4331"/>
        <v>0.77552928296808743</v>
      </c>
    </row>
    <row r="5720" spans="1:14" x14ac:dyDescent="0.35">
      <c r="A5720" t="s">
        <v>38</v>
      </c>
      <c r="B5720" t="s">
        <v>24</v>
      </c>
      <c r="C5720">
        <v>2014</v>
      </c>
      <c r="D5720" t="s">
        <v>33</v>
      </c>
      <c r="E5720" s="1">
        <f t="shared" ref="E5720:F5720" si="4372">SUM(E4952+E5144+E5336+E5528)</f>
        <v>2516735</v>
      </c>
      <c r="F5720" s="1">
        <f t="shared" si="4372"/>
        <v>4462119</v>
      </c>
      <c r="G5720" s="1">
        <f t="shared" si="4301"/>
        <v>6978854</v>
      </c>
      <c r="H5720" s="2">
        <f t="shared" si="4302"/>
        <v>0.36062296187884141</v>
      </c>
      <c r="I5720" s="2">
        <f t="shared" si="4303"/>
        <v>0.63937703812115854</v>
      </c>
      <c r="J5720" s="1">
        <f t="shared" ref="J5720:K5720" si="4373">SUM(J4952+J5144+J5336+J5528)</f>
        <v>5299194.28</v>
      </c>
      <c r="K5720" s="1">
        <f t="shared" si="4373"/>
        <v>17327625.229999997</v>
      </c>
      <c r="L5720" s="1">
        <f t="shared" si="4329"/>
        <v>22626819.509999998</v>
      </c>
      <c r="M5720" s="2">
        <f t="shared" si="4330"/>
        <v>0.23419969729541545</v>
      </c>
      <c r="N5720" s="2">
        <f t="shared" si="4331"/>
        <v>0.76580030270458455</v>
      </c>
    </row>
    <row r="5721" spans="1:14" x14ac:dyDescent="0.35">
      <c r="A5721" t="s">
        <v>38</v>
      </c>
      <c r="B5721" t="s">
        <v>25</v>
      </c>
      <c r="C5721">
        <v>2014</v>
      </c>
      <c r="D5721" t="s">
        <v>33</v>
      </c>
      <c r="E5721" s="1">
        <f t="shared" ref="E5721:F5721" si="4374">SUM(E4953+E5145+E5337+E5529)</f>
        <v>2507004</v>
      </c>
      <c r="F5721" s="1">
        <f t="shared" si="4374"/>
        <v>4475294</v>
      </c>
      <c r="G5721" s="1">
        <f t="shared" si="4301"/>
        <v>6982298</v>
      </c>
      <c r="H5721" s="2">
        <f t="shared" si="4302"/>
        <v>0.3590514183152882</v>
      </c>
      <c r="I5721" s="2">
        <f t="shared" si="4303"/>
        <v>0.6409485816847118</v>
      </c>
      <c r="J5721" s="1">
        <f t="shared" ref="J5721:K5721" si="4375">SUM(J4953+J5145+J5337+J5529)</f>
        <v>5481766.7199999997</v>
      </c>
      <c r="K5721" s="1">
        <f t="shared" si="4375"/>
        <v>17881082.309999999</v>
      </c>
      <c r="L5721" s="1">
        <f t="shared" si="4329"/>
        <v>23362849.029999997</v>
      </c>
      <c r="M5721" s="2">
        <f t="shared" si="4330"/>
        <v>0.23463605457369172</v>
      </c>
      <c r="N5721" s="2">
        <f t="shared" si="4331"/>
        <v>0.76536394542630837</v>
      </c>
    </row>
    <row r="5722" spans="1:14" x14ac:dyDescent="0.35">
      <c r="A5722" t="s">
        <v>38</v>
      </c>
      <c r="B5722" t="s">
        <v>26</v>
      </c>
      <c r="C5722">
        <v>2014</v>
      </c>
      <c r="D5722" t="s">
        <v>33</v>
      </c>
      <c r="E5722" s="1">
        <f t="shared" ref="E5722:F5722" si="4376">SUM(E4954+E5146+E5338+E5530)</f>
        <v>2497271</v>
      </c>
      <c r="F5722" s="1">
        <f t="shared" si="4376"/>
        <v>4479828</v>
      </c>
      <c r="G5722" s="1">
        <f t="shared" si="4301"/>
        <v>6977099</v>
      </c>
      <c r="H5722" s="2">
        <f t="shared" si="4302"/>
        <v>0.35792397384643676</v>
      </c>
      <c r="I5722" s="2">
        <f t="shared" si="4303"/>
        <v>0.6420760261535633</v>
      </c>
      <c r="J5722" s="1">
        <f t="shared" ref="J5722:K5722" si="4377">SUM(J4954+J5146+J5338+J5530)</f>
        <v>5687966.7199999997</v>
      </c>
      <c r="K5722" s="1">
        <f t="shared" si="4377"/>
        <v>18680800.010000002</v>
      </c>
      <c r="L5722" s="1">
        <f t="shared" si="4329"/>
        <v>24368766.73</v>
      </c>
      <c r="M5722" s="2">
        <f t="shared" si="4330"/>
        <v>0.23341216989030614</v>
      </c>
      <c r="N5722" s="2">
        <f t="shared" si="4331"/>
        <v>0.76658783010969389</v>
      </c>
    </row>
    <row r="5723" spans="1:14" x14ac:dyDescent="0.35">
      <c r="A5723" t="s">
        <v>38</v>
      </c>
      <c r="B5723" t="s">
        <v>27</v>
      </c>
      <c r="C5723">
        <v>2014</v>
      </c>
      <c r="D5723" t="s">
        <v>33</v>
      </c>
      <c r="E5723" s="1">
        <f t="shared" ref="E5723:F5723" si="4378">SUM(E4955+E5147+E5339+E5531)</f>
        <v>2492972</v>
      </c>
      <c r="F5723" s="1">
        <f t="shared" si="4378"/>
        <v>4501502</v>
      </c>
      <c r="G5723" s="1">
        <f t="shared" si="4301"/>
        <v>6994474</v>
      </c>
      <c r="H5723" s="2">
        <f t="shared" si="4302"/>
        <v>0.35642022545226415</v>
      </c>
      <c r="I5723" s="2">
        <f t="shared" si="4303"/>
        <v>0.64357977454773585</v>
      </c>
      <c r="J5723" s="1">
        <f t="shared" ref="J5723:K5723" si="4379">SUM(J4955+J5147+J5339+J5531)</f>
        <v>4496564.2600000007</v>
      </c>
      <c r="K5723" s="1">
        <f t="shared" si="4379"/>
        <v>16017185.680000002</v>
      </c>
      <c r="L5723" s="1">
        <f t="shared" si="4329"/>
        <v>20513749.940000001</v>
      </c>
      <c r="M5723" s="2">
        <f t="shared" si="4330"/>
        <v>0.21919757592599379</v>
      </c>
      <c r="N5723" s="2">
        <f t="shared" si="4331"/>
        <v>0.78080242407400624</v>
      </c>
    </row>
    <row r="5724" spans="1:14" x14ac:dyDescent="0.35">
      <c r="A5724" t="s">
        <v>38</v>
      </c>
      <c r="B5724" t="s">
        <v>28</v>
      </c>
      <c r="C5724">
        <v>2014</v>
      </c>
      <c r="D5724" t="s">
        <v>33</v>
      </c>
      <c r="E5724" s="1">
        <f t="shared" ref="E5724:F5724" si="4380">SUM(E4956+E5148+E5340+E5532)</f>
        <v>2484155</v>
      </c>
      <c r="F5724" s="1">
        <f t="shared" si="4380"/>
        <v>4513834</v>
      </c>
      <c r="G5724" s="1">
        <f t="shared" si="4301"/>
        <v>6997989</v>
      </c>
      <c r="H5724" s="2">
        <f t="shared" si="4302"/>
        <v>0.35498126676106523</v>
      </c>
      <c r="I5724" s="2">
        <f t="shared" si="4303"/>
        <v>0.64501873323893477</v>
      </c>
      <c r="J5724" s="1">
        <f t="shared" ref="J5724:K5724" si="4381">SUM(J4956+J5148+J5340+J5532)</f>
        <v>3784481.12</v>
      </c>
      <c r="K5724" s="1">
        <f t="shared" si="4381"/>
        <v>14097215.93</v>
      </c>
      <c r="L5724" s="1">
        <f t="shared" si="4329"/>
        <v>17881697.050000001</v>
      </c>
      <c r="M5724" s="2">
        <f t="shared" si="4330"/>
        <v>0.2116399304505609</v>
      </c>
      <c r="N5724" s="2">
        <f t="shared" si="4331"/>
        <v>0.78836006954943905</v>
      </c>
    </row>
    <row r="5725" spans="1:14" x14ac:dyDescent="0.35">
      <c r="A5725" t="s">
        <v>38</v>
      </c>
      <c r="B5725" t="s">
        <v>29</v>
      </c>
      <c r="C5725">
        <v>2014</v>
      </c>
      <c r="D5725" t="s">
        <v>33</v>
      </c>
      <c r="E5725" s="1">
        <f t="shared" ref="E5725:F5725" si="4382">SUM(E4957+E5149+E5341+E5533)</f>
        <v>2476187</v>
      </c>
      <c r="F5725" s="1">
        <f t="shared" si="4382"/>
        <v>4525536</v>
      </c>
      <c r="G5725" s="1">
        <f t="shared" si="4301"/>
        <v>7001723</v>
      </c>
      <c r="H5725" s="2">
        <f t="shared" si="4302"/>
        <v>0.35365395060615795</v>
      </c>
      <c r="I5725" s="2">
        <f t="shared" si="4303"/>
        <v>0.6463460493938421</v>
      </c>
      <c r="J5725" s="1">
        <f t="shared" ref="J5725:K5725" si="4383">SUM(J4957+J5149+J5341+J5533)</f>
        <v>3720392.92</v>
      </c>
      <c r="K5725" s="1">
        <f t="shared" si="4383"/>
        <v>14198207.93</v>
      </c>
      <c r="L5725" s="1">
        <f t="shared" si="4329"/>
        <v>17918600.850000001</v>
      </c>
      <c r="M5725" s="2">
        <f t="shared" si="4330"/>
        <v>0.20762742309760193</v>
      </c>
      <c r="N5725" s="2">
        <f t="shared" si="4331"/>
        <v>0.79237257690239793</v>
      </c>
    </row>
    <row r="5726" spans="1:14" x14ac:dyDescent="0.35">
      <c r="A5726" t="s">
        <v>38</v>
      </c>
      <c r="B5726" t="s">
        <v>17</v>
      </c>
      <c r="C5726">
        <v>2015</v>
      </c>
      <c r="D5726" t="s">
        <v>33</v>
      </c>
      <c r="E5726" s="1">
        <f t="shared" ref="E5726:F5726" si="4384">SUM(E4958+E5150+E5342+E5534)</f>
        <v>2472153</v>
      </c>
      <c r="F5726" s="1">
        <f t="shared" si="4384"/>
        <v>4537353</v>
      </c>
      <c r="G5726" s="1">
        <f t="shared" si="4301"/>
        <v>7009506</v>
      </c>
      <c r="H5726" s="2">
        <f t="shared" si="4302"/>
        <v>0.35268576701410914</v>
      </c>
      <c r="I5726" s="2">
        <f t="shared" si="4303"/>
        <v>0.64731423298589086</v>
      </c>
      <c r="J5726" s="1">
        <f t="shared" ref="J5726:K5726" si="4385">SUM(J4958+J5150+J5342+J5534)</f>
        <v>4316594.09</v>
      </c>
      <c r="K5726" s="1">
        <f t="shared" si="4385"/>
        <v>15152870.869999999</v>
      </c>
      <c r="L5726" s="1">
        <f t="shared" si="4329"/>
        <v>19469464.960000001</v>
      </c>
      <c r="M5726" s="2">
        <f t="shared" si="4330"/>
        <v>0.22171097659172651</v>
      </c>
      <c r="N5726" s="2">
        <f t="shared" si="4331"/>
        <v>0.77828902340827344</v>
      </c>
    </row>
    <row r="5727" spans="1:14" x14ac:dyDescent="0.35">
      <c r="A5727" t="s">
        <v>38</v>
      </c>
      <c r="B5727" t="s">
        <v>19</v>
      </c>
      <c r="C5727">
        <v>2015</v>
      </c>
      <c r="D5727" t="s">
        <v>33</v>
      </c>
      <c r="E5727" s="1">
        <f t="shared" ref="E5727:F5727" si="4386">SUM(E4959+E5151+E5343+E5535)</f>
        <v>2469850</v>
      </c>
      <c r="F5727" s="1">
        <f t="shared" si="4386"/>
        <v>4552577</v>
      </c>
      <c r="G5727" s="1">
        <f t="shared" si="4301"/>
        <v>7022427</v>
      </c>
      <c r="H5727" s="2">
        <f t="shared" si="4302"/>
        <v>0.35170888924868854</v>
      </c>
      <c r="I5727" s="2">
        <f t="shared" si="4303"/>
        <v>0.64829111075131152</v>
      </c>
      <c r="J5727" s="1">
        <f t="shared" ref="J5727:K5727" si="4387">SUM(J4959+J5151+J5343+J5535)</f>
        <v>4127011.7700000005</v>
      </c>
      <c r="K5727" s="1">
        <f t="shared" si="4387"/>
        <v>14309762.319999998</v>
      </c>
      <c r="L5727" s="1">
        <f t="shared" si="4329"/>
        <v>18436774.09</v>
      </c>
      <c r="M5727" s="2">
        <f t="shared" si="4330"/>
        <v>0.22384673966572427</v>
      </c>
      <c r="N5727" s="2">
        <f t="shared" si="4331"/>
        <v>0.77615326033427567</v>
      </c>
    </row>
    <row r="5728" spans="1:14" x14ac:dyDescent="0.35">
      <c r="A5728" t="s">
        <v>38</v>
      </c>
      <c r="B5728" t="s">
        <v>20</v>
      </c>
      <c r="C5728">
        <v>2015</v>
      </c>
      <c r="D5728" t="s">
        <v>33</v>
      </c>
      <c r="E5728" s="1">
        <f t="shared" ref="E5728:F5728" si="4388">SUM(E4960+E5152+E5344+E5536)</f>
        <v>2462967</v>
      </c>
      <c r="F5728" s="1">
        <f t="shared" si="4388"/>
        <v>4569250</v>
      </c>
      <c r="G5728" s="1">
        <f t="shared" si="4301"/>
        <v>7032217</v>
      </c>
      <c r="H5728" s="2">
        <f t="shared" si="4302"/>
        <v>0.35024047181706708</v>
      </c>
      <c r="I5728" s="2">
        <f t="shared" si="4303"/>
        <v>0.64975952818293292</v>
      </c>
      <c r="J5728" s="1">
        <f t="shared" ref="J5728:K5728" si="4389">SUM(J4960+J5152+J5344+J5536)</f>
        <v>4033457.3800000004</v>
      </c>
      <c r="K5728" s="1">
        <f t="shared" si="4389"/>
        <v>14334773.529999999</v>
      </c>
      <c r="L5728" s="1">
        <f t="shared" si="4329"/>
        <v>18368230.91</v>
      </c>
      <c r="M5728" s="2">
        <f t="shared" si="4330"/>
        <v>0.21958877802456808</v>
      </c>
      <c r="N5728" s="2">
        <f t="shared" si="4331"/>
        <v>0.78041122197543189</v>
      </c>
    </row>
    <row r="5729" spans="1:14" x14ac:dyDescent="0.35">
      <c r="A5729" t="s">
        <v>38</v>
      </c>
      <c r="B5729" t="s">
        <v>21</v>
      </c>
      <c r="C5729">
        <v>2015</v>
      </c>
      <c r="D5729" t="s">
        <v>33</v>
      </c>
      <c r="E5729" s="1">
        <f t="shared" ref="E5729:F5729" si="4390">SUM(E4961+E5153+E5345+E5537)</f>
        <v>2456077</v>
      </c>
      <c r="F5729" s="1">
        <f t="shared" si="4390"/>
        <v>4592361</v>
      </c>
      <c r="G5729" s="1">
        <f t="shared" si="4301"/>
        <v>7048438</v>
      </c>
      <c r="H5729" s="2">
        <f t="shared" si="4302"/>
        <v>0.34845692052622157</v>
      </c>
      <c r="I5729" s="2">
        <f t="shared" si="4303"/>
        <v>0.65154307947377843</v>
      </c>
      <c r="J5729" s="1">
        <f t="shared" ref="J5729:K5729" si="4391">SUM(J4961+J5153+J5345+J5537)</f>
        <v>3505405.63</v>
      </c>
      <c r="K5729" s="1">
        <f t="shared" si="4391"/>
        <v>13660332.93</v>
      </c>
      <c r="L5729" s="1">
        <f t="shared" si="4329"/>
        <v>17165738.559999999</v>
      </c>
      <c r="M5729" s="2">
        <f t="shared" si="4330"/>
        <v>0.20420942668720221</v>
      </c>
      <c r="N5729" s="2">
        <f t="shared" si="4331"/>
        <v>0.79579057331279779</v>
      </c>
    </row>
    <row r="5730" spans="1:14" x14ac:dyDescent="0.35">
      <c r="A5730" t="s">
        <v>38</v>
      </c>
      <c r="B5730" t="s">
        <v>22</v>
      </c>
      <c r="C5730">
        <v>2015</v>
      </c>
      <c r="D5730" t="s">
        <v>33</v>
      </c>
      <c r="E5730" s="1">
        <f t="shared" ref="E5730:F5730" si="4392">SUM(E4962+E5154+E5346+E5538)</f>
        <v>2448329</v>
      </c>
      <c r="F5730" s="1">
        <f t="shared" si="4392"/>
        <v>4609087</v>
      </c>
      <c r="G5730" s="1">
        <f t="shared" si="4301"/>
        <v>7057416</v>
      </c>
      <c r="H5730" s="2">
        <f t="shared" si="4302"/>
        <v>0.34691578334053141</v>
      </c>
      <c r="I5730" s="2">
        <f t="shared" si="4303"/>
        <v>0.65308421665946859</v>
      </c>
      <c r="J5730" s="1">
        <f t="shared" ref="J5730:K5730" si="4393">SUM(J4962+J5154+J5346+J5538)</f>
        <v>3599787.1799999997</v>
      </c>
      <c r="K5730" s="1">
        <f t="shared" si="4393"/>
        <v>14000338.4</v>
      </c>
      <c r="L5730" s="1">
        <f t="shared" si="4329"/>
        <v>17600125.579999998</v>
      </c>
      <c r="M5730" s="2">
        <f t="shared" si="4330"/>
        <v>0.20453190311838673</v>
      </c>
      <c r="N5730" s="2">
        <f t="shared" si="4331"/>
        <v>0.79546809688161335</v>
      </c>
    </row>
    <row r="5731" spans="1:14" x14ac:dyDescent="0.35">
      <c r="A5731" t="s">
        <v>38</v>
      </c>
      <c r="B5731" t="s">
        <v>23</v>
      </c>
      <c r="C5731">
        <v>2015</v>
      </c>
      <c r="D5731" t="s">
        <v>33</v>
      </c>
      <c r="E5731" s="1">
        <f t="shared" ref="E5731:F5731" si="4394">SUM(E4963+E5155+E5347+E5539)</f>
        <v>2439676</v>
      </c>
      <c r="F5731" s="1">
        <f t="shared" si="4394"/>
        <v>4634283</v>
      </c>
      <c r="G5731" s="1">
        <f t="shared" si="4301"/>
        <v>7073959</v>
      </c>
      <c r="H5731" s="2">
        <f t="shared" si="4302"/>
        <v>0.34488127511058519</v>
      </c>
      <c r="I5731" s="2">
        <f t="shared" si="4303"/>
        <v>0.65511872488941481</v>
      </c>
      <c r="J5731" s="1">
        <f t="shared" ref="J5731:K5731" si="4395">SUM(J4963+J5155+J5347+J5539)</f>
        <v>4373969.78</v>
      </c>
      <c r="K5731" s="1">
        <f t="shared" si="4395"/>
        <v>16187930.180000002</v>
      </c>
      <c r="L5731" s="1">
        <f t="shared" si="4329"/>
        <v>20561899.960000001</v>
      </c>
      <c r="M5731" s="2">
        <f t="shared" si="4330"/>
        <v>0.21272206306367031</v>
      </c>
      <c r="N5731" s="2">
        <f t="shared" si="4331"/>
        <v>0.78727793693632975</v>
      </c>
    </row>
    <row r="5732" spans="1:14" x14ac:dyDescent="0.35">
      <c r="A5732" t="s">
        <v>38</v>
      </c>
      <c r="B5732" t="s">
        <v>24</v>
      </c>
      <c r="C5732">
        <v>2015</v>
      </c>
      <c r="D5732" t="s">
        <v>33</v>
      </c>
      <c r="E5732" s="1">
        <f t="shared" ref="E5732:F5732" si="4396">SUM(E4964+E5156+E5348+E5540)</f>
        <v>2428963</v>
      </c>
      <c r="F5732" s="1">
        <f t="shared" si="4396"/>
        <v>4661623</v>
      </c>
      <c r="G5732" s="1">
        <f t="shared" si="4301"/>
        <v>7090586</v>
      </c>
      <c r="H5732" s="2">
        <f t="shared" si="4302"/>
        <v>0.34256167261774978</v>
      </c>
      <c r="I5732" s="2">
        <f t="shared" si="4303"/>
        <v>0.65743832738225016</v>
      </c>
      <c r="J5732" s="1">
        <f t="shared" ref="J5732:K5732" si="4397">SUM(J4964+J5156+J5348+J5540)</f>
        <v>5278698.87</v>
      </c>
      <c r="K5732" s="1">
        <f t="shared" si="4397"/>
        <v>18009902.189999998</v>
      </c>
      <c r="L5732" s="1">
        <f t="shared" si="4329"/>
        <v>23288601.059999999</v>
      </c>
      <c r="M5732" s="2">
        <f t="shared" si="4330"/>
        <v>0.22666448948136175</v>
      </c>
      <c r="N5732" s="2">
        <f t="shared" si="4331"/>
        <v>0.77333551051863825</v>
      </c>
    </row>
    <row r="5733" spans="1:14" x14ac:dyDescent="0.35">
      <c r="A5733" t="s">
        <v>38</v>
      </c>
      <c r="B5733" t="s">
        <v>25</v>
      </c>
      <c r="C5733">
        <v>2015</v>
      </c>
      <c r="D5733" t="s">
        <v>33</v>
      </c>
      <c r="E5733" s="1">
        <f t="shared" ref="E5733:F5733" si="4398">SUM(E4965+E5157+E5349+E5541)</f>
        <v>2417610</v>
      </c>
      <c r="F5733" s="1">
        <f t="shared" si="4398"/>
        <v>4680899</v>
      </c>
      <c r="G5733" s="1">
        <f t="shared" si="4301"/>
        <v>7098509</v>
      </c>
      <c r="H5733" s="2">
        <f t="shared" si="4302"/>
        <v>0.34057997249845001</v>
      </c>
      <c r="I5733" s="2">
        <f t="shared" si="4303"/>
        <v>0.65942002750154993</v>
      </c>
      <c r="J5733" s="1">
        <f t="shared" ref="J5733:K5733" si="4399">SUM(J4965+J5157+J5349+J5541)</f>
        <v>5923047.7599999998</v>
      </c>
      <c r="K5733" s="1">
        <f t="shared" si="4399"/>
        <v>19460059.559999999</v>
      </c>
      <c r="L5733" s="1">
        <f t="shared" si="4329"/>
        <v>25383107.32</v>
      </c>
      <c r="M5733" s="2">
        <f t="shared" si="4330"/>
        <v>0.23334604724824523</v>
      </c>
      <c r="N5733" s="2">
        <f t="shared" si="4331"/>
        <v>0.76665395275175463</v>
      </c>
    </row>
    <row r="5734" spans="1:14" x14ac:dyDescent="0.35">
      <c r="A5734" t="s">
        <v>38</v>
      </c>
      <c r="B5734" t="s">
        <v>26</v>
      </c>
      <c r="C5734">
        <v>2015</v>
      </c>
      <c r="D5734" t="s">
        <v>33</v>
      </c>
      <c r="E5734" s="1">
        <f t="shared" ref="E5734:F5734" si="4400">SUM(E4966+E5158+E5350+E5542)</f>
        <v>2405901</v>
      </c>
      <c r="F5734" s="1">
        <f t="shared" si="4400"/>
        <v>4687960</v>
      </c>
      <c r="G5734" s="1">
        <f t="shared" si="4301"/>
        <v>7093861</v>
      </c>
      <c r="H5734" s="2">
        <f t="shared" si="4302"/>
        <v>0.33915254330469685</v>
      </c>
      <c r="I5734" s="2">
        <f t="shared" si="4303"/>
        <v>0.6608474566953032</v>
      </c>
      <c r="J5734" s="1">
        <f t="shared" ref="J5734:K5734" si="4401">SUM(J4966+J5158+J5350+J5542)</f>
        <v>5490519.9000000004</v>
      </c>
      <c r="K5734" s="1">
        <f t="shared" si="4401"/>
        <v>18572033.720000003</v>
      </c>
      <c r="L5734" s="1">
        <f t="shared" si="4329"/>
        <v>24062553.620000005</v>
      </c>
      <c r="M5734" s="2">
        <f t="shared" si="4330"/>
        <v>0.22817694192841032</v>
      </c>
      <c r="N5734" s="2">
        <f t="shared" si="4331"/>
        <v>0.77182305807158957</v>
      </c>
    </row>
    <row r="5735" spans="1:14" x14ac:dyDescent="0.35">
      <c r="A5735" t="s">
        <v>38</v>
      </c>
      <c r="B5735" t="s">
        <v>27</v>
      </c>
      <c r="C5735">
        <v>2015</v>
      </c>
      <c r="D5735" t="s">
        <v>33</v>
      </c>
      <c r="E5735" s="1">
        <f t="shared" ref="E5735:F5735" si="4402">SUM(E4967+E5159+E5351+E5543)</f>
        <v>2396766</v>
      </c>
      <c r="F5735" s="1">
        <f t="shared" si="4402"/>
        <v>4704477</v>
      </c>
      <c r="G5735" s="1">
        <f t="shared" si="4301"/>
        <v>7101243</v>
      </c>
      <c r="H5735" s="2">
        <f t="shared" si="4302"/>
        <v>0.33751358740997878</v>
      </c>
      <c r="I5735" s="2">
        <f t="shared" si="4303"/>
        <v>0.66248641259002117</v>
      </c>
      <c r="J5735" s="1">
        <f t="shared" ref="J5735:K5735" si="4403">SUM(J4967+J5159+J5351+J5543)</f>
        <v>4593451.9500000011</v>
      </c>
      <c r="K5735" s="1">
        <f t="shared" si="4403"/>
        <v>16654919.189999999</v>
      </c>
      <c r="L5735" s="1">
        <f t="shared" si="4329"/>
        <v>21248371.140000001</v>
      </c>
      <c r="M5735" s="2">
        <f t="shared" si="4330"/>
        <v>0.21617901531062964</v>
      </c>
      <c r="N5735" s="2">
        <f t="shared" si="4331"/>
        <v>0.78382098468937034</v>
      </c>
    </row>
    <row r="5736" spans="1:14" x14ac:dyDescent="0.35">
      <c r="A5736" t="s">
        <v>38</v>
      </c>
      <c r="B5736" t="s">
        <v>28</v>
      </c>
      <c r="C5736">
        <v>2015</v>
      </c>
      <c r="D5736" t="s">
        <v>33</v>
      </c>
      <c r="E5736" s="1">
        <f t="shared" ref="E5736:F5736" si="4404">SUM(E4968+E5160+E5352+E5544)</f>
        <v>2388290</v>
      </c>
      <c r="F5736" s="1">
        <f t="shared" si="4404"/>
        <v>4714400</v>
      </c>
      <c r="G5736" s="1">
        <f t="shared" si="4301"/>
        <v>7102690</v>
      </c>
      <c r="H5736" s="2">
        <f t="shared" si="4302"/>
        <v>0.33625147655324955</v>
      </c>
      <c r="I5736" s="2">
        <f t="shared" si="4303"/>
        <v>0.6637485234467505</v>
      </c>
      <c r="J5736" s="1">
        <f t="shared" ref="J5736:K5736" si="4405">SUM(J4968+J5160+J5352+J5544)</f>
        <v>3600138.0799999996</v>
      </c>
      <c r="K5736" s="1">
        <f t="shared" si="4405"/>
        <v>14324559.58</v>
      </c>
      <c r="L5736" s="1">
        <f t="shared" si="4329"/>
        <v>17924697.66</v>
      </c>
      <c r="M5736" s="2">
        <f t="shared" si="4330"/>
        <v>0.20084791098228205</v>
      </c>
      <c r="N5736" s="2">
        <f t="shared" si="4331"/>
        <v>0.79915208901771795</v>
      </c>
    </row>
    <row r="5737" spans="1:14" x14ac:dyDescent="0.35">
      <c r="A5737" t="s">
        <v>38</v>
      </c>
      <c r="B5737" t="s">
        <v>29</v>
      </c>
      <c r="C5737">
        <v>2015</v>
      </c>
      <c r="D5737" t="s">
        <v>33</v>
      </c>
      <c r="E5737" s="1">
        <f t="shared" ref="E5737:F5737" si="4406">SUM(E4969+E5161+E5353+E5545)</f>
        <v>2382570</v>
      </c>
      <c r="F5737" s="1">
        <f t="shared" si="4406"/>
        <v>4722036</v>
      </c>
      <c r="G5737" s="1">
        <f t="shared" si="4301"/>
        <v>7104606</v>
      </c>
      <c r="H5737" s="2">
        <f t="shared" si="4302"/>
        <v>0.33535568334120147</v>
      </c>
      <c r="I5737" s="2">
        <f t="shared" si="4303"/>
        <v>0.66464431665879853</v>
      </c>
      <c r="J5737" s="1">
        <f t="shared" ref="J5737:K5737" si="4407">SUM(J4969+J5161+J5353+J5545)</f>
        <v>3557660.1320000002</v>
      </c>
      <c r="K5737" s="1">
        <f t="shared" si="4407"/>
        <v>13964308.790000003</v>
      </c>
      <c r="L5737" s="1">
        <f t="shared" si="4329"/>
        <v>17521968.922000002</v>
      </c>
      <c r="M5737" s="2">
        <f t="shared" si="4330"/>
        <v>0.20303997500721055</v>
      </c>
      <c r="N5737" s="2">
        <f t="shared" si="4331"/>
        <v>0.79696002499278951</v>
      </c>
    </row>
    <row r="5738" spans="1:14" x14ac:dyDescent="0.35">
      <c r="A5738" t="s">
        <v>38</v>
      </c>
      <c r="B5738" t="s">
        <v>17</v>
      </c>
      <c r="C5738">
        <v>2016</v>
      </c>
      <c r="D5738" t="s">
        <v>33</v>
      </c>
      <c r="E5738" s="1">
        <f t="shared" ref="E5738:F5738" si="4408">SUM(E4970+E5162+E5354+E5546)</f>
        <v>2378968</v>
      </c>
      <c r="F5738" s="1">
        <f t="shared" si="4408"/>
        <v>4740352</v>
      </c>
      <c r="G5738" s="1">
        <f t="shared" si="4301"/>
        <v>7119320</v>
      </c>
      <c r="H5738" s="2">
        <f t="shared" si="4302"/>
        <v>0.33415663293685349</v>
      </c>
      <c r="I5738" s="2">
        <f t="shared" si="4303"/>
        <v>0.66584336706314651</v>
      </c>
      <c r="J5738" s="1">
        <f t="shared" ref="J5738:K5738" si="4409">SUM(J4970+J5162+J5354+J5546)</f>
        <v>4005723.16</v>
      </c>
      <c r="K5738" s="1">
        <f t="shared" si="4409"/>
        <v>14953598.219999999</v>
      </c>
      <c r="L5738" s="1">
        <f t="shared" si="4329"/>
        <v>18959321.379999999</v>
      </c>
      <c r="M5738" s="2">
        <f t="shared" si="4330"/>
        <v>0.21127988073590007</v>
      </c>
      <c r="N5738" s="2">
        <f t="shared" si="4331"/>
        <v>0.78872011926409991</v>
      </c>
    </row>
    <row r="5739" spans="1:14" x14ac:dyDescent="0.35">
      <c r="A5739" t="s">
        <v>38</v>
      </c>
      <c r="B5739" t="s">
        <v>19</v>
      </c>
      <c r="C5739">
        <v>2016</v>
      </c>
      <c r="D5739" t="s">
        <v>33</v>
      </c>
      <c r="E5739" s="1">
        <f t="shared" ref="E5739:F5739" si="4410">SUM(E4971+E5163+E5355+E5547)</f>
        <v>2368568</v>
      </c>
      <c r="F5739" s="1">
        <f t="shared" si="4410"/>
        <v>4765968</v>
      </c>
      <c r="G5739" s="1">
        <f t="shared" si="4301"/>
        <v>7134536</v>
      </c>
      <c r="H5739" s="2">
        <f t="shared" si="4302"/>
        <v>0.33198627072594489</v>
      </c>
      <c r="I5739" s="2">
        <f t="shared" si="4303"/>
        <v>0.66801372927405511</v>
      </c>
      <c r="J5739" s="1">
        <f t="shared" ref="J5739:K5739" si="4411">SUM(J4971+J5163+J5355+J5547)</f>
        <v>3702351.36</v>
      </c>
      <c r="K5739" s="1">
        <f t="shared" si="4411"/>
        <v>14055681.41</v>
      </c>
      <c r="L5739" s="1">
        <f t="shared" si="4329"/>
        <v>17758032.77</v>
      </c>
      <c r="M5739" s="2">
        <f t="shared" si="4330"/>
        <v>0.20848882350609604</v>
      </c>
      <c r="N5739" s="2">
        <f t="shared" si="4331"/>
        <v>0.79151117649390401</v>
      </c>
    </row>
    <row r="5740" spans="1:14" x14ac:dyDescent="0.35">
      <c r="A5740" t="s">
        <v>38</v>
      </c>
      <c r="B5740" t="s">
        <v>20</v>
      </c>
      <c r="C5740">
        <v>2016</v>
      </c>
      <c r="D5740" t="s">
        <v>33</v>
      </c>
      <c r="E5740" s="1">
        <f t="shared" ref="E5740:F5740" si="4412">SUM(E4972+E5164+E5356+E5548)</f>
        <v>2360476</v>
      </c>
      <c r="F5740" s="1">
        <f t="shared" si="4412"/>
        <v>4785571</v>
      </c>
      <c r="G5740" s="1">
        <f t="shared" si="4301"/>
        <v>7146047</v>
      </c>
      <c r="H5740" s="2">
        <f t="shared" si="4302"/>
        <v>0.33031912608467312</v>
      </c>
      <c r="I5740" s="2">
        <f t="shared" si="4303"/>
        <v>0.66968087391532694</v>
      </c>
      <c r="J5740" s="1">
        <f t="shared" ref="J5740:K5740" si="4413">SUM(J4972+J5164+J5356+J5548)</f>
        <v>3190318.08</v>
      </c>
      <c r="K5740" s="1">
        <f t="shared" si="4413"/>
        <v>13299263.559999999</v>
      </c>
      <c r="L5740" s="1">
        <f t="shared" si="4329"/>
        <v>16489581.639999999</v>
      </c>
      <c r="M5740" s="2">
        <f t="shared" si="4330"/>
        <v>0.19347477393004375</v>
      </c>
      <c r="N5740" s="2">
        <f t="shared" si="4331"/>
        <v>0.80652522606995625</v>
      </c>
    </row>
    <row r="5741" spans="1:14" x14ac:dyDescent="0.35">
      <c r="A5741" t="s">
        <v>38</v>
      </c>
      <c r="B5741" t="s">
        <v>21</v>
      </c>
      <c r="C5741">
        <v>2016</v>
      </c>
      <c r="D5741" t="s">
        <v>33</v>
      </c>
      <c r="E5741" s="1">
        <f t="shared" ref="E5741:F5741" si="4414">SUM(E4973+E5165+E5357+E5549)</f>
        <v>2353660</v>
      </c>
      <c r="F5741" s="1">
        <f t="shared" si="4414"/>
        <v>4807588</v>
      </c>
      <c r="G5741" s="1">
        <f t="shared" si="4301"/>
        <v>7161248</v>
      </c>
      <c r="H5741" s="2">
        <f t="shared" si="4302"/>
        <v>0.32866617662172848</v>
      </c>
      <c r="I5741" s="2">
        <f t="shared" si="4303"/>
        <v>0.67133382337827152</v>
      </c>
      <c r="J5741" s="1">
        <f t="shared" ref="J5741:K5741" si="4415">SUM(J4973+J5165+J5357+J5549)</f>
        <v>3250072.9499999997</v>
      </c>
      <c r="K5741" s="1">
        <f t="shared" si="4415"/>
        <v>13642478.950000001</v>
      </c>
      <c r="L5741" s="1">
        <f t="shared" si="4329"/>
        <v>16892551.900000002</v>
      </c>
      <c r="M5741" s="2">
        <f t="shared" si="4330"/>
        <v>0.19239680121983224</v>
      </c>
      <c r="N5741" s="2">
        <f t="shared" si="4331"/>
        <v>0.80760319878016773</v>
      </c>
    </row>
    <row r="5742" spans="1:14" x14ac:dyDescent="0.35">
      <c r="A5742" t="s">
        <v>38</v>
      </c>
      <c r="B5742" t="s">
        <v>22</v>
      </c>
      <c r="C5742">
        <v>2016</v>
      </c>
      <c r="D5742" t="s">
        <v>33</v>
      </c>
      <c r="E5742" s="1">
        <f t="shared" ref="E5742:F5742" si="4416">SUM(E4974+E5166+E5358+E5550)</f>
        <v>2348400</v>
      </c>
      <c r="F5742" s="1">
        <f t="shared" si="4416"/>
        <v>4827603</v>
      </c>
      <c r="G5742" s="1">
        <f t="shared" si="4301"/>
        <v>7176003</v>
      </c>
      <c r="H5742" s="2">
        <f t="shared" si="4302"/>
        <v>0.32725738827032264</v>
      </c>
      <c r="I5742" s="2">
        <f t="shared" si="4303"/>
        <v>0.67274261172967742</v>
      </c>
      <c r="J5742" s="1">
        <f t="shared" ref="J5742:K5742" si="4417">SUM(J4974+J5166+J5358+J5550)</f>
        <v>3420190.82</v>
      </c>
      <c r="K5742" s="1">
        <f t="shared" si="4417"/>
        <v>14217664.23</v>
      </c>
      <c r="L5742" s="1">
        <f t="shared" si="4329"/>
        <v>17637855.050000001</v>
      </c>
      <c r="M5742" s="2">
        <f t="shared" si="4330"/>
        <v>0.19391194736006176</v>
      </c>
      <c r="N5742" s="2">
        <f t="shared" si="4331"/>
        <v>0.80608805263993821</v>
      </c>
    </row>
    <row r="5743" spans="1:14" x14ac:dyDescent="0.35">
      <c r="A5743" t="s">
        <v>38</v>
      </c>
      <c r="B5743" t="s">
        <v>23</v>
      </c>
      <c r="C5743">
        <v>2016</v>
      </c>
      <c r="D5743" t="s">
        <v>33</v>
      </c>
      <c r="E5743" s="1">
        <f t="shared" ref="E5743:F5743" si="4418">SUM(E4975+E5167+E5359+E5551)</f>
        <v>2344506</v>
      </c>
      <c r="F5743" s="1">
        <f t="shared" si="4418"/>
        <v>4841702</v>
      </c>
      <c r="G5743" s="1">
        <f t="shared" si="4301"/>
        <v>7186208</v>
      </c>
      <c r="H5743" s="2">
        <f t="shared" si="4302"/>
        <v>0.3262507848367317</v>
      </c>
      <c r="I5743" s="2">
        <f t="shared" si="4303"/>
        <v>0.67374921516326836</v>
      </c>
      <c r="J5743" s="1">
        <f t="shared" ref="J5743:K5743" si="4419">SUM(J4975+J5167+J5359+J5551)</f>
        <v>4267745.8599999994</v>
      </c>
      <c r="K5743" s="1">
        <f t="shared" si="4419"/>
        <v>16909401.41</v>
      </c>
      <c r="L5743" s="1">
        <f t="shared" si="4329"/>
        <v>21177147.27</v>
      </c>
      <c r="M5743" s="2">
        <f t="shared" si="4330"/>
        <v>0.20152600374299609</v>
      </c>
      <c r="N5743" s="2">
        <f t="shared" si="4331"/>
        <v>0.79847399625700388</v>
      </c>
    </row>
    <row r="5744" spans="1:14" x14ac:dyDescent="0.35">
      <c r="A5744" t="s">
        <v>38</v>
      </c>
      <c r="B5744" t="s">
        <v>24</v>
      </c>
      <c r="C5744">
        <v>2016</v>
      </c>
      <c r="D5744" t="s">
        <v>33</v>
      </c>
      <c r="E5744" s="1">
        <f t="shared" ref="E5744:F5744" si="4420">SUM(E4976+E5168+E5360+E5552)</f>
        <v>2339394</v>
      </c>
      <c r="F5744" s="1">
        <f t="shared" si="4420"/>
        <v>4863260</v>
      </c>
      <c r="G5744" s="1">
        <f t="shared" si="4301"/>
        <v>7202654</v>
      </c>
      <c r="H5744" s="2">
        <f t="shared" si="4302"/>
        <v>0.32479610987838647</v>
      </c>
      <c r="I5744" s="2">
        <f t="shared" si="4303"/>
        <v>0.67520389012161353</v>
      </c>
      <c r="J5744" s="1">
        <f t="shared" ref="J5744:K5744" si="4421">SUM(J4976+J5168+J5360+J5552)</f>
        <v>5342817.1519999998</v>
      </c>
      <c r="K5744" s="1">
        <f t="shared" si="4421"/>
        <v>19007148.739</v>
      </c>
      <c r="L5744" s="1">
        <f t="shared" si="4329"/>
        <v>24349965.890999999</v>
      </c>
      <c r="M5744" s="2">
        <f t="shared" si="4330"/>
        <v>0.21941784953278973</v>
      </c>
      <c r="N5744" s="2">
        <f t="shared" si="4331"/>
        <v>0.78058215046721036</v>
      </c>
    </row>
    <row r="5745" spans="1:14" x14ac:dyDescent="0.35">
      <c r="A5745" t="s">
        <v>38</v>
      </c>
      <c r="B5745" t="s">
        <v>25</v>
      </c>
      <c r="C5745">
        <v>2016</v>
      </c>
      <c r="D5745" t="s">
        <v>33</v>
      </c>
      <c r="E5745" s="1">
        <f t="shared" ref="E5745:F5745" si="4422">SUM(E4977+E5169+E5361+E5553)</f>
        <v>2334896</v>
      </c>
      <c r="F5745" s="1">
        <f t="shared" si="4422"/>
        <v>4882093</v>
      </c>
      <c r="G5745" s="1">
        <f t="shared" si="4301"/>
        <v>7216989</v>
      </c>
      <c r="H5745" s="2">
        <f t="shared" si="4302"/>
        <v>0.32352772049396222</v>
      </c>
      <c r="I5745" s="2">
        <f t="shared" si="4303"/>
        <v>0.67647227950603772</v>
      </c>
      <c r="J5745" s="1">
        <f t="shared" ref="J5745:K5745" si="4423">SUM(J4977+J5169+J5361+J5553)</f>
        <v>5716640.2199999997</v>
      </c>
      <c r="K5745" s="1">
        <f t="shared" si="4423"/>
        <v>19989239.684</v>
      </c>
      <c r="L5745" s="1">
        <f t="shared" si="4329"/>
        <v>25705879.903999999</v>
      </c>
      <c r="M5745" s="2">
        <f t="shared" si="4330"/>
        <v>0.22238648283385368</v>
      </c>
      <c r="N5745" s="2">
        <f t="shared" si="4331"/>
        <v>0.77761351716614635</v>
      </c>
    </row>
    <row r="5746" spans="1:14" x14ac:dyDescent="0.35">
      <c r="A5746" t="s">
        <v>38</v>
      </c>
      <c r="B5746" t="s">
        <v>26</v>
      </c>
      <c r="C5746">
        <v>2016</v>
      </c>
      <c r="D5746" t="s">
        <v>33</v>
      </c>
      <c r="E5746" s="1">
        <f t="shared" ref="E5746:F5746" si="4424">SUM(E4978+E5170+E5362+E5554)</f>
        <v>2330074</v>
      </c>
      <c r="F5746" s="1">
        <f t="shared" si="4424"/>
        <v>4887496</v>
      </c>
      <c r="G5746" s="1">
        <f t="shared" si="4301"/>
        <v>7217570</v>
      </c>
      <c r="H5746" s="2">
        <f t="shared" si="4302"/>
        <v>0.32283358526484673</v>
      </c>
      <c r="I5746" s="2">
        <f t="shared" si="4303"/>
        <v>0.67716641473515327</v>
      </c>
      <c r="J5746" s="1">
        <f t="shared" ref="J5746:K5746" si="4425">SUM(J4978+J5170+J5362+J5554)</f>
        <v>5229999.9799999995</v>
      </c>
      <c r="K5746" s="1">
        <f t="shared" si="4425"/>
        <v>19105407.066</v>
      </c>
      <c r="L5746" s="1">
        <f t="shared" si="4329"/>
        <v>24335407.046</v>
      </c>
      <c r="M5746" s="2">
        <f t="shared" si="4330"/>
        <v>0.21491319089563585</v>
      </c>
      <c r="N5746" s="2">
        <f t="shared" si="4331"/>
        <v>0.78508680910436413</v>
      </c>
    </row>
    <row r="5747" spans="1:14" x14ac:dyDescent="0.35">
      <c r="A5747" t="s">
        <v>38</v>
      </c>
      <c r="B5747" t="s">
        <v>27</v>
      </c>
      <c r="C5747">
        <v>2016</v>
      </c>
      <c r="D5747" t="s">
        <v>33</v>
      </c>
      <c r="E5747" s="1">
        <f t="shared" ref="E5747:F5747" si="4426">SUM(E4979+E5171+E5363+E5555)</f>
        <v>2323460</v>
      </c>
      <c r="F5747" s="1">
        <f t="shared" si="4426"/>
        <v>4895608</v>
      </c>
      <c r="G5747" s="1">
        <f t="shared" si="4301"/>
        <v>7219068</v>
      </c>
      <c r="H5747" s="2">
        <f t="shared" si="4302"/>
        <v>0.32185041060702019</v>
      </c>
      <c r="I5747" s="2">
        <f t="shared" si="4303"/>
        <v>0.67814958939297987</v>
      </c>
      <c r="J5747" s="1">
        <f t="shared" ref="J5747:K5747" si="4427">SUM(J4979+J5171+J5363+J5555)</f>
        <v>4595491.4400000004</v>
      </c>
      <c r="K5747" s="1">
        <f t="shared" si="4427"/>
        <v>17496796.859999999</v>
      </c>
      <c r="L5747" s="1">
        <f t="shared" si="4329"/>
        <v>22092288.300000001</v>
      </c>
      <c r="M5747" s="2">
        <f t="shared" si="4330"/>
        <v>0.20801337451313273</v>
      </c>
      <c r="N5747" s="2">
        <f t="shared" si="4331"/>
        <v>0.79198662548686727</v>
      </c>
    </row>
    <row r="5748" spans="1:14" x14ac:dyDescent="0.35">
      <c r="A5748" t="s">
        <v>38</v>
      </c>
      <c r="B5748" t="s">
        <v>28</v>
      </c>
      <c r="C5748">
        <v>2016</v>
      </c>
      <c r="D5748" t="s">
        <v>33</v>
      </c>
      <c r="E5748" s="1">
        <f t="shared" ref="E5748:F5748" si="4428">SUM(E4980+E5172+E5364+E5556)</f>
        <v>2308724</v>
      </c>
      <c r="F5748" s="1">
        <f t="shared" si="4428"/>
        <v>4874156</v>
      </c>
      <c r="G5748" s="1">
        <f t="shared" si="4301"/>
        <v>7182880</v>
      </c>
      <c r="H5748" s="2">
        <f t="shared" si="4302"/>
        <v>0.32142037734167911</v>
      </c>
      <c r="I5748" s="2">
        <f t="shared" si="4303"/>
        <v>0.67857962265832095</v>
      </c>
      <c r="J5748" s="1">
        <f t="shared" ref="J5748:K5748" si="4429">SUM(J4980+J5172+J5364+J5556)</f>
        <v>3761740.5800000005</v>
      </c>
      <c r="K5748" s="1">
        <f t="shared" si="4429"/>
        <v>15260541.710000001</v>
      </c>
      <c r="L5748" s="1">
        <f t="shared" si="4329"/>
        <v>19022282.290000003</v>
      </c>
      <c r="M5748" s="2">
        <f t="shared" si="4330"/>
        <v>0.19775442939239443</v>
      </c>
      <c r="N5748" s="2">
        <f t="shared" si="4331"/>
        <v>0.80224557060760548</v>
      </c>
    </row>
    <row r="5749" spans="1:14" x14ac:dyDescent="0.35">
      <c r="A5749" t="s">
        <v>38</v>
      </c>
      <c r="B5749" t="s">
        <v>29</v>
      </c>
      <c r="C5749">
        <v>2016</v>
      </c>
      <c r="D5749" t="s">
        <v>33</v>
      </c>
      <c r="E5749" s="1">
        <f t="shared" ref="E5749:F5749" si="4430">SUM(E4981+E5173+E5365+E5557)</f>
        <v>2312846</v>
      </c>
      <c r="F5749" s="1">
        <f t="shared" si="4430"/>
        <v>4923928</v>
      </c>
      <c r="G5749" s="1">
        <f t="shared" si="4301"/>
        <v>7236774</v>
      </c>
      <c r="H5749" s="2">
        <f t="shared" si="4302"/>
        <v>0.31959627314601785</v>
      </c>
      <c r="I5749" s="2">
        <f t="shared" si="4303"/>
        <v>0.6804037268539822</v>
      </c>
      <c r="J5749" s="1">
        <f t="shared" ref="J5749:K5749" si="4431">SUM(J4981+J5173+J5365+J5557)</f>
        <v>3507357.92</v>
      </c>
      <c r="K5749" s="1">
        <f t="shared" si="4431"/>
        <v>14637545.380000001</v>
      </c>
      <c r="L5749" s="1">
        <f t="shared" si="4329"/>
        <v>18144903.300000001</v>
      </c>
      <c r="M5749" s="2">
        <f t="shared" si="4330"/>
        <v>0.19329714036007015</v>
      </c>
      <c r="N5749" s="2">
        <f t="shared" si="4331"/>
        <v>0.80670285963992983</v>
      </c>
    </row>
    <row r="5750" spans="1:14" x14ac:dyDescent="0.35">
      <c r="A5750" t="s">
        <v>38</v>
      </c>
      <c r="B5750" t="s">
        <v>17</v>
      </c>
      <c r="C5750">
        <v>2017</v>
      </c>
      <c r="D5750" t="s">
        <v>33</v>
      </c>
      <c r="E5750" s="1">
        <f t="shared" ref="E5750:F5750" si="4432">SUM(E4982+E5174+E5366+E5558)</f>
        <v>2309382</v>
      </c>
      <c r="F5750" s="1">
        <f t="shared" si="4432"/>
        <v>4935085</v>
      </c>
      <c r="G5750" s="1">
        <f t="shared" si="4301"/>
        <v>7244467</v>
      </c>
      <c r="H5750" s="2">
        <f t="shared" si="4302"/>
        <v>0.31877873140977797</v>
      </c>
      <c r="I5750" s="2">
        <f t="shared" si="4303"/>
        <v>0.68122126859022203</v>
      </c>
      <c r="J5750" s="1">
        <f t="shared" ref="J5750:K5750" si="4433">SUM(J4982+J5174+J5366+J5558)</f>
        <v>4005982.2600000002</v>
      </c>
      <c r="K5750" s="1">
        <f t="shared" si="4433"/>
        <v>15805287.07</v>
      </c>
      <c r="L5750" s="1">
        <f t="shared" si="4329"/>
        <v>19811269.330000002</v>
      </c>
      <c r="M5750" s="2">
        <f t="shared" si="4330"/>
        <v>0.20220724847416932</v>
      </c>
      <c r="N5750" s="2">
        <f t="shared" si="4331"/>
        <v>0.79779275152583062</v>
      </c>
    </row>
    <row r="5751" spans="1:14" x14ac:dyDescent="0.35">
      <c r="A5751" t="s">
        <v>38</v>
      </c>
      <c r="B5751" t="s">
        <v>19</v>
      </c>
      <c r="C5751">
        <v>2017</v>
      </c>
      <c r="D5751" t="s">
        <v>33</v>
      </c>
      <c r="E5751" s="1">
        <f t="shared" ref="E5751:F5751" si="4434">SUM(E4983+E5175+E5367+E5559)</f>
        <v>2289200</v>
      </c>
      <c r="F5751" s="1">
        <f t="shared" si="4434"/>
        <v>4874932</v>
      </c>
      <c r="G5751" s="1">
        <f t="shared" ref="G5751:G5761" si="4435">SUM(E5751:F5751)</f>
        <v>7164132</v>
      </c>
      <c r="H5751" s="2">
        <f t="shared" ref="H5751:H5761" si="4436">SUM(E5751)/G5751</f>
        <v>0.31953626761762627</v>
      </c>
      <c r="I5751" s="2">
        <f t="shared" ref="I5751:I5761" si="4437">SUM(F5751/G5751)</f>
        <v>0.68046373238237379</v>
      </c>
      <c r="J5751" s="1">
        <f t="shared" ref="J5751:K5751" si="4438">SUM(J4983+J5175+J5367+J5559)</f>
        <v>3363598.8689999995</v>
      </c>
      <c r="K5751" s="1">
        <f t="shared" si="4438"/>
        <v>13949660.379999999</v>
      </c>
      <c r="L5751" s="1">
        <f t="shared" si="4329"/>
        <v>17313259.248999998</v>
      </c>
      <c r="M5751" s="2">
        <f t="shared" si="4330"/>
        <v>0.19427877909205793</v>
      </c>
      <c r="N5751" s="2">
        <f t="shared" si="4331"/>
        <v>0.80572122090794207</v>
      </c>
    </row>
    <row r="5752" spans="1:14" x14ac:dyDescent="0.35">
      <c r="A5752" t="s">
        <v>38</v>
      </c>
      <c r="B5752" t="s">
        <v>20</v>
      </c>
      <c r="C5752">
        <v>2017</v>
      </c>
      <c r="D5752" t="s">
        <v>33</v>
      </c>
      <c r="E5752" s="1">
        <f t="shared" ref="E5752:F5752" si="4439">SUM(E4984+E5176+E5368+E5560)</f>
        <v>2301910</v>
      </c>
      <c r="F5752" s="1">
        <f t="shared" si="4439"/>
        <v>4964848</v>
      </c>
      <c r="G5752" s="1">
        <f t="shared" si="4435"/>
        <v>7266758</v>
      </c>
      <c r="H5752" s="2">
        <f t="shared" si="4436"/>
        <v>0.31677262405050505</v>
      </c>
      <c r="I5752" s="2">
        <f t="shared" si="4437"/>
        <v>0.6832273759494949</v>
      </c>
      <c r="J5752" s="1">
        <f t="shared" ref="J5752:K5752" si="4440">SUM(J4984+J5176+J5368+J5560)</f>
        <v>3100644.0199999996</v>
      </c>
      <c r="K5752" s="1">
        <f t="shared" si="4440"/>
        <v>13563038.419999998</v>
      </c>
      <c r="L5752" s="1">
        <f t="shared" si="4329"/>
        <v>16663682.439999998</v>
      </c>
      <c r="M5752" s="2">
        <f t="shared" si="4330"/>
        <v>0.18607195805394861</v>
      </c>
      <c r="N5752" s="2">
        <f t="shared" si="4331"/>
        <v>0.81392804194605139</v>
      </c>
    </row>
    <row r="5753" spans="1:14" x14ac:dyDescent="0.35">
      <c r="A5753" t="s">
        <v>38</v>
      </c>
      <c r="B5753" t="s">
        <v>21</v>
      </c>
      <c r="C5753">
        <v>2017</v>
      </c>
      <c r="D5753" t="s">
        <v>33</v>
      </c>
      <c r="E5753" s="1">
        <f t="shared" ref="E5753:F5753" si="4441">SUM(E4985+E5177+E5369+E5561)</f>
        <v>2267788</v>
      </c>
      <c r="F5753" s="1">
        <f t="shared" si="4441"/>
        <v>4917767</v>
      </c>
      <c r="G5753" s="1">
        <f t="shared" si="4435"/>
        <v>7185555</v>
      </c>
      <c r="H5753" s="2">
        <f t="shared" si="4436"/>
        <v>0.31560373555000276</v>
      </c>
      <c r="I5753" s="2">
        <f t="shared" si="4437"/>
        <v>0.68439626444999724</v>
      </c>
      <c r="J5753" s="1">
        <f t="shared" ref="J5753:K5753" si="4442">SUM(J4985+J5177+J5369+J5561)</f>
        <v>2939071.8200000003</v>
      </c>
      <c r="K5753" s="1">
        <f t="shared" si="4442"/>
        <v>12318044.110000001</v>
      </c>
      <c r="L5753" s="1">
        <f t="shared" si="4329"/>
        <v>15257115.930000002</v>
      </c>
      <c r="M5753" s="2">
        <f t="shared" si="4330"/>
        <v>0.19263613342682387</v>
      </c>
      <c r="N5753" s="2">
        <f t="shared" si="4331"/>
        <v>0.80736386657317616</v>
      </c>
    </row>
    <row r="5754" spans="1:14" x14ac:dyDescent="0.35">
      <c r="A5754" t="s">
        <v>38</v>
      </c>
      <c r="B5754" t="s">
        <v>22</v>
      </c>
      <c r="C5754">
        <v>2017</v>
      </c>
      <c r="D5754" t="s">
        <v>33</v>
      </c>
      <c r="E5754" s="1">
        <f t="shared" ref="E5754:F5754" si="4443">SUM(E4986+E5178+E5370+E5562)</f>
        <v>2261744</v>
      </c>
      <c r="F5754" s="1">
        <f t="shared" si="4443"/>
        <v>4932279</v>
      </c>
      <c r="G5754" s="1">
        <f t="shared" si="4435"/>
        <v>7194023</v>
      </c>
      <c r="H5754" s="2">
        <f t="shared" si="4436"/>
        <v>0.31439210021986308</v>
      </c>
      <c r="I5754" s="2">
        <f t="shared" si="4437"/>
        <v>0.68560789978013692</v>
      </c>
      <c r="J5754" s="1">
        <f t="shared" ref="J5754:K5754" si="4444">SUM(J4986+J5178+J5370+J5562)</f>
        <v>4581202.9399999995</v>
      </c>
      <c r="K5754" s="1">
        <f t="shared" si="4444"/>
        <v>21956413.969999999</v>
      </c>
      <c r="L5754" s="1">
        <f t="shared" si="4329"/>
        <v>26537616.909999996</v>
      </c>
      <c r="M5754" s="2">
        <f t="shared" si="4330"/>
        <v>0.17263053255824545</v>
      </c>
      <c r="N5754" s="2">
        <f t="shared" si="4331"/>
        <v>0.82736946744175466</v>
      </c>
    </row>
    <row r="5755" spans="1:14" x14ac:dyDescent="0.35">
      <c r="A5755" t="s">
        <v>38</v>
      </c>
      <c r="B5755" t="s">
        <v>23</v>
      </c>
      <c r="C5755">
        <v>2017</v>
      </c>
      <c r="D5755" t="s">
        <v>33</v>
      </c>
      <c r="E5755" s="1">
        <f t="shared" ref="E5755:F5755" si="4445">SUM(E4987+E5179+E5371+E5563)</f>
        <v>2251550</v>
      </c>
      <c r="F5755" s="1">
        <f t="shared" si="4445"/>
        <v>4939946</v>
      </c>
      <c r="G5755" s="1">
        <f t="shared" si="4435"/>
        <v>7191496</v>
      </c>
      <c r="H5755" s="2">
        <f t="shared" si="4436"/>
        <v>0.31308506602798641</v>
      </c>
      <c r="I5755" s="2">
        <f t="shared" si="4437"/>
        <v>0.68691493397201364</v>
      </c>
      <c r="J5755" s="1">
        <f t="shared" ref="J5755:K5755" si="4446">SUM(J4987+J5179+J5371+J5563)</f>
        <v>4161014.3600000003</v>
      </c>
      <c r="K5755" s="1">
        <f t="shared" si="4446"/>
        <v>17115291.689999998</v>
      </c>
      <c r="L5755" s="1">
        <f t="shared" si="4329"/>
        <v>21276306.049999997</v>
      </c>
      <c r="M5755" s="2">
        <f t="shared" si="4330"/>
        <v>0.19557033773726906</v>
      </c>
      <c r="N5755" s="2">
        <f t="shared" si="4331"/>
        <v>0.80442966226273094</v>
      </c>
    </row>
    <row r="5756" spans="1:14" x14ac:dyDescent="0.35">
      <c r="A5756" t="s">
        <v>38</v>
      </c>
      <c r="B5756" t="s">
        <v>24</v>
      </c>
      <c r="C5756">
        <v>2017</v>
      </c>
      <c r="D5756" t="s">
        <v>33</v>
      </c>
      <c r="E5756" s="1">
        <f t="shared" ref="E5756:F5756" si="4447">SUM(E4988+E5180+E5372+E5564)</f>
        <v>2245467</v>
      </c>
      <c r="F5756" s="1">
        <f t="shared" si="4447"/>
        <v>4963367</v>
      </c>
      <c r="G5756" s="1">
        <f t="shared" si="4435"/>
        <v>7208834</v>
      </c>
      <c r="H5756" s="2">
        <f t="shared" si="4436"/>
        <v>0.31148823790366098</v>
      </c>
      <c r="I5756" s="2">
        <f t="shared" si="4437"/>
        <v>0.68851176209633902</v>
      </c>
      <c r="J5756" s="1">
        <f t="shared" ref="J5756:K5756" si="4448">SUM(J4988+J5180+J5372+J5564)</f>
        <v>5083501.3899999997</v>
      </c>
      <c r="K5756" s="1">
        <f t="shared" si="4448"/>
        <v>19805226.940000001</v>
      </c>
      <c r="L5756" s="1">
        <f t="shared" si="4329"/>
        <v>24888728.330000002</v>
      </c>
      <c r="M5756" s="2">
        <f t="shared" si="4330"/>
        <v>0.20424914132203875</v>
      </c>
      <c r="N5756" s="2">
        <f t="shared" si="4331"/>
        <v>0.79575085867796125</v>
      </c>
    </row>
    <row r="5757" spans="1:14" x14ac:dyDescent="0.35">
      <c r="A5757" t="s">
        <v>38</v>
      </c>
      <c r="B5757" t="s">
        <v>25</v>
      </c>
      <c r="C5757">
        <v>2017</v>
      </c>
      <c r="D5757" t="s">
        <v>33</v>
      </c>
      <c r="E5757" s="1">
        <f t="shared" ref="E5757:F5757" si="4449">SUM(E4989+E5181+E5373+E5565)</f>
        <v>2236193</v>
      </c>
      <c r="F5757" s="1">
        <f t="shared" si="4449"/>
        <v>4982570</v>
      </c>
      <c r="G5757" s="1">
        <f t="shared" si="4435"/>
        <v>7218763</v>
      </c>
      <c r="H5757" s="2">
        <f t="shared" si="4436"/>
        <v>0.30977509581627766</v>
      </c>
      <c r="I5757" s="2">
        <f t="shared" si="4437"/>
        <v>0.69022490418372229</v>
      </c>
      <c r="J5757" s="1">
        <f t="shared" ref="J5757:K5757" si="4450">SUM(J4989+J5181+J5373+J5565)</f>
        <v>5325160.93</v>
      </c>
      <c r="K5757" s="1">
        <f t="shared" si="4450"/>
        <v>19946905.870000001</v>
      </c>
      <c r="L5757" s="1">
        <f t="shared" si="4329"/>
        <v>25272066.800000001</v>
      </c>
      <c r="M5757" s="2">
        <f t="shared" si="4330"/>
        <v>0.21071331332505022</v>
      </c>
      <c r="N5757" s="2">
        <f t="shared" si="4331"/>
        <v>0.78928668667494972</v>
      </c>
    </row>
    <row r="5758" spans="1:14" x14ac:dyDescent="0.35">
      <c r="A5758" t="s">
        <v>38</v>
      </c>
      <c r="B5758" t="s">
        <v>26</v>
      </c>
      <c r="C5758">
        <v>2017</v>
      </c>
      <c r="D5758" t="s">
        <v>33</v>
      </c>
      <c r="E5758" s="1">
        <f t="shared" ref="E5758:F5758" si="4451">SUM(E4990+E5182+E5374+E5566)</f>
        <v>2224325</v>
      </c>
      <c r="F5758" s="1">
        <f t="shared" si="4451"/>
        <v>4989892</v>
      </c>
      <c r="G5758" s="1">
        <f t="shared" si="4435"/>
        <v>7214217</v>
      </c>
      <c r="H5758" s="2">
        <f t="shared" si="4436"/>
        <v>0.30832521394906753</v>
      </c>
      <c r="I5758" s="2">
        <f t="shared" si="4437"/>
        <v>0.69167478605093247</v>
      </c>
      <c r="J5758" s="1">
        <f t="shared" ref="J5758:K5758" si="4452">SUM(J4990+J5182+J5374+J5566)</f>
        <v>4960265.1899999995</v>
      </c>
      <c r="K5758" s="1">
        <f t="shared" si="4452"/>
        <v>19311561.329999998</v>
      </c>
      <c r="L5758" s="1">
        <f t="shared" si="4329"/>
        <v>24271826.519999996</v>
      </c>
      <c r="M5758" s="2">
        <f t="shared" si="4330"/>
        <v>0.20436307856406022</v>
      </c>
      <c r="N5758" s="2">
        <f t="shared" si="4331"/>
        <v>0.79563692143593989</v>
      </c>
    </row>
    <row r="5759" spans="1:14" x14ac:dyDescent="0.35">
      <c r="A5759" t="s">
        <v>38</v>
      </c>
      <c r="B5759" t="s">
        <v>27</v>
      </c>
      <c r="C5759">
        <v>2017</v>
      </c>
      <c r="D5759" t="s">
        <v>33</v>
      </c>
      <c r="E5759" s="1">
        <f t="shared" ref="E5759:F5759" si="4453">SUM(E4991+E5183+E5375+E5567)</f>
        <v>2222090</v>
      </c>
      <c r="F5759" s="1">
        <f t="shared" si="4453"/>
        <v>5010487</v>
      </c>
      <c r="G5759" s="1">
        <f t="shared" si="4435"/>
        <v>7232577</v>
      </c>
      <c r="H5759" s="2">
        <f t="shared" si="4436"/>
        <v>0.30723350750361872</v>
      </c>
      <c r="I5759" s="2">
        <f t="shared" si="4437"/>
        <v>0.69276649249638134</v>
      </c>
      <c r="J5759" s="1">
        <f t="shared" ref="J5759:K5759" si="4454">SUM(J4991+J5183+J5375+J5567)</f>
        <v>4305195.2700000005</v>
      </c>
      <c r="K5759" s="1">
        <f t="shared" si="4454"/>
        <v>17605534.09</v>
      </c>
      <c r="L5759" s="1">
        <f t="shared" si="4329"/>
        <v>21910729.359999999</v>
      </c>
      <c r="M5759" s="2">
        <f t="shared" si="4330"/>
        <v>0.1964879945009736</v>
      </c>
      <c r="N5759" s="2">
        <f t="shared" si="4331"/>
        <v>0.80351200549902646</v>
      </c>
    </row>
    <row r="5760" spans="1:14" x14ac:dyDescent="0.35">
      <c r="A5760" t="s">
        <v>38</v>
      </c>
      <c r="B5760" t="s">
        <v>28</v>
      </c>
      <c r="C5760">
        <v>2017</v>
      </c>
      <c r="D5760" t="s">
        <v>33</v>
      </c>
      <c r="E5760" s="1">
        <f t="shared" ref="E5760:F5760" si="4455">SUM(E4992+E5184+E5376+E5568)</f>
        <v>2216452</v>
      </c>
      <c r="F5760" s="1">
        <f t="shared" si="4455"/>
        <v>5031888</v>
      </c>
      <c r="G5760" s="1">
        <f t="shared" si="4435"/>
        <v>7248340</v>
      </c>
      <c r="H5760" s="2">
        <f t="shared" si="4436"/>
        <v>0.30578753204181924</v>
      </c>
      <c r="I5760" s="2">
        <f t="shared" si="4437"/>
        <v>0.69421246795818081</v>
      </c>
      <c r="J5760" s="1">
        <f t="shared" ref="J5760:K5760" si="4456">SUM(J4992+J5184+J5376+J5568)</f>
        <v>3398831.12</v>
      </c>
      <c r="K5760" s="1">
        <f t="shared" si="4456"/>
        <v>15093996.67</v>
      </c>
      <c r="L5760" s="1">
        <f t="shared" si="4329"/>
        <v>18492827.789999999</v>
      </c>
      <c r="M5760" s="2">
        <f t="shared" si="4330"/>
        <v>0.18379185479885984</v>
      </c>
      <c r="N5760" s="2">
        <f t="shared" si="4331"/>
        <v>0.81620814520114016</v>
      </c>
    </row>
    <row r="5761" spans="1:14" x14ac:dyDescent="0.35">
      <c r="A5761" t="s">
        <v>38</v>
      </c>
      <c r="B5761" t="s">
        <v>29</v>
      </c>
      <c r="C5761">
        <v>2017</v>
      </c>
      <c r="D5761" t="s">
        <v>33</v>
      </c>
      <c r="E5761" s="1">
        <f t="shared" ref="E5761:F5761" si="4457">SUM(E4993+E5185+E5377+E5569)</f>
        <v>2212691</v>
      </c>
      <c r="F5761" s="1">
        <f t="shared" si="4457"/>
        <v>5062480</v>
      </c>
      <c r="G5761" s="1">
        <f t="shared" si="4435"/>
        <v>7275171</v>
      </c>
      <c r="H5761" s="2">
        <f t="shared" si="4436"/>
        <v>0.3041428167117996</v>
      </c>
      <c r="I5761" s="2">
        <f t="shared" si="4437"/>
        <v>0.69585718328820034</v>
      </c>
      <c r="J5761" s="1">
        <f t="shared" ref="J5761:K5761" si="4458">SUM(J4993+J5185+J5377+J5569)</f>
        <v>3418304.98</v>
      </c>
      <c r="K5761" s="1">
        <f t="shared" si="4458"/>
        <v>15414087.699999997</v>
      </c>
      <c r="L5761" s="1">
        <f t="shared" si="4329"/>
        <v>18832392.679999996</v>
      </c>
      <c r="M5761" s="2">
        <f t="shared" si="4330"/>
        <v>0.18151198512498309</v>
      </c>
      <c r="N5761" s="2">
        <f t="shared" si="4331"/>
        <v>0.81848801487501699</v>
      </c>
    </row>
  </sheetData>
  <phoneticPr fontId="2" type="noConversion"/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B6397262687145961CAA128FC6731E" ma:contentTypeVersion="11" ma:contentTypeDescription="Create a new document." ma:contentTypeScope="" ma:versionID="e9cd7bce039c798c67136bbc49c33840">
  <xsd:schema xmlns:xsd="http://www.w3.org/2001/XMLSchema" xmlns:xs="http://www.w3.org/2001/XMLSchema" xmlns:p="http://schemas.microsoft.com/office/2006/metadata/properties" xmlns:ns2="d1afe464-883d-4290-b968-fe3249bf15f2" xmlns:ns3="2512b729-784c-4b39-8edd-6dc3b9f569fb" targetNamespace="http://schemas.microsoft.com/office/2006/metadata/properties" ma:root="true" ma:fieldsID="92852a4baff2ceca0492825426674648" ns2:_="" ns3:_="">
    <xsd:import namespace="d1afe464-883d-4290-b968-fe3249bf15f2"/>
    <xsd:import namespace="2512b729-784c-4b39-8edd-6dc3b9f569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afe464-883d-4290-b968-fe3249bf15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d3ec5fc-e53c-44b8-a5cd-ce895a24db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12b729-784c-4b39-8edd-6dc3b9f569f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f0c7c9f-2123-4936-844c-24b66b726031}" ma:internalName="TaxCatchAll" ma:showField="CatchAllData" ma:web="2512b729-784c-4b39-8edd-6dc3b9f569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FD1BB9-A6D6-4DD8-A32D-5B795D4C3F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F62BCAF-497C-4BE6-B1F6-1D7014A27E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afe464-883d-4290-b968-fe3249bf15f2"/>
    <ds:schemaRef ds:uri="2512b729-784c-4b39-8edd-6dc3b9f569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Mercado, Jessica</dc:creator>
  <cp:keywords/>
  <dc:description/>
  <cp:lastModifiedBy>Clinton Mckenzie</cp:lastModifiedBy>
  <cp:revision/>
  <dcterms:created xsi:type="dcterms:W3CDTF">2024-04-28T23:23:45Z</dcterms:created>
  <dcterms:modified xsi:type="dcterms:W3CDTF">2024-09-29T15:41:01Z</dcterms:modified>
  <cp:category/>
  <cp:contentStatus/>
</cp:coreProperties>
</file>