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460" yWindow="180" windowWidth="5388" windowHeight="8580" tabRatio="934" activeTab="8"/>
  </bookViews>
  <sheets>
    <sheet name="Assets " sheetId="12" r:id="rId1"/>
    <sheet name="Do Not Use" sheetId="13" r:id="rId2"/>
    <sheet name="63K" sheetId="8" r:id="rId3"/>
    <sheet name="247" sheetId="1" r:id="rId4"/>
    <sheet name="259" sheetId="3" r:id="rId5"/>
    <sheet name="P&amp;S63K" sheetId="16" r:id="rId6"/>
    <sheet name="P&amp;S247" sheetId="15" r:id="rId7"/>
    <sheet name="P&amp;S259" sheetId="14" r:id="rId8"/>
    <sheet name="P&amp;SCombined" sheetId="17" r:id="rId9"/>
    <sheet name="Notes" sheetId="18" r:id="rId10"/>
  </sheets>
  <definedNames>
    <definedName name="BalSht">#REF!</definedName>
    <definedName name="IncStmt">#REF!</definedName>
    <definedName name="_xlnm.Print_Area" localSheetId="3">'247'!$A$1:$D$62</definedName>
    <definedName name="_xlnm.Print_Area" localSheetId="4">'259'!$A$1:$D$70</definedName>
    <definedName name="_xlnm.Print_Area" localSheetId="2">'63K'!$A$2:$D$99</definedName>
    <definedName name="_xlnm.Print_Area" localSheetId="0">'Assets '!$A$1:$D$20</definedName>
    <definedName name="_xlnm.Print_Area" localSheetId="1">'Do Not Use'!$A$1:$I$60</definedName>
  </definedNames>
  <calcPr calcId="0"/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D15" i="1"/>
  <c r="E15" i="1"/>
  <c r="F15" i="1"/>
  <c r="G15" i="1"/>
  <c r="H15" i="1"/>
  <c r="I15" i="1"/>
  <c r="J15" i="1"/>
  <c r="K15" i="1"/>
  <c r="L15" i="1"/>
  <c r="M15" i="1"/>
  <c r="O15" i="1"/>
  <c r="O16" i="1"/>
  <c r="O17" i="1"/>
  <c r="O18" i="1"/>
  <c r="O19" i="1"/>
  <c r="O20" i="1"/>
  <c r="O21" i="1"/>
  <c r="O23" i="1"/>
  <c r="O24" i="1"/>
  <c r="D25" i="1"/>
  <c r="E25" i="1"/>
  <c r="F25" i="1"/>
  <c r="G25" i="1"/>
  <c r="H25" i="1"/>
  <c r="I25" i="1"/>
  <c r="J25" i="1"/>
  <c r="K25" i="1"/>
  <c r="L25" i="1"/>
  <c r="M25" i="1"/>
  <c r="O25" i="1"/>
  <c r="O26" i="1"/>
  <c r="O27" i="1"/>
  <c r="D28" i="1"/>
  <c r="O28" i="1"/>
  <c r="D29" i="1"/>
  <c r="O29" i="1"/>
  <c r="O30" i="1"/>
  <c r="D31" i="1"/>
  <c r="E31" i="1"/>
  <c r="F31" i="1"/>
  <c r="G31" i="1"/>
  <c r="H31" i="1"/>
  <c r="I31" i="1"/>
  <c r="J31" i="1"/>
  <c r="K31" i="1"/>
  <c r="L31" i="1"/>
  <c r="M31" i="1"/>
  <c r="O31" i="1"/>
  <c r="O32" i="1"/>
  <c r="D33" i="1"/>
  <c r="E33" i="1"/>
  <c r="F33" i="1"/>
  <c r="G33" i="1"/>
  <c r="H33" i="1"/>
  <c r="I33" i="1"/>
  <c r="J33" i="1"/>
  <c r="K33" i="1"/>
  <c r="L33" i="1"/>
  <c r="M33" i="1"/>
  <c r="O33" i="1"/>
  <c r="O34" i="1"/>
  <c r="D35" i="1"/>
  <c r="O35" i="1"/>
  <c r="O36" i="1"/>
  <c r="O37" i="1"/>
  <c r="O38" i="1"/>
  <c r="O39" i="1"/>
  <c r="O40" i="1"/>
  <c r="O41" i="1"/>
  <c r="O42" i="1"/>
  <c r="O43" i="1"/>
  <c r="O44" i="1"/>
  <c r="O45" i="1"/>
  <c r="D46" i="1"/>
  <c r="O46" i="1"/>
  <c r="O47" i="1"/>
  <c r="O48" i="1"/>
  <c r="O49" i="1"/>
  <c r="O50" i="1"/>
  <c r="D51" i="1"/>
  <c r="O51" i="1"/>
  <c r="O52" i="1"/>
  <c r="D53" i="1"/>
  <c r="O53" i="1"/>
  <c r="O54" i="1"/>
  <c r="O55" i="1"/>
  <c r="O56" i="1"/>
  <c r="D57" i="1"/>
  <c r="O57" i="1"/>
  <c r="O59" i="1"/>
  <c r="O60" i="1"/>
  <c r="O61" i="1"/>
  <c r="D62" i="1"/>
  <c r="O62" i="1"/>
  <c r="O63" i="1"/>
  <c r="O64" i="1"/>
  <c r="O65" i="1"/>
  <c r="O8" i="3"/>
  <c r="O9" i="3"/>
  <c r="O10" i="3"/>
  <c r="O11" i="3"/>
  <c r="D12" i="3"/>
  <c r="O12" i="3"/>
  <c r="O13" i="3"/>
  <c r="O14" i="3"/>
  <c r="O15" i="3"/>
  <c r="O16" i="3"/>
  <c r="D17" i="3"/>
  <c r="E17" i="3"/>
  <c r="F17" i="3"/>
  <c r="G17" i="3"/>
  <c r="H17" i="3"/>
  <c r="I17" i="3"/>
  <c r="J17" i="3"/>
  <c r="K17" i="3"/>
  <c r="L17" i="3"/>
  <c r="M17" i="3"/>
  <c r="O17" i="3"/>
  <c r="O18" i="3"/>
  <c r="O19" i="3"/>
  <c r="O20" i="3"/>
  <c r="D21" i="3"/>
  <c r="O21" i="3"/>
  <c r="O22" i="3"/>
  <c r="O23" i="3"/>
  <c r="O24" i="3"/>
  <c r="O25" i="3"/>
  <c r="O29" i="3"/>
  <c r="O31" i="3"/>
  <c r="O32" i="3"/>
  <c r="D33" i="3"/>
  <c r="E33" i="3"/>
  <c r="F33" i="3"/>
  <c r="G33" i="3"/>
  <c r="H33" i="3"/>
  <c r="I33" i="3"/>
  <c r="J33" i="3"/>
  <c r="K33" i="3"/>
  <c r="L33" i="3"/>
  <c r="M33" i="3"/>
  <c r="O33" i="3"/>
  <c r="O34" i="3"/>
  <c r="O35" i="3"/>
  <c r="D36" i="3"/>
  <c r="O36" i="3"/>
  <c r="D37" i="3"/>
  <c r="O37" i="3"/>
  <c r="O38" i="3"/>
  <c r="D39" i="3"/>
  <c r="E39" i="3"/>
  <c r="F39" i="3"/>
  <c r="G39" i="3"/>
  <c r="H39" i="3"/>
  <c r="I39" i="3"/>
  <c r="J39" i="3"/>
  <c r="K39" i="3"/>
  <c r="L39" i="3"/>
  <c r="M39" i="3"/>
  <c r="O39" i="3"/>
  <c r="O40" i="3"/>
  <c r="D41" i="3"/>
  <c r="E41" i="3"/>
  <c r="F41" i="3"/>
  <c r="G41" i="3"/>
  <c r="H41" i="3"/>
  <c r="I41" i="3"/>
  <c r="J41" i="3"/>
  <c r="K41" i="3"/>
  <c r="L41" i="3"/>
  <c r="M41" i="3"/>
  <c r="O41" i="3"/>
  <c r="O42" i="3"/>
  <c r="D43" i="3"/>
  <c r="O43" i="3"/>
  <c r="O44" i="3"/>
  <c r="O45" i="3"/>
  <c r="O46" i="3"/>
  <c r="O47" i="3"/>
  <c r="O48" i="3"/>
  <c r="O49" i="3"/>
  <c r="O50" i="3"/>
  <c r="O51" i="3"/>
  <c r="O52" i="3"/>
  <c r="O53" i="3"/>
  <c r="D54" i="3"/>
  <c r="O54" i="3"/>
  <c r="O55" i="3"/>
  <c r="O56" i="3"/>
  <c r="O57" i="3"/>
  <c r="O58" i="3"/>
  <c r="D59" i="3"/>
  <c r="O59" i="3"/>
  <c r="O60" i="3"/>
  <c r="D61" i="3"/>
  <c r="O61" i="3"/>
  <c r="O62" i="3"/>
  <c r="O63" i="3"/>
  <c r="O64" i="3"/>
  <c r="D65" i="3"/>
  <c r="O65" i="3"/>
  <c r="O66" i="3"/>
  <c r="O68" i="3"/>
  <c r="O69" i="3"/>
  <c r="D70" i="3"/>
  <c r="O70" i="3"/>
  <c r="O71" i="3"/>
  <c r="O72" i="3"/>
  <c r="O73" i="3"/>
  <c r="O74" i="3"/>
  <c r="O75" i="3"/>
  <c r="O76" i="3"/>
  <c r="O77" i="3"/>
  <c r="O78" i="3"/>
  <c r="O10" i="8"/>
  <c r="O12" i="8"/>
  <c r="O15" i="8"/>
  <c r="O16" i="8"/>
  <c r="O17" i="8"/>
  <c r="O18" i="8"/>
  <c r="O19" i="8"/>
  <c r="O20" i="8"/>
  <c r="O22" i="8"/>
  <c r="O23" i="8"/>
  <c r="O24" i="8"/>
  <c r="D25" i="8"/>
  <c r="E25" i="8"/>
  <c r="F25" i="8"/>
  <c r="G25" i="8"/>
  <c r="H25" i="8"/>
  <c r="I25" i="8"/>
  <c r="J25" i="8"/>
  <c r="K25" i="8"/>
  <c r="L25" i="8"/>
  <c r="M25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D38" i="8"/>
  <c r="O39" i="8"/>
  <c r="O42" i="8"/>
  <c r="O45" i="8"/>
  <c r="O46" i="8"/>
  <c r="D47" i="8"/>
  <c r="E47" i="8"/>
  <c r="F47" i="8"/>
  <c r="G47" i="8"/>
  <c r="H47" i="8"/>
  <c r="I47" i="8"/>
  <c r="J47" i="8"/>
  <c r="K47" i="8"/>
  <c r="L47" i="8"/>
  <c r="M47" i="8"/>
  <c r="O47" i="8"/>
  <c r="O48" i="8"/>
  <c r="O49" i="8"/>
  <c r="D50" i="8"/>
  <c r="O50" i="8"/>
  <c r="O51" i="8"/>
  <c r="D52" i="8"/>
  <c r="E52" i="8"/>
  <c r="F52" i="8"/>
  <c r="G52" i="8"/>
  <c r="H52" i="8"/>
  <c r="I52" i="8"/>
  <c r="J52" i="8"/>
  <c r="K52" i="8"/>
  <c r="L52" i="8"/>
  <c r="M52" i="8"/>
  <c r="O52" i="8"/>
  <c r="O53" i="8"/>
  <c r="D54" i="8"/>
  <c r="E54" i="8"/>
  <c r="F54" i="8"/>
  <c r="G54" i="8"/>
  <c r="H54" i="8"/>
  <c r="I54" i="8"/>
  <c r="J54" i="8"/>
  <c r="K54" i="8"/>
  <c r="L54" i="8"/>
  <c r="M54" i="8"/>
  <c r="O54" i="8"/>
  <c r="O55" i="8"/>
  <c r="D56" i="8"/>
  <c r="O56" i="8"/>
  <c r="P56" i="8"/>
  <c r="O57" i="8"/>
  <c r="O58" i="8"/>
  <c r="O59" i="8"/>
  <c r="O60" i="8"/>
  <c r="O61" i="8"/>
  <c r="O62" i="8"/>
  <c r="O63" i="8"/>
  <c r="O64" i="8"/>
  <c r="O65" i="8"/>
  <c r="O67" i="8"/>
  <c r="O69" i="8"/>
  <c r="D70" i="8"/>
  <c r="E70" i="8"/>
  <c r="F70" i="8"/>
  <c r="G70" i="8"/>
  <c r="H70" i="8"/>
  <c r="I70" i="8"/>
  <c r="J70" i="8"/>
  <c r="K70" i="8"/>
  <c r="L70" i="8"/>
  <c r="M70" i="8"/>
  <c r="O70" i="8"/>
  <c r="O71" i="8"/>
  <c r="O72" i="8"/>
  <c r="O73" i="8"/>
  <c r="O75" i="8"/>
  <c r="D76" i="8"/>
  <c r="E76" i="8"/>
  <c r="F76" i="8"/>
  <c r="G76" i="8"/>
  <c r="H76" i="8"/>
  <c r="I76" i="8"/>
  <c r="J76" i="8"/>
  <c r="K76" i="8"/>
  <c r="L76" i="8"/>
  <c r="M76" i="8"/>
  <c r="O76" i="8"/>
  <c r="O77" i="8"/>
  <c r="D78" i="8"/>
  <c r="E78" i="8"/>
  <c r="F78" i="8"/>
  <c r="G78" i="8"/>
  <c r="H78" i="8"/>
  <c r="I78" i="8"/>
  <c r="J78" i="8"/>
  <c r="K78" i="8"/>
  <c r="L78" i="8"/>
  <c r="M78" i="8"/>
  <c r="O78" i="8"/>
  <c r="O79" i="8"/>
  <c r="O80" i="8"/>
  <c r="O81" i="8"/>
  <c r="O82" i="8"/>
  <c r="O83" i="8"/>
  <c r="E84" i="8"/>
  <c r="F84" i="8"/>
  <c r="G84" i="8"/>
  <c r="H84" i="8"/>
  <c r="I84" i="8"/>
  <c r="J84" i="8"/>
  <c r="K84" i="8"/>
  <c r="L84" i="8"/>
  <c r="M84" i="8"/>
  <c r="O84" i="8"/>
  <c r="O85" i="8"/>
  <c r="D86" i="8"/>
  <c r="E86" i="8"/>
  <c r="F86" i="8"/>
  <c r="G86" i="8"/>
  <c r="H86" i="8"/>
  <c r="I86" i="8"/>
  <c r="J86" i="8"/>
  <c r="K86" i="8"/>
  <c r="L86" i="8"/>
  <c r="M86" i="8"/>
  <c r="O86" i="8"/>
  <c r="O87" i="8"/>
  <c r="O88" i="8"/>
  <c r="O89" i="8"/>
  <c r="O90" i="8"/>
  <c r="D92" i="8"/>
  <c r="E92" i="8"/>
  <c r="F92" i="8"/>
  <c r="G92" i="8"/>
  <c r="H92" i="8"/>
  <c r="I92" i="8"/>
  <c r="J92" i="8"/>
  <c r="K92" i="8"/>
  <c r="L92" i="8"/>
  <c r="M92" i="8"/>
  <c r="O92" i="8"/>
  <c r="O93" i="8"/>
  <c r="O95" i="8"/>
  <c r="O96" i="8"/>
  <c r="D97" i="8"/>
  <c r="E97" i="8"/>
  <c r="F97" i="8"/>
  <c r="G97" i="8"/>
  <c r="H97" i="8"/>
  <c r="I97" i="8"/>
  <c r="J97" i="8"/>
  <c r="K97" i="8"/>
  <c r="L97" i="8"/>
  <c r="M97" i="8"/>
  <c r="O97" i="8"/>
  <c r="E10" i="13"/>
  <c r="K10" i="13"/>
  <c r="N10" i="13"/>
  <c r="E11" i="13"/>
  <c r="K11" i="13"/>
  <c r="N11" i="13"/>
  <c r="E12" i="13"/>
  <c r="K12" i="13"/>
  <c r="N12" i="13"/>
  <c r="G13" i="13"/>
  <c r="I13" i="13"/>
  <c r="K13" i="13"/>
  <c r="M13" i="13"/>
  <c r="N13" i="13"/>
  <c r="E14" i="13"/>
  <c r="K14" i="13"/>
  <c r="M14" i="13"/>
  <c r="N14" i="13"/>
  <c r="E15" i="13"/>
  <c r="K15" i="13"/>
  <c r="M15" i="13"/>
  <c r="N15" i="13"/>
  <c r="G16" i="13"/>
  <c r="K16" i="13"/>
  <c r="M16" i="13"/>
  <c r="N16" i="13"/>
  <c r="E17" i="13"/>
  <c r="K17" i="13"/>
  <c r="N17" i="13"/>
  <c r="E18" i="13"/>
  <c r="K18" i="13"/>
  <c r="N18" i="13"/>
  <c r="G19" i="13"/>
  <c r="K19" i="13"/>
  <c r="N19" i="13"/>
  <c r="I20" i="13"/>
  <c r="K20" i="13"/>
  <c r="N20" i="13"/>
  <c r="E21" i="13"/>
  <c r="K21" i="13"/>
  <c r="N21" i="13"/>
  <c r="E22" i="13"/>
  <c r="K22" i="13"/>
  <c r="N22" i="13"/>
  <c r="E23" i="13"/>
  <c r="K23" i="13"/>
  <c r="N23" i="13"/>
  <c r="E24" i="13"/>
  <c r="I24" i="13"/>
  <c r="K24" i="13"/>
  <c r="N24" i="13"/>
  <c r="E26" i="13"/>
  <c r="G26" i="13"/>
  <c r="I26" i="13"/>
  <c r="K26" i="13"/>
  <c r="M26" i="13"/>
  <c r="N26" i="13"/>
  <c r="E29" i="13"/>
  <c r="G29" i="13"/>
  <c r="I29" i="13"/>
  <c r="K29" i="13"/>
  <c r="M29" i="13"/>
  <c r="N29" i="13"/>
  <c r="E30" i="13"/>
  <c r="I30" i="13"/>
  <c r="K30" i="13"/>
  <c r="M30" i="13"/>
  <c r="N30" i="13"/>
  <c r="E31" i="13"/>
  <c r="I31" i="13"/>
  <c r="K31" i="13"/>
  <c r="M31" i="13"/>
  <c r="N31" i="13"/>
  <c r="E32" i="13"/>
  <c r="K32" i="13"/>
  <c r="M32" i="13"/>
  <c r="N32" i="13"/>
  <c r="I33" i="13"/>
  <c r="K33" i="13"/>
  <c r="M33" i="13"/>
  <c r="N33" i="13"/>
  <c r="I34" i="13"/>
  <c r="K34" i="13"/>
  <c r="M34" i="13"/>
  <c r="N34" i="13"/>
  <c r="G35" i="13"/>
  <c r="K35" i="13"/>
  <c r="M35" i="13"/>
  <c r="N35" i="13"/>
  <c r="E36" i="13"/>
  <c r="K36" i="13"/>
  <c r="M36" i="13"/>
  <c r="N36" i="13"/>
  <c r="K37" i="13"/>
  <c r="N37" i="13"/>
  <c r="E38" i="13"/>
  <c r="K38" i="13"/>
  <c r="M38" i="13"/>
  <c r="N38" i="13"/>
  <c r="E39" i="13"/>
  <c r="I39" i="13"/>
  <c r="K39" i="13"/>
  <c r="N39" i="13"/>
  <c r="E40" i="13"/>
  <c r="K40" i="13"/>
  <c r="N40" i="13"/>
  <c r="E41" i="13"/>
  <c r="G41" i="13"/>
  <c r="I41" i="13"/>
  <c r="K41" i="13"/>
  <c r="N41" i="13"/>
  <c r="E42" i="13"/>
  <c r="G42" i="13"/>
  <c r="I42" i="13"/>
  <c r="K42" i="13"/>
  <c r="N42" i="13"/>
  <c r="E43" i="13"/>
  <c r="K43" i="13"/>
  <c r="N43" i="13"/>
  <c r="E44" i="13"/>
  <c r="G44" i="13"/>
  <c r="I44" i="13"/>
  <c r="K44" i="13"/>
  <c r="N44" i="13"/>
  <c r="E45" i="13"/>
  <c r="I45" i="13"/>
  <c r="K45" i="13"/>
  <c r="M45" i="13"/>
  <c r="N45" i="13"/>
  <c r="E47" i="13"/>
  <c r="G47" i="13"/>
  <c r="I47" i="13"/>
  <c r="K47" i="13"/>
  <c r="M47" i="13"/>
  <c r="N47" i="13"/>
  <c r="E50" i="13"/>
  <c r="K50" i="13"/>
  <c r="M50" i="13"/>
  <c r="N50" i="13"/>
  <c r="G51" i="13"/>
  <c r="K51" i="13"/>
  <c r="N51" i="13"/>
  <c r="G52" i="13"/>
  <c r="K52" i="13"/>
  <c r="N52" i="13"/>
  <c r="I53" i="13"/>
  <c r="K53" i="13"/>
  <c r="N53" i="13"/>
  <c r="I54" i="13"/>
  <c r="K54" i="13"/>
  <c r="N54" i="13"/>
  <c r="E56" i="13"/>
  <c r="G56" i="13"/>
  <c r="I56" i="13"/>
  <c r="K56" i="13"/>
  <c r="M56" i="13"/>
  <c r="N56" i="13"/>
  <c r="E58" i="13"/>
  <c r="G58" i="13"/>
  <c r="I58" i="13"/>
  <c r="K58" i="13"/>
  <c r="M58" i="13"/>
  <c r="N58" i="13"/>
  <c r="N60" i="13"/>
  <c r="E62" i="13"/>
  <c r="G62" i="13"/>
  <c r="I62" i="13"/>
  <c r="K62" i="13"/>
  <c r="M62" i="13"/>
  <c r="N62" i="13"/>
  <c r="A64" i="13"/>
  <c r="K76" i="13"/>
  <c r="N76" i="13"/>
  <c r="G77" i="13"/>
  <c r="I77" i="13"/>
  <c r="K77" i="13"/>
  <c r="N77" i="13"/>
  <c r="E78" i="13"/>
  <c r="K78" i="13"/>
  <c r="N78" i="13"/>
  <c r="E79" i="13"/>
  <c r="K79" i="13"/>
  <c r="N79" i="13"/>
  <c r="E80" i="13"/>
  <c r="K80" i="13"/>
  <c r="N80" i="13"/>
  <c r="E81" i="13"/>
  <c r="K81" i="13"/>
  <c r="N81" i="13"/>
  <c r="E82" i="13"/>
  <c r="K82" i="13"/>
  <c r="N82" i="13"/>
  <c r="E83" i="13"/>
  <c r="G83" i="13"/>
  <c r="I83" i="13"/>
  <c r="K83" i="13"/>
  <c r="N83" i="13"/>
  <c r="D85" i="13"/>
  <c r="E85" i="13"/>
  <c r="F85" i="13"/>
  <c r="G85" i="13"/>
  <c r="H85" i="13"/>
  <c r="I85" i="13"/>
  <c r="K85" i="13"/>
  <c r="M85" i="13"/>
  <c r="N85" i="13"/>
  <c r="E88" i="13"/>
  <c r="K88" i="13"/>
  <c r="N88" i="13"/>
  <c r="E89" i="13"/>
  <c r="K89" i="13"/>
  <c r="N89" i="13"/>
  <c r="E90" i="13"/>
  <c r="K90" i="13"/>
  <c r="N90" i="13"/>
  <c r="D93" i="13"/>
  <c r="E93" i="13"/>
  <c r="F93" i="13"/>
  <c r="G93" i="13"/>
  <c r="H93" i="13"/>
  <c r="I93" i="13"/>
  <c r="K93" i="13"/>
  <c r="M93" i="13"/>
  <c r="N93" i="13"/>
  <c r="D95" i="13"/>
  <c r="E95" i="13"/>
  <c r="F95" i="13"/>
  <c r="G95" i="13"/>
  <c r="H95" i="13"/>
  <c r="I95" i="13"/>
  <c r="K95" i="13"/>
  <c r="M95" i="13"/>
  <c r="N95" i="13"/>
  <c r="E98" i="13"/>
  <c r="K98" i="13"/>
  <c r="N98" i="13"/>
  <c r="E99" i="13"/>
  <c r="K99" i="13"/>
  <c r="N99" i="13"/>
  <c r="D101" i="13"/>
  <c r="E101" i="13"/>
  <c r="F101" i="13"/>
  <c r="G101" i="13"/>
  <c r="H101" i="13"/>
  <c r="I101" i="13"/>
  <c r="K101" i="13"/>
  <c r="M101" i="13"/>
  <c r="N101" i="13"/>
  <c r="D103" i="13"/>
  <c r="E103" i="13"/>
  <c r="F103" i="13"/>
  <c r="G103" i="13"/>
  <c r="H103" i="13"/>
  <c r="I103" i="13"/>
  <c r="K103" i="13"/>
  <c r="M103" i="13"/>
  <c r="N103" i="13"/>
  <c r="E106" i="13"/>
  <c r="K106" i="13"/>
  <c r="N106" i="13"/>
  <c r="G107" i="13"/>
  <c r="I107" i="13"/>
  <c r="K107" i="13"/>
  <c r="M107" i="13"/>
  <c r="N107" i="13"/>
  <c r="I108" i="13"/>
  <c r="K108" i="13"/>
  <c r="N108" i="13"/>
  <c r="D112" i="13"/>
  <c r="E112" i="13"/>
  <c r="F112" i="13"/>
  <c r="G112" i="13"/>
  <c r="H112" i="13"/>
  <c r="I112" i="13"/>
  <c r="K112" i="13"/>
  <c r="M112" i="13"/>
  <c r="N112" i="13"/>
  <c r="E114" i="13"/>
  <c r="G114" i="13"/>
  <c r="I114" i="13"/>
  <c r="K114" i="13"/>
  <c r="N114" i="13"/>
  <c r="E115" i="13"/>
  <c r="G115" i="13"/>
  <c r="I115" i="13"/>
  <c r="K115" i="13"/>
  <c r="N115" i="13"/>
  <c r="D117" i="13"/>
  <c r="E117" i="13"/>
  <c r="F117" i="13"/>
  <c r="G117" i="13"/>
  <c r="H117" i="13"/>
  <c r="I117" i="13"/>
  <c r="K117" i="13"/>
  <c r="M117" i="13"/>
  <c r="N117" i="13"/>
  <c r="A3" i="15"/>
  <c r="O9" i="15"/>
  <c r="D10" i="15"/>
  <c r="E10" i="15"/>
  <c r="G10" i="15"/>
  <c r="D11" i="15"/>
  <c r="E11" i="15"/>
  <c r="F11" i="15"/>
  <c r="G11" i="15"/>
  <c r="O11" i="15"/>
  <c r="D13" i="15"/>
  <c r="F13" i="15"/>
  <c r="G13" i="15"/>
  <c r="M13" i="15"/>
  <c r="O13" i="15"/>
  <c r="G15" i="15"/>
  <c r="M15" i="15"/>
  <c r="N15" i="15"/>
  <c r="O15" i="15"/>
  <c r="D17" i="15"/>
  <c r="E17" i="15"/>
  <c r="F17" i="15"/>
  <c r="G17" i="15"/>
  <c r="M17" i="15"/>
  <c r="O17" i="15"/>
  <c r="O19" i="15"/>
  <c r="D22" i="15"/>
  <c r="F22" i="15"/>
  <c r="G22" i="15"/>
  <c r="M22" i="15"/>
  <c r="O22" i="15"/>
  <c r="D23" i="15"/>
  <c r="G23" i="15"/>
  <c r="O23" i="15"/>
  <c r="D24" i="15"/>
  <c r="G24" i="15"/>
  <c r="M24" i="15"/>
  <c r="N24" i="15"/>
  <c r="O24" i="15"/>
  <c r="D25" i="15"/>
  <c r="F25" i="15"/>
  <c r="G25" i="15"/>
  <c r="D26" i="15"/>
  <c r="E26" i="15"/>
  <c r="F26" i="15"/>
  <c r="G26" i="15"/>
  <c r="M26" i="15"/>
  <c r="N26" i="15"/>
  <c r="O26" i="15"/>
  <c r="G28" i="15"/>
  <c r="M29" i="15"/>
  <c r="O29" i="15"/>
  <c r="D30" i="15"/>
  <c r="E30" i="15"/>
  <c r="F30" i="15"/>
  <c r="G30" i="15"/>
  <c r="M30" i="15"/>
  <c r="O30" i="15"/>
  <c r="M31" i="15"/>
  <c r="N31" i="15"/>
  <c r="O31" i="15"/>
  <c r="D32" i="15"/>
  <c r="E32" i="15"/>
  <c r="F32" i="15"/>
  <c r="G32" i="15"/>
  <c r="M33" i="15"/>
  <c r="N33" i="15"/>
  <c r="O33" i="15"/>
  <c r="D36" i="15"/>
  <c r="E36" i="15"/>
  <c r="F36" i="15"/>
  <c r="G36" i="15"/>
  <c r="D37" i="15"/>
  <c r="E37" i="15"/>
  <c r="F37" i="15"/>
  <c r="G37" i="15"/>
  <c r="D38" i="15"/>
  <c r="E38" i="15"/>
  <c r="F38" i="15"/>
  <c r="G38" i="15"/>
  <c r="A3" i="14"/>
  <c r="O8" i="14"/>
  <c r="D9" i="14"/>
  <c r="E9" i="14"/>
  <c r="G9" i="14"/>
  <c r="D10" i="14"/>
  <c r="E10" i="14"/>
  <c r="F10" i="14"/>
  <c r="G10" i="14"/>
  <c r="O10" i="14"/>
  <c r="D12" i="14"/>
  <c r="G12" i="14"/>
  <c r="M12" i="14"/>
  <c r="O12" i="14"/>
  <c r="D14" i="14"/>
  <c r="G14" i="14"/>
  <c r="M14" i="14"/>
  <c r="N14" i="14"/>
  <c r="O14" i="14"/>
  <c r="D16" i="14"/>
  <c r="E16" i="14"/>
  <c r="F16" i="14"/>
  <c r="G16" i="14"/>
  <c r="M16" i="14"/>
  <c r="O16" i="14"/>
  <c r="O18" i="14"/>
  <c r="D21" i="14"/>
  <c r="G21" i="14"/>
  <c r="M21" i="14"/>
  <c r="O21" i="14"/>
  <c r="D22" i="14"/>
  <c r="G22" i="14"/>
  <c r="M22" i="14"/>
  <c r="O22" i="14"/>
  <c r="D23" i="14"/>
  <c r="G23" i="14"/>
  <c r="M23" i="14"/>
  <c r="N23" i="14"/>
  <c r="O23" i="14"/>
  <c r="D24" i="14"/>
  <c r="G24" i="14"/>
  <c r="D25" i="14"/>
  <c r="E25" i="14"/>
  <c r="F25" i="14"/>
  <c r="G25" i="14"/>
  <c r="M25" i="14"/>
  <c r="N25" i="14"/>
  <c r="O25" i="14"/>
  <c r="D27" i="14"/>
  <c r="G27" i="14"/>
  <c r="M28" i="14"/>
  <c r="O28" i="14"/>
  <c r="D29" i="14"/>
  <c r="E29" i="14"/>
  <c r="F29" i="14"/>
  <c r="G29" i="14"/>
  <c r="M29" i="14"/>
  <c r="O29" i="14"/>
  <c r="M30" i="14"/>
  <c r="N30" i="14"/>
  <c r="O30" i="14"/>
  <c r="D31" i="14"/>
  <c r="E31" i="14"/>
  <c r="F31" i="14"/>
  <c r="G31" i="14"/>
  <c r="M32" i="14"/>
  <c r="N32" i="14"/>
  <c r="O32" i="14"/>
  <c r="D35" i="14"/>
  <c r="E35" i="14"/>
  <c r="F35" i="14"/>
  <c r="G35" i="14"/>
  <c r="D36" i="14"/>
  <c r="E36" i="14"/>
  <c r="F36" i="14"/>
  <c r="G36" i="14"/>
  <c r="D37" i="14"/>
  <c r="E37" i="14"/>
  <c r="F37" i="14"/>
  <c r="G37" i="14"/>
  <c r="A3" i="16"/>
  <c r="D10" i="16"/>
  <c r="G10" i="16"/>
  <c r="M10" i="16"/>
  <c r="O10" i="16"/>
  <c r="D11" i="16"/>
  <c r="E11" i="16"/>
  <c r="F11" i="16"/>
  <c r="G11" i="16"/>
  <c r="M11" i="16"/>
  <c r="O11" i="16"/>
  <c r="D12" i="16"/>
  <c r="G12" i="16"/>
  <c r="M12" i="16"/>
  <c r="O12" i="16"/>
  <c r="D13" i="16"/>
  <c r="G13" i="16"/>
  <c r="M13" i="16"/>
  <c r="N13" i="16"/>
  <c r="O13" i="16"/>
  <c r="D14" i="16"/>
  <c r="G14" i="16"/>
  <c r="D15" i="16"/>
  <c r="E15" i="16"/>
  <c r="F15" i="16"/>
  <c r="G15" i="16"/>
  <c r="M15" i="16"/>
  <c r="O15" i="16"/>
  <c r="D17" i="16"/>
  <c r="G17" i="16"/>
  <c r="M17" i="16"/>
  <c r="O17" i="16"/>
  <c r="D19" i="16"/>
  <c r="F19" i="16"/>
  <c r="G19" i="16"/>
  <c r="M19" i="16"/>
  <c r="N19" i="16"/>
  <c r="O19" i="16"/>
  <c r="D21" i="16"/>
  <c r="G21" i="16"/>
  <c r="O21" i="16"/>
  <c r="D23" i="16"/>
  <c r="E23" i="16"/>
  <c r="F23" i="16"/>
  <c r="G23" i="16"/>
  <c r="O23" i="16"/>
  <c r="M26" i="16"/>
  <c r="O26" i="16"/>
  <c r="M27" i="16"/>
  <c r="O27" i="16"/>
  <c r="D28" i="16"/>
  <c r="F28" i="16"/>
  <c r="G28" i="16"/>
  <c r="M28" i="16"/>
  <c r="N28" i="16"/>
  <c r="O28" i="16"/>
  <c r="D29" i="16"/>
  <c r="G29" i="16"/>
  <c r="D30" i="16"/>
  <c r="G30" i="16"/>
  <c r="M30" i="16"/>
  <c r="N30" i="16"/>
  <c r="O30" i="16"/>
  <c r="D31" i="16"/>
  <c r="F31" i="16"/>
  <c r="G31" i="16"/>
  <c r="D32" i="16"/>
  <c r="G32" i="16"/>
  <c r="D33" i="16"/>
  <c r="G33" i="16"/>
  <c r="M33" i="16"/>
  <c r="N33" i="16"/>
  <c r="O33" i="16"/>
  <c r="D34" i="16"/>
  <c r="E34" i="16"/>
  <c r="F34" i="16"/>
  <c r="G34" i="16"/>
  <c r="O34" i="16"/>
  <c r="O35" i="16"/>
  <c r="D36" i="16"/>
  <c r="F36" i="16"/>
  <c r="G36" i="16"/>
  <c r="M36" i="16"/>
  <c r="N36" i="16"/>
  <c r="O36" i="16"/>
  <c r="D38" i="16"/>
  <c r="E38" i="16"/>
  <c r="F38" i="16"/>
  <c r="G38" i="16"/>
  <c r="M38" i="16"/>
  <c r="N38" i="16"/>
  <c r="O38" i="16"/>
  <c r="D40" i="16"/>
  <c r="E40" i="16"/>
  <c r="F40" i="16"/>
  <c r="G40" i="16"/>
  <c r="D44" i="16"/>
  <c r="E44" i="16"/>
  <c r="F44" i="16"/>
  <c r="G44" i="16"/>
  <c r="D45" i="16"/>
  <c r="E45" i="16"/>
  <c r="F45" i="16"/>
  <c r="G45" i="16"/>
  <c r="D10" i="17"/>
  <c r="F10" i="17"/>
  <c r="L10" i="17"/>
  <c r="M10" i="17"/>
  <c r="N10" i="17"/>
  <c r="P10" i="17"/>
  <c r="T10" i="17"/>
  <c r="U10" i="17"/>
  <c r="F11" i="17"/>
  <c r="L11" i="17"/>
  <c r="M11" i="17"/>
  <c r="N11" i="17"/>
  <c r="P11" i="17"/>
  <c r="F12" i="17"/>
  <c r="L12" i="17"/>
  <c r="M12" i="17"/>
  <c r="N12" i="17"/>
  <c r="P12" i="17"/>
  <c r="T12" i="17"/>
  <c r="U12" i="17"/>
  <c r="D13" i="17"/>
  <c r="F13" i="17"/>
  <c r="L13" i="17"/>
  <c r="M13" i="17"/>
  <c r="N13" i="17"/>
  <c r="O13" i="17"/>
  <c r="P13" i="17"/>
  <c r="D14" i="17"/>
  <c r="F14" i="17"/>
  <c r="T14" i="17"/>
  <c r="D15" i="17"/>
  <c r="E15" i="17"/>
  <c r="F15" i="17"/>
  <c r="L15" i="17"/>
  <c r="M15" i="17"/>
  <c r="N15" i="17"/>
  <c r="P15" i="17"/>
  <c r="T16" i="17"/>
  <c r="D18" i="17"/>
  <c r="F18" i="17"/>
  <c r="L18" i="17"/>
  <c r="M18" i="17"/>
  <c r="N18" i="17"/>
  <c r="P18" i="17"/>
  <c r="T18" i="17"/>
  <c r="D19" i="17"/>
  <c r="F19" i="17"/>
  <c r="D20" i="17"/>
  <c r="F20" i="17"/>
  <c r="L20" i="17"/>
  <c r="M20" i="17"/>
  <c r="N20" i="17"/>
  <c r="O20" i="17"/>
  <c r="P20" i="17"/>
  <c r="U20" i="17"/>
  <c r="D21" i="17"/>
  <c r="E21" i="17"/>
  <c r="F21" i="17"/>
  <c r="L22" i="17"/>
  <c r="M22" i="17"/>
  <c r="N22" i="17"/>
  <c r="P22" i="17"/>
  <c r="T22" i="17"/>
  <c r="U22" i="17"/>
  <c r="D23" i="17"/>
  <c r="F23" i="17"/>
  <c r="L24" i="17"/>
  <c r="M24" i="17"/>
  <c r="N24" i="17"/>
  <c r="P24" i="17"/>
  <c r="T24" i="17"/>
  <c r="U24" i="17"/>
  <c r="D25" i="17"/>
  <c r="F25" i="17"/>
  <c r="D27" i="17"/>
  <c r="E27" i="17"/>
  <c r="F27" i="17"/>
  <c r="L27" i="17"/>
  <c r="M27" i="17"/>
  <c r="N27" i="17"/>
  <c r="P27" i="17"/>
  <c r="T27" i="17"/>
  <c r="L28" i="17"/>
  <c r="M28" i="17"/>
  <c r="N28" i="17"/>
  <c r="P28" i="17"/>
  <c r="T28" i="17"/>
  <c r="U28" i="17"/>
  <c r="L29" i="17"/>
  <c r="M29" i="17"/>
  <c r="N29" i="17"/>
  <c r="O29" i="17"/>
  <c r="P29" i="17"/>
  <c r="T30" i="17"/>
  <c r="U30" i="17"/>
  <c r="L31" i="17"/>
  <c r="M31" i="17"/>
  <c r="N31" i="17"/>
  <c r="O31" i="17"/>
  <c r="P31" i="17"/>
  <c r="D32" i="17"/>
  <c r="F32" i="17"/>
  <c r="T32" i="17"/>
  <c r="U32" i="17"/>
  <c r="D33" i="17"/>
  <c r="F33" i="17"/>
  <c r="D34" i="17"/>
  <c r="F34" i="17"/>
  <c r="L34" i="17"/>
  <c r="M34" i="17"/>
  <c r="N34" i="17"/>
  <c r="P34" i="17"/>
  <c r="T34" i="17"/>
  <c r="D35" i="17"/>
  <c r="F35" i="17"/>
  <c r="L35" i="17"/>
  <c r="M35" i="17"/>
  <c r="N35" i="17"/>
  <c r="P35" i="17"/>
  <c r="D36" i="17"/>
  <c r="F36" i="17"/>
  <c r="L36" i="17"/>
  <c r="M36" i="17"/>
  <c r="N36" i="17"/>
  <c r="P36" i="17"/>
  <c r="T36" i="17"/>
  <c r="D37" i="17"/>
  <c r="F37" i="17"/>
  <c r="L37" i="17"/>
  <c r="M37" i="17"/>
  <c r="N37" i="17"/>
  <c r="O37" i="17"/>
  <c r="P37" i="17"/>
  <c r="D38" i="17"/>
  <c r="E38" i="17"/>
  <c r="F38" i="17"/>
  <c r="U38" i="17"/>
  <c r="L39" i="17"/>
  <c r="M39" i="17"/>
  <c r="N39" i="17"/>
  <c r="O39" i="17"/>
  <c r="P39" i="17"/>
  <c r="T39" i="17"/>
  <c r="D40" i="17"/>
  <c r="F40" i="17"/>
  <c r="T40" i="17"/>
  <c r="D42" i="17"/>
  <c r="F42" i="17"/>
  <c r="T42" i="17"/>
  <c r="D44" i="17"/>
  <c r="E44" i="17"/>
  <c r="F44" i="17"/>
  <c r="T44" i="17"/>
  <c r="U44" i="17"/>
  <c r="D46" i="17"/>
  <c r="T46" i="17"/>
  <c r="U46" i="17"/>
  <c r="D48" i="17"/>
  <c r="F48" i="17"/>
  <c r="D49" i="17"/>
  <c r="F49" i="17"/>
  <c r="D50" i="17"/>
  <c r="F50" i="17"/>
  <c r="D51" i="17"/>
  <c r="F51" i="17"/>
  <c r="D52" i="17"/>
  <c r="F52" i="17"/>
  <c r="D53" i="17"/>
  <c r="E53" i="17"/>
  <c r="F53" i="17"/>
</calcChain>
</file>

<file path=xl/sharedStrings.xml><?xml version="1.0" encoding="utf-8"?>
<sst xmlns="http://schemas.openxmlformats.org/spreadsheetml/2006/main" count="709" uniqueCount="346">
  <si>
    <t>Rocky Mountain Asset Originations</t>
  </si>
  <si>
    <t>Balance Sheets</t>
  </si>
  <si>
    <t>Co. 63K</t>
  </si>
  <si>
    <t>Co. 247</t>
  </si>
  <si>
    <t>Enron</t>
  </si>
  <si>
    <t>Midstream</t>
  </si>
  <si>
    <t>Services, LLC</t>
  </si>
  <si>
    <t>ECT Powder</t>
  </si>
  <si>
    <t>River, LLC</t>
  </si>
  <si>
    <t>Co. 259</t>
  </si>
  <si>
    <t>ECT Wind</t>
  </si>
  <si>
    <t>ASSETS:</t>
  </si>
  <si>
    <t>Acct</t>
  </si>
  <si>
    <t>1460-011</t>
  </si>
  <si>
    <t>1460-012</t>
  </si>
  <si>
    <t>1460-256</t>
  </si>
  <si>
    <t>1460-413</t>
  </si>
  <si>
    <t>1460-63K</t>
  </si>
  <si>
    <t>Retained Earnings</t>
  </si>
  <si>
    <t>2160-256</t>
  </si>
  <si>
    <t>2160-258</t>
  </si>
  <si>
    <t>Accrued Liabilities</t>
  </si>
  <si>
    <t>2420-999</t>
  </si>
  <si>
    <t>TOTAL ASSETS</t>
  </si>
  <si>
    <t>LIABILITIES &amp; MEMBERS' CAPITAL:</t>
  </si>
  <si>
    <t>TOTAL LIABILITIES</t>
  </si>
  <si>
    <t>TOTAL MEMBERS' CAPITAL</t>
  </si>
  <si>
    <t>TOTAL LIABILITIES &amp; MEMBERS' CAPITAL</t>
  </si>
  <si>
    <t>Difference</t>
  </si>
  <si>
    <t>Cost of Sales</t>
  </si>
  <si>
    <t>MARGIN:</t>
  </si>
  <si>
    <t>FIT Expense (Benefit)</t>
  </si>
  <si>
    <t>Equity Earnings</t>
  </si>
  <si>
    <t>Intercompany Interest Expense</t>
  </si>
  <si>
    <t>Other Deductions</t>
  </si>
  <si>
    <t>O &amp; M Expense</t>
  </si>
  <si>
    <t>GROSS MARGIN, NET</t>
  </si>
  <si>
    <t>TOTAL EXPENSE</t>
  </si>
  <si>
    <t>EBIT</t>
  </si>
  <si>
    <t>EBT</t>
  </si>
  <si>
    <t>4181-889</t>
  </si>
  <si>
    <t>4265-200</t>
  </si>
  <si>
    <t>4198-011</t>
  </si>
  <si>
    <t>4092-200</t>
  </si>
  <si>
    <t>NET INCOME / (LOSS)</t>
  </si>
  <si>
    <t>ECT Powder River LLC - Co. 247</t>
  </si>
  <si>
    <t>YTD Income Statements</t>
  </si>
  <si>
    <t>MTM Income / Originations</t>
  </si>
  <si>
    <t>ECT Wind River LLC - Co. 259</t>
  </si>
  <si>
    <t>1240-888,889</t>
  </si>
  <si>
    <t>1240-777,778</t>
  </si>
  <si>
    <t>Intercompany A/R - ENA</t>
  </si>
  <si>
    <t>Intercompany A/R - EMS</t>
  </si>
  <si>
    <t>Intercompany A/P - Corp</t>
  </si>
  <si>
    <t>Intercompany A/P - PR-B</t>
  </si>
  <si>
    <t>Intercompany A/P - HPL</t>
  </si>
  <si>
    <t>1460-082</t>
  </si>
  <si>
    <t>Intercompany A/P - EE&amp;CC</t>
  </si>
  <si>
    <t>1460-260</t>
  </si>
  <si>
    <t>Intercompany A/P - WR-B</t>
  </si>
  <si>
    <t>1460-359</t>
  </si>
  <si>
    <t>Intercompany A/P - Enron Int'l</t>
  </si>
  <si>
    <t>Deferred Charges</t>
  </si>
  <si>
    <t>1860-100</t>
  </si>
  <si>
    <t>2160-260</t>
  </si>
  <si>
    <t>2160-268</t>
  </si>
  <si>
    <t>Deferred Credits - Reserve</t>
  </si>
  <si>
    <t>2530-999</t>
  </si>
  <si>
    <t>Equity Earnings / (Loss)</t>
  </si>
  <si>
    <t>4181-778</t>
  </si>
  <si>
    <t>Other Interest Expense - 3rd Party</t>
  </si>
  <si>
    <t>Investment in Fort Union Gas Gathering</t>
  </si>
  <si>
    <t>Investment in Lost Creek Gas Gathering</t>
  </si>
  <si>
    <t>2160-413</t>
  </si>
  <si>
    <t>Intercompany A/P - ENA</t>
  </si>
  <si>
    <t>1460-247</t>
  </si>
  <si>
    <t>Enron Midstream Services - Co. 63K</t>
  </si>
  <si>
    <t>Construction Work-in-Progress</t>
  </si>
  <si>
    <t>1070-100</t>
  </si>
  <si>
    <t>1170-999</t>
  </si>
  <si>
    <t>Investment in Bighorn, LLC</t>
  </si>
  <si>
    <t>1240-450</t>
  </si>
  <si>
    <t>Accounts Receivable - Third Party</t>
  </si>
  <si>
    <t>1430-200</t>
  </si>
  <si>
    <t>Intercompany A/R - Corp</t>
  </si>
  <si>
    <t>1460-016</t>
  </si>
  <si>
    <t>Intercompany A/P - ECT Powder River</t>
  </si>
  <si>
    <t>1460-901</t>
  </si>
  <si>
    <t>Intercompany A/P - Enron Services Corp</t>
  </si>
  <si>
    <t>G&amp;A Expense</t>
  </si>
  <si>
    <t>Interest Income</t>
  </si>
  <si>
    <t>4190-200</t>
  </si>
  <si>
    <t>Other Revenue</t>
  </si>
  <si>
    <t>4560-300</t>
  </si>
  <si>
    <t>4890-016</t>
  </si>
  <si>
    <t>7600-XXX</t>
  </si>
  <si>
    <t>8000-016</t>
  </si>
  <si>
    <t>4830-016</t>
  </si>
  <si>
    <t>Transportation Revenue - Intercompany</t>
  </si>
  <si>
    <t>OPERATING INCOME / (LOSS)</t>
  </si>
  <si>
    <t>OPERATING REVENUES:</t>
  </si>
  <si>
    <t>Total Operating Revenues</t>
  </si>
  <si>
    <t>COST OF SALES:</t>
  </si>
  <si>
    <t>Total Cost of Sales</t>
  </si>
  <si>
    <t>Inventory - Gas Stored Underground</t>
  </si>
  <si>
    <t>YTD Income Statements:</t>
  </si>
  <si>
    <t>Eliminations</t>
  </si>
  <si>
    <t xml:space="preserve">Consolidated </t>
  </si>
  <si>
    <t>Balance Sheet</t>
  </si>
  <si>
    <t>Intercompany</t>
  </si>
  <si>
    <t>Total Operating Revenue</t>
  </si>
  <si>
    <t>OPERATING REVENUE:</t>
  </si>
  <si>
    <t>OPERATING EXPENSE:</t>
  </si>
  <si>
    <t>G &amp; A Expense</t>
  </si>
  <si>
    <t>Total Operating Expense</t>
  </si>
  <si>
    <t>Interest Expense - Intercompany</t>
  </si>
  <si>
    <t>Gas - Trade</t>
  </si>
  <si>
    <t>Gas Sales - Intercompany</t>
  </si>
  <si>
    <t>Gas - Intercompany</t>
  </si>
  <si>
    <t>GROSS MARGIN</t>
  </si>
  <si>
    <t>Accounts Receivable - Trade</t>
  </si>
  <si>
    <t>Contruction Work-in-Progress</t>
  </si>
  <si>
    <t>LIABILITIES:</t>
  </si>
  <si>
    <t>MEMBERS' CAPITAL:</t>
  </si>
  <si>
    <t xml:space="preserve">Intercompany A/R - ENA </t>
  </si>
  <si>
    <t>Intercompany A/R - Enron Corp</t>
  </si>
  <si>
    <t>Intercompany A/R - Enron Gas Mktg</t>
  </si>
  <si>
    <t>Total</t>
  </si>
  <si>
    <t>Current</t>
  </si>
  <si>
    <t>Month</t>
  </si>
  <si>
    <t>Investment in Fort Union Gas Gathering, LLC</t>
  </si>
  <si>
    <t>Investment in Lost Creek Gas Gathering, LLC</t>
  </si>
  <si>
    <t>Investment in Bighorn Gas Gathering, LLC</t>
  </si>
  <si>
    <t>Retained Earnings - PR-B</t>
  </si>
  <si>
    <t>Retained Earnings - PR-Z</t>
  </si>
  <si>
    <t>Retained Earnings - WR-B</t>
  </si>
  <si>
    <t>Retained Earnings - WR-Z</t>
  </si>
  <si>
    <t>Retained Earnings - ENA</t>
  </si>
  <si>
    <t>Powder River</t>
  </si>
  <si>
    <t>Wind River</t>
  </si>
  <si>
    <t>Co.</t>
  </si>
  <si>
    <t>#</t>
  </si>
  <si>
    <t>011</t>
  </si>
  <si>
    <t>016</t>
  </si>
  <si>
    <t>63K</t>
  </si>
  <si>
    <t>247</t>
  </si>
  <si>
    <t>259</t>
  </si>
  <si>
    <t>012</t>
  </si>
  <si>
    <t>082</t>
  </si>
  <si>
    <t>359</t>
  </si>
  <si>
    <t>256</t>
  </si>
  <si>
    <t>901</t>
  </si>
  <si>
    <t>258</t>
  </si>
  <si>
    <t>260</t>
  </si>
  <si>
    <t>268</t>
  </si>
  <si>
    <t>Income Statements</t>
  </si>
  <si>
    <t>Other Interest Expense - Third party</t>
  </si>
  <si>
    <t>Total Other (Expense) / Income</t>
  </si>
  <si>
    <t>OTHER EXPENSE / (INCOME):</t>
  </si>
  <si>
    <t xml:space="preserve">Reclasses and </t>
  </si>
  <si>
    <t>Long-Term Receivable - Third Party</t>
  </si>
  <si>
    <t>Rocky Mountain Upstream</t>
  </si>
  <si>
    <t>Accounts Receivable - Customer</t>
  </si>
  <si>
    <t>1420-100</t>
  </si>
  <si>
    <t>Other Current</t>
  </si>
  <si>
    <t>1740-200</t>
  </si>
  <si>
    <t>(1)</t>
  </si>
  <si>
    <t>Other Gas Gathering Revenue</t>
  </si>
  <si>
    <t>4950-999</t>
  </si>
  <si>
    <t>Other Gas Gaterhing Revenue</t>
  </si>
  <si>
    <t>Gas - Imbalance</t>
  </si>
  <si>
    <t>8540-999</t>
  </si>
  <si>
    <t>Accounts Payable</t>
  </si>
  <si>
    <t>2320-300</t>
  </si>
  <si>
    <t>InterCo.</t>
  </si>
  <si>
    <t>Deferred FIT - Current</t>
  </si>
  <si>
    <t>2830-700</t>
  </si>
  <si>
    <t>Deferred FIT Expense</t>
  </si>
  <si>
    <t>4112-200</t>
  </si>
  <si>
    <t>2530-100</t>
  </si>
  <si>
    <t>8060-999</t>
  </si>
  <si>
    <t>(1)  Includes accts # 4081, 9200, 9210, 9230, 9260, 9310, 4261</t>
  </si>
  <si>
    <t>4102-200</t>
  </si>
  <si>
    <t>Transportation Revenue - Other</t>
  </si>
  <si>
    <t>4890-999</t>
  </si>
  <si>
    <t xml:space="preserve">FIT Expense </t>
  </si>
  <si>
    <t>Deferred FIT Benefit</t>
  </si>
  <si>
    <t>For the Six Months Ended June 30, 2000</t>
  </si>
  <si>
    <t xml:space="preserve">Add: Condor </t>
  </si>
  <si>
    <t>(A)</t>
  </si>
  <si>
    <t>(B)</t>
  </si>
  <si>
    <t>TOTAL (A) + (B) =</t>
  </si>
  <si>
    <t>Ship %</t>
  </si>
  <si>
    <t>Owner-</t>
  </si>
  <si>
    <t xml:space="preserve">TOTAL MEMBERS' CAPITAL  </t>
  </si>
  <si>
    <t>At July 31, 2000</t>
  </si>
  <si>
    <t>Intercompany A/P - Co #530</t>
  </si>
  <si>
    <t>July</t>
  </si>
  <si>
    <t>July, 2000</t>
  </si>
  <si>
    <t>Intercompany A/P - Company #530</t>
  </si>
  <si>
    <t>Gas Imbalance</t>
  </si>
  <si>
    <t>Line Pack</t>
  </si>
  <si>
    <t>Accounts Payable - Trade - Intercompany</t>
  </si>
  <si>
    <t>Accounts Payable - Non Trade - Third Party</t>
  </si>
  <si>
    <t>Use Tax Payable</t>
  </si>
  <si>
    <t>NA</t>
  </si>
  <si>
    <t>Interest &amp; Miscellaneous Income</t>
  </si>
  <si>
    <t>Intercompany Interest Income</t>
  </si>
  <si>
    <t xml:space="preserve"> Accounts Receivable Trade - Intercompany</t>
  </si>
  <si>
    <t xml:space="preserve"> Accounts Receivable - Trade - Intercompany</t>
  </si>
  <si>
    <t>ECT Wind River, L.L.C.</t>
  </si>
  <si>
    <t>Income Statement</t>
  </si>
  <si>
    <t>Adjustments</t>
  </si>
  <si>
    <t>Original Balances</t>
  </si>
  <si>
    <t>Clear Intercompany Balances</t>
  </si>
  <si>
    <t>Other</t>
  </si>
  <si>
    <t>Assets</t>
  </si>
  <si>
    <t>Current Assets</t>
  </si>
  <si>
    <t>Revenues</t>
  </si>
  <si>
    <t>Accounts Receivable - Affiliates</t>
  </si>
  <si>
    <t>Total Current Assets</t>
  </si>
  <si>
    <t>Investment in Lost Creek Gas Gathering Company, L.L.C.</t>
  </si>
  <si>
    <t>Operating Expenses</t>
  </si>
  <si>
    <t>Net Operating Income (Loss)</t>
  </si>
  <si>
    <t>Total Assets</t>
  </si>
  <si>
    <t>Equity Earnings (Loss)</t>
  </si>
  <si>
    <t>Other Income (Loss)</t>
  </si>
  <si>
    <t>Liabilities and Shareholders' Equity</t>
  </si>
  <si>
    <t>Current Liabilities</t>
  </si>
  <si>
    <t>Interest and Related Charges</t>
  </si>
  <si>
    <t>Accounts Payable - Enron Corp.</t>
  </si>
  <si>
    <t>Interest Expense - Affiliates</t>
  </si>
  <si>
    <t>Other Acccounts Payable</t>
  </si>
  <si>
    <t>Other Interest Expense</t>
  </si>
  <si>
    <t>Total Interest and Related Charges</t>
  </si>
  <si>
    <t>Deferred Federal Income Tax</t>
  </si>
  <si>
    <t>Total Current Liabilities</t>
  </si>
  <si>
    <t>Income Before Income Tax Expense</t>
  </si>
  <si>
    <t>Deferred Credits</t>
  </si>
  <si>
    <t>Income Tax Expense</t>
  </si>
  <si>
    <t>Current Federal Income Tax Expense</t>
  </si>
  <si>
    <t>Shareholders' Equity</t>
  </si>
  <si>
    <t>Deferred Federal Income Tax Expense</t>
  </si>
  <si>
    <t>Total Income Tax Expense</t>
  </si>
  <si>
    <t>Total Liabilities and Shareholders' Equity</t>
  </si>
  <si>
    <t>Net Income (Loss)</t>
  </si>
  <si>
    <t>Detail of Shareholders' Equity</t>
  </si>
  <si>
    <t>Wind River B, L.L.C.</t>
  </si>
  <si>
    <t>Wind River Z, L.L.C.</t>
  </si>
  <si>
    <t>Total Shareholders' Equity</t>
  </si>
  <si>
    <t>ECT Powder River, L.L.C.</t>
  </si>
  <si>
    <t>Investment in Fort Union Gathering, L.L.C.</t>
  </si>
  <si>
    <t>Powder River B, L.L.C.</t>
  </si>
  <si>
    <t>Powder River Z, L.L.C.</t>
  </si>
  <si>
    <t>Enron Midstream Services, L.L.C.</t>
  </si>
  <si>
    <t>Accounts Receivable - Enron Corp.</t>
  </si>
  <si>
    <t>Natural Gas Revenues</t>
  </si>
  <si>
    <t>Gas Inventory</t>
  </si>
  <si>
    <t>Transportation Revenues</t>
  </si>
  <si>
    <t>Other Current Assets</t>
  </si>
  <si>
    <t>Other Gas Revenues</t>
  </si>
  <si>
    <t>Total Revenues</t>
  </si>
  <si>
    <t>Investment in Big Horn Gas Gathering Company, L.L.C.</t>
  </si>
  <si>
    <t>Construction Work in Progress</t>
  </si>
  <si>
    <t>Accounts Payable - Affiliates</t>
  </si>
  <si>
    <t>Current Deferred Federal Income Tax Expense</t>
  </si>
  <si>
    <t>Non-Current Deferred Federal Income Tax Expense</t>
  </si>
  <si>
    <t>Enron North America</t>
  </si>
  <si>
    <t>Accounts Receivable - Intercompany - Trade</t>
  </si>
  <si>
    <t>Acounts Payable - Trade - Intercompany</t>
  </si>
  <si>
    <t>Acounts Payable - Trade - Third Party</t>
  </si>
  <si>
    <t>Combined Companies</t>
  </si>
  <si>
    <t>Investments</t>
  </si>
  <si>
    <t>Big Horn Gas Gathering Company, L.L.C.</t>
  </si>
  <si>
    <t>Lost Creek Gas Gathering Company, L.L.C.</t>
  </si>
  <si>
    <t>Fort Union Gathering, L.L.C.</t>
  </si>
  <si>
    <t>Total Investments</t>
  </si>
  <si>
    <t>Accounts Receivable - Trade - Intercompany</t>
  </si>
  <si>
    <t>June Adjusted Balances</t>
  </si>
  <si>
    <t>Differences</t>
  </si>
  <si>
    <t>Revenues Increased</t>
  </si>
  <si>
    <t>Operating and O&amp;M Costs Increased</t>
  </si>
  <si>
    <t>Equity Earnings Increased</t>
  </si>
  <si>
    <t>Net Federal Tax Expense Increased</t>
  </si>
  <si>
    <t>Net Income Change</t>
  </si>
  <si>
    <t>Cash of Advanced to Bighorn</t>
  </si>
  <si>
    <t>Capital Expenditures</t>
  </si>
  <si>
    <t>Analysis of Changes and Purchase Price Change Estimate</t>
  </si>
  <si>
    <t>Changes</t>
  </si>
  <si>
    <t>Net Affiliate Payable Increased</t>
  </si>
  <si>
    <t xml:space="preserve">  Federal Tax Accrual</t>
  </si>
  <si>
    <t xml:space="preserve">  Other</t>
  </si>
  <si>
    <t>Reclass Federal Taxes Payable</t>
  </si>
  <si>
    <t>Investment in Fort Union Decreased</t>
  </si>
  <si>
    <t xml:space="preserve">  Equity Earnings</t>
  </si>
  <si>
    <t xml:space="preserve">  Received Cash from Fort Union</t>
  </si>
  <si>
    <t>Additional Due Enron</t>
  </si>
  <si>
    <t>Deferred Tax Liability Increased</t>
  </si>
  <si>
    <t>Net Third Party &amp; Affiliate Trade Payable Increased</t>
  </si>
  <si>
    <t>Third Party Interest &amp; Other Income</t>
  </si>
  <si>
    <t>Intercompany A/P - Co #366</t>
  </si>
  <si>
    <t>Year-to-Date August 31, 2000</t>
  </si>
  <si>
    <t>Through August, 2000</t>
  </si>
  <si>
    <t>Estimated Purchase Price Adjustments Through August, 2000</t>
  </si>
  <si>
    <t>Clear Intercompany Balances @ 6/30/00</t>
  </si>
  <si>
    <t>Affiliate Interest Expense Increased</t>
  </si>
  <si>
    <t>Other Changes (Primarily Quantam and Shapphire)</t>
  </si>
  <si>
    <t>Accrued Liabilities Increased</t>
  </si>
  <si>
    <t>Lost Creek Gathering Funding</t>
  </si>
  <si>
    <t>See Note 1</t>
  </si>
  <si>
    <r>
      <t>Note 1</t>
    </r>
    <r>
      <rPr>
        <sz val="10"/>
        <rFont val="Arial"/>
      </rPr>
      <t xml:space="preserve"> -   The affiliate receivables and payables that existed at June 30, 2000 are presented </t>
    </r>
  </si>
  <si>
    <t>See Note 2</t>
  </si>
  <si>
    <t>Note 3</t>
  </si>
  <si>
    <t xml:space="preserve">              and associated affiliate receivable will be reversed if sale is completed.</t>
  </si>
  <si>
    <r>
      <t>Note 3</t>
    </r>
    <r>
      <rPr>
        <sz val="10"/>
        <rFont val="Arial"/>
      </rPr>
      <t xml:space="preserve"> -   The affiliate interest income incurred after June 30, 2000 of $40,148.00</t>
    </r>
  </si>
  <si>
    <t xml:space="preserve">   as having been eliminated by offsetting directly against Shareholder's Equity at June 30, 2000.</t>
  </si>
  <si>
    <t xml:space="preserve"> This entity is treated as an accounting division of Enron North America; the entity</t>
  </si>
  <si>
    <t xml:space="preserve">  is treated as a disregarded entity for federal and state tax purposes.  Upon admission</t>
  </si>
  <si>
    <t xml:space="preserve">  of a third-party partner or complete sale of the entity the realized tax benefit or liability, </t>
  </si>
  <si>
    <t xml:space="preserve"> as it existed at the effective date, will be recognized, and reported, by Enron North America.</t>
  </si>
  <si>
    <t xml:space="preserve"> See Note 3</t>
  </si>
  <si>
    <t xml:space="preserve"> See Note 2</t>
  </si>
  <si>
    <t xml:space="preserve">        This entity is treated as an accounting division of Enron North America; the entity</t>
  </si>
  <si>
    <t xml:space="preserve">         is treated as a disregarded entity for federal and state tax purposes.  Upon admission</t>
  </si>
  <si>
    <t xml:space="preserve">         of a third-party partner or complete sale of the entity the realized tax benefit or liability, </t>
  </si>
  <si>
    <t xml:space="preserve">        as it existed at the effective date, will be recognized, and reported, by Enron North America.</t>
  </si>
  <si>
    <r>
      <t>Note 2</t>
    </r>
    <r>
      <rPr>
        <sz val="10"/>
        <rFont val="Arial"/>
      </rPr>
      <t xml:space="preserve"> - The Wind River L.L.C. financial sheets reflects a net  tax benefit of $73,367.   </t>
    </r>
  </si>
  <si>
    <r>
      <t>Note 2</t>
    </r>
    <r>
      <rPr>
        <sz val="10"/>
        <rFont val="Arial"/>
      </rPr>
      <t xml:space="preserve"> - The Powder River L.L.C. financial sheets reflects a net  tax liability of $655,392.   </t>
    </r>
  </si>
  <si>
    <r>
      <t>Note 2</t>
    </r>
    <r>
      <rPr>
        <sz val="10"/>
        <rFont val="Arial"/>
      </rPr>
      <t xml:space="preserve"> - The Powder River L.L.C. financial sheets reflect a net  tax liability of $655,392.   </t>
    </r>
  </si>
  <si>
    <r>
      <t>Note 3</t>
    </r>
    <r>
      <rPr>
        <sz val="10"/>
        <rFont val="Arial"/>
      </rPr>
      <t xml:space="preserve"> -  The affiliate interest expense incurred after June 30, 2000 of $39,921.00</t>
    </r>
  </si>
  <si>
    <t xml:space="preserve">         and associated affiliate payable will be reversed if sale is completed.</t>
  </si>
  <si>
    <t xml:space="preserve">        of a third-party partner or complete sale of the entity the realized tax benefit or liability, </t>
  </si>
  <si>
    <r>
      <t>Note 3</t>
    </r>
    <r>
      <rPr>
        <sz val="10"/>
        <rFont val="Arial"/>
      </rPr>
      <t xml:space="preserve"> -  The affiliate interest expense incurred after June 30, 2000 of $48,729.00</t>
    </r>
  </si>
  <si>
    <t xml:space="preserve">                     The Wind River L.L.C. financial sheets reflects a net  tax benefit of $73,367.   </t>
  </si>
  <si>
    <t xml:space="preserve">             This entity is treated as an accounting division of Enron North America; the entity</t>
  </si>
  <si>
    <t xml:space="preserve">              is treated as a disregarded entity for federal and state tax purposes.  Upon admission</t>
  </si>
  <si>
    <t xml:space="preserve">             of a third-party partner or complete sale of the entity the realized tax benefit or liability, </t>
  </si>
  <si>
    <t xml:space="preserve">            as it existed at the effective date, will be recognized, and reported, by Enron North America.</t>
  </si>
  <si>
    <t xml:space="preserve">            This entity is treated as an accounting division of Enron North America; the entity</t>
  </si>
  <si>
    <t xml:space="preserve">             is treated as a disregarded entity for federal and state tax purposes.  Upon admission</t>
  </si>
  <si>
    <t xml:space="preserve">            of a third-party partner or complete sale of the entity the realized tax benefit or liability, </t>
  </si>
  <si>
    <r>
      <t>Note 3</t>
    </r>
    <r>
      <rPr>
        <sz val="10"/>
        <rFont val="Arial"/>
      </rPr>
      <t xml:space="preserve"> -  The affiliate interest expense incurred after June 30, 2000 of $48,502.00</t>
    </r>
  </si>
  <si>
    <t xml:space="preserve">             and associated affiliate payable will be reversed if sale is completed.</t>
  </si>
  <si>
    <t>Gathering Fee due Enron</t>
  </si>
  <si>
    <t>Denver office costs due Enron</t>
  </si>
  <si>
    <t>?????????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</si>
</sst>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mm\-yy"/>
    <numFmt numFmtId="170" formatCode="mmmm\ d\,\ yyyy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name val="Arial"/>
      <family val="2"/>
    </font>
    <font>
      <sz val="10"/>
      <color indexed="61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5">
    <xf numFmtId="0" fontId="0" fillId="0" borderId="0" xfId="0"/>
    <xf numFmtId="165" fontId="3" fillId="0" borderId="0" xfId="1" applyNumberFormat="1" applyFont="1"/>
    <xf numFmtId="165" fontId="0" fillId="0" borderId="0" xfId="1" applyNumberFormat="1" applyFont="1"/>
    <xf numFmtId="165" fontId="2" fillId="0" borderId="0" xfId="1" applyNumberFormat="1" applyFont="1"/>
    <xf numFmtId="0" fontId="0" fillId="0" borderId="0" xfId="1" applyNumberFormat="1" applyFont="1"/>
    <xf numFmtId="0" fontId="0" fillId="0" borderId="0" xfId="1" applyNumberFormat="1" applyFont="1" applyAlignment="1">
      <alignment horizontal="center"/>
    </xf>
    <xf numFmtId="165" fontId="0" fillId="0" borderId="1" xfId="1" applyNumberFormat="1" applyFont="1" applyBorder="1"/>
    <xf numFmtId="165" fontId="0" fillId="0" borderId="2" xfId="1" applyNumberFormat="1" applyFont="1" applyBorder="1"/>
    <xf numFmtId="167" fontId="0" fillId="0" borderId="2" xfId="2" applyNumberFormat="1" applyFont="1" applyBorder="1"/>
    <xf numFmtId="165" fontId="0" fillId="0" borderId="0" xfId="1" applyNumberFormat="1" applyFont="1" applyBorder="1"/>
    <xf numFmtId="165" fontId="0" fillId="0" borderId="0" xfId="1" applyNumberFormat="1" applyFont="1" applyFill="1"/>
    <xf numFmtId="165" fontId="0" fillId="0" borderId="0" xfId="1" applyNumberFormat="1" applyFont="1" applyFill="1" applyBorder="1"/>
    <xf numFmtId="165" fontId="2" fillId="0" borderId="0" xfId="1" applyNumberFormat="1" applyFont="1" applyFill="1" applyBorder="1" applyAlignment="1">
      <alignment horizontal="left"/>
    </xf>
    <xf numFmtId="168" fontId="2" fillId="0" borderId="3" xfId="1" applyNumberFormat="1" applyFont="1" applyFill="1" applyBorder="1" applyAlignment="1">
      <alignment horizontal="center"/>
    </xf>
    <xf numFmtId="168" fontId="2" fillId="0" borderId="0" xfId="1" applyNumberFormat="1" applyFont="1" applyFill="1" applyBorder="1" applyAlignment="1">
      <alignment horizontal="center"/>
    </xf>
    <xf numFmtId="0" fontId="2" fillId="2" borderId="4" xfId="1" applyNumberFormat="1" applyFont="1" applyFill="1" applyBorder="1" applyAlignment="1">
      <alignment horizontal="center"/>
    </xf>
    <xf numFmtId="0" fontId="4" fillId="0" borderId="0" xfId="1" applyNumberFormat="1" applyFont="1" applyAlignment="1">
      <alignment horizontal="center"/>
    </xf>
    <xf numFmtId="0" fontId="4" fillId="0" borderId="0" xfId="1" quotePrefix="1" applyNumberFormat="1" applyFont="1" applyAlignment="1">
      <alignment horizontal="center"/>
    </xf>
    <xf numFmtId="0" fontId="4" fillId="0" borderId="0" xfId="1" applyNumberFormat="1" applyFont="1"/>
    <xf numFmtId="165" fontId="5" fillId="0" borderId="0" xfId="1" applyNumberFormat="1" applyFont="1"/>
    <xf numFmtId="165" fontId="6" fillId="0" borderId="0" xfId="1" applyNumberFormat="1" applyFont="1"/>
    <xf numFmtId="167" fontId="6" fillId="0" borderId="2" xfId="2" applyNumberFormat="1" applyFont="1" applyBorder="1"/>
    <xf numFmtId="165" fontId="6" fillId="0" borderId="1" xfId="1" applyNumberFormat="1" applyFont="1" applyBorder="1"/>
    <xf numFmtId="165" fontId="6" fillId="0" borderId="0" xfId="1" applyNumberFormat="1" applyFont="1" applyBorder="1"/>
    <xf numFmtId="165" fontId="6" fillId="0" borderId="2" xfId="1" applyNumberFormat="1" applyFont="1" applyBorder="1"/>
    <xf numFmtId="165" fontId="4" fillId="0" borderId="0" xfId="1" applyNumberFormat="1" applyFont="1" applyAlignment="1">
      <alignment horizontal="center"/>
    </xf>
    <xf numFmtId="165" fontId="4" fillId="0" borderId="0" xfId="1" applyNumberFormat="1" applyFont="1" applyBorder="1"/>
    <xf numFmtId="165" fontId="4" fillId="0" borderId="1" xfId="1" applyNumberFormat="1" applyFont="1" applyBorder="1"/>
    <xf numFmtId="167" fontId="7" fillId="0" borderId="2" xfId="2" applyNumberFormat="1" applyFont="1" applyBorder="1"/>
    <xf numFmtId="0" fontId="2" fillId="0" borderId="0" xfId="1" applyNumberFormat="1" applyFont="1" applyBorder="1" applyAlignment="1">
      <alignment horizontal="center"/>
    </xf>
    <xf numFmtId="0" fontId="0" fillId="0" borderId="0" xfId="1" applyNumberFormat="1" applyFont="1" applyBorder="1"/>
    <xf numFmtId="0" fontId="0" fillId="0" borderId="0" xfId="1" applyNumberFormat="1" applyFont="1" applyBorder="1" applyAlignment="1">
      <alignment horizontal="center"/>
    </xf>
    <xf numFmtId="0" fontId="2" fillId="0" borderId="5" xfId="1" applyNumberFormat="1" applyFon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167" fontId="0" fillId="0" borderId="0" xfId="2" applyNumberFormat="1" applyFont="1"/>
    <xf numFmtId="167" fontId="0" fillId="0" borderId="0" xfId="2" applyNumberFormat="1" applyFont="1" applyBorder="1"/>
    <xf numFmtId="165" fontId="2" fillId="0" borderId="5" xfId="1" applyNumberFormat="1" applyFont="1" applyBorder="1" applyAlignment="1">
      <alignment horizontal="center"/>
    </xf>
    <xf numFmtId="165" fontId="0" fillId="0" borderId="0" xfId="1" quotePrefix="1" applyNumberFormat="1" applyFont="1" applyAlignment="1">
      <alignment horizontal="center"/>
    </xf>
    <xf numFmtId="167" fontId="0" fillId="0" borderId="0" xfId="2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0" xfId="1" quotePrefix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0" borderId="0" xfId="1" quotePrefix="1" applyNumberFormat="1" applyFont="1"/>
    <xf numFmtId="165" fontId="4" fillId="0" borderId="0" xfId="1" quotePrefix="1" applyNumberFormat="1" applyFont="1" applyAlignment="1">
      <alignment horizontal="center"/>
    </xf>
    <xf numFmtId="10" fontId="0" fillId="0" borderId="0" xfId="3" applyNumberFormat="1" applyFont="1"/>
    <xf numFmtId="165" fontId="2" fillId="0" borderId="0" xfId="1" quotePrefix="1" applyNumberFormat="1" applyFont="1" applyAlignment="1">
      <alignment horizontal="right"/>
    </xf>
    <xf numFmtId="165" fontId="2" fillId="0" borderId="0" xfId="1" applyNumberFormat="1" applyFont="1" applyAlignment="1">
      <alignment horizontal="right"/>
    </xf>
    <xf numFmtId="0" fontId="2" fillId="0" borderId="0" xfId="0" applyFont="1"/>
    <xf numFmtId="165" fontId="2" fillId="0" borderId="3" xfId="1" applyNumberFormat="1" applyFont="1" applyFill="1" applyBorder="1" applyAlignment="1">
      <alignment horizontal="center"/>
    </xf>
    <xf numFmtId="0" fontId="0" fillId="0" borderId="0" xfId="1" applyNumberFormat="1" applyFont="1" applyFill="1"/>
    <xf numFmtId="0" fontId="0" fillId="0" borderId="0" xfId="1" applyNumberFormat="1" applyFont="1" applyFill="1" applyBorder="1"/>
    <xf numFmtId="0" fontId="2" fillId="0" borderId="0" xfId="1" applyNumberFormat="1" applyFont="1" applyFill="1" applyBorder="1" applyAlignment="1">
      <alignment horizontal="center"/>
    </xf>
    <xf numFmtId="0" fontId="2" fillId="0" borderId="5" xfId="1" applyNumberFormat="1" applyFont="1" applyFill="1" applyBorder="1" applyAlignment="1">
      <alignment horizontal="center"/>
    </xf>
    <xf numFmtId="167" fontId="0" fillId="0" borderId="0" xfId="2" applyNumberFormat="1" applyFont="1" applyFill="1" applyAlignment="1">
      <alignment horizontal="center"/>
    </xf>
    <xf numFmtId="165" fontId="4" fillId="0" borderId="0" xfId="1" applyNumberFormat="1" applyFon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0" fontId="0" fillId="0" borderId="0" xfId="1" applyNumberFormat="1" applyFont="1" applyFill="1" applyAlignment="1">
      <alignment horizontal="center"/>
    </xf>
    <xf numFmtId="41" fontId="0" fillId="0" borderId="0" xfId="1" applyNumberFormat="1" applyFont="1" applyFill="1" applyAlignment="1">
      <alignment horizontal="center"/>
    </xf>
    <xf numFmtId="167" fontId="0" fillId="0" borderId="2" xfId="2" applyNumberFormat="1" applyFont="1" applyFill="1" applyBorder="1"/>
    <xf numFmtId="165" fontId="0" fillId="0" borderId="1" xfId="1" applyNumberFormat="1" applyFont="1" applyFill="1" applyBorder="1"/>
    <xf numFmtId="165" fontId="0" fillId="0" borderId="0" xfId="1" quotePrefix="1" applyNumberFormat="1" applyFont="1" applyFill="1" applyAlignment="1">
      <alignment horizontal="center"/>
    </xf>
    <xf numFmtId="167" fontId="0" fillId="0" borderId="0" xfId="2" applyNumberFormat="1" applyFont="1" applyFill="1" applyBorder="1"/>
    <xf numFmtId="0" fontId="0" fillId="0" borderId="0" xfId="1" applyNumberFormat="1" applyFont="1" applyFill="1" applyBorder="1" applyAlignment="1">
      <alignment horizontal="center"/>
    </xf>
    <xf numFmtId="165" fontId="0" fillId="0" borderId="2" xfId="1" applyNumberFormat="1" applyFont="1" applyFill="1" applyBorder="1"/>
    <xf numFmtId="44" fontId="8" fillId="0" borderId="0" xfId="2" applyFont="1" applyAlignment="1">
      <alignment horizontal="center"/>
    </xf>
    <xf numFmtId="44" fontId="2" fillId="0" borderId="0" xfId="2" applyFont="1"/>
    <xf numFmtId="44" fontId="2" fillId="0" borderId="0" xfId="2" applyFont="1" applyAlignment="1">
      <alignment horizontal="center"/>
    </xf>
    <xf numFmtId="43" fontId="0" fillId="0" borderId="0" xfId="1" applyFont="1"/>
    <xf numFmtId="44" fontId="2" fillId="0" borderId="0" xfId="2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0" fillId="0" borderId="0" xfId="2" applyFont="1"/>
    <xf numFmtId="44" fontId="0" fillId="0" borderId="3" xfId="2" applyFont="1" applyBorder="1"/>
    <xf numFmtId="43" fontId="0" fillId="0" borderId="0" xfId="1" applyFont="1" applyBorder="1"/>
    <xf numFmtId="0" fontId="0" fillId="0" borderId="3" xfId="0" applyBorder="1"/>
    <xf numFmtId="44" fontId="0" fillId="0" borderId="2" xfId="2" applyFont="1" applyBorder="1"/>
    <xf numFmtId="44" fontId="0" fillId="0" borderId="0" xfId="2" applyFont="1" applyBorder="1"/>
    <xf numFmtId="43" fontId="0" fillId="0" borderId="3" xfId="1" applyFont="1" applyBorder="1"/>
    <xf numFmtId="44" fontId="0" fillId="0" borderId="0" xfId="0" applyNumberFormat="1"/>
    <xf numFmtId="44" fontId="0" fillId="0" borderId="3" xfId="0" applyNumberFormat="1" applyBorder="1"/>
    <xf numFmtId="43" fontId="0" fillId="0" borderId="0" xfId="0" applyNumberFormat="1"/>
    <xf numFmtId="170" fontId="0" fillId="0" borderId="0" xfId="0" applyNumberFormat="1"/>
    <xf numFmtId="44" fontId="0" fillId="0" borderId="2" xfId="0" applyNumberFormat="1" applyBorder="1"/>
    <xf numFmtId="43" fontId="0" fillId="0" borderId="0" xfId="1" applyFont="1" applyFill="1"/>
    <xf numFmtId="43" fontId="0" fillId="0" borderId="0" xfId="0" applyNumberFormat="1" applyFill="1"/>
    <xf numFmtId="44" fontId="5" fillId="0" borderId="0" xfId="2" applyFont="1"/>
    <xf numFmtId="43" fontId="5" fillId="0" borderId="0" xfId="1" applyFont="1"/>
    <xf numFmtId="43" fontId="5" fillId="0" borderId="3" xfId="1" applyFont="1" applyBorder="1"/>
    <xf numFmtId="44" fontId="5" fillId="0" borderId="2" xfId="2" applyFont="1" applyBorder="1"/>
    <xf numFmtId="170" fontId="8" fillId="0" borderId="0" xfId="2" applyNumberFormat="1" applyFont="1" applyAlignment="1">
      <alignment horizontal="center"/>
    </xf>
    <xf numFmtId="43" fontId="0" fillId="0" borderId="0" xfId="1" applyNumberFormat="1" applyFont="1"/>
    <xf numFmtId="43" fontId="0" fillId="0" borderId="0" xfId="1" applyNumberFormat="1" applyFont="1" applyFill="1"/>
    <xf numFmtId="43" fontId="10" fillId="0" borderId="0" xfId="1" applyFont="1"/>
    <xf numFmtId="43" fontId="0" fillId="0" borderId="0" xfId="1" applyNumberFormat="1" applyFont="1" applyFill="1" applyBorder="1"/>
    <xf numFmtId="43" fontId="2" fillId="0" borderId="3" xfId="1" applyNumberFormat="1" applyFont="1" applyFill="1" applyBorder="1" applyAlignment="1">
      <alignment horizontal="center"/>
    </xf>
    <xf numFmtId="43" fontId="6" fillId="0" borderId="0" xfId="1" applyNumberFormat="1" applyFont="1"/>
    <xf numFmtId="43" fontId="4" fillId="0" borderId="0" xfId="1" applyNumberFormat="1" applyFont="1"/>
    <xf numFmtId="43" fontId="4" fillId="0" borderId="2" xfId="2" applyNumberFormat="1" applyFont="1" applyBorder="1"/>
    <xf numFmtId="43" fontId="4" fillId="0" borderId="1" xfId="1" applyNumberFormat="1" applyFont="1" applyBorder="1"/>
    <xf numFmtId="43" fontId="6" fillId="0" borderId="0" xfId="1" applyNumberFormat="1" applyFont="1" applyBorder="1"/>
    <xf numFmtId="43" fontId="6" fillId="0" borderId="1" xfId="1" applyNumberFormat="1" applyFont="1" applyBorder="1"/>
    <xf numFmtId="43" fontId="6" fillId="0" borderId="0" xfId="1" applyNumberFormat="1" applyFont="1" applyBorder="1" applyAlignment="1">
      <alignment horizontal="center"/>
    </xf>
    <xf numFmtId="43" fontId="6" fillId="0" borderId="3" xfId="1" applyNumberFormat="1" applyFont="1" applyBorder="1"/>
    <xf numFmtId="43" fontId="7" fillId="0" borderId="2" xfId="2" applyNumberFormat="1" applyFont="1" applyBorder="1"/>
    <xf numFmtId="43" fontId="0" fillId="0" borderId="0" xfId="1" applyFont="1" applyFill="1" applyBorder="1"/>
    <xf numFmtId="165" fontId="9" fillId="0" borderId="0" xfId="1" applyNumberFormat="1" applyFont="1"/>
    <xf numFmtId="44" fontId="0" fillId="0" borderId="2" xfId="2" applyNumberFormat="1" applyFont="1" applyBorder="1"/>
    <xf numFmtId="43" fontId="9" fillId="0" borderId="0" xfId="1" applyNumberFormat="1" applyFont="1"/>
    <xf numFmtId="43" fontId="9" fillId="0" borderId="3" xfId="1" applyNumberFormat="1" applyFont="1" applyBorder="1"/>
    <xf numFmtId="43" fontId="9" fillId="0" borderId="0" xfId="1" applyNumberFormat="1" applyFont="1" applyBorder="1"/>
    <xf numFmtId="43" fontId="9" fillId="0" borderId="1" xfId="1" applyNumberFormat="1" applyFont="1" applyBorder="1"/>
    <xf numFmtId="44" fontId="10" fillId="0" borderId="0" xfId="2" applyFont="1"/>
    <xf numFmtId="43" fontId="10" fillId="0" borderId="3" xfId="1" applyFont="1" applyBorder="1"/>
    <xf numFmtId="43" fontId="5" fillId="0" borderId="0" xfId="1" applyFont="1" applyBorder="1"/>
    <xf numFmtId="44" fontId="5" fillId="0" borderId="0" xfId="2" applyFont="1" applyBorder="1"/>
    <xf numFmtId="0" fontId="0" fillId="0" borderId="0" xfId="0" applyBorder="1"/>
    <xf numFmtId="44" fontId="0" fillId="0" borderId="1" xfId="0" applyNumberFormat="1" applyBorder="1"/>
    <xf numFmtId="170" fontId="8" fillId="0" borderId="0" xfId="2" applyNumberFormat="1" applyFont="1" applyAlignment="1">
      <alignment horizontal="center"/>
    </xf>
    <xf numFmtId="44" fontId="2" fillId="0" borderId="3" xfId="2" applyFont="1" applyBorder="1" applyAlignment="1">
      <alignment horizontal="center"/>
    </xf>
    <xf numFmtId="44" fontId="8" fillId="0" borderId="0" xfId="2" applyFont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"/>
  <sheetViews>
    <sheetView workbookViewId="0">
      <selection sqref="A1:IV65536"/>
    </sheetView>
  </sheetViews>
  <sheetFormatPr defaultRowHeight="13.2" x14ac:dyDescent="0.25"/>
  <cols>
    <col min="1" max="1" width="39.6640625" customWidth="1"/>
    <col min="4" max="4" width="15.88671875" customWidth="1"/>
  </cols>
  <sheetData>
    <row r="16" ht="9" customHeight="1" x14ac:dyDescent="0.25"/>
  </sheetData>
  <pageMargins left="0.75" right="0.75" top="1" bottom="1" header="0.5" footer="0.5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>
    <row r="1" spans="1:1" x14ac:dyDescent="0.25">
      <c r="A1" t="s">
        <v>292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8"/>
  <sheetViews>
    <sheetView zoomScale="75" workbookViewId="0"/>
  </sheetViews>
  <sheetFormatPr defaultColWidth="12.6640625" defaultRowHeight="13.2" x14ac:dyDescent="0.25"/>
  <cols>
    <col min="1" max="1" width="39.109375" style="2" customWidth="1"/>
    <col min="2" max="2" width="8" style="2" customWidth="1"/>
    <col min="3" max="3" width="7.88671875" style="2" customWidth="1"/>
    <col min="4" max="4" width="1.6640625" style="4" customWidth="1"/>
    <col min="5" max="5" width="14" style="2" customWidth="1"/>
    <col min="6" max="6" width="1.5546875" style="2" customWidth="1"/>
    <col min="7" max="7" width="13.33203125" style="2" customWidth="1"/>
    <col min="8" max="8" width="1.44140625" style="2" customWidth="1"/>
    <col min="9" max="9" width="12.6640625" style="2" customWidth="1"/>
    <col min="10" max="10" width="2" style="2" customWidth="1"/>
    <col min="11" max="12" width="14.44140625" style="4" customWidth="1"/>
    <col min="13" max="13" width="14.44140625" style="53" customWidth="1"/>
    <col min="14" max="14" width="15.33203125" style="4" customWidth="1"/>
    <col min="15" max="16384" width="12.6640625" style="2"/>
  </cols>
  <sheetData>
    <row r="1" spans="1:15" ht="15.6" x14ac:dyDescent="0.3">
      <c r="A1" s="1" t="s">
        <v>161</v>
      </c>
      <c r="B1" s="1"/>
    </row>
    <row r="2" spans="1:15" x14ac:dyDescent="0.25">
      <c r="A2" s="3" t="s">
        <v>1</v>
      </c>
      <c r="B2" s="3"/>
    </row>
    <row r="3" spans="1:15" x14ac:dyDescent="0.25">
      <c r="A3" s="2" t="s">
        <v>195</v>
      </c>
    </row>
    <row r="5" spans="1:15" x14ac:dyDescent="0.25">
      <c r="D5" s="30"/>
      <c r="E5" s="35" t="s">
        <v>4</v>
      </c>
      <c r="F5" s="35"/>
      <c r="G5" s="52" t="s">
        <v>138</v>
      </c>
      <c r="H5" s="11"/>
      <c r="I5" s="52" t="s">
        <v>139</v>
      </c>
      <c r="J5" s="35"/>
      <c r="K5" s="30"/>
      <c r="L5" s="30"/>
      <c r="M5" s="54"/>
      <c r="N5" s="29"/>
    </row>
    <row r="6" spans="1:15" x14ac:dyDescent="0.25">
      <c r="D6" s="30"/>
      <c r="E6" s="35" t="s">
        <v>5</v>
      </c>
      <c r="F6" s="35"/>
      <c r="G6" s="35" t="s">
        <v>7</v>
      </c>
      <c r="H6" s="35"/>
      <c r="I6" s="35" t="s">
        <v>10</v>
      </c>
      <c r="J6" s="35"/>
      <c r="K6" s="30"/>
      <c r="L6" s="30"/>
      <c r="M6" s="55" t="s">
        <v>159</v>
      </c>
      <c r="N6" s="29"/>
    </row>
    <row r="7" spans="1:15" x14ac:dyDescent="0.25">
      <c r="B7" s="3" t="s">
        <v>193</v>
      </c>
      <c r="C7" s="34" t="s">
        <v>174</v>
      </c>
      <c r="D7" s="30"/>
      <c r="E7" s="35" t="s">
        <v>6</v>
      </c>
      <c r="F7" s="35"/>
      <c r="G7" s="35" t="s">
        <v>8</v>
      </c>
      <c r="H7" s="35"/>
      <c r="I7" s="35" t="s">
        <v>8</v>
      </c>
      <c r="J7" s="35"/>
      <c r="M7" s="55" t="s">
        <v>109</v>
      </c>
      <c r="N7" s="29" t="s">
        <v>107</v>
      </c>
    </row>
    <row r="8" spans="1:15" ht="13.8" thickBot="1" x14ac:dyDescent="0.3">
      <c r="B8" s="40" t="s">
        <v>192</v>
      </c>
      <c r="C8" s="40" t="s">
        <v>141</v>
      </c>
      <c r="D8" s="29"/>
      <c r="E8" s="36" t="s">
        <v>2</v>
      </c>
      <c r="F8" s="35"/>
      <c r="G8" s="36" t="s">
        <v>3</v>
      </c>
      <c r="H8" s="35"/>
      <c r="I8" s="36" t="s">
        <v>9</v>
      </c>
      <c r="J8" s="36"/>
      <c r="K8" s="32" t="s">
        <v>127</v>
      </c>
      <c r="L8" s="32"/>
      <c r="M8" s="56" t="s">
        <v>106</v>
      </c>
      <c r="N8" s="32" t="s">
        <v>108</v>
      </c>
    </row>
    <row r="9" spans="1:15" x14ac:dyDescent="0.25">
      <c r="A9" s="3" t="s">
        <v>11</v>
      </c>
      <c r="B9" s="3"/>
      <c r="C9" s="33"/>
      <c r="D9" s="30"/>
      <c r="F9" s="9"/>
      <c r="H9" s="9"/>
    </row>
    <row r="10" spans="1:15" x14ac:dyDescent="0.25">
      <c r="A10" s="2" t="s">
        <v>120</v>
      </c>
      <c r="C10" s="45"/>
      <c r="D10" s="42"/>
      <c r="E10" s="38">
        <f>+'63K'!D10</f>
        <v>122531.79</v>
      </c>
      <c r="F10" s="39"/>
      <c r="G10" s="38"/>
      <c r="H10" s="39"/>
      <c r="I10" s="38"/>
      <c r="J10" s="38"/>
      <c r="K10" s="37">
        <f>SUM(E10:I10)</f>
        <v>122531.79</v>
      </c>
      <c r="L10" s="37"/>
      <c r="M10" s="57"/>
      <c r="N10" s="37">
        <f>+K10+M10</f>
        <v>122531.79</v>
      </c>
      <c r="O10" s="38"/>
    </row>
    <row r="11" spans="1:15" x14ac:dyDescent="0.25">
      <c r="A11" s="2" t="s">
        <v>162</v>
      </c>
      <c r="C11" s="45"/>
      <c r="D11" s="42"/>
      <c r="E11" s="2">
        <f>+'63K'!D11</f>
        <v>0</v>
      </c>
      <c r="F11" s="39"/>
      <c r="G11" s="38"/>
      <c r="H11" s="39"/>
      <c r="I11" s="38"/>
      <c r="J11" s="38"/>
      <c r="K11" s="33">
        <f>SUM(E11:I11)</f>
        <v>0</v>
      </c>
      <c r="L11" s="33"/>
      <c r="M11" s="57"/>
      <c r="N11" s="33">
        <f>+K11+M11</f>
        <v>0</v>
      </c>
      <c r="O11" s="38"/>
    </row>
    <row r="12" spans="1:15" x14ac:dyDescent="0.25">
      <c r="A12" s="2" t="s">
        <v>209</v>
      </c>
      <c r="C12" s="45"/>
      <c r="D12" s="42"/>
      <c r="E12" s="2">
        <f>'63K'!D14</f>
        <v>1081560.47</v>
      </c>
      <c r="F12" s="39"/>
      <c r="G12" s="38"/>
      <c r="H12" s="39"/>
      <c r="I12" s="38"/>
      <c r="J12" s="38"/>
      <c r="K12" s="33">
        <f t="shared" ref="K12:K24" si="0">SUM(E12:I12)</f>
        <v>1081560.47</v>
      </c>
      <c r="L12" s="33"/>
      <c r="M12" s="57"/>
      <c r="N12" s="33">
        <f>+K12+M12</f>
        <v>1081560.47</v>
      </c>
      <c r="O12" s="38"/>
    </row>
    <row r="13" spans="1:15" x14ac:dyDescent="0.25">
      <c r="A13" s="2" t="s">
        <v>124</v>
      </c>
      <c r="C13" s="44">
        <v>413</v>
      </c>
      <c r="D13" s="43"/>
      <c r="F13" s="9"/>
      <c r="G13" s="2">
        <f>+'247'!O11</f>
        <v>34252723.950000003</v>
      </c>
      <c r="H13" s="9"/>
      <c r="I13" s="2">
        <f>+'259'!O12</f>
        <v>18367295.289999999</v>
      </c>
      <c r="K13" s="33">
        <f t="shared" si="0"/>
        <v>52620019.240000002</v>
      </c>
      <c r="L13" s="33"/>
      <c r="M13" s="58">
        <f>-M14-M15-M16+M29+M30+M31+M32+M33+M34+M35+M36+M38</f>
        <v>-46132494.740000002</v>
      </c>
      <c r="N13" s="33">
        <f t="shared" ref="N13:N24" si="1">+K13+M13</f>
        <v>6487524.5</v>
      </c>
    </row>
    <row r="14" spans="1:15" x14ac:dyDescent="0.25">
      <c r="A14" s="2" t="s">
        <v>125</v>
      </c>
      <c r="C14" s="44" t="s">
        <v>142</v>
      </c>
      <c r="D14" s="43"/>
      <c r="E14" s="2">
        <f>+'63K'!D16</f>
        <v>3705248.09</v>
      </c>
      <c r="F14" s="9"/>
      <c r="H14" s="9"/>
      <c r="K14" s="33">
        <f t="shared" si="0"/>
        <v>3705248.09</v>
      </c>
      <c r="L14" s="33"/>
      <c r="M14" s="59">
        <f>-E14</f>
        <v>-3705248.09</v>
      </c>
      <c r="N14" s="33">
        <f t="shared" si="1"/>
        <v>0</v>
      </c>
    </row>
    <row r="15" spans="1:15" x14ac:dyDescent="0.25">
      <c r="A15" s="2" t="s">
        <v>126</v>
      </c>
      <c r="C15" s="44" t="s">
        <v>143</v>
      </c>
      <c r="D15" s="43"/>
      <c r="E15" s="2">
        <f>+'63K'!D17</f>
        <v>1730571.09</v>
      </c>
      <c r="F15" s="9"/>
      <c r="H15" s="9"/>
      <c r="K15" s="33">
        <f t="shared" si="0"/>
        <v>1730571.09</v>
      </c>
      <c r="L15" s="33"/>
      <c r="M15" s="59">
        <f>-K15</f>
        <v>-1730571.09</v>
      </c>
      <c r="N15" s="33">
        <f t="shared" si="1"/>
        <v>0</v>
      </c>
    </row>
    <row r="16" spans="1:15" x14ac:dyDescent="0.25">
      <c r="A16" s="2" t="s">
        <v>52</v>
      </c>
      <c r="C16" s="45" t="s">
        <v>144</v>
      </c>
      <c r="D16" s="43"/>
      <c r="F16" s="9"/>
      <c r="G16" s="2">
        <f>+'247'!O12</f>
        <v>46004</v>
      </c>
      <c r="H16" s="9"/>
      <c r="K16" s="33">
        <f t="shared" si="0"/>
        <v>46004</v>
      </c>
      <c r="L16" s="33"/>
      <c r="M16" s="59">
        <f>-K16</f>
        <v>-46004</v>
      </c>
      <c r="N16" s="33">
        <f t="shared" si="1"/>
        <v>0</v>
      </c>
    </row>
    <row r="17" spans="1:16" x14ac:dyDescent="0.25">
      <c r="A17" s="2" t="s">
        <v>104</v>
      </c>
      <c r="C17" s="45"/>
      <c r="D17" s="43"/>
      <c r="E17" s="2">
        <f>+'63K'!D12</f>
        <v>2603</v>
      </c>
      <c r="F17" s="9"/>
      <c r="H17" s="9"/>
      <c r="K17" s="33">
        <f t="shared" si="0"/>
        <v>2603</v>
      </c>
      <c r="L17" s="33"/>
      <c r="M17" s="59"/>
      <c r="N17" s="33">
        <f t="shared" si="1"/>
        <v>2603</v>
      </c>
    </row>
    <row r="18" spans="1:16" x14ac:dyDescent="0.25">
      <c r="A18" s="2" t="s">
        <v>164</v>
      </c>
      <c r="C18" s="45"/>
      <c r="D18" s="43"/>
      <c r="E18" s="2">
        <f>+'63K'!D13</f>
        <v>13572.37</v>
      </c>
      <c r="F18" s="9"/>
      <c r="H18" s="9"/>
      <c r="K18" s="33">
        <f t="shared" si="0"/>
        <v>13572.37</v>
      </c>
      <c r="L18" s="33"/>
      <c r="M18" s="59"/>
      <c r="N18" s="33">
        <f t="shared" si="1"/>
        <v>13572.37</v>
      </c>
    </row>
    <row r="19" spans="1:16" x14ac:dyDescent="0.25">
      <c r="A19" s="2" t="s">
        <v>130</v>
      </c>
      <c r="B19" s="48">
        <v>0.33329999999999999</v>
      </c>
      <c r="C19" s="45"/>
      <c r="D19" s="43"/>
      <c r="F19" s="9"/>
      <c r="G19" s="2">
        <f>+'247'!O10</f>
        <v>2316228</v>
      </c>
      <c r="H19" s="9"/>
      <c r="K19" s="33">
        <f t="shared" si="0"/>
        <v>2316228</v>
      </c>
      <c r="L19" s="33"/>
      <c r="M19" s="60"/>
      <c r="N19" s="33">
        <f t="shared" si="1"/>
        <v>2316228</v>
      </c>
      <c r="P19" s="59"/>
    </row>
    <row r="20" spans="1:16" x14ac:dyDescent="0.25">
      <c r="A20" s="2" t="s">
        <v>131</v>
      </c>
      <c r="B20" s="48">
        <v>0.35</v>
      </c>
      <c r="C20" s="45"/>
      <c r="D20" s="43"/>
      <c r="F20" s="9"/>
      <c r="H20" s="9"/>
      <c r="I20" s="2">
        <f>+'259'!O11</f>
        <v>2817410</v>
      </c>
      <c r="K20" s="33">
        <f t="shared" si="0"/>
        <v>2817410</v>
      </c>
      <c r="L20" s="33"/>
      <c r="M20" s="60"/>
      <c r="N20" s="33">
        <f t="shared" si="1"/>
        <v>2817410</v>
      </c>
    </row>
    <row r="21" spans="1:16" x14ac:dyDescent="0.25">
      <c r="A21" s="2" t="s">
        <v>132</v>
      </c>
      <c r="B21" s="48">
        <v>0.1</v>
      </c>
      <c r="C21" s="45"/>
      <c r="D21" s="43"/>
      <c r="E21" s="2">
        <f>+'63K'!O19</f>
        <v>14376462</v>
      </c>
      <c r="F21" s="9"/>
      <c r="H21" s="9"/>
      <c r="K21" s="33">
        <f t="shared" si="0"/>
        <v>14376462</v>
      </c>
      <c r="L21" s="33"/>
      <c r="M21" s="60"/>
      <c r="N21" s="33">
        <f t="shared" si="1"/>
        <v>14376462</v>
      </c>
    </row>
    <row r="22" spans="1:16" x14ac:dyDescent="0.25">
      <c r="A22" s="2" t="s">
        <v>121</v>
      </c>
      <c r="C22" s="45"/>
      <c r="D22" s="43"/>
      <c r="E22" s="2">
        <f>+'63K'!D20</f>
        <v>27631665.210000001</v>
      </c>
      <c r="F22" s="9"/>
      <c r="H22" s="9"/>
      <c r="K22" s="33">
        <f t="shared" si="0"/>
        <v>27631665.210000001</v>
      </c>
      <c r="L22" s="33"/>
      <c r="M22" s="60"/>
      <c r="N22" s="33">
        <f t="shared" si="1"/>
        <v>27631665.210000001</v>
      </c>
    </row>
    <row r="23" spans="1:16" x14ac:dyDescent="0.25">
      <c r="A23" s="2" t="s">
        <v>186</v>
      </c>
      <c r="C23" s="45"/>
      <c r="D23" s="43"/>
      <c r="E23" s="2">
        <f>+'63K'!D21</f>
        <v>1031</v>
      </c>
      <c r="F23" s="9"/>
      <c r="H23" s="9"/>
      <c r="K23" s="33">
        <f t="shared" si="0"/>
        <v>1031</v>
      </c>
      <c r="L23" s="33"/>
      <c r="M23" s="59"/>
      <c r="N23" s="33">
        <f t="shared" si="1"/>
        <v>1031</v>
      </c>
    </row>
    <row r="24" spans="1:16" x14ac:dyDescent="0.25">
      <c r="A24" s="2" t="s">
        <v>160</v>
      </c>
      <c r="C24" s="45"/>
      <c r="D24" s="43"/>
      <c r="E24" s="2">
        <f>+'63K'!D22</f>
        <v>1922336.94</v>
      </c>
      <c r="F24" s="9"/>
      <c r="H24" s="9"/>
      <c r="I24" s="2">
        <f>+'259'!O14</f>
        <v>44594.43</v>
      </c>
      <c r="K24" s="33">
        <f t="shared" si="0"/>
        <v>1966931.3699999999</v>
      </c>
      <c r="L24" s="33"/>
      <c r="M24" s="61"/>
      <c r="N24" s="33">
        <f t="shared" si="1"/>
        <v>1966931.3699999999</v>
      </c>
    </row>
    <row r="25" spans="1:16" ht="6.75" customHeight="1" x14ac:dyDescent="0.25">
      <c r="C25" s="45"/>
      <c r="D25" s="31"/>
      <c r="F25" s="9"/>
      <c r="H25" s="9"/>
      <c r="K25" s="5"/>
      <c r="L25" s="5"/>
      <c r="M25" s="60"/>
      <c r="N25" s="5"/>
    </row>
    <row r="26" spans="1:16" ht="13.8" thickBot="1" x14ac:dyDescent="0.3">
      <c r="A26" s="3" t="s">
        <v>23</v>
      </c>
      <c r="B26" s="3"/>
      <c r="C26" s="45"/>
      <c r="D26" s="39"/>
      <c r="E26" s="8">
        <f>SUM(E10:E25)</f>
        <v>50587581.959999993</v>
      </c>
      <c r="F26" s="39"/>
      <c r="G26" s="8">
        <f>SUM(G10:G25)</f>
        <v>36614955.950000003</v>
      </c>
      <c r="H26" s="39"/>
      <c r="I26" s="8">
        <f>SUM(I10:I25)</f>
        <v>21229299.719999999</v>
      </c>
      <c r="J26" s="8"/>
      <c r="K26" s="8">
        <f>SUM(K10:K25)</f>
        <v>108431837.63000003</v>
      </c>
      <c r="L26" s="8"/>
      <c r="M26" s="62">
        <f>SUM(M10:M25)</f>
        <v>-51614317.920000002</v>
      </c>
      <c r="N26" s="8">
        <f>SUM(N10:N25)</f>
        <v>56817519.710000001</v>
      </c>
    </row>
    <row r="27" spans="1:16" ht="13.8" thickTop="1" x14ac:dyDescent="0.25">
      <c r="C27" s="45"/>
      <c r="D27" s="31"/>
      <c r="F27" s="9"/>
      <c r="H27" s="9"/>
      <c r="K27" s="5"/>
      <c r="L27" s="5"/>
      <c r="M27" s="60"/>
      <c r="N27" s="5"/>
    </row>
    <row r="28" spans="1:16" x14ac:dyDescent="0.25">
      <c r="A28" s="3" t="s">
        <v>122</v>
      </c>
      <c r="B28" s="3"/>
      <c r="C28" s="45"/>
      <c r="D28" s="31"/>
      <c r="F28" s="9"/>
      <c r="H28" s="9"/>
      <c r="K28" s="5"/>
      <c r="L28" s="5"/>
      <c r="M28" s="60"/>
      <c r="N28" s="5"/>
    </row>
    <row r="29" spans="1:16" x14ac:dyDescent="0.25">
      <c r="A29" s="2" t="s">
        <v>53</v>
      </c>
      <c r="C29" s="44" t="s">
        <v>142</v>
      </c>
      <c r="D29" s="43"/>
      <c r="E29" s="2">
        <f>+'63K'!D31</f>
        <v>0</v>
      </c>
      <c r="F29" s="9"/>
      <c r="G29" s="2">
        <f>+'247'!O19</f>
        <v>4034541</v>
      </c>
      <c r="H29" s="9"/>
      <c r="I29" s="2">
        <f>+'259'!O21</f>
        <v>4530399</v>
      </c>
      <c r="K29" s="33">
        <f t="shared" ref="K29:K45" si="2">SUM(E29:I29)</f>
        <v>8564940</v>
      </c>
      <c r="L29" s="33"/>
      <c r="M29" s="59">
        <f t="shared" ref="M29:M36" si="3">-K29</f>
        <v>-8564940</v>
      </c>
      <c r="N29" s="33">
        <f t="shared" ref="N29:N45" si="4">+K29+M29</f>
        <v>0</v>
      </c>
    </row>
    <row r="30" spans="1:16" x14ac:dyDescent="0.25">
      <c r="A30" s="2" t="s">
        <v>55</v>
      </c>
      <c r="C30" s="44" t="s">
        <v>147</v>
      </c>
      <c r="D30" s="43"/>
      <c r="E30" s="2">
        <f>+'63K'!D32</f>
        <v>1177444.3</v>
      </c>
      <c r="F30" s="9"/>
      <c r="H30" s="9"/>
      <c r="I30" s="2">
        <f>+'259'!O22</f>
        <v>182373.7</v>
      </c>
      <c r="K30" s="33">
        <f t="shared" si="2"/>
        <v>1359818</v>
      </c>
      <c r="L30" s="33"/>
      <c r="M30" s="59">
        <f t="shared" si="3"/>
        <v>-1359818</v>
      </c>
      <c r="N30" s="33">
        <f t="shared" si="4"/>
        <v>0</v>
      </c>
    </row>
    <row r="31" spans="1:16" x14ac:dyDescent="0.25">
      <c r="A31" s="2" t="s">
        <v>57</v>
      </c>
      <c r="C31" s="44" t="s">
        <v>148</v>
      </c>
      <c r="D31" s="43"/>
      <c r="E31" s="2">
        <f>+'63K'!D33</f>
        <v>0</v>
      </c>
      <c r="F31" s="9"/>
      <c r="H31" s="9"/>
      <c r="I31" s="2">
        <f>+'259'!O23</f>
        <v>25552.54</v>
      </c>
      <c r="K31" s="33">
        <f t="shared" si="2"/>
        <v>25552.54</v>
      </c>
      <c r="L31" s="33"/>
      <c r="M31" s="59">
        <f t="shared" si="3"/>
        <v>-25552.54</v>
      </c>
      <c r="N31" s="33">
        <f t="shared" si="4"/>
        <v>0</v>
      </c>
    </row>
    <row r="32" spans="1:16" x14ac:dyDescent="0.25">
      <c r="A32" s="2" t="s">
        <v>86</v>
      </c>
      <c r="C32" s="44" t="s">
        <v>145</v>
      </c>
      <c r="D32" s="43"/>
      <c r="E32" s="2">
        <f>+'63K'!D34</f>
        <v>46004</v>
      </c>
      <c r="F32" s="9"/>
      <c r="H32" s="9"/>
      <c r="I32" s="2">
        <v>0</v>
      </c>
      <c r="K32" s="33">
        <f t="shared" si="2"/>
        <v>46004</v>
      </c>
      <c r="L32" s="33"/>
      <c r="M32" s="59">
        <f t="shared" si="3"/>
        <v>-46004</v>
      </c>
      <c r="N32" s="33">
        <f t="shared" si="4"/>
        <v>0</v>
      </c>
    </row>
    <row r="33" spans="1:14" x14ac:dyDescent="0.25">
      <c r="A33" s="2" t="s">
        <v>61</v>
      </c>
      <c r="C33" s="44" t="s">
        <v>149</v>
      </c>
      <c r="D33" s="43"/>
      <c r="F33" s="9"/>
      <c r="H33" s="9"/>
      <c r="I33" s="2">
        <f>+'259'!O24</f>
        <v>561.70000000000005</v>
      </c>
      <c r="K33" s="33">
        <f t="shared" si="2"/>
        <v>561.70000000000005</v>
      </c>
      <c r="L33" s="33"/>
      <c r="M33" s="59">
        <f t="shared" si="3"/>
        <v>-561.70000000000005</v>
      </c>
      <c r="N33" s="33">
        <f t="shared" si="4"/>
        <v>0</v>
      </c>
    </row>
    <row r="34" spans="1:14" x14ac:dyDescent="0.25">
      <c r="A34" s="2" t="s">
        <v>59</v>
      </c>
      <c r="C34" s="44" t="s">
        <v>146</v>
      </c>
      <c r="D34" s="43"/>
      <c r="F34" s="9"/>
      <c r="H34" s="9"/>
      <c r="I34" s="2">
        <f>+'259'!O25</f>
        <v>965909</v>
      </c>
      <c r="K34" s="33">
        <f t="shared" si="2"/>
        <v>965909</v>
      </c>
      <c r="L34" s="33"/>
      <c r="M34" s="59">
        <f t="shared" si="3"/>
        <v>-965909</v>
      </c>
      <c r="N34" s="33">
        <f t="shared" si="4"/>
        <v>0</v>
      </c>
    </row>
    <row r="35" spans="1:14" x14ac:dyDescent="0.25">
      <c r="A35" s="2" t="s">
        <v>54</v>
      </c>
      <c r="C35" s="44" t="s">
        <v>150</v>
      </c>
      <c r="D35" s="43"/>
      <c r="F35" s="9"/>
      <c r="G35" s="2">
        <f>+'247'!O20</f>
        <v>1550575</v>
      </c>
      <c r="H35" s="9"/>
      <c r="K35" s="33">
        <f t="shared" si="2"/>
        <v>1550575</v>
      </c>
      <c r="L35" s="33"/>
      <c r="M35" s="59">
        <f t="shared" si="3"/>
        <v>-1550575</v>
      </c>
      <c r="N35" s="33">
        <f t="shared" si="4"/>
        <v>0</v>
      </c>
    </row>
    <row r="36" spans="1:14" x14ac:dyDescent="0.25">
      <c r="A36" s="2" t="s">
        <v>74</v>
      </c>
      <c r="C36" s="44">
        <v>413</v>
      </c>
      <c r="D36" s="43"/>
      <c r="E36" s="2">
        <f>+'63K'!D37</f>
        <v>39098006.359999999</v>
      </c>
      <c r="F36" s="9"/>
      <c r="H36" s="9"/>
      <c r="K36" s="33">
        <f t="shared" si="2"/>
        <v>39098006.359999999</v>
      </c>
      <c r="L36" s="33"/>
      <c r="M36" s="59">
        <f t="shared" si="3"/>
        <v>-39098006.359999999</v>
      </c>
      <c r="N36" s="33">
        <f t="shared" si="4"/>
        <v>0</v>
      </c>
    </row>
    <row r="37" spans="1:14" x14ac:dyDescent="0.25">
      <c r="A37" s="2" t="s">
        <v>74</v>
      </c>
      <c r="C37" s="44"/>
      <c r="D37" s="43"/>
      <c r="F37" s="9"/>
      <c r="H37" s="9"/>
      <c r="K37" s="33">
        <f t="shared" si="2"/>
        <v>0</v>
      </c>
      <c r="L37" s="33"/>
      <c r="M37" s="58"/>
      <c r="N37" s="33">
        <f t="shared" si="4"/>
        <v>0</v>
      </c>
    </row>
    <row r="38" spans="1:14" x14ac:dyDescent="0.25">
      <c r="A38" s="2" t="s">
        <v>88</v>
      </c>
      <c r="C38" s="44" t="s">
        <v>151</v>
      </c>
      <c r="D38" s="43"/>
      <c r="E38" s="2">
        <f>+'63K'!D39</f>
        <v>2951.32</v>
      </c>
      <c r="F38" s="9"/>
      <c r="H38" s="9"/>
      <c r="K38" s="33">
        <f t="shared" si="2"/>
        <v>2951.32</v>
      </c>
      <c r="L38" s="33"/>
      <c r="M38" s="59">
        <f>-K38</f>
        <v>-2951.32</v>
      </c>
      <c r="N38" s="33">
        <f t="shared" si="4"/>
        <v>0</v>
      </c>
    </row>
    <row r="39" spans="1:14" x14ac:dyDescent="0.25">
      <c r="A39" s="2" t="s">
        <v>196</v>
      </c>
      <c r="C39" s="44"/>
      <c r="D39" s="43"/>
      <c r="E39" s="2">
        <f>'63K'!D38</f>
        <v>4826628.6000000006</v>
      </c>
      <c r="F39" s="9"/>
      <c r="H39" s="9"/>
      <c r="I39" s="2">
        <f>'259'!D26</f>
        <v>17500</v>
      </c>
      <c r="K39" s="33">
        <f t="shared" si="2"/>
        <v>4844128.6000000006</v>
      </c>
      <c r="L39" s="33"/>
      <c r="M39" s="59"/>
      <c r="N39" s="33">
        <f t="shared" si="4"/>
        <v>4844128.6000000006</v>
      </c>
    </row>
    <row r="40" spans="1:14" x14ac:dyDescent="0.25">
      <c r="A40" s="2" t="s">
        <v>202</v>
      </c>
      <c r="C40" s="44"/>
      <c r="D40" s="43"/>
      <c r="E40" s="2">
        <f>'63K'!D40</f>
        <v>547354.86</v>
      </c>
      <c r="F40" s="9"/>
      <c r="H40" s="9"/>
      <c r="K40" s="33">
        <f t="shared" si="2"/>
        <v>547354.86</v>
      </c>
      <c r="L40" s="33"/>
      <c r="M40" s="59"/>
      <c r="N40" s="33">
        <f t="shared" si="4"/>
        <v>547354.86</v>
      </c>
    </row>
    <row r="41" spans="1:14" x14ac:dyDescent="0.25">
      <c r="A41" s="2" t="s">
        <v>172</v>
      </c>
      <c r="C41" s="44"/>
      <c r="D41" s="43"/>
      <c r="E41" s="2">
        <f>'63K'!D41</f>
        <v>395227.45</v>
      </c>
      <c r="F41" s="9"/>
      <c r="G41" s="2">
        <f>+'247'!D23</f>
        <v>0</v>
      </c>
      <c r="H41" s="9"/>
      <c r="I41" s="2">
        <f>+'259'!D28</f>
        <v>16267.5</v>
      </c>
      <c r="K41" s="33">
        <f t="shared" si="2"/>
        <v>411494.95</v>
      </c>
      <c r="L41" s="33"/>
      <c r="M41" s="60"/>
      <c r="N41" s="33">
        <f t="shared" si="4"/>
        <v>411494.95</v>
      </c>
    </row>
    <row r="42" spans="1:14" x14ac:dyDescent="0.25">
      <c r="A42" s="2" t="s">
        <v>21</v>
      </c>
      <c r="C42" s="45"/>
      <c r="D42" s="43"/>
      <c r="E42" s="2">
        <f>+'63K'!D42</f>
        <v>0</v>
      </c>
      <c r="F42" s="9"/>
      <c r="G42" s="2">
        <f>+'247'!O21</f>
        <v>4216.16</v>
      </c>
      <c r="H42" s="9"/>
      <c r="I42" s="2">
        <f>+'259'!O29</f>
        <v>2626.04</v>
      </c>
      <c r="K42" s="33">
        <f t="shared" si="2"/>
        <v>6842.2</v>
      </c>
      <c r="L42" s="33"/>
      <c r="M42" s="59"/>
      <c r="N42" s="33">
        <f t="shared" si="4"/>
        <v>6842.2</v>
      </c>
    </row>
    <row r="43" spans="1:14" x14ac:dyDescent="0.25">
      <c r="A43" s="2" t="s">
        <v>204</v>
      </c>
      <c r="C43" s="45"/>
      <c r="D43" s="43"/>
      <c r="E43" s="2">
        <f>'63K'!D43</f>
        <v>136371.20000000001</v>
      </c>
      <c r="F43" s="9"/>
      <c r="H43" s="9"/>
      <c r="K43" s="33">
        <f t="shared" si="2"/>
        <v>136371.20000000001</v>
      </c>
      <c r="L43" s="33"/>
      <c r="M43" s="59"/>
      <c r="N43" s="33">
        <f t="shared" si="4"/>
        <v>136371.20000000001</v>
      </c>
    </row>
    <row r="44" spans="1:14" x14ac:dyDescent="0.25">
      <c r="A44" s="2" t="s">
        <v>175</v>
      </c>
      <c r="C44" s="45"/>
      <c r="D44" s="43"/>
      <c r="E44" s="2">
        <f>+'63K'!D44</f>
        <v>0</v>
      </c>
      <c r="F44" s="9"/>
      <c r="G44" s="2">
        <f>+'247'!D22</f>
        <v>0</v>
      </c>
      <c r="H44" s="9"/>
      <c r="I44" s="2">
        <f>+'259'!D30</f>
        <v>0</v>
      </c>
      <c r="K44" s="33">
        <f t="shared" si="2"/>
        <v>0</v>
      </c>
      <c r="L44" s="33"/>
      <c r="M44" s="59"/>
      <c r="N44" s="33">
        <f t="shared" si="4"/>
        <v>0</v>
      </c>
    </row>
    <row r="45" spans="1:14" x14ac:dyDescent="0.25">
      <c r="A45" s="2" t="s">
        <v>66</v>
      </c>
      <c r="C45" s="45"/>
      <c r="D45" s="43"/>
      <c r="E45" s="2">
        <f>+'63K'!D45</f>
        <v>3959838.74</v>
      </c>
      <c r="F45" s="9"/>
      <c r="H45" s="9"/>
      <c r="I45" s="2">
        <f>+'259'!O31</f>
        <v>3465000</v>
      </c>
      <c r="K45" s="33">
        <f t="shared" si="2"/>
        <v>7424838.7400000002</v>
      </c>
      <c r="L45" s="33"/>
      <c r="M45" s="59">
        <f>-E45</f>
        <v>-3959838.74</v>
      </c>
      <c r="N45" s="33">
        <f t="shared" si="4"/>
        <v>3465000</v>
      </c>
    </row>
    <row r="46" spans="1:14" ht="7.5" customHeight="1" x14ac:dyDescent="0.25">
      <c r="A46" s="3"/>
      <c r="B46" s="3"/>
      <c r="C46" s="45"/>
      <c r="D46" s="31"/>
      <c r="F46" s="9"/>
      <c r="H46" s="9"/>
      <c r="K46" s="5"/>
      <c r="L46" s="5"/>
      <c r="M46" s="60"/>
      <c r="N46" s="5"/>
    </row>
    <row r="47" spans="1:14" x14ac:dyDescent="0.25">
      <c r="A47" s="3" t="s">
        <v>25</v>
      </c>
      <c r="B47" s="3"/>
      <c r="C47" s="45"/>
      <c r="D47" s="9"/>
      <c r="E47" s="6">
        <f>SUM(E29:E46)</f>
        <v>50189826.830000006</v>
      </c>
      <c r="F47" s="9"/>
      <c r="G47" s="6">
        <f>SUM(G29:G46)</f>
        <v>5589332.1600000001</v>
      </c>
      <c r="H47" s="9"/>
      <c r="I47" s="6">
        <f>SUM(I29:I46)</f>
        <v>9206189.4800000004</v>
      </c>
      <c r="J47" s="6"/>
      <c r="K47" s="6">
        <f>SUM(K29:K46)</f>
        <v>64985348.470000006</v>
      </c>
      <c r="L47" s="6"/>
      <c r="M47" s="63">
        <f>SUM(M29:M46)</f>
        <v>-55574156.659999996</v>
      </c>
      <c r="N47" s="6">
        <f>SUM(N29:N46)</f>
        <v>9411191.8100000024</v>
      </c>
    </row>
    <row r="48" spans="1:14" x14ac:dyDescent="0.25">
      <c r="C48" s="45"/>
      <c r="D48" s="31"/>
      <c r="F48" s="9"/>
      <c r="H48" s="9"/>
      <c r="K48" s="5"/>
      <c r="L48" s="5"/>
      <c r="M48" s="60"/>
      <c r="N48" s="5"/>
    </row>
    <row r="49" spans="1:14" x14ac:dyDescent="0.25">
      <c r="A49" s="3" t="s">
        <v>123</v>
      </c>
      <c r="B49" s="3"/>
      <c r="C49" s="45"/>
      <c r="D49" s="31"/>
      <c r="F49" s="9"/>
      <c r="H49" s="9"/>
      <c r="K49" s="5"/>
      <c r="L49" s="5"/>
      <c r="M49" s="60"/>
      <c r="N49" s="5"/>
    </row>
    <row r="50" spans="1:14" x14ac:dyDescent="0.25">
      <c r="A50" s="2" t="s">
        <v>137</v>
      </c>
      <c r="C50" s="44">
        <v>413</v>
      </c>
      <c r="D50" s="43"/>
      <c r="E50" s="2">
        <f>+'63K'!D50</f>
        <v>397755.13000000024</v>
      </c>
      <c r="F50" s="9"/>
      <c r="H50" s="9"/>
      <c r="K50" s="33">
        <f>+E50</f>
        <v>397755.13000000024</v>
      </c>
      <c r="L50" s="33"/>
      <c r="M50" s="64">
        <f>+E45</f>
        <v>3959838.74</v>
      </c>
      <c r="N50" s="33">
        <f>+K50+M50</f>
        <v>4357593.87</v>
      </c>
    </row>
    <row r="51" spans="1:14" x14ac:dyDescent="0.25">
      <c r="A51" s="2" t="s">
        <v>133</v>
      </c>
      <c r="C51" s="44" t="s">
        <v>150</v>
      </c>
      <c r="D51" s="43"/>
      <c r="F51" s="9"/>
      <c r="G51" s="2">
        <f>+'247'!O28</f>
        <v>31022521.777215999</v>
      </c>
      <c r="H51" s="9"/>
      <c r="K51" s="33">
        <f>SUM(E51:I51)</f>
        <v>31022521.777215999</v>
      </c>
      <c r="L51" s="33"/>
      <c r="M51" s="64"/>
      <c r="N51" s="33">
        <f>+K51+M51</f>
        <v>31022521.777215999</v>
      </c>
    </row>
    <row r="52" spans="1:14" x14ac:dyDescent="0.25">
      <c r="A52" s="2" t="s">
        <v>134</v>
      </c>
      <c r="C52" s="44" t="s">
        <v>152</v>
      </c>
      <c r="D52" s="43"/>
      <c r="F52" s="9"/>
      <c r="G52" s="2">
        <f>+'247'!O29</f>
        <v>3102.012784</v>
      </c>
      <c r="H52" s="9"/>
      <c r="K52" s="33">
        <f>SUM(E52:I52)</f>
        <v>3102.012784</v>
      </c>
      <c r="L52" s="33"/>
      <c r="M52" s="64"/>
      <c r="N52" s="33">
        <f>+K52+M52</f>
        <v>3102.012784</v>
      </c>
    </row>
    <row r="53" spans="1:14" x14ac:dyDescent="0.25">
      <c r="A53" s="2" t="s">
        <v>135</v>
      </c>
      <c r="C53" s="44" t="s">
        <v>153</v>
      </c>
      <c r="D53" s="43"/>
      <c r="F53" s="9"/>
      <c r="H53" s="9"/>
      <c r="I53" s="2">
        <f>+'259'!O36</f>
        <v>12018205.379528999</v>
      </c>
      <c r="K53" s="33">
        <f>SUM(E53:I53)</f>
        <v>12018205.379528999</v>
      </c>
      <c r="L53" s="33"/>
      <c r="M53" s="64"/>
      <c r="N53" s="33">
        <f>+K53+M53</f>
        <v>12018205.379528999</v>
      </c>
    </row>
    <row r="54" spans="1:14" x14ac:dyDescent="0.25">
      <c r="A54" s="2" t="s">
        <v>136</v>
      </c>
      <c r="C54" s="44" t="s">
        <v>154</v>
      </c>
      <c r="D54" s="43"/>
      <c r="F54" s="9"/>
      <c r="H54" s="9"/>
      <c r="I54" s="2">
        <f>+'259'!O37</f>
        <v>1201.370471</v>
      </c>
      <c r="K54" s="33">
        <f>SUM(E54:I54)</f>
        <v>1201.370471</v>
      </c>
      <c r="L54" s="33"/>
      <c r="M54" s="64"/>
      <c r="N54" s="33">
        <f>+K54+M54</f>
        <v>1201.370471</v>
      </c>
    </row>
    <row r="55" spans="1:14" ht="9" customHeight="1" x14ac:dyDescent="0.25">
      <c r="C55" s="45"/>
      <c r="D55" s="31"/>
      <c r="F55" s="9"/>
      <c r="H55" s="9"/>
      <c r="K55" s="5"/>
      <c r="L55" s="5"/>
      <c r="M55" s="60"/>
      <c r="N55" s="5"/>
    </row>
    <row r="56" spans="1:14" x14ac:dyDescent="0.25">
      <c r="A56" s="3" t="s">
        <v>194</v>
      </c>
      <c r="B56" s="3"/>
      <c r="C56" s="49" t="s">
        <v>189</v>
      </c>
      <c r="D56" s="9"/>
      <c r="E56" s="6">
        <f>SUM(E48:E55)</f>
        <v>397755.13000000024</v>
      </c>
      <c r="F56" s="9"/>
      <c r="G56" s="6">
        <f>SUM(G48:G55)</f>
        <v>31025623.789999999</v>
      </c>
      <c r="H56" s="9"/>
      <c r="I56" s="6">
        <f>SUM(I48:I55)</f>
        <v>12019406.75</v>
      </c>
      <c r="J56" s="6"/>
      <c r="K56" s="6">
        <f>SUM(K48:K55)</f>
        <v>43442785.670000002</v>
      </c>
      <c r="L56" s="6"/>
      <c r="M56" s="63">
        <f>SUM(M48:M55)</f>
        <v>3959838.74</v>
      </c>
      <c r="N56" s="6">
        <f>SUM(N48:N55)</f>
        <v>47402624.409999996</v>
      </c>
    </row>
    <row r="57" spans="1:14" ht="6.75" customHeight="1" x14ac:dyDescent="0.25">
      <c r="C57" s="50"/>
      <c r="D57" s="9"/>
      <c r="F57" s="9"/>
      <c r="H57" s="9"/>
      <c r="K57" s="2"/>
      <c r="L57" s="2"/>
      <c r="M57" s="10"/>
      <c r="N57" s="2"/>
    </row>
    <row r="58" spans="1:14" ht="13.8" thickBot="1" x14ac:dyDescent="0.3">
      <c r="A58" s="3" t="s">
        <v>27</v>
      </c>
      <c r="B58" s="3"/>
      <c r="C58" s="50"/>
      <c r="D58" s="39"/>
      <c r="E58" s="8">
        <f>+E56+E47</f>
        <v>50587581.960000008</v>
      </c>
      <c r="F58" s="39"/>
      <c r="G58" s="8">
        <f>+G56+G47</f>
        <v>36614955.950000003</v>
      </c>
      <c r="H58" s="39"/>
      <c r="I58" s="8">
        <f>+I56+I47</f>
        <v>21225596.23</v>
      </c>
      <c r="J58" s="8"/>
      <c r="K58" s="8">
        <f>+K56+K47</f>
        <v>108428134.14000002</v>
      </c>
      <c r="L58" s="8"/>
      <c r="M58" s="62">
        <f>+M56+M47</f>
        <v>-51614317.919999994</v>
      </c>
      <c r="N58" s="8">
        <f>+N56+N47</f>
        <v>56813816.219999999</v>
      </c>
    </row>
    <row r="59" spans="1:14" ht="13.8" thickTop="1" x14ac:dyDescent="0.25">
      <c r="A59" s="3" t="s">
        <v>188</v>
      </c>
      <c r="B59" s="3"/>
      <c r="C59" s="49" t="s">
        <v>190</v>
      </c>
      <c r="D59" s="39"/>
      <c r="E59" s="39"/>
      <c r="F59" s="39"/>
      <c r="G59" s="39"/>
      <c r="H59" s="39"/>
      <c r="I59" s="39"/>
      <c r="J59" s="39"/>
      <c r="K59" s="39"/>
      <c r="L59" s="39"/>
      <c r="M59" s="65"/>
      <c r="N59" s="39">
        <v>77719884</v>
      </c>
    </row>
    <row r="60" spans="1:14" ht="13.8" thickBot="1" x14ac:dyDescent="0.3">
      <c r="A60" s="3" t="s">
        <v>191</v>
      </c>
      <c r="B60" s="3"/>
      <c r="C60" s="50"/>
      <c r="D60" s="39"/>
      <c r="E60" s="39"/>
      <c r="F60" s="39"/>
      <c r="G60" s="39"/>
      <c r="H60" s="39"/>
      <c r="I60" s="39"/>
      <c r="J60" s="39"/>
      <c r="K60" s="39"/>
      <c r="L60" s="39"/>
      <c r="M60" s="65"/>
      <c r="N60" s="8">
        <f>+N59+N56</f>
        <v>125122508.41</v>
      </c>
    </row>
    <row r="61" spans="1:14" ht="13.8" thickTop="1" x14ac:dyDescent="0.25">
      <c r="C61" s="45"/>
      <c r="D61" s="31"/>
      <c r="F61" s="9"/>
      <c r="H61" s="9"/>
      <c r="K61" s="5"/>
      <c r="L61" s="5"/>
      <c r="M61" s="60"/>
      <c r="N61" s="5"/>
    </row>
    <row r="62" spans="1:14" x14ac:dyDescent="0.25">
      <c r="A62" s="2" t="s">
        <v>28</v>
      </c>
      <c r="C62" s="45"/>
      <c r="D62" s="9"/>
      <c r="E62" s="2">
        <f>+E26-E58</f>
        <v>0</v>
      </c>
      <c r="F62" s="9"/>
      <c r="G62" s="2">
        <f>+G26-G58</f>
        <v>0</v>
      </c>
      <c r="H62" s="9"/>
      <c r="I62" s="2">
        <f>+I26-I58</f>
        <v>3703.4899999983609</v>
      </c>
      <c r="K62" s="2">
        <f>+K26-K58</f>
        <v>3703.4900000095367</v>
      </c>
      <c r="L62" s="2"/>
      <c r="M62" s="10">
        <f>+M26-M58</f>
        <v>0</v>
      </c>
      <c r="N62" s="2">
        <f>+N26-N58</f>
        <v>3703.4900000020862</v>
      </c>
    </row>
    <row r="63" spans="1:14" x14ac:dyDescent="0.25">
      <c r="C63" s="45"/>
      <c r="D63" s="31"/>
      <c r="F63" s="9"/>
      <c r="H63" s="9"/>
      <c r="K63" s="5"/>
      <c r="L63" s="5"/>
      <c r="M63" s="60"/>
      <c r="N63" s="5"/>
    </row>
    <row r="64" spans="1:14" ht="15.6" x14ac:dyDescent="0.3">
      <c r="A64" s="1" t="str">
        <f>+A1</f>
        <v>Rocky Mountain Upstream</v>
      </c>
      <c r="B64" s="1"/>
      <c r="C64" s="45"/>
      <c r="D64" s="31"/>
      <c r="F64" s="9"/>
      <c r="H64" s="9"/>
      <c r="K64" s="5"/>
      <c r="L64" s="5"/>
      <c r="M64" s="60"/>
      <c r="N64" s="5"/>
    </row>
    <row r="65" spans="1:14" x14ac:dyDescent="0.25">
      <c r="A65" s="3" t="s">
        <v>155</v>
      </c>
      <c r="B65" s="3"/>
      <c r="C65" s="45"/>
      <c r="D65" s="31"/>
      <c r="F65" s="9"/>
      <c r="H65" s="9"/>
      <c r="K65" s="5"/>
      <c r="L65" s="5"/>
      <c r="M65" s="60"/>
      <c r="N65" s="5"/>
    </row>
    <row r="66" spans="1:14" x14ac:dyDescent="0.25">
      <c r="A66" s="2" t="s">
        <v>187</v>
      </c>
      <c r="C66" s="45"/>
      <c r="D66" s="31"/>
      <c r="F66" s="9"/>
      <c r="H66" s="9"/>
      <c r="K66" s="5"/>
      <c r="L66" s="5"/>
      <c r="M66" s="60"/>
      <c r="N66" s="5"/>
    </row>
    <row r="67" spans="1:14" x14ac:dyDescent="0.25">
      <c r="C67" s="45"/>
      <c r="D67" s="31"/>
      <c r="F67" s="9"/>
      <c r="H67" s="9"/>
      <c r="K67" s="5"/>
      <c r="L67" s="5"/>
      <c r="M67" s="60"/>
      <c r="N67" s="5"/>
    </row>
    <row r="68" spans="1:14" x14ac:dyDescent="0.25">
      <c r="C68" s="45"/>
      <c r="D68" s="31"/>
      <c r="F68" s="9"/>
      <c r="H68" s="9"/>
      <c r="K68" s="5"/>
      <c r="L68" s="5"/>
      <c r="M68" s="60"/>
      <c r="N68" s="5"/>
    </row>
    <row r="69" spans="1:14" x14ac:dyDescent="0.25">
      <c r="C69" s="45"/>
      <c r="D69" s="31"/>
      <c r="F69" s="9"/>
      <c r="H69" s="9"/>
      <c r="K69" s="5"/>
      <c r="L69" s="5"/>
      <c r="M69" s="60"/>
      <c r="N69" s="5"/>
    </row>
    <row r="70" spans="1:14" x14ac:dyDescent="0.25">
      <c r="C70" s="45"/>
      <c r="D70" s="31"/>
      <c r="F70" s="9"/>
      <c r="H70" s="9"/>
      <c r="K70" s="5"/>
      <c r="L70" s="5"/>
      <c r="M70" s="60"/>
      <c r="N70" s="5"/>
    </row>
    <row r="71" spans="1:14" x14ac:dyDescent="0.25">
      <c r="D71" s="30"/>
      <c r="E71" s="35" t="s">
        <v>4</v>
      </c>
      <c r="F71" s="35"/>
      <c r="G71" s="52" t="s">
        <v>138</v>
      </c>
      <c r="H71" s="11"/>
      <c r="I71" s="52" t="s">
        <v>139</v>
      </c>
      <c r="J71" s="35"/>
      <c r="K71" s="30"/>
      <c r="L71" s="30"/>
      <c r="M71" s="54"/>
      <c r="N71" s="29"/>
    </row>
    <row r="72" spans="1:14" x14ac:dyDescent="0.25">
      <c r="D72" s="30"/>
      <c r="E72" s="35" t="s">
        <v>5</v>
      </c>
      <c r="F72" s="35"/>
      <c r="G72" s="35" t="s">
        <v>7</v>
      </c>
      <c r="H72" s="35"/>
      <c r="I72" s="35" t="s">
        <v>10</v>
      </c>
      <c r="J72" s="35"/>
      <c r="K72" s="30"/>
      <c r="L72" s="30"/>
      <c r="M72" s="55" t="s">
        <v>159</v>
      </c>
      <c r="N72" s="29"/>
    </row>
    <row r="73" spans="1:14" x14ac:dyDescent="0.25">
      <c r="C73" s="34" t="s">
        <v>140</v>
      </c>
      <c r="D73" s="30"/>
      <c r="E73" s="35" t="s">
        <v>6</v>
      </c>
      <c r="F73" s="35"/>
      <c r="G73" s="35" t="s">
        <v>8</v>
      </c>
      <c r="H73" s="35"/>
      <c r="I73" s="35" t="s">
        <v>8</v>
      </c>
      <c r="J73" s="35"/>
      <c r="M73" s="55" t="s">
        <v>109</v>
      </c>
      <c r="N73" s="29" t="s">
        <v>107</v>
      </c>
    </row>
    <row r="74" spans="1:14" ht="13.8" thickBot="1" x14ac:dyDescent="0.3">
      <c r="C74" s="40" t="s">
        <v>141</v>
      </c>
      <c r="D74" s="29"/>
      <c r="E74" s="36" t="s">
        <v>2</v>
      </c>
      <c r="F74" s="35"/>
      <c r="G74" s="36" t="s">
        <v>3</v>
      </c>
      <c r="H74" s="35"/>
      <c r="I74" s="36" t="s">
        <v>9</v>
      </c>
      <c r="J74" s="36"/>
      <c r="K74" s="32" t="s">
        <v>127</v>
      </c>
      <c r="L74" s="32"/>
      <c r="M74" s="56" t="s">
        <v>106</v>
      </c>
      <c r="N74" s="32" t="s">
        <v>108</v>
      </c>
    </row>
    <row r="75" spans="1:14" x14ac:dyDescent="0.25">
      <c r="A75" s="3" t="s">
        <v>111</v>
      </c>
      <c r="B75" s="3"/>
      <c r="C75" s="33"/>
      <c r="D75" s="31"/>
      <c r="F75" s="9"/>
      <c r="H75" s="9"/>
      <c r="K75" s="5"/>
      <c r="L75" s="5"/>
      <c r="M75" s="60"/>
      <c r="N75" s="5"/>
    </row>
    <row r="76" spans="1:14" x14ac:dyDescent="0.25">
      <c r="A76" s="2" t="s">
        <v>47</v>
      </c>
      <c r="C76" s="33"/>
      <c r="D76" s="31"/>
      <c r="F76" s="9"/>
      <c r="H76" s="9"/>
      <c r="K76" s="33">
        <f t="shared" ref="K76:K83" si="5">SUM(E76:I76)</f>
        <v>0</v>
      </c>
      <c r="L76" s="33"/>
      <c r="M76" s="60"/>
      <c r="N76" s="33">
        <f t="shared" ref="N76:N83" si="6">+M76+K76</f>
        <v>0</v>
      </c>
    </row>
    <row r="77" spans="1:14" x14ac:dyDescent="0.25">
      <c r="A77" s="2" t="s">
        <v>68</v>
      </c>
      <c r="C77" s="33"/>
      <c r="D77" s="31"/>
      <c r="F77" s="9"/>
      <c r="G77" s="2">
        <f>+'247'!O42</f>
        <v>2016296</v>
      </c>
      <c r="H77" s="9"/>
      <c r="I77" s="2">
        <f>+'259'!O50</f>
        <v>-90</v>
      </c>
      <c r="K77" s="33">
        <f t="shared" si="5"/>
        <v>2016206</v>
      </c>
      <c r="L77" s="33"/>
      <c r="M77" s="60"/>
      <c r="N77" s="33">
        <f t="shared" si="6"/>
        <v>2016206</v>
      </c>
    </row>
    <row r="78" spans="1:14" x14ac:dyDescent="0.25">
      <c r="A78" s="2" t="s">
        <v>117</v>
      </c>
      <c r="C78" s="41" t="s">
        <v>143</v>
      </c>
      <c r="D78" s="31"/>
      <c r="E78" s="2">
        <f>+'63K'!O64</f>
        <v>193469.97</v>
      </c>
      <c r="F78" s="9"/>
      <c r="H78" s="9"/>
      <c r="K78" s="33">
        <f t="shared" si="5"/>
        <v>193469.97</v>
      </c>
      <c r="L78" s="33"/>
      <c r="M78" s="60"/>
      <c r="N78" s="33">
        <f t="shared" si="6"/>
        <v>193469.97</v>
      </c>
    </row>
    <row r="79" spans="1:14" x14ac:dyDescent="0.25">
      <c r="A79" s="2" t="s">
        <v>98</v>
      </c>
      <c r="C79" s="41" t="s">
        <v>143</v>
      </c>
      <c r="D79" s="31"/>
      <c r="E79" s="2">
        <f>+'63K'!O65</f>
        <v>2450187.1800000002</v>
      </c>
      <c r="F79" s="9"/>
      <c r="H79" s="9"/>
      <c r="K79" s="33">
        <f t="shared" si="5"/>
        <v>2450187.1800000002</v>
      </c>
      <c r="L79" s="33"/>
      <c r="M79" s="60"/>
      <c r="N79" s="33">
        <f t="shared" si="6"/>
        <v>2450187.1800000002</v>
      </c>
    </row>
    <row r="80" spans="1:14" x14ac:dyDescent="0.25">
      <c r="A80" s="2" t="s">
        <v>183</v>
      </c>
      <c r="C80" s="41"/>
      <c r="D80" s="31"/>
      <c r="E80" s="2">
        <f>+'63K'!D66</f>
        <v>-14158.95</v>
      </c>
      <c r="F80" s="9"/>
      <c r="H80" s="9"/>
      <c r="K80" s="33">
        <f t="shared" si="5"/>
        <v>-14158.95</v>
      </c>
      <c r="L80" s="33"/>
      <c r="M80" s="60"/>
      <c r="N80" s="33">
        <f t="shared" si="6"/>
        <v>-14158.95</v>
      </c>
    </row>
    <row r="81" spans="1:14" x14ac:dyDescent="0.25">
      <c r="A81" s="2" t="s">
        <v>169</v>
      </c>
      <c r="C81" s="41"/>
      <c r="D81" s="31"/>
      <c r="E81" s="2">
        <f>+'63K'!D68</f>
        <v>237678.38</v>
      </c>
      <c r="F81" s="9"/>
      <c r="H81" s="9"/>
      <c r="K81" s="33">
        <f t="shared" si="5"/>
        <v>237678.38</v>
      </c>
      <c r="L81" s="33"/>
      <c r="M81" s="60"/>
      <c r="N81" s="33">
        <f t="shared" si="6"/>
        <v>237678.38</v>
      </c>
    </row>
    <row r="82" spans="1:14" x14ac:dyDescent="0.25">
      <c r="A82" s="2" t="s">
        <v>92</v>
      </c>
      <c r="C82" s="33"/>
      <c r="D82" s="31"/>
      <c r="E82" s="2">
        <f>+'63K'!O69</f>
        <v>45000</v>
      </c>
      <c r="F82" s="9"/>
      <c r="H82" s="9"/>
      <c r="K82" s="33">
        <f t="shared" si="5"/>
        <v>45000</v>
      </c>
      <c r="L82" s="33"/>
      <c r="M82" s="60"/>
      <c r="N82" s="33">
        <f t="shared" si="6"/>
        <v>45000</v>
      </c>
    </row>
    <row r="83" spans="1:14" x14ac:dyDescent="0.25">
      <c r="A83" s="2" t="s">
        <v>34</v>
      </c>
      <c r="C83" s="33"/>
      <c r="D83" s="31"/>
      <c r="E83" s="2">
        <f>+'63K'!D67</f>
        <v>0</v>
      </c>
      <c r="F83" s="9"/>
      <c r="G83" s="2">
        <f>+'247'!O44</f>
        <v>376.84</v>
      </c>
      <c r="H83" s="9"/>
      <c r="I83" s="2">
        <f>+'259'!O52</f>
        <v>52977.71</v>
      </c>
      <c r="K83" s="33">
        <f t="shared" si="5"/>
        <v>53354.549999999996</v>
      </c>
      <c r="L83" s="33"/>
      <c r="M83" s="60"/>
      <c r="N83" s="33">
        <f t="shared" si="6"/>
        <v>53354.549999999996</v>
      </c>
    </row>
    <row r="84" spans="1:14" ht="7.5" customHeight="1" x14ac:dyDescent="0.25">
      <c r="C84" s="33"/>
      <c r="D84" s="31"/>
      <c r="F84" s="9"/>
      <c r="H84" s="9"/>
      <c r="K84" s="5"/>
      <c r="L84" s="5"/>
      <c r="M84" s="60"/>
      <c r="N84" s="5"/>
    </row>
    <row r="85" spans="1:14" x14ac:dyDescent="0.25">
      <c r="A85" s="19" t="s">
        <v>110</v>
      </c>
      <c r="B85" s="19"/>
      <c r="C85" s="33"/>
      <c r="D85" s="9">
        <f t="shared" ref="D85:I85" si="7">SUM(D75:D84)</f>
        <v>0</v>
      </c>
      <c r="E85" s="6">
        <f t="shared" si="7"/>
        <v>2912176.58</v>
      </c>
      <c r="F85" s="9">
        <f t="shared" si="7"/>
        <v>0</v>
      </c>
      <c r="G85" s="6">
        <f t="shared" si="7"/>
        <v>2016672.84</v>
      </c>
      <c r="H85" s="9">
        <f t="shared" si="7"/>
        <v>0</v>
      </c>
      <c r="I85" s="6">
        <f t="shared" si="7"/>
        <v>52887.71</v>
      </c>
      <c r="J85" s="6"/>
      <c r="K85" s="6">
        <f>SUM(K75:K84)</f>
        <v>4981737.13</v>
      </c>
      <c r="L85" s="6"/>
      <c r="M85" s="63">
        <f>SUM(M75:M84)</f>
        <v>0</v>
      </c>
      <c r="N85" s="6">
        <f>SUM(N75:N84)</f>
        <v>4981737.13</v>
      </c>
    </row>
    <row r="86" spans="1:14" x14ac:dyDescent="0.25">
      <c r="A86" s="3"/>
      <c r="B86" s="3"/>
      <c r="C86" s="33"/>
      <c r="D86" s="31"/>
      <c r="F86" s="9"/>
      <c r="G86" s="9"/>
      <c r="H86" s="9"/>
      <c r="K86" s="5"/>
      <c r="L86" s="5"/>
      <c r="M86" s="60"/>
      <c r="N86" s="5"/>
    </row>
    <row r="87" spans="1:14" x14ac:dyDescent="0.25">
      <c r="A87" s="3" t="s">
        <v>102</v>
      </c>
      <c r="B87" s="3"/>
      <c r="C87" s="33"/>
      <c r="D87" s="31"/>
      <c r="F87" s="9"/>
      <c r="G87" s="9"/>
      <c r="H87" s="9"/>
      <c r="K87" s="5"/>
      <c r="L87" s="5"/>
      <c r="M87" s="60"/>
      <c r="N87" s="5"/>
    </row>
    <row r="88" spans="1:14" x14ac:dyDescent="0.25">
      <c r="A88" s="2" t="s">
        <v>116</v>
      </c>
      <c r="C88" s="33"/>
      <c r="D88" s="31"/>
      <c r="E88" s="2">
        <f>+'63K'!O73</f>
        <v>453593.48</v>
      </c>
      <c r="F88" s="9"/>
      <c r="G88" s="9"/>
      <c r="H88" s="9"/>
      <c r="K88" s="33">
        <f>SUM(E88:I88)</f>
        <v>453593.48</v>
      </c>
      <c r="L88" s="33"/>
      <c r="M88" s="60"/>
      <c r="N88" s="33">
        <f>+M88+K88</f>
        <v>453593.48</v>
      </c>
    </row>
    <row r="89" spans="1:14" x14ac:dyDescent="0.25">
      <c r="A89" s="2" t="s">
        <v>170</v>
      </c>
      <c r="C89" s="33"/>
      <c r="D89" s="31"/>
      <c r="E89" s="2">
        <f>+'63K'!D74</f>
        <v>-13572.37</v>
      </c>
      <c r="F89" s="9"/>
      <c r="G89" s="9"/>
      <c r="H89" s="9"/>
      <c r="K89" s="33">
        <f>SUM(E89:I89)</f>
        <v>-13572.37</v>
      </c>
      <c r="L89" s="33"/>
      <c r="M89" s="60"/>
      <c r="N89" s="33">
        <f>+M89+K89</f>
        <v>-13572.37</v>
      </c>
    </row>
    <row r="90" spans="1:14" x14ac:dyDescent="0.25">
      <c r="A90" s="2" t="s">
        <v>118</v>
      </c>
      <c r="C90" s="41" t="s">
        <v>143</v>
      </c>
      <c r="D90" s="31"/>
      <c r="E90" s="2">
        <f>+'63K'!O75</f>
        <v>665841.54</v>
      </c>
      <c r="F90" s="9"/>
      <c r="G90" s="9"/>
      <c r="H90" s="9"/>
      <c r="K90" s="33">
        <f>SUM(E90:I90)</f>
        <v>665841.54</v>
      </c>
      <c r="L90" s="33"/>
      <c r="M90" s="60"/>
      <c r="N90" s="33">
        <f>+M90+K90</f>
        <v>665841.54</v>
      </c>
    </row>
    <row r="91" spans="1:14" x14ac:dyDescent="0.25">
      <c r="C91" s="33"/>
      <c r="D91" s="31"/>
      <c r="F91" s="9"/>
      <c r="G91" s="9"/>
      <c r="H91" s="9"/>
      <c r="K91" s="5"/>
      <c r="L91" s="5"/>
      <c r="M91" s="60"/>
      <c r="N91" s="5"/>
    </row>
    <row r="92" spans="1:14" ht="7.5" customHeight="1" x14ac:dyDescent="0.25">
      <c r="A92" s="3"/>
      <c r="B92" s="3"/>
      <c r="C92" s="33"/>
      <c r="D92" s="31"/>
      <c r="F92" s="9"/>
      <c r="G92" s="9"/>
      <c r="H92" s="9"/>
      <c r="K92" s="5"/>
      <c r="L92" s="5"/>
      <c r="M92" s="60"/>
      <c r="N92" s="5"/>
    </row>
    <row r="93" spans="1:14" x14ac:dyDescent="0.25">
      <c r="A93" s="19" t="s">
        <v>103</v>
      </c>
      <c r="B93" s="19"/>
      <c r="C93" s="33"/>
      <c r="D93" s="9">
        <f t="shared" ref="D93:I93" si="8">SUM(D88:D92)</f>
        <v>0</v>
      </c>
      <c r="E93" s="6">
        <f t="shared" si="8"/>
        <v>1105862.6499999999</v>
      </c>
      <c r="F93" s="9">
        <f t="shared" si="8"/>
        <v>0</v>
      </c>
      <c r="G93" s="6">
        <f t="shared" si="8"/>
        <v>0</v>
      </c>
      <c r="H93" s="9">
        <f t="shared" si="8"/>
        <v>0</v>
      </c>
      <c r="I93" s="6">
        <f t="shared" si="8"/>
        <v>0</v>
      </c>
      <c r="J93" s="6"/>
      <c r="K93" s="6">
        <f>SUM(K88:K92)</f>
        <v>1105862.6499999999</v>
      </c>
      <c r="L93" s="6"/>
      <c r="M93" s="63">
        <f>SUM(M88:M92)</f>
        <v>0</v>
      </c>
      <c r="N93" s="6">
        <f>SUM(N88:N92)</f>
        <v>1105862.6499999999</v>
      </c>
    </row>
    <row r="94" spans="1:14" x14ac:dyDescent="0.25">
      <c r="A94" s="19"/>
      <c r="B94" s="19"/>
      <c r="C94" s="33"/>
      <c r="D94" s="31"/>
      <c r="E94" s="9"/>
      <c r="F94" s="9"/>
      <c r="G94" s="9"/>
      <c r="H94" s="9"/>
      <c r="K94" s="31"/>
      <c r="L94" s="31"/>
      <c r="M94" s="66"/>
      <c r="N94" s="31"/>
    </row>
    <row r="95" spans="1:14" x14ac:dyDescent="0.25">
      <c r="A95" s="3" t="s">
        <v>119</v>
      </c>
      <c r="B95" s="3"/>
      <c r="C95" s="33"/>
      <c r="D95" s="9">
        <f t="shared" ref="D95:I95" si="9">+D85-D93</f>
        <v>0</v>
      </c>
      <c r="E95" s="6">
        <f t="shared" si="9"/>
        <v>1806313.9300000002</v>
      </c>
      <c r="F95" s="9">
        <f t="shared" si="9"/>
        <v>0</v>
      </c>
      <c r="G95" s="6">
        <f t="shared" si="9"/>
        <v>2016672.84</v>
      </c>
      <c r="H95" s="9">
        <f t="shared" si="9"/>
        <v>0</v>
      </c>
      <c r="I95" s="6">
        <f t="shared" si="9"/>
        <v>52887.71</v>
      </c>
      <c r="J95" s="6"/>
      <c r="K95" s="6">
        <f>+K85-K93</f>
        <v>3875874.48</v>
      </c>
      <c r="L95" s="6"/>
      <c r="M95" s="63">
        <f>+M85-M93</f>
        <v>0</v>
      </c>
      <c r="N95" s="6">
        <f>+N85-N93</f>
        <v>3875874.48</v>
      </c>
    </row>
    <row r="96" spans="1:14" x14ac:dyDescent="0.25">
      <c r="A96" s="19"/>
      <c r="B96" s="19"/>
      <c r="C96" s="33"/>
      <c r="D96" s="31"/>
      <c r="F96" s="9"/>
      <c r="G96" s="9"/>
      <c r="H96" s="9"/>
      <c r="K96" s="5"/>
      <c r="L96" s="5"/>
      <c r="M96" s="60"/>
      <c r="N96" s="5"/>
    </row>
    <row r="97" spans="1:14" x14ac:dyDescent="0.25">
      <c r="A97" s="3" t="s">
        <v>112</v>
      </c>
      <c r="B97" s="3"/>
      <c r="C97" s="33"/>
      <c r="D97" s="31"/>
      <c r="F97" s="9"/>
      <c r="G97" s="9"/>
      <c r="H97" s="9"/>
      <c r="K97" s="5"/>
      <c r="L97" s="5"/>
      <c r="M97" s="60"/>
      <c r="N97" s="5"/>
    </row>
    <row r="98" spans="1:14" x14ac:dyDescent="0.25">
      <c r="A98" s="2" t="s">
        <v>35</v>
      </c>
      <c r="C98" s="33"/>
      <c r="D98" s="31"/>
      <c r="E98" s="2" t="str">
        <f>+'63K'!O81</f>
        <v>NA</v>
      </c>
      <c r="F98" s="9"/>
      <c r="G98" s="9"/>
      <c r="H98" s="9"/>
      <c r="K98" s="33">
        <f>SUM(E98:I98)</f>
        <v>0</v>
      </c>
      <c r="L98" s="33"/>
      <c r="M98" s="60"/>
      <c r="N98" s="33">
        <f>+M98+K98</f>
        <v>0</v>
      </c>
    </row>
    <row r="99" spans="1:14" x14ac:dyDescent="0.25">
      <c r="A99" s="2" t="s">
        <v>113</v>
      </c>
      <c r="C99" s="33"/>
      <c r="D99" s="31"/>
      <c r="E99" s="2" t="str">
        <f>+'63K'!O82</f>
        <v>NA</v>
      </c>
      <c r="F99" s="9"/>
      <c r="G99" s="9"/>
      <c r="H99" s="9"/>
      <c r="K99" s="33">
        <f>SUM(E99:I99)</f>
        <v>0</v>
      </c>
      <c r="L99" s="33"/>
      <c r="M99" s="60"/>
      <c r="N99" s="33">
        <f>+M99+K99</f>
        <v>0</v>
      </c>
    </row>
    <row r="100" spans="1:14" ht="9" customHeight="1" x14ac:dyDescent="0.25">
      <c r="C100" s="33"/>
      <c r="D100" s="31"/>
      <c r="F100" s="9"/>
      <c r="G100" s="9"/>
      <c r="H100" s="9"/>
      <c r="K100" s="5"/>
      <c r="L100" s="5"/>
      <c r="M100" s="60"/>
      <c r="N100" s="5"/>
    </row>
    <row r="101" spans="1:14" x14ac:dyDescent="0.25">
      <c r="A101" s="19" t="s">
        <v>114</v>
      </c>
      <c r="B101" s="19"/>
      <c r="C101" s="33"/>
      <c r="D101" s="9">
        <f t="shared" ref="D101:I101" si="10">SUM(D97:D99)</f>
        <v>0</v>
      </c>
      <c r="E101" s="6">
        <f t="shared" si="10"/>
        <v>0</v>
      </c>
      <c r="F101" s="9">
        <f t="shared" si="10"/>
        <v>0</v>
      </c>
      <c r="G101" s="6">
        <f t="shared" si="10"/>
        <v>0</v>
      </c>
      <c r="H101" s="9">
        <f t="shared" si="10"/>
        <v>0</v>
      </c>
      <c r="I101" s="6">
        <f t="shared" si="10"/>
        <v>0</v>
      </c>
      <c r="J101" s="6"/>
      <c r="K101" s="6">
        <f>SUM(K97:K99)</f>
        <v>0</v>
      </c>
      <c r="L101" s="6"/>
      <c r="M101" s="63">
        <f>SUM(M97:M99)</f>
        <v>0</v>
      </c>
      <c r="N101" s="6">
        <f>SUM(N97:N99)</f>
        <v>0</v>
      </c>
    </row>
    <row r="102" spans="1:14" ht="12" customHeight="1" x14ac:dyDescent="0.25">
      <c r="A102" s="3"/>
      <c r="B102" s="3"/>
      <c r="C102" s="33"/>
      <c r="D102" s="31"/>
      <c r="F102" s="9"/>
      <c r="G102" s="9"/>
      <c r="H102" s="9"/>
      <c r="K102" s="5"/>
      <c r="L102" s="5"/>
      <c r="M102" s="60"/>
      <c r="N102" s="5"/>
    </row>
    <row r="103" spans="1:14" x14ac:dyDescent="0.25">
      <c r="A103" s="3" t="s">
        <v>99</v>
      </c>
      <c r="B103" s="3"/>
      <c r="C103" s="33"/>
      <c r="D103" s="9">
        <f t="shared" ref="D103:I103" si="11">+D95-D101</f>
        <v>0</v>
      </c>
      <c r="E103" s="6">
        <f t="shared" si="11"/>
        <v>1806313.9300000002</v>
      </c>
      <c r="F103" s="9">
        <f t="shared" si="11"/>
        <v>0</v>
      </c>
      <c r="G103" s="6">
        <f t="shared" si="11"/>
        <v>2016672.84</v>
      </c>
      <c r="H103" s="9">
        <f t="shared" si="11"/>
        <v>0</v>
      </c>
      <c r="I103" s="6">
        <f t="shared" si="11"/>
        <v>52887.71</v>
      </c>
      <c r="J103" s="6"/>
      <c r="K103" s="6">
        <f>+K95-K101</f>
        <v>3875874.48</v>
      </c>
      <c r="L103" s="6"/>
      <c r="M103" s="63">
        <f>+M95-M101</f>
        <v>0</v>
      </c>
      <c r="N103" s="6">
        <f>+N95-N101</f>
        <v>3875874.48</v>
      </c>
    </row>
    <row r="104" spans="1:14" ht="8.25" customHeight="1" x14ac:dyDescent="0.25">
      <c r="A104" s="3"/>
      <c r="B104" s="3"/>
      <c r="C104" s="33"/>
      <c r="D104" s="31"/>
      <c r="F104" s="9"/>
      <c r="G104" s="9"/>
      <c r="H104" s="9"/>
      <c r="K104" s="5"/>
      <c r="L104" s="5"/>
      <c r="M104" s="60"/>
      <c r="N104" s="5"/>
    </row>
    <row r="105" spans="1:14" x14ac:dyDescent="0.25">
      <c r="A105" s="3" t="s">
        <v>158</v>
      </c>
      <c r="B105" s="3"/>
      <c r="C105" s="33"/>
      <c r="D105" s="31"/>
      <c r="F105" s="9"/>
      <c r="G105" s="9"/>
      <c r="H105" s="9"/>
      <c r="K105" s="5"/>
      <c r="L105" s="5"/>
      <c r="M105" s="60"/>
      <c r="N105" s="5"/>
    </row>
    <row r="106" spans="1:14" x14ac:dyDescent="0.25">
      <c r="A106" s="2" t="s">
        <v>90</v>
      </c>
      <c r="C106" s="33"/>
      <c r="D106" s="31"/>
      <c r="E106" s="2">
        <f>+'63K'!O89</f>
        <v>-46857.89</v>
      </c>
      <c r="F106" s="9"/>
      <c r="G106" s="9"/>
      <c r="H106" s="9"/>
      <c r="K106" s="33">
        <f>SUM(E106:I106)</f>
        <v>-46857.89</v>
      </c>
      <c r="L106" s="33"/>
      <c r="M106" s="60"/>
      <c r="N106" s="33">
        <f>+M106+K106</f>
        <v>-46857.89</v>
      </c>
    </row>
    <row r="107" spans="1:14" x14ac:dyDescent="0.25">
      <c r="A107" s="19" t="s">
        <v>115</v>
      </c>
      <c r="B107" s="19"/>
      <c r="C107" s="41" t="s">
        <v>142</v>
      </c>
      <c r="D107" s="31"/>
      <c r="F107" s="9"/>
      <c r="G107" s="9">
        <f>+'247'!O55</f>
        <v>144125</v>
      </c>
      <c r="H107" s="9"/>
      <c r="I107" s="2">
        <f>+'259'!O63</f>
        <v>188624</v>
      </c>
      <c r="K107" s="33">
        <f>SUM(E107:I107)</f>
        <v>332749</v>
      </c>
      <c r="L107" s="33"/>
      <c r="M107" s="59">
        <f>-M108</f>
        <v>73884</v>
      </c>
      <c r="N107" s="33">
        <f>+M107+K107</f>
        <v>406633</v>
      </c>
    </row>
    <row r="108" spans="1:14" x14ac:dyDescent="0.25">
      <c r="A108" s="19" t="s">
        <v>156</v>
      </c>
      <c r="B108" s="19"/>
      <c r="C108" s="33"/>
      <c r="D108" s="31"/>
      <c r="F108" s="9"/>
      <c r="G108" s="9"/>
      <c r="H108" s="9"/>
      <c r="I108" s="2">
        <f>+'259'!O64</f>
        <v>73884</v>
      </c>
      <c r="K108" s="33">
        <f>SUM(E108:I108)</f>
        <v>73884</v>
      </c>
      <c r="L108" s="33"/>
      <c r="M108" s="59">
        <v>-73884</v>
      </c>
      <c r="N108" s="33">
        <f>+M108+K108</f>
        <v>0</v>
      </c>
    </row>
    <row r="109" spans="1:14" ht="6" customHeight="1" x14ac:dyDescent="0.25">
      <c r="A109" s="19"/>
      <c r="B109" s="19"/>
      <c r="C109" s="33"/>
      <c r="D109" s="31"/>
      <c r="F109" s="9"/>
      <c r="G109" s="9"/>
      <c r="H109" s="9"/>
      <c r="K109" s="5"/>
      <c r="L109" s="5"/>
      <c r="M109" s="60"/>
      <c r="N109" s="5"/>
    </row>
    <row r="110" spans="1:14" x14ac:dyDescent="0.25">
      <c r="A110" s="19" t="s">
        <v>157</v>
      </c>
      <c r="B110" s="19"/>
      <c r="C110" s="33"/>
      <c r="D110" s="31"/>
      <c r="F110" s="9"/>
      <c r="G110" s="9"/>
      <c r="H110" s="9"/>
      <c r="K110" s="5"/>
      <c r="L110" s="5"/>
      <c r="M110" s="60"/>
      <c r="N110" s="5"/>
    </row>
    <row r="111" spans="1:14" ht="7.5" customHeight="1" x14ac:dyDescent="0.25">
      <c r="A111" s="19"/>
      <c r="B111" s="19"/>
      <c r="C111" s="33"/>
      <c r="D111" s="31"/>
      <c r="F111" s="9"/>
      <c r="G111" s="9"/>
      <c r="H111" s="9"/>
      <c r="K111" s="5"/>
      <c r="L111" s="5"/>
      <c r="M111" s="60"/>
      <c r="N111" s="5"/>
    </row>
    <row r="112" spans="1:14" x14ac:dyDescent="0.25">
      <c r="A112" s="3" t="s">
        <v>39</v>
      </c>
      <c r="B112" s="3"/>
      <c r="C112" s="33"/>
      <c r="D112" s="9">
        <f t="shared" ref="D112:I112" si="12">+D103-D106-D107-D108</f>
        <v>0</v>
      </c>
      <c r="E112" s="6">
        <f t="shared" si="12"/>
        <v>1853171.82</v>
      </c>
      <c r="F112" s="6">
        <f t="shared" si="12"/>
        <v>0</v>
      </c>
      <c r="G112" s="6">
        <f t="shared" si="12"/>
        <v>1872547.8400000001</v>
      </c>
      <c r="H112" s="9">
        <f t="shared" si="12"/>
        <v>0</v>
      </c>
      <c r="I112" s="6">
        <f t="shared" si="12"/>
        <v>-209620.29</v>
      </c>
      <c r="J112" s="6"/>
      <c r="K112" s="6">
        <f>+K103-K106-K107-K108</f>
        <v>3516099.37</v>
      </c>
      <c r="L112" s="6"/>
      <c r="M112" s="63">
        <f>+M103-M106-M107-M108</f>
        <v>0</v>
      </c>
      <c r="N112" s="6">
        <f>+N103-N106-N107-N108</f>
        <v>3516099.37</v>
      </c>
    </row>
    <row r="113" spans="1:14" ht="9" customHeight="1" x14ac:dyDescent="0.25">
      <c r="A113" s="3"/>
      <c r="B113" s="3"/>
      <c r="C113" s="33"/>
      <c r="D113" s="31"/>
      <c r="F113" s="9"/>
      <c r="H113" s="9"/>
      <c r="K113" s="5"/>
      <c r="L113" s="5"/>
      <c r="M113" s="60"/>
      <c r="N113" s="5"/>
    </row>
    <row r="114" spans="1:14" ht="14.25" customHeight="1" x14ac:dyDescent="0.25">
      <c r="A114" s="19" t="s">
        <v>177</v>
      </c>
      <c r="B114" s="19"/>
      <c r="C114" s="33"/>
      <c r="D114" s="31"/>
      <c r="E114" s="2">
        <f>+'63K'!D94</f>
        <v>-1031</v>
      </c>
      <c r="F114" s="9"/>
      <c r="G114" s="2">
        <f>+'247'!O59</f>
        <v>0</v>
      </c>
      <c r="H114" s="9"/>
      <c r="I114" s="2">
        <f>+'259'!D67</f>
        <v>0</v>
      </c>
      <c r="K114" s="33">
        <f>SUM(E114:I114)</f>
        <v>-1031</v>
      </c>
      <c r="L114" s="33"/>
      <c r="M114" s="60"/>
      <c r="N114" s="33">
        <f>+M114+K114</f>
        <v>-1031</v>
      </c>
    </row>
    <row r="115" spans="1:14" x14ac:dyDescent="0.25">
      <c r="A115" s="2" t="s">
        <v>31</v>
      </c>
      <c r="C115" s="33"/>
      <c r="D115" s="31"/>
      <c r="E115" s="2">
        <f>+'63K'!D95</f>
        <v>307188</v>
      </c>
      <c r="F115" s="9"/>
      <c r="G115" s="2">
        <f>+'247'!O60</f>
        <v>-601020</v>
      </c>
      <c r="H115" s="9"/>
      <c r="I115" s="2">
        <f>+'259'!D68</f>
        <v>64825</v>
      </c>
      <c r="K115" s="33">
        <f>SUM(E115:I115)</f>
        <v>-229007</v>
      </c>
      <c r="L115" s="33"/>
      <c r="M115" s="60"/>
      <c r="N115" s="33">
        <f>+M115+K115</f>
        <v>-229007</v>
      </c>
    </row>
    <row r="116" spans="1:14" ht="7.5" customHeight="1" x14ac:dyDescent="0.25">
      <c r="C116" s="33"/>
      <c r="D116" s="31"/>
      <c r="F116" s="9"/>
      <c r="H116" s="9"/>
      <c r="K116" s="5"/>
      <c r="L116" s="5"/>
      <c r="M116" s="60"/>
      <c r="N116" s="5"/>
    </row>
    <row r="117" spans="1:14" ht="13.8" thickBot="1" x14ac:dyDescent="0.3">
      <c r="A117" s="3" t="s">
        <v>44</v>
      </c>
      <c r="B117" s="3"/>
      <c r="C117" s="33"/>
      <c r="D117" s="9">
        <f>+D112-D115</f>
        <v>0</v>
      </c>
      <c r="E117" s="7">
        <f>+E112+E115+E114</f>
        <v>2159328.8200000003</v>
      </c>
      <c r="F117" s="9">
        <f>+F112-F115</f>
        <v>0</v>
      </c>
      <c r="G117" s="7">
        <f>+G112+G115+G114</f>
        <v>1271527.8400000001</v>
      </c>
      <c r="H117" s="7">
        <f>+H112+H115+H114</f>
        <v>0</v>
      </c>
      <c r="I117" s="7">
        <f>+I112+I115+I114</f>
        <v>-144795.29</v>
      </c>
      <c r="J117" s="7"/>
      <c r="K117" s="7">
        <f>+K112+K115+K114</f>
        <v>3286061.37</v>
      </c>
      <c r="L117" s="7"/>
      <c r="M117" s="67">
        <f>+M112+M115+M114</f>
        <v>0</v>
      </c>
      <c r="N117" s="7">
        <f>+N112+N115+N114</f>
        <v>3286061.37</v>
      </c>
    </row>
    <row r="118" spans="1:14" ht="13.8" thickTop="1" x14ac:dyDescent="0.25">
      <c r="C118" s="33"/>
      <c r="D118" s="31"/>
      <c r="F118" s="9"/>
      <c r="H118" s="9"/>
      <c r="K118" s="5"/>
      <c r="L118" s="5"/>
      <c r="M118" s="60"/>
      <c r="N118" s="5"/>
    </row>
    <row r="119" spans="1:14" x14ac:dyDescent="0.25">
      <c r="C119" s="33"/>
      <c r="D119" s="31"/>
      <c r="F119" s="9"/>
      <c r="H119" s="9"/>
      <c r="K119" s="5"/>
      <c r="L119" s="5"/>
      <c r="M119" s="60"/>
      <c r="N119" s="5"/>
    </row>
    <row r="120" spans="1:14" x14ac:dyDescent="0.25">
      <c r="C120" s="33"/>
      <c r="D120" s="31"/>
      <c r="F120" s="9"/>
      <c r="H120" s="9"/>
      <c r="K120" s="5"/>
      <c r="L120" s="5"/>
      <c r="M120" s="60"/>
      <c r="N120" s="5"/>
    </row>
    <row r="121" spans="1:14" x14ac:dyDescent="0.25">
      <c r="C121" s="33"/>
      <c r="D121" s="31"/>
      <c r="F121" s="9"/>
      <c r="H121" s="9"/>
      <c r="K121" s="5"/>
      <c r="L121" s="5"/>
      <c r="M121" s="60"/>
      <c r="N121" s="5"/>
    </row>
    <row r="122" spans="1:14" x14ac:dyDescent="0.25">
      <c r="C122" s="33"/>
      <c r="D122" s="31"/>
      <c r="F122" s="9"/>
      <c r="H122" s="9"/>
      <c r="K122" s="5"/>
      <c r="L122" s="5"/>
      <c r="M122" s="60"/>
      <c r="N122" s="5"/>
    </row>
    <row r="123" spans="1:14" x14ac:dyDescent="0.25">
      <c r="C123" s="33"/>
      <c r="D123" s="31"/>
      <c r="F123" s="9"/>
      <c r="H123" s="9"/>
      <c r="K123" s="5"/>
      <c r="L123" s="5"/>
      <c r="M123" s="60"/>
      <c r="N123" s="5"/>
    </row>
    <row r="124" spans="1:14" x14ac:dyDescent="0.25">
      <c r="C124" s="33"/>
      <c r="D124" s="31"/>
      <c r="F124" s="9"/>
      <c r="H124" s="9"/>
      <c r="K124" s="5"/>
      <c r="L124" s="5"/>
      <c r="M124" s="60"/>
      <c r="N124" s="5"/>
    </row>
    <row r="125" spans="1:14" x14ac:dyDescent="0.25">
      <c r="C125" s="33"/>
      <c r="D125" s="31"/>
      <c r="F125" s="9"/>
      <c r="H125" s="9"/>
      <c r="K125" s="5"/>
      <c r="L125" s="5"/>
      <c r="M125" s="60"/>
      <c r="N125" s="5"/>
    </row>
    <row r="126" spans="1:14" x14ac:dyDescent="0.25">
      <c r="C126" s="33"/>
      <c r="D126" s="31"/>
      <c r="F126" s="9"/>
      <c r="H126" s="9"/>
      <c r="K126" s="5"/>
      <c r="L126" s="5"/>
      <c r="M126" s="60"/>
      <c r="N126" s="5"/>
    </row>
    <row r="127" spans="1:14" x14ac:dyDescent="0.25">
      <c r="C127" s="33"/>
      <c r="D127" s="31"/>
      <c r="F127" s="9"/>
      <c r="H127" s="9"/>
      <c r="K127" s="5"/>
      <c r="L127" s="5"/>
      <c r="M127" s="60"/>
      <c r="N127" s="5"/>
    </row>
    <row r="128" spans="1:14" x14ac:dyDescent="0.25">
      <c r="C128" s="33"/>
      <c r="D128" s="31"/>
      <c r="F128" s="9"/>
      <c r="H128" s="9"/>
      <c r="K128" s="5"/>
      <c r="L128" s="5"/>
      <c r="M128" s="60"/>
      <c r="N128" s="5"/>
    </row>
    <row r="129" spans="3:14" x14ac:dyDescent="0.25">
      <c r="C129" s="33"/>
      <c r="D129" s="31"/>
      <c r="F129" s="9"/>
      <c r="H129" s="9"/>
      <c r="K129" s="5"/>
      <c r="L129" s="5"/>
      <c r="M129" s="60"/>
      <c r="N129" s="5"/>
    </row>
    <row r="130" spans="3:14" x14ac:dyDescent="0.25">
      <c r="C130" s="33"/>
      <c r="D130" s="31"/>
      <c r="F130" s="9"/>
      <c r="H130" s="9"/>
      <c r="K130" s="5"/>
      <c r="L130" s="5"/>
      <c r="M130" s="60"/>
      <c r="N130" s="5"/>
    </row>
    <row r="131" spans="3:14" x14ac:dyDescent="0.25">
      <c r="C131" s="33"/>
      <c r="D131" s="31"/>
      <c r="F131" s="9"/>
      <c r="H131" s="9"/>
      <c r="K131" s="5"/>
      <c r="L131" s="5"/>
      <c r="M131" s="60"/>
      <c r="N131" s="5"/>
    </row>
    <row r="132" spans="3:14" x14ac:dyDescent="0.25">
      <c r="C132" s="33"/>
      <c r="D132" s="31"/>
      <c r="F132" s="9"/>
      <c r="H132" s="9"/>
      <c r="K132" s="5"/>
      <c r="L132" s="5"/>
      <c r="M132" s="60"/>
      <c r="N132" s="5"/>
    </row>
    <row r="133" spans="3:14" x14ac:dyDescent="0.25">
      <c r="C133" s="33"/>
      <c r="D133" s="31"/>
      <c r="F133" s="9"/>
      <c r="H133" s="9"/>
      <c r="K133" s="5"/>
      <c r="L133" s="5"/>
      <c r="M133" s="60"/>
      <c r="N133" s="5"/>
    </row>
    <row r="134" spans="3:14" x14ac:dyDescent="0.25">
      <c r="C134" s="33"/>
      <c r="D134" s="31"/>
      <c r="F134" s="9"/>
      <c r="H134" s="9"/>
      <c r="K134" s="5"/>
      <c r="L134" s="5"/>
      <c r="M134" s="60"/>
      <c r="N134" s="5"/>
    </row>
    <row r="135" spans="3:14" x14ac:dyDescent="0.25">
      <c r="C135" s="33"/>
      <c r="D135" s="31"/>
      <c r="F135" s="9"/>
      <c r="H135" s="9"/>
      <c r="K135" s="5"/>
      <c r="L135" s="5"/>
      <c r="M135" s="60"/>
      <c r="N135" s="5"/>
    </row>
    <row r="136" spans="3:14" x14ac:dyDescent="0.25">
      <c r="C136" s="33"/>
      <c r="D136" s="31"/>
      <c r="F136" s="9"/>
      <c r="H136" s="9"/>
      <c r="K136" s="5"/>
      <c r="L136" s="5"/>
      <c r="M136" s="60"/>
      <c r="N136" s="5"/>
    </row>
    <row r="137" spans="3:14" x14ac:dyDescent="0.25">
      <c r="C137" s="33"/>
      <c r="D137" s="31"/>
      <c r="F137" s="9"/>
      <c r="H137" s="9"/>
      <c r="K137" s="5"/>
      <c r="L137" s="5"/>
      <c r="M137" s="60"/>
      <c r="N137" s="5"/>
    </row>
    <row r="138" spans="3:14" x14ac:dyDescent="0.25">
      <c r="C138" s="33"/>
      <c r="D138" s="31"/>
      <c r="F138" s="9"/>
      <c r="H138" s="9"/>
      <c r="K138" s="5"/>
      <c r="L138" s="5"/>
      <c r="M138" s="60"/>
      <c r="N138" s="5"/>
    </row>
    <row r="139" spans="3:14" x14ac:dyDescent="0.25">
      <c r="C139" s="33"/>
      <c r="D139" s="31"/>
      <c r="F139" s="9"/>
      <c r="H139" s="9"/>
      <c r="K139" s="5"/>
      <c r="L139" s="5"/>
      <c r="M139" s="60"/>
      <c r="N139" s="5"/>
    </row>
    <row r="140" spans="3:14" x14ac:dyDescent="0.25">
      <c r="C140" s="33"/>
      <c r="D140" s="31"/>
      <c r="F140" s="9"/>
      <c r="H140" s="9"/>
      <c r="K140" s="5"/>
      <c r="L140" s="5"/>
      <c r="M140" s="60"/>
      <c r="N140" s="5"/>
    </row>
    <row r="141" spans="3:14" x14ac:dyDescent="0.25">
      <c r="C141" s="33"/>
      <c r="D141" s="31"/>
      <c r="F141" s="9"/>
      <c r="H141" s="9"/>
      <c r="K141" s="5"/>
      <c r="L141" s="5"/>
      <c r="M141" s="60"/>
      <c r="N141" s="5"/>
    </row>
    <row r="142" spans="3:14" x14ac:dyDescent="0.25">
      <c r="C142" s="33"/>
      <c r="D142" s="31"/>
      <c r="F142" s="9"/>
      <c r="H142" s="9"/>
      <c r="K142" s="5"/>
      <c r="L142" s="5"/>
      <c r="M142" s="60"/>
      <c r="N142" s="5"/>
    </row>
    <row r="143" spans="3:14" x14ac:dyDescent="0.25">
      <c r="C143" s="33"/>
      <c r="D143" s="31"/>
      <c r="K143" s="5"/>
      <c r="L143" s="5"/>
      <c r="M143" s="60"/>
      <c r="N143" s="5"/>
    </row>
    <row r="144" spans="3:14" x14ac:dyDescent="0.25">
      <c r="C144" s="33"/>
      <c r="D144" s="31"/>
      <c r="K144" s="5"/>
      <c r="L144" s="5"/>
      <c r="M144" s="60"/>
      <c r="N144" s="5"/>
    </row>
    <row r="145" spans="3:14" x14ac:dyDescent="0.25">
      <c r="C145" s="33"/>
      <c r="D145" s="31"/>
      <c r="K145" s="5"/>
      <c r="L145" s="5"/>
      <c r="M145" s="60"/>
      <c r="N145" s="5"/>
    </row>
    <row r="146" spans="3:14" x14ac:dyDescent="0.25">
      <c r="C146" s="33"/>
      <c r="D146" s="31"/>
      <c r="K146" s="5"/>
      <c r="L146" s="5"/>
      <c r="M146" s="60"/>
      <c r="N146" s="5"/>
    </row>
    <row r="147" spans="3:14" x14ac:dyDescent="0.25">
      <c r="C147" s="33"/>
      <c r="D147" s="31"/>
      <c r="K147" s="5"/>
      <c r="L147" s="5"/>
      <c r="M147" s="60"/>
      <c r="N147" s="5"/>
    </row>
    <row r="148" spans="3:14" x14ac:dyDescent="0.25">
      <c r="C148" s="33"/>
      <c r="D148" s="31"/>
      <c r="K148" s="5"/>
      <c r="L148" s="5"/>
      <c r="M148" s="60"/>
      <c r="N148" s="5"/>
    </row>
    <row r="149" spans="3:14" x14ac:dyDescent="0.25">
      <c r="C149" s="33"/>
      <c r="D149" s="31"/>
      <c r="K149" s="5"/>
      <c r="L149" s="5"/>
      <c r="M149" s="60"/>
      <c r="N149" s="5"/>
    </row>
    <row r="150" spans="3:14" x14ac:dyDescent="0.25">
      <c r="C150" s="33"/>
      <c r="D150" s="31"/>
      <c r="K150" s="5"/>
      <c r="L150" s="5"/>
      <c r="M150" s="60"/>
      <c r="N150" s="5"/>
    </row>
    <row r="151" spans="3:14" x14ac:dyDescent="0.25">
      <c r="C151" s="33"/>
      <c r="D151" s="31"/>
      <c r="K151" s="5"/>
      <c r="L151" s="5"/>
      <c r="M151" s="60"/>
      <c r="N151" s="5"/>
    </row>
    <row r="152" spans="3:14" x14ac:dyDescent="0.25">
      <c r="C152" s="33"/>
      <c r="D152" s="31"/>
      <c r="K152" s="5"/>
      <c r="L152" s="5"/>
      <c r="M152" s="60"/>
      <c r="N152" s="5"/>
    </row>
    <row r="153" spans="3:14" x14ac:dyDescent="0.25">
      <c r="C153" s="33"/>
      <c r="D153" s="31"/>
      <c r="K153" s="5"/>
      <c r="L153" s="5"/>
      <c r="M153" s="60"/>
      <c r="N153" s="5"/>
    </row>
    <row r="154" spans="3:14" x14ac:dyDescent="0.25">
      <c r="C154" s="33"/>
      <c r="D154" s="31"/>
      <c r="K154" s="5"/>
      <c r="L154" s="5"/>
      <c r="M154" s="60"/>
      <c r="N154" s="5"/>
    </row>
    <row r="155" spans="3:14" x14ac:dyDescent="0.25">
      <c r="C155" s="33"/>
      <c r="D155" s="31"/>
      <c r="K155" s="5"/>
      <c r="L155" s="5"/>
      <c r="M155" s="60"/>
      <c r="N155" s="5"/>
    </row>
    <row r="156" spans="3:14" x14ac:dyDescent="0.25">
      <c r="C156" s="33"/>
      <c r="D156" s="31"/>
      <c r="K156" s="5"/>
      <c r="L156" s="5"/>
      <c r="M156" s="60"/>
      <c r="N156" s="5"/>
    </row>
    <row r="157" spans="3:14" x14ac:dyDescent="0.25">
      <c r="C157" s="33"/>
      <c r="D157" s="31"/>
      <c r="K157" s="5"/>
      <c r="L157" s="5"/>
      <c r="M157" s="60"/>
      <c r="N157" s="5"/>
    </row>
    <row r="158" spans="3:14" x14ac:dyDescent="0.25">
      <c r="C158" s="33"/>
      <c r="D158" s="31"/>
      <c r="K158" s="5"/>
      <c r="L158" s="5"/>
      <c r="M158" s="60"/>
      <c r="N158" s="5"/>
    </row>
    <row r="159" spans="3:14" x14ac:dyDescent="0.25">
      <c r="C159" s="33"/>
      <c r="D159" s="31"/>
      <c r="K159" s="5"/>
      <c r="L159" s="5"/>
      <c r="M159" s="60"/>
      <c r="N159" s="5"/>
    </row>
    <row r="160" spans="3:14" x14ac:dyDescent="0.25">
      <c r="C160" s="33"/>
      <c r="D160" s="31"/>
      <c r="K160" s="5"/>
      <c r="L160" s="5"/>
      <c r="M160" s="60"/>
      <c r="N160" s="5"/>
    </row>
    <row r="161" spans="3:14" x14ac:dyDescent="0.25">
      <c r="C161" s="33"/>
      <c r="D161" s="31"/>
      <c r="K161" s="5"/>
      <c r="L161" s="5"/>
      <c r="M161" s="60"/>
      <c r="N161" s="5"/>
    </row>
    <row r="162" spans="3:14" x14ac:dyDescent="0.25">
      <c r="C162" s="33"/>
      <c r="D162" s="31"/>
      <c r="K162" s="5"/>
      <c r="L162" s="5"/>
      <c r="M162" s="60"/>
      <c r="N162" s="5"/>
    </row>
    <row r="163" spans="3:14" x14ac:dyDescent="0.25">
      <c r="C163" s="33"/>
      <c r="D163" s="31"/>
      <c r="K163" s="5"/>
      <c r="L163" s="5"/>
      <c r="M163" s="60"/>
      <c r="N163" s="5"/>
    </row>
    <row r="164" spans="3:14" x14ac:dyDescent="0.25">
      <c r="C164" s="33"/>
      <c r="D164" s="31"/>
      <c r="K164" s="5"/>
      <c r="L164" s="5"/>
      <c r="M164" s="60"/>
      <c r="N164" s="5"/>
    </row>
    <row r="165" spans="3:14" x14ac:dyDescent="0.25">
      <c r="D165" s="31"/>
      <c r="K165" s="5"/>
      <c r="L165" s="5"/>
      <c r="M165" s="60"/>
      <c r="N165" s="5"/>
    </row>
    <row r="166" spans="3:14" x14ac:dyDescent="0.25">
      <c r="D166" s="31"/>
      <c r="K166" s="5"/>
      <c r="L166" s="5"/>
      <c r="M166" s="60"/>
      <c r="N166" s="5"/>
    </row>
    <row r="167" spans="3:14" x14ac:dyDescent="0.25">
      <c r="D167" s="31"/>
      <c r="K167" s="5"/>
      <c r="L167" s="5"/>
      <c r="M167" s="60"/>
      <c r="N167" s="5"/>
    </row>
    <row r="168" spans="3:14" x14ac:dyDescent="0.25">
      <c r="D168" s="31"/>
      <c r="K168" s="5"/>
      <c r="L168" s="5"/>
      <c r="M168" s="60"/>
      <c r="N168" s="5"/>
    </row>
    <row r="169" spans="3:14" x14ac:dyDescent="0.25">
      <c r="D169" s="31"/>
      <c r="K169" s="5"/>
      <c r="L169" s="5"/>
      <c r="M169" s="60"/>
      <c r="N169" s="5"/>
    </row>
    <row r="170" spans="3:14" x14ac:dyDescent="0.25">
      <c r="D170" s="31"/>
      <c r="K170" s="5"/>
      <c r="L170" s="5"/>
      <c r="M170" s="60"/>
      <c r="N170" s="5"/>
    </row>
    <row r="171" spans="3:14" x14ac:dyDescent="0.25">
      <c r="D171" s="31"/>
      <c r="K171" s="5"/>
      <c r="L171" s="5"/>
      <c r="M171" s="60"/>
      <c r="N171" s="5"/>
    </row>
    <row r="172" spans="3:14" x14ac:dyDescent="0.25">
      <c r="D172" s="31"/>
      <c r="K172" s="5"/>
      <c r="L172" s="5"/>
      <c r="M172" s="60"/>
      <c r="N172" s="5"/>
    </row>
    <row r="173" spans="3:14" x14ac:dyDescent="0.25">
      <c r="D173" s="31"/>
      <c r="K173" s="5"/>
      <c r="L173" s="5"/>
      <c r="M173" s="60"/>
      <c r="N173" s="5"/>
    </row>
    <row r="174" spans="3:14" x14ac:dyDescent="0.25">
      <c r="D174" s="31"/>
      <c r="K174" s="5"/>
      <c r="L174" s="5"/>
      <c r="M174" s="60"/>
      <c r="N174" s="5"/>
    </row>
    <row r="175" spans="3:14" x14ac:dyDescent="0.25">
      <c r="D175" s="31"/>
      <c r="K175" s="5"/>
      <c r="L175" s="5"/>
      <c r="M175" s="60"/>
      <c r="N175" s="5"/>
    </row>
    <row r="176" spans="3:14" x14ac:dyDescent="0.25">
      <c r="D176" s="31"/>
      <c r="K176" s="5"/>
      <c r="L176" s="5"/>
      <c r="M176" s="60"/>
      <c r="N176" s="5"/>
    </row>
    <row r="177" spans="4:14" x14ac:dyDescent="0.25">
      <c r="D177" s="31"/>
      <c r="K177" s="5"/>
      <c r="L177" s="5"/>
      <c r="M177" s="60"/>
      <c r="N177" s="5"/>
    </row>
    <row r="178" spans="4:14" x14ac:dyDescent="0.25">
      <c r="D178" s="31"/>
      <c r="K178" s="5"/>
      <c r="L178" s="5"/>
      <c r="M178" s="60"/>
      <c r="N178" s="5"/>
    </row>
    <row r="179" spans="4:14" x14ac:dyDescent="0.25">
      <c r="D179" s="31"/>
      <c r="K179" s="5"/>
      <c r="L179" s="5"/>
      <c r="M179" s="60"/>
      <c r="N179" s="5"/>
    </row>
    <row r="180" spans="4:14" x14ac:dyDescent="0.25">
      <c r="D180" s="31"/>
      <c r="K180" s="5"/>
      <c r="L180" s="5"/>
      <c r="M180" s="60"/>
      <c r="N180" s="5"/>
    </row>
    <row r="181" spans="4:14" x14ac:dyDescent="0.25">
      <c r="D181" s="31"/>
      <c r="K181" s="5"/>
      <c r="L181" s="5"/>
      <c r="M181" s="60"/>
      <c r="N181" s="5"/>
    </row>
    <row r="182" spans="4:14" x14ac:dyDescent="0.25">
      <c r="D182" s="5"/>
      <c r="K182" s="5"/>
      <c r="L182" s="5"/>
      <c r="M182" s="60"/>
      <c r="N182" s="5"/>
    </row>
    <row r="183" spans="4:14" x14ac:dyDescent="0.25">
      <c r="D183" s="5"/>
      <c r="K183" s="5"/>
      <c r="L183" s="5"/>
      <c r="M183" s="60"/>
      <c r="N183" s="5"/>
    </row>
    <row r="184" spans="4:14" x14ac:dyDescent="0.25">
      <c r="D184" s="5"/>
      <c r="K184" s="5"/>
      <c r="L184" s="5"/>
      <c r="M184" s="60"/>
      <c r="N184" s="5"/>
    </row>
    <row r="185" spans="4:14" x14ac:dyDescent="0.25">
      <c r="D185" s="5"/>
      <c r="K185" s="5"/>
      <c r="L185" s="5"/>
      <c r="M185" s="60"/>
      <c r="N185" s="5"/>
    </row>
    <row r="186" spans="4:14" x14ac:dyDescent="0.25">
      <c r="D186" s="5"/>
      <c r="K186" s="5"/>
      <c r="L186" s="5"/>
      <c r="M186" s="60"/>
      <c r="N186" s="5"/>
    </row>
    <row r="187" spans="4:14" x14ac:dyDescent="0.25">
      <c r="D187" s="5"/>
      <c r="K187" s="5"/>
      <c r="L187" s="5"/>
      <c r="M187" s="60"/>
      <c r="N187" s="5"/>
    </row>
    <row r="188" spans="4:14" x14ac:dyDescent="0.25">
      <c r="D188" s="5"/>
      <c r="K188" s="5"/>
      <c r="L188" s="5"/>
      <c r="M188" s="60"/>
      <c r="N188" s="5"/>
    </row>
    <row r="189" spans="4:14" x14ac:dyDescent="0.25">
      <c r="D189" s="5"/>
      <c r="K189" s="5"/>
      <c r="L189" s="5"/>
      <c r="M189" s="60"/>
      <c r="N189" s="5"/>
    </row>
    <row r="190" spans="4:14" x14ac:dyDescent="0.25">
      <c r="D190" s="5"/>
      <c r="K190" s="5"/>
      <c r="L190" s="5"/>
      <c r="M190" s="60"/>
      <c r="N190" s="5"/>
    </row>
    <row r="191" spans="4:14" x14ac:dyDescent="0.25">
      <c r="D191" s="5"/>
      <c r="K191" s="5"/>
      <c r="L191" s="5"/>
      <c r="M191" s="60"/>
      <c r="N191" s="5"/>
    </row>
    <row r="192" spans="4:14" x14ac:dyDescent="0.25">
      <c r="D192" s="5"/>
      <c r="K192" s="5"/>
      <c r="L192" s="5"/>
      <c r="M192" s="60"/>
      <c r="N192" s="5"/>
    </row>
    <row r="193" spans="4:14" x14ac:dyDescent="0.25">
      <c r="D193" s="5"/>
      <c r="K193" s="5"/>
      <c r="L193" s="5"/>
      <c r="M193" s="60"/>
      <c r="N193" s="5"/>
    </row>
    <row r="194" spans="4:14" x14ac:dyDescent="0.25">
      <c r="D194" s="5"/>
      <c r="K194" s="5"/>
      <c r="L194" s="5"/>
      <c r="M194" s="60"/>
      <c r="N194" s="5"/>
    </row>
    <row r="195" spans="4:14" x14ac:dyDescent="0.25">
      <c r="D195" s="5"/>
      <c r="K195" s="5"/>
      <c r="L195" s="5"/>
      <c r="M195" s="60"/>
      <c r="N195" s="5"/>
    </row>
    <row r="196" spans="4:14" x14ac:dyDescent="0.25">
      <c r="D196" s="5"/>
      <c r="K196" s="5"/>
      <c r="L196" s="5"/>
      <c r="M196" s="60"/>
      <c r="N196" s="5"/>
    </row>
    <row r="197" spans="4:14" x14ac:dyDescent="0.25">
      <c r="D197" s="5"/>
      <c r="K197" s="5"/>
      <c r="L197" s="5"/>
      <c r="M197" s="60"/>
      <c r="N197" s="5"/>
    </row>
    <row r="198" spans="4:14" x14ac:dyDescent="0.25">
      <c r="D198" s="5"/>
      <c r="K198" s="5"/>
      <c r="L198" s="5"/>
      <c r="M198" s="60"/>
      <c r="N198" s="5"/>
    </row>
    <row r="199" spans="4:14" x14ac:dyDescent="0.25">
      <c r="D199" s="5"/>
      <c r="K199" s="5"/>
      <c r="L199" s="5"/>
      <c r="M199" s="60"/>
      <c r="N199" s="5"/>
    </row>
    <row r="200" spans="4:14" x14ac:dyDescent="0.25">
      <c r="D200" s="5"/>
      <c r="K200" s="5"/>
      <c r="L200" s="5"/>
      <c r="M200" s="60"/>
      <c r="N200" s="5"/>
    </row>
    <row r="201" spans="4:14" x14ac:dyDescent="0.25">
      <c r="D201" s="5"/>
      <c r="K201" s="5"/>
      <c r="L201" s="5"/>
      <c r="M201" s="60"/>
      <c r="N201" s="5"/>
    </row>
    <row r="202" spans="4:14" x14ac:dyDescent="0.25">
      <c r="D202" s="5"/>
      <c r="K202" s="5"/>
      <c r="L202" s="5"/>
      <c r="M202" s="60"/>
      <c r="N202" s="5"/>
    </row>
    <row r="203" spans="4:14" x14ac:dyDescent="0.25">
      <c r="D203" s="5"/>
      <c r="K203" s="5"/>
      <c r="L203" s="5"/>
      <c r="M203" s="60"/>
      <c r="N203" s="5"/>
    </row>
    <row r="204" spans="4:14" x14ac:dyDescent="0.25">
      <c r="D204" s="5"/>
      <c r="K204" s="5"/>
      <c r="L204" s="5"/>
      <c r="M204" s="60"/>
      <c r="N204" s="5"/>
    </row>
    <row r="205" spans="4:14" x14ac:dyDescent="0.25">
      <c r="D205" s="5"/>
      <c r="K205" s="5"/>
      <c r="L205" s="5"/>
      <c r="M205" s="60"/>
      <c r="N205" s="5"/>
    </row>
    <row r="206" spans="4:14" x14ac:dyDescent="0.25">
      <c r="D206" s="5"/>
      <c r="K206" s="5"/>
      <c r="L206" s="5"/>
      <c r="M206" s="60"/>
      <c r="N206" s="5"/>
    </row>
    <row r="207" spans="4:14" x14ac:dyDescent="0.25">
      <c r="D207" s="5"/>
      <c r="K207" s="5"/>
      <c r="L207" s="5"/>
      <c r="M207" s="60"/>
      <c r="N207" s="5"/>
    </row>
    <row r="208" spans="4:14" x14ac:dyDescent="0.25">
      <c r="D208" s="5"/>
      <c r="K208" s="5"/>
      <c r="L208" s="5"/>
      <c r="M208" s="60"/>
      <c r="N208" s="5"/>
    </row>
    <row r="209" spans="4:14" x14ac:dyDescent="0.25">
      <c r="D209" s="5"/>
      <c r="K209" s="5"/>
      <c r="L209" s="5"/>
      <c r="M209" s="60"/>
      <c r="N209" s="5"/>
    </row>
    <row r="210" spans="4:14" x14ac:dyDescent="0.25">
      <c r="D210" s="5"/>
      <c r="K210" s="5"/>
      <c r="L210" s="5"/>
      <c r="M210" s="60"/>
      <c r="N210" s="5"/>
    </row>
    <row r="211" spans="4:14" x14ac:dyDescent="0.25">
      <c r="D211" s="5"/>
      <c r="K211" s="5"/>
      <c r="L211" s="5"/>
      <c r="M211" s="60"/>
      <c r="N211" s="5"/>
    </row>
    <row r="212" spans="4:14" x14ac:dyDescent="0.25">
      <c r="D212" s="5"/>
      <c r="K212" s="5"/>
      <c r="L212" s="5"/>
      <c r="M212" s="60"/>
      <c r="N212" s="5"/>
    </row>
    <row r="213" spans="4:14" x14ac:dyDescent="0.25">
      <c r="D213" s="5"/>
      <c r="K213" s="5"/>
      <c r="L213" s="5"/>
      <c r="M213" s="60"/>
      <c r="N213" s="5"/>
    </row>
    <row r="214" spans="4:14" x14ac:dyDescent="0.25">
      <c r="D214" s="5"/>
      <c r="K214" s="5"/>
      <c r="L214" s="5"/>
      <c r="M214" s="60"/>
      <c r="N214" s="5"/>
    </row>
    <row r="215" spans="4:14" x14ac:dyDescent="0.25">
      <c r="D215" s="5"/>
      <c r="K215" s="5"/>
      <c r="L215" s="5"/>
      <c r="M215" s="60"/>
      <c r="N215" s="5"/>
    </row>
    <row r="216" spans="4:14" x14ac:dyDescent="0.25">
      <c r="D216" s="5"/>
      <c r="K216" s="5"/>
      <c r="L216" s="5"/>
      <c r="M216" s="60"/>
      <c r="N216" s="5"/>
    </row>
    <row r="217" spans="4:14" x14ac:dyDescent="0.25">
      <c r="D217" s="5"/>
      <c r="K217" s="5"/>
      <c r="L217" s="5"/>
      <c r="M217" s="60"/>
      <c r="N217" s="5"/>
    </row>
    <row r="218" spans="4:14" x14ac:dyDescent="0.25">
      <c r="D218" s="5"/>
      <c r="K218" s="5"/>
      <c r="L218" s="5"/>
      <c r="M218" s="60"/>
      <c r="N218" s="5"/>
    </row>
    <row r="219" spans="4:14" x14ac:dyDescent="0.25">
      <c r="D219" s="5"/>
      <c r="K219" s="5"/>
      <c r="L219" s="5"/>
      <c r="M219" s="60"/>
      <c r="N219" s="5"/>
    </row>
    <row r="220" spans="4:14" x14ac:dyDescent="0.25">
      <c r="D220" s="5"/>
      <c r="K220" s="5"/>
      <c r="L220" s="5"/>
      <c r="M220" s="60"/>
      <c r="N220" s="5"/>
    </row>
    <row r="221" spans="4:14" x14ac:dyDescent="0.25">
      <c r="D221" s="5"/>
      <c r="K221" s="5"/>
      <c r="L221" s="5"/>
      <c r="M221" s="60"/>
      <c r="N221" s="5"/>
    </row>
    <row r="222" spans="4:14" x14ac:dyDescent="0.25">
      <c r="D222" s="5"/>
      <c r="K222" s="5"/>
      <c r="L222" s="5"/>
      <c r="M222" s="60"/>
      <c r="N222" s="5"/>
    </row>
    <row r="223" spans="4:14" x14ac:dyDescent="0.25">
      <c r="D223" s="5"/>
      <c r="K223" s="5"/>
      <c r="L223" s="5"/>
      <c r="M223" s="60"/>
      <c r="N223" s="5"/>
    </row>
    <row r="224" spans="4:14" x14ac:dyDescent="0.25">
      <c r="D224" s="5"/>
      <c r="K224" s="5"/>
      <c r="L224" s="5"/>
      <c r="M224" s="60"/>
      <c r="N224" s="5"/>
    </row>
    <row r="225" spans="4:14" x14ac:dyDescent="0.25">
      <c r="D225" s="5"/>
      <c r="K225" s="5"/>
      <c r="L225" s="5"/>
      <c r="M225" s="60"/>
      <c r="N225" s="5"/>
    </row>
    <row r="226" spans="4:14" x14ac:dyDescent="0.25">
      <c r="D226" s="5"/>
      <c r="K226" s="5"/>
      <c r="L226" s="5"/>
      <c r="M226" s="60"/>
      <c r="N226" s="5"/>
    </row>
    <row r="227" spans="4:14" x14ac:dyDescent="0.25">
      <c r="D227" s="5"/>
      <c r="K227" s="5"/>
      <c r="L227" s="5"/>
      <c r="M227" s="60"/>
      <c r="N227" s="5"/>
    </row>
    <row r="228" spans="4:14" x14ac:dyDescent="0.25">
      <c r="D228" s="5"/>
      <c r="K228" s="5"/>
      <c r="L228" s="5"/>
      <c r="M228" s="60"/>
      <c r="N228" s="5"/>
    </row>
    <row r="229" spans="4:14" x14ac:dyDescent="0.25">
      <c r="D229" s="5"/>
      <c r="K229" s="5"/>
      <c r="L229" s="5"/>
      <c r="M229" s="60"/>
      <c r="N229" s="5"/>
    </row>
    <row r="230" spans="4:14" x14ac:dyDescent="0.25">
      <c r="D230" s="5"/>
      <c r="K230" s="5"/>
      <c r="L230" s="5"/>
      <c r="M230" s="60"/>
      <c r="N230" s="5"/>
    </row>
    <row r="231" spans="4:14" x14ac:dyDescent="0.25">
      <c r="D231" s="5"/>
      <c r="K231" s="5"/>
      <c r="L231" s="5"/>
      <c r="M231" s="60"/>
      <c r="N231" s="5"/>
    </row>
    <row r="232" spans="4:14" x14ac:dyDescent="0.25">
      <c r="D232" s="5"/>
      <c r="K232" s="5"/>
      <c r="L232" s="5"/>
      <c r="M232" s="60"/>
      <c r="N232" s="5"/>
    </row>
    <row r="233" spans="4:14" x14ac:dyDescent="0.25">
      <c r="D233" s="5"/>
      <c r="K233" s="5"/>
      <c r="L233" s="5"/>
      <c r="M233" s="60"/>
      <c r="N233" s="5"/>
    </row>
    <row r="234" spans="4:14" x14ac:dyDescent="0.25">
      <c r="D234" s="5"/>
      <c r="K234" s="5"/>
      <c r="L234" s="5"/>
      <c r="M234" s="60"/>
      <c r="N234" s="5"/>
    </row>
    <row r="235" spans="4:14" x14ac:dyDescent="0.25">
      <c r="D235" s="5"/>
      <c r="K235" s="5"/>
      <c r="L235" s="5"/>
      <c r="M235" s="60"/>
      <c r="N235" s="5"/>
    </row>
    <row r="236" spans="4:14" x14ac:dyDescent="0.25">
      <c r="D236" s="5"/>
      <c r="K236" s="5"/>
      <c r="L236" s="5"/>
      <c r="M236" s="60"/>
      <c r="N236" s="5"/>
    </row>
    <row r="237" spans="4:14" x14ac:dyDescent="0.25">
      <c r="D237" s="5"/>
      <c r="K237" s="5"/>
      <c r="L237" s="5"/>
      <c r="M237" s="60"/>
      <c r="N237" s="5"/>
    </row>
    <row r="238" spans="4:14" x14ac:dyDescent="0.25">
      <c r="D238" s="5"/>
      <c r="K238" s="5"/>
      <c r="L238" s="5"/>
      <c r="M238" s="60"/>
      <c r="N238" s="5"/>
    </row>
    <row r="239" spans="4:14" x14ac:dyDescent="0.25">
      <c r="D239" s="5"/>
      <c r="K239" s="5"/>
      <c r="L239" s="5"/>
      <c r="M239" s="60"/>
      <c r="N239" s="5"/>
    </row>
    <row r="240" spans="4:14" x14ac:dyDescent="0.25">
      <c r="D240" s="5"/>
      <c r="K240" s="5"/>
      <c r="L240" s="5"/>
      <c r="M240" s="60"/>
      <c r="N240" s="5"/>
    </row>
    <row r="241" spans="4:14" x14ac:dyDescent="0.25">
      <c r="D241" s="5"/>
      <c r="K241" s="5"/>
      <c r="L241" s="5"/>
      <c r="M241" s="60"/>
      <c r="N241" s="5"/>
    </row>
    <row r="242" spans="4:14" x14ac:dyDescent="0.25">
      <c r="D242" s="5"/>
      <c r="K242" s="5"/>
      <c r="L242" s="5"/>
      <c r="M242" s="60"/>
      <c r="N242" s="5"/>
    </row>
    <row r="243" spans="4:14" x14ac:dyDescent="0.25">
      <c r="D243" s="5"/>
      <c r="K243" s="5"/>
      <c r="L243" s="5"/>
      <c r="M243" s="60"/>
      <c r="N243" s="5"/>
    </row>
    <row r="244" spans="4:14" x14ac:dyDescent="0.25">
      <c r="D244" s="5"/>
      <c r="K244" s="5"/>
      <c r="L244" s="5"/>
      <c r="M244" s="60"/>
      <c r="N244" s="5"/>
    </row>
    <row r="245" spans="4:14" x14ac:dyDescent="0.25">
      <c r="D245" s="5"/>
      <c r="K245" s="5"/>
      <c r="L245" s="5"/>
      <c r="M245" s="60"/>
      <c r="N245" s="5"/>
    </row>
    <row r="246" spans="4:14" x14ac:dyDescent="0.25">
      <c r="D246" s="5"/>
      <c r="K246" s="5"/>
      <c r="L246" s="5"/>
      <c r="M246" s="60"/>
      <c r="N246" s="5"/>
    </row>
    <row r="247" spans="4:14" x14ac:dyDescent="0.25">
      <c r="D247" s="5"/>
      <c r="K247" s="5"/>
      <c r="L247" s="5"/>
      <c r="M247" s="60"/>
      <c r="N247" s="5"/>
    </row>
    <row r="248" spans="4:14" x14ac:dyDescent="0.25">
      <c r="D248" s="5"/>
      <c r="K248" s="5"/>
      <c r="L248" s="5"/>
      <c r="M248" s="60"/>
      <c r="N248" s="5"/>
    </row>
    <row r="249" spans="4:14" x14ac:dyDescent="0.25">
      <c r="D249" s="5"/>
      <c r="K249" s="5"/>
      <c r="L249" s="5"/>
      <c r="M249" s="60"/>
      <c r="N249" s="5"/>
    </row>
    <row r="250" spans="4:14" x14ac:dyDescent="0.25">
      <c r="D250" s="5"/>
      <c r="K250" s="5"/>
      <c r="L250" s="5"/>
      <c r="M250" s="60"/>
      <c r="N250" s="5"/>
    </row>
    <row r="251" spans="4:14" x14ac:dyDescent="0.25">
      <c r="D251" s="5"/>
      <c r="K251" s="5"/>
      <c r="L251" s="5"/>
      <c r="M251" s="60"/>
      <c r="N251" s="5"/>
    </row>
    <row r="252" spans="4:14" x14ac:dyDescent="0.25">
      <c r="D252" s="5"/>
      <c r="K252" s="5"/>
      <c r="L252" s="5"/>
      <c r="M252" s="60"/>
      <c r="N252" s="5"/>
    </row>
    <row r="253" spans="4:14" x14ac:dyDescent="0.25">
      <c r="D253" s="5"/>
      <c r="K253" s="5"/>
      <c r="L253" s="5"/>
      <c r="M253" s="60"/>
      <c r="N253" s="5"/>
    </row>
    <row r="254" spans="4:14" x14ac:dyDescent="0.25">
      <c r="D254" s="5"/>
      <c r="K254" s="5"/>
      <c r="L254" s="5"/>
      <c r="M254" s="60"/>
      <c r="N254" s="5"/>
    </row>
    <row r="255" spans="4:14" x14ac:dyDescent="0.25">
      <c r="D255" s="5"/>
      <c r="K255" s="5"/>
      <c r="L255" s="5"/>
      <c r="M255" s="60"/>
      <c r="N255" s="5"/>
    </row>
    <row r="256" spans="4:14" x14ac:dyDescent="0.25">
      <c r="D256" s="5"/>
      <c r="K256" s="5"/>
      <c r="L256" s="5"/>
      <c r="M256" s="60"/>
      <c r="N256" s="5"/>
    </row>
    <row r="257" spans="4:14" x14ac:dyDescent="0.25">
      <c r="D257" s="5"/>
      <c r="K257" s="5"/>
      <c r="L257" s="5"/>
      <c r="M257" s="60"/>
      <c r="N257" s="5"/>
    </row>
    <row r="258" spans="4:14" x14ac:dyDescent="0.25">
      <c r="D258" s="5"/>
      <c r="K258" s="5"/>
      <c r="L258" s="5"/>
      <c r="M258" s="60"/>
      <c r="N258" s="5"/>
    </row>
    <row r="259" spans="4:14" x14ac:dyDescent="0.25">
      <c r="D259" s="5"/>
      <c r="K259" s="5"/>
      <c r="L259" s="5"/>
      <c r="M259" s="60"/>
      <c r="N259" s="5"/>
    </row>
    <row r="260" spans="4:14" x14ac:dyDescent="0.25">
      <c r="D260" s="5"/>
      <c r="K260" s="5"/>
      <c r="L260" s="5"/>
      <c r="M260" s="60"/>
      <c r="N260" s="5"/>
    </row>
    <row r="261" spans="4:14" x14ac:dyDescent="0.25">
      <c r="D261" s="5"/>
      <c r="K261" s="5"/>
      <c r="L261" s="5"/>
      <c r="M261" s="60"/>
      <c r="N261" s="5"/>
    </row>
    <row r="262" spans="4:14" x14ac:dyDescent="0.25">
      <c r="D262" s="5"/>
      <c r="K262" s="5"/>
      <c r="L262" s="5"/>
      <c r="M262" s="60"/>
      <c r="N262" s="5"/>
    </row>
    <row r="263" spans="4:14" x14ac:dyDescent="0.25">
      <c r="D263" s="5"/>
      <c r="K263" s="5"/>
      <c r="L263" s="5"/>
      <c r="M263" s="60"/>
      <c r="N263" s="5"/>
    </row>
    <row r="264" spans="4:14" x14ac:dyDescent="0.25">
      <c r="D264" s="5"/>
      <c r="K264" s="5"/>
      <c r="L264" s="5"/>
      <c r="M264" s="60"/>
      <c r="N264" s="5"/>
    </row>
    <row r="265" spans="4:14" x14ac:dyDescent="0.25">
      <c r="D265" s="5"/>
      <c r="K265" s="5"/>
      <c r="L265" s="5"/>
      <c r="M265" s="60"/>
      <c r="N265" s="5"/>
    </row>
    <row r="266" spans="4:14" x14ac:dyDescent="0.25">
      <c r="D266" s="5"/>
      <c r="K266" s="5"/>
      <c r="L266" s="5"/>
      <c r="M266" s="60"/>
      <c r="N266" s="5"/>
    </row>
    <row r="267" spans="4:14" x14ac:dyDescent="0.25">
      <c r="D267" s="5"/>
      <c r="K267" s="5"/>
      <c r="L267" s="5"/>
      <c r="M267" s="60"/>
      <c r="N267" s="5"/>
    </row>
    <row r="268" spans="4:14" x14ac:dyDescent="0.25">
      <c r="D268" s="5"/>
      <c r="K268" s="5"/>
      <c r="L268" s="5"/>
      <c r="M268" s="60"/>
      <c r="N268" s="5"/>
    </row>
    <row r="269" spans="4:14" x14ac:dyDescent="0.25">
      <c r="D269" s="5"/>
      <c r="K269" s="5"/>
      <c r="L269" s="5"/>
      <c r="M269" s="60"/>
      <c r="N269" s="5"/>
    </row>
    <row r="270" spans="4:14" x14ac:dyDescent="0.25">
      <c r="D270" s="5"/>
      <c r="K270" s="5"/>
      <c r="L270" s="5"/>
      <c r="M270" s="60"/>
      <c r="N270" s="5"/>
    </row>
    <row r="271" spans="4:14" x14ac:dyDescent="0.25">
      <c r="D271" s="5"/>
      <c r="K271" s="5"/>
      <c r="L271" s="5"/>
      <c r="M271" s="60"/>
      <c r="N271" s="5"/>
    </row>
    <row r="272" spans="4:14" x14ac:dyDescent="0.25">
      <c r="D272" s="5"/>
      <c r="K272" s="5"/>
      <c r="L272" s="5"/>
      <c r="M272" s="60"/>
      <c r="N272" s="5"/>
    </row>
    <row r="273" spans="4:14" x14ac:dyDescent="0.25">
      <c r="D273" s="5"/>
      <c r="K273" s="5"/>
      <c r="L273" s="5"/>
      <c r="M273" s="60"/>
      <c r="N273" s="5"/>
    </row>
    <row r="274" spans="4:14" x14ac:dyDescent="0.25">
      <c r="D274" s="5"/>
      <c r="K274" s="5"/>
      <c r="L274" s="5"/>
      <c r="M274" s="60"/>
      <c r="N274" s="5"/>
    </row>
    <row r="275" spans="4:14" x14ac:dyDescent="0.25">
      <c r="D275" s="5"/>
      <c r="K275" s="5"/>
      <c r="L275" s="5"/>
      <c r="M275" s="60"/>
      <c r="N275" s="5"/>
    </row>
    <row r="276" spans="4:14" x14ac:dyDescent="0.25">
      <c r="D276" s="5"/>
      <c r="K276" s="5"/>
      <c r="L276" s="5"/>
      <c r="M276" s="60"/>
      <c r="N276" s="5"/>
    </row>
    <row r="277" spans="4:14" x14ac:dyDescent="0.25">
      <c r="D277" s="5"/>
      <c r="K277" s="5"/>
      <c r="L277" s="5"/>
      <c r="M277" s="60"/>
      <c r="N277" s="5"/>
    </row>
    <row r="278" spans="4:14" x14ac:dyDescent="0.25">
      <c r="D278" s="5"/>
      <c r="K278" s="5"/>
      <c r="L278" s="5"/>
      <c r="M278" s="60"/>
      <c r="N278" s="5"/>
    </row>
    <row r="279" spans="4:14" x14ac:dyDescent="0.25">
      <c r="D279" s="5"/>
      <c r="K279" s="5"/>
      <c r="L279" s="5"/>
      <c r="M279" s="60"/>
      <c r="N279" s="5"/>
    </row>
    <row r="280" spans="4:14" x14ac:dyDescent="0.25">
      <c r="D280" s="5"/>
      <c r="K280" s="5"/>
      <c r="L280" s="5"/>
      <c r="M280" s="60"/>
      <c r="N280" s="5"/>
    </row>
    <row r="281" spans="4:14" x14ac:dyDescent="0.25">
      <c r="D281" s="5"/>
      <c r="K281" s="5"/>
      <c r="L281" s="5"/>
      <c r="M281" s="60"/>
      <c r="N281" s="5"/>
    </row>
    <row r="282" spans="4:14" x14ac:dyDescent="0.25">
      <c r="D282" s="5"/>
      <c r="K282" s="5"/>
      <c r="L282" s="5"/>
      <c r="M282" s="60"/>
      <c r="N282" s="5"/>
    </row>
    <row r="283" spans="4:14" x14ac:dyDescent="0.25">
      <c r="D283" s="5"/>
      <c r="K283" s="5"/>
      <c r="L283" s="5"/>
      <c r="M283" s="60"/>
      <c r="N283" s="5"/>
    </row>
    <row r="284" spans="4:14" x14ac:dyDescent="0.25">
      <c r="D284" s="5"/>
      <c r="K284" s="5"/>
      <c r="L284" s="5"/>
      <c r="M284" s="60"/>
      <c r="N284" s="5"/>
    </row>
    <row r="285" spans="4:14" x14ac:dyDescent="0.25">
      <c r="D285" s="5"/>
      <c r="K285" s="5"/>
      <c r="L285" s="5"/>
      <c r="M285" s="60"/>
      <c r="N285" s="5"/>
    </row>
    <row r="286" spans="4:14" x14ac:dyDescent="0.25">
      <c r="D286" s="5"/>
      <c r="K286" s="5"/>
      <c r="L286" s="5"/>
      <c r="M286" s="60"/>
      <c r="N286" s="5"/>
    </row>
    <row r="287" spans="4:14" x14ac:dyDescent="0.25">
      <c r="D287" s="5"/>
      <c r="K287" s="5"/>
      <c r="L287" s="5"/>
      <c r="M287" s="60"/>
      <c r="N287" s="5"/>
    </row>
    <row r="288" spans="4:14" x14ac:dyDescent="0.25">
      <c r="D288" s="5"/>
      <c r="K288" s="5"/>
      <c r="L288" s="5"/>
      <c r="M288" s="60"/>
      <c r="N288" s="5"/>
    </row>
    <row r="289" spans="4:14" x14ac:dyDescent="0.25">
      <c r="D289" s="5"/>
      <c r="K289" s="5"/>
      <c r="L289" s="5"/>
      <c r="M289" s="60"/>
      <c r="N289" s="5"/>
    </row>
    <row r="290" spans="4:14" x14ac:dyDescent="0.25">
      <c r="D290" s="5"/>
      <c r="K290" s="5"/>
      <c r="L290" s="5"/>
      <c r="M290" s="60"/>
      <c r="N290" s="5"/>
    </row>
    <row r="291" spans="4:14" x14ac:dyDescent="0.25">
      <c r="D291" s="5"/>
      <c r="K291" s="5"/>
      <c r="L291" s="5"/>
      <c r="M291" s="60"/>
      <c r="N291" s="5"/>
    </row>
    <row r="292" spans="4:14" x14ac:dyDescent="0.25">
      <c r="D292" s="5"/>
      <c r="K292" s="5"/>
      <c r="L292" s="5"/>
      <c r="M292" s="60"/>
      <c r="N292" s="5"/>
    </row>
    <row r="293" spans="4:14" x14ac:dyDescent="0.25">
      <c r="D293" s="5"/>
      <c r="K293" s="5"/>
      <c r="L293" s="5"/>
      <c r="M293" s="60"/>
      <c r="N293" s="5"/>
    </row>
    <row r="294" spans="4:14" x14ac:dyDescent="0.25">
      <c r="D294" s="5"/>
      <c r="K294" s="5"/>
      <c r="L294" s="5"/>
      <c r="M294" s="60"/>
      <c r="N294" s="5"/>
    </row>
    <row r="295" spans="4:14" x14ac:dyDescent="0.25">
      <c r="D295" s="5"/>
      <c r="K295" s="5"/>
      <c r="L295" s="5"/>
      <c r="M295" s="60"/>
      <c r="N295" s="5"/>
    </row>
    <row r="296" spans="4:14" x14ac:dyDescent="0.25">
      <c r="D296" s="5"/>
      <c r="K296" s="5"/>
      <c r="L296" s="5"/>
      <c r="M296" s="60"/>
      <c r="N296" s="5"/>
    </row>
    <row r="297" spans="4:14" x14ac:dyDescent="0.25">
      <c r="D297" s="5"/>
      <c r="K297" s="5"/>
      <c r="L297" s="5"/>
      <c r="M297" s="60"/>
      <c r="N297" s="5"/>
    </row>
    <row r="298" spans="4:14" x14ac:dyDescent="0.25">
      <c r="D298" s="5"/>
      <c r="K298" s="5"/>
      <c r="L298" s="5"/>
      <c r="M298" s="60"/>
      <c r="N298" s="5"/>
    </row>
    <row r="299" spans="4:14" x14ac:dyDescent="0.25">
      <c r="D299" s="5"/>
      <c r="K299" s="5"/>
      <c r="L299" s="5"/>
      <c r="M299" s="60"/>
      <c r="N299" s="5"/>
    </row>
    <row r="300" spans="4:14" x14ac:dyDescent="0.25">
      <c r="D300" s="5"/>
      <c r="K300" s="5"/>
      <c r="L300" s="5"/>
      <c r="M300" s="60"/>
      <c r="N300" s="5"/>
    </row>
    <row r="301" spans="4:14" x14ac:dyDescent="0.25">
      <c r="D301" s="5"/>
      <c r="K301" s="5"/>
      <c r="L301" s="5"/>
      <c r="M301" s="60"/>
      <c r="N301" s="5"/>
    </row>
    <row r="302" spans="4:14" x14ac:dyDescent="0.25">
      <c r="D302" s="5"/>
      <c r="K302" s="5"/>
      <c r="L302" s="5"/>
      <c r="M302" s="60"/>
      <c r="N302" s="5"/>
    </row>
    <row r="303" spans="4:14" x14ac:dyDescent="0.25">
      <c r="D303" s="5"/>
      <c r="K303" s="5"/>
      <c r="L303" s="5"/>
      <c r="M303" s="60"/>
      <c r="N303" s="5"/>
    </row>
    <row r="304" spans="4:14" x14ac:dyDescent="0.25">
      <c r="D304" s="5"/>
      <c r="K304" s="5"/>
      <c r="L304" s="5"/>
      <c r="M304" s="60"/>
      <c r="N304" s="5"/>
    </row>
    <row r="305" spans="4:14" x14ac:dyDescent="0.25">
      <c r="D305" s="5"/>
      <c r="K305" s="5"/>
      <c r="L305" s="5"/>
      <c r="M305" s="60"/>
      <c r="N305" s="5"/>
    </row>
    <row r="306" spans="4:14" x14ac:dyDescent="0.25">
      <c r="D306" s="5"/>
      <c r="K306" s="5"/>
      <c r="L306" s="5"/>
      <c r="M306" s="60"/>
      <c r="N306" s="5"/>
    </row>
    <row r="307" spans="4:14" x14ac:dyDescent="0.25">
      <c r="D307" s="5"/>
      <c r="K307" s="5"/>
      <c r="L307" s="5"/>
      <c r="M307" s="60"/>
      <c r="N307" s="5"/>
    </row>
    <row r="308" spans="4:14" x14ac:dyDescent="0.25">
      <c r="D308" s="5"/>
      <c r="K308" s="5"/>
      <c r="L308" s="5"/>
      <c r="M308" s="60"/>
      <c r="N308" s="5"/>
    </row>
    <row r="309" spans="4:14" x14ac:dyDescent="0.25">
      <c r="D309" s="5"/>
      <c r="K309" s="5"/>
      <c r="L309" s="5"/>
      <c r="M309" s="60"/>
      <c r="N309" s="5"/>
    </row>
    <row r="310" spans="4:14" x14ac:dyDescent="0.25">
      <c r="D310" s="5"/>
      <c r="K310" s="5"/>
      <c r="L310" s="5"/>
      <c r="M310" s="60"/>
      <c r="N310" s="5"/>
    </row>
    <row r="311" spans="4:14" x14ac:dyDescent="0.25">
      <c r="D311" s="5"/>
      <c r="K311" s="5"/>
      <c r="L311" s="5"/>
      <c r="M311" s="60"/>
      <c r="N311" s="5"/>
    </row>
    <row r="312" spans="4:14" x14ac:dyDescent="0.25">
      <c r="D312" s="5"/>
      <c r="K312" s="5"/>
      <c r="L312" s="5"/>
      <c r="M312" s="60"/>
      <c r="N312" s="5"/>
    </row>
    <row r="313" spans="4:14" x14ac:dyDescent="0.25">
      <c r="D313" s="5"/>
      <c r="K313" s="5"/>
      <c r="L313" s="5"/>
      <c r="M313" s="60"/>
      <c r="N313" s="5"/>
    </row>
    <row r="314" spans="4:14" x14ac:dyDescent="0.25">
      <c r="D314" s="5"/>
      <c r="K314" s="5"/>
      <c r="L314" s="5"/>
      <c r="M314" s="60"/>
      <c r="N314" s="5"/>
    </row>
    <row r="315" spans="4:14" x14ac:dyDescent="0.25">
      <c r="D315" s="5"/>
      <c r="K315" s="5"/>
      <c r="L315" s="5"/>
      <c r="M315" s="60"/>
      <c r="N315" s="5"/>
    </row>
    <row r="316" spans="4:14" x14ac:dyDescent="0.25">
      <c r="D316" s="5"/>
      <c r="K316" s="5"/>
      <c r="L316" s="5"/>
      <c r="M316" s="60"/>
      <c r="N316" s="5"/>
    </row>
    <row r="317" spans="4:14" x14ac:dyDescent="0.25">
      <c r="D317" s="5"/>
      <c r="K317" s="5"/>
      <c r="L317" s="5"/>
      <c r="M317" s="60"/>
      <c r="N317" s="5"/>
    </row>
    <row r="318" spans="4:14" x14ac:dyDescent="0.25">
      <c r="D318" s="5"/>
      <c r="K318" s="5"/>
      <c r="L318" s="5"/>
      <c r="M318" s="60"/>
      <c r="N318" s="5"/>
    </row>
    <row r="319" spans="4:14" x14ac:dyDescent="0.25">
      <c r="D319" s="5"/>
      <c r="K319" s="5"/>
      <c r="L319" s="5"/>
      <c r="M319" s="60"/>
      <c r="N319" s="5"/>
    </row>
    <row r="320" spans="4:14" x14ac:dyDescent="0.25">
      <c r="D320" s="5"/>
      <c r="K320" s="5"/>
      <c r="L320" s="5"/>
      <c r="M320" s="60"/>
      <c r="N320" s="5"/>
    </row>
    <row r="321" spans="4:14" x14ac:dyDescent="0.25">
      <c r="D321" s="5"/>
      <c r="K321" s="5"/>
      <c r="L321" s="5"/>
      <c r="M321" s="60"/>
      <c r="N321" s="5"/>
    </row>
    <row r="322" spans="4:14" x14ac:dyDescent="0.25">
      <c r="D322" s="5"/>
      <c r="K322" s="5"/>
      <c r="L322" s="5"/>
      <c r="M322" s="60"/>
      <c r="N322" s="5"/>
    </row>
    <row r="323" spans="4:14" x14ac:dyDescent="0.25">
      <c r="D323" s="5"/>
      <c r="K323" s="5"/>
      <c r="L323" s="5"/>
      <c r="M323" s="60"/>
      <c r="N323" s="5"/>
    </row>
    <row r="324" spans="4:14" x14ac:dyDescent="0.25">
      <c r="D324" s="5"/>
      <c r="K324" s="5"/>
      <c r="L324" s="5"/>
      <c r="M324" s="60"/>
      <c r="N324" s="5"/>
    </row>
    <row r="325" spans="4:14" x14ac:dyDescent="0.25">
      <c r="D325" s="5"/>
      <c r="K325" s="5"/>
      <c r="L325" s="5"/>
      <c r="M325" s="60"/>
      <c r="N325" s="5"/>
    </row>
    <row r="326" spans="4:14" x14ac:dyDescent="0.25">
      <c r="D326" s="5"/>
      <c r="K326" s="5"/>
      <c r="L326" s="5"/>
      <c r="M326" s="60"/>
      <c r="N326" s="5"/>
    </row>
    <row r="327" spans="4:14" x14ac:dyDescent="0.25">
      <c r="D327" s="5"/>
      <c r="K327" s="5"/>
      <c r="L327" s="5"/>
      <c r="M327" s="60"/>
      <c r="N327" s="5"/>
    </row>
    <row r="328" spans="4:14" x14ac:dyDescent="0.25">
      <c r="D328" s="5"/>
      <c r="K328" s="5"/>
      <c r="L328" s="5"/>
      <c r="M328" s="60"/>
      <c r="N328" s="5"/>
    </row>
    <row r="329" spans="4:14" x14ac:dyDescent="0.25">
      <c r="D329" s="5"/>
      <c r="K329" s="5"/>
      <c r="L329" s="5"/>
      <c r="M329" s="60"/>
      <c r="N329" s="5"/>
    </row>
    <row r="330" spans="4:14" x14ac:dyDescent="0.25">
      <c r="D330" s="5"/>
      <c r="K330" s="5"/>
      <c r="L330" s="5"/>
      <c r="M330" s="60"/>
      <c r="N330" s="5"/>
    </row>
    <row r="331" spans="4:14" x14ac:dyDescent="0.25">
      <c r="D331" s="5"/>
      <c r="K331" s="5"/>
      <c r="L331" s="5"/>
      <c r="M331" s="60"/>
      <c r="N331" s="5"/>
    </row>
    <row r="332" spans="4:14" x14ac:dyDescent="0.25">
      <c r="D332" s="5"/>
      <c r="K332" s="5"/>
      <c r="L332" s="5"/>
      <c r="M332" s="60"/>
      <c r="N332" s="5"/>
    </row>
    <row r="333" spans="4:14" x14ac:dyDescent="0.25">
      <c r="D333" s="5"/>
      <c r="K333" s="5"/>
      <c r="L333" s="5"/>
      <c r="M333" s="60"/>
      <c r="N333" s="5"/>
    </row>
    <row r="334" spans="4:14" x14ac:dyDescent="0.25">
      <c r="D334" s="5"/>
      <c r="K334" s="5"/>
      <c r="L334" s="5"/>
      <c r="M334" s="60"/>
      <c r="N334" s="5"/>
    </row>
    <row r="335" spans="4:14" x14ac:dyDescent="0.25">
      <c r="D335" s="5"/>
      <c r="K335" s="5"/>
      <c r="L335" s="5"/>
      <c r="M335" s="60"/>
      <c r="N335" s="5"/>
    </row>
    <row r="336" spans="4:14" x14ac:dyDescent="0.25">
      <c r="D336" s="5"/>
      <c r="K336" s="5"/>
      <c r="L336" s="5"/>
      <c r="M336" s="60"/>
      <c r="N336" s="5"/>
    </row>
    <row r="337" spans="4:14" x14ac:dyDescent="0.25">
      <c r="D337" s="5"/>
      <c r="K337" s="5"/>
      <c r="L337" s="5"/>
      <c r="M337" s="60"/>
      <c r="N337" s="5"/>
    </row>
    <row r="338" spans="4:14" x14ac:dyDescent="0.25">
      <c r="D338" s="5"/>
      <c r="K338" s="5"/>
      <c r="L338" s="5"/>
      <c r="M338" s="60"/>
      <c r="N338" s="5"/>
    </row>
  </sheetData>
  <pageMargins left="0.75" right="0.75" top="1" bottom="1" header="0.5" footer="0.5"/>
  <pageSetup scale="6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18"/>
  <sheetViews>
    <sheetView topLeftCell="A2" workbookViewId="0">
      <pane xSplit="3" ySplit="6" topLeftCell="D8" activePane="bottomRight" state="frozen"/>
      <selection activeCell="A2" sqref="A2"/>
      <selection pane="topRight" activeCell="D2" sqref="D2"/>
      <selection pane="bottomLeft" activeCell="A8" sqref="A8"/>
      <selection pane="bottomRight" activeCell="D20" sqref="D20"/>
    </sheetView>
  </sheetViews>
  <sheetFormatPr defaultColWidth="12.6640625" defaultRowHeight="13.2" x14ac:dyDescent="0.25"/>
  <cols>
    <col min="1" max="1" width="38.109375" style="2" customWidth="1"/>
    <col min="2" max="2" width="12.6640625" style="2" customWidth="1"/>
    <col min="3" max="3" width="13" style="4" customWidth="1"/>
    <col min="4" max="4" width="14.88671875" style="94" customWidth="1"/>
    <col min="5" max="9" width="12.6640625" style="2" hidden="1" customWidth="1"/>
    <col min="10" max="10" width="13.6640625" style="2" hidden="1" customWidth="1"/>
    <col min="11" max="11" width="12.6640625" style="2" hidden="1" customWidth="1"/>
    <col min="12" max="13" width="14.109375" style="2" hidden="1" customWidth="1"/>
    <col min="14" max="15" width="12.6640625" style="2" hidden="1" customWidth="1"/>
    <col min="16" max="16384" width="12.6640625" style="2"/>
  </cols>
  <sheetData>
    <row r="1" spans="1:16" ht="15.6" x14ac:dyDescent="0.3">
      <c r="A1" s="1" t="s">
        <v>0</v>
      </c>
    </row>
    <row r="2" spans="1:16" x14ac:dyDescent="0.25">
      <c r="A2" s="12" t="s">
        <v>76</v>
      </c>
    </row>
    <row r="3" spans="1:16" x14ac:dyDescent="0.25">
      <c r="A3" s="2" t="s">
        <v>1</v>
      </c>
    </row>
    <row r="5" spans="1:16" x14ac:dyDescent="0.25">
      <c r="D5" s="95"/>
    </row>
    <row r="6" spans="1:16" ht="13.8" thickBot="1" x14ac:dyDescent="0.3">
      <c r="D6" s="97"/>
      <c r="O6" s="34" t="s">
        <v>128</v>
      </c>
    </row>
    <row r="7" spans="1:16" ht="13.8" thickBot="1" x14ac:dyDescent="0.3">
      <c r="C7" s="15" t="s">
        <v>12</v>
      </c>
      <c r="D7" s="98" t="s">
        <v>198</v>
      </c>
      <c r="E7" s="13">
        <v>36617</v>
      </c>
      <c r="F7" s="13">
        <v>36647</v>
      </c>
      <c r="G7" s="13">
        <v>36678</v>
      </c>
      <c r="H7" s="13">
        <v>36708</v>
      </c>
      <c r="I7" s="13">
        <v>36739</v>
      </c>
      <c r="J7" s="13">
        <v>36770</v>
      </c>
      <c r="K7" s="13">
        <v>36800</v>
      </c>
      <c r="L7" s="13">
        <v>36831</v>
      </c>
      <c r="M7" s="13">
        <v>36861</v>
      </c>
      <c r="N7" s="14"/>
      <c r="O7" s="13" t="s">
        <v>129</v>
      </c>
      <c r="P7" s="14"/>
    </row>
    <row r="8" spans="1:16" x14ac:dyDescent="0.25">
      <c r="A8" s="3" t="s">
        <v>11</v>
      </c>
      <c r="D8" s="95"/>
    </row>
    <row r="9" spans="1:16" ht="8.25" customHeight="1" x14ac:dyDescent="0.25">
      <c r="D9" s="99"/>
    </row>
    <row r="10" spans="1:16" x14ac:dyDescent="0.25">
      <c r="A10" s="2" t="s">
        <v>82</v>
      </c>
      <c r="C10" s="16" t="s">
        <v>83</v>
      </c>
      <c r="D10" s="111">
        <v>122531.79</v>
      </c>
      <c r="O10" s="2">
        <f>+D10</f>
        <v>122531.79</v>
      </c>
    </row>
    <row r="11" spans="1:16" x14ac:dyDescent="0.25">
      <c r="A11" s="2" t="s">
        <v>162</v>
      </c>
      <c r="C11" s="16" t="s">
        <v>163</v>
      </c>
      <c r="D11" s="100">
        <v>0</v>
      </c>
    </row>
    <row r="12" spans="1:16" x14ac:dyDescent="0.25">
      <c r="A12" s="2" t="s">
        <v>104</v>
      </c>
      <c r="C12" s="16" t="s">
        <v>79</v>
      </c>
      <c r="D12" s="111">
        <v>2603</v>
      </c>
      <c r="O12" s="2">
        <f t="shared" ref="O12:O86" si="0">+D12</f>
        <v>2603</v>
      </c>
      <c r="P12" s="2" t="s">
        <v>201</v>
      </c>
    </row>
    <row r="13" spans="1:16" x14ac:dyDescent="0.25">
      <c r="A13" s="2" t="s">
        <v>164</v>
      </c>
      <c r="C13" s="16" t="s">
        <v>165</v>
      </c>
      <c r="D13" s="111">
        <v>13572.37</v>
      </c>
      <c r="P13" s="2" t="s">
        <v>200</v>
      </c>
    </row>
    <row r="14" spans="1:16" x14ac:dyDescent="0.25">
      <c r="A14" s="2" t="s">
        <v>208</v>
      </c>
      <c r="C14" s="16"/>
      <c r="D14" s="111">
        <v>1081560.47</v>
      </c>
    </row>
    <row r="15" spans="1:16" x14ac:dyDescent="0.25">
      <c r="A15" s="2" t="s">
        <v>51</v>
      </c>
      <c r="C15" s="16" t="s">
        <v>16</v>
      </c>
      <c r="D15" s="99">
        <v>0</v>
      </c>
      <c r="O15" s="2">
        <f t="shared" si="0"/>
        <v>0</v>
      </c>
    </row>
    <row r="16" spans="1:16" x14ac:dyDescent="0.25">
      <c r="A16" s="2" t="s">
        <v>84</v>
      </c>
      <c r="C16" s="16" t="s">
        <v>13</v>
      </c>
      <c r="D16" s="111">
        <v>3705248.09</v>
      </c>
      <c r="O16" s="2">
        <f t="shared" si="0"/>
        <v>3705248.09</v>
      </c>
    </row>
    <row r="17" spans="1:15" x14ac:dyDescent="0.25">
      <c r="A17" s="2" t="s">
        <v>126</v>
      </c>
      <c r="C17" s="16" t="s">
        <v>85</v>
      </c>
      <c r="D17" s="111">
        <v>1730571.09</v>
      </c>
      <c r="O17" s="2">
        <f t="shared" si="0"/>
        <v>1730571.09</v>
      </c>
    </row>
    <row r="18" spans="1:15" x14ac:dyDescent="0.25">
      <c r="A18" s="2" t="s">
        <v>52</v>
      </c>
      <c r="C18" s="16" t="s">
        <v>17</v>
      </c>
      <c r="D18" s="99">
        <v>0</v>
      </c>
      <c r="O18" s="2">
        <f t="shared" si="0"/>
        <v>0</v>
      </c>
    </row>
    <row r="19" spans="1:15" x14ac:dyDescent="0.25">
      <c r="A19" s="2" t="s">
        <v>80</v>
      </c>
      <c r="C19" s="16" t="s">
        <v>81</v>
      </c>
      <c r="D19" s="111">
        <v>14376462</v>
      </c>
      <c r="O19" s="2">
        <f t="shared" si="0"/>
        <v>14376462</v>
      </c>
    </row>
    <row r="20" spans="1:15" x14ac:dyDescent="0.25">
      <c r="A20" s="2" t="s">
        <v>77</v>
      </c>
      <c r="C20" s="16" t="s">
        <v>78</v>
      </c>
      <c r="D20" s="111">
        <v>27631665.210000001</v>
      </c>
      <c r="O20" s="2">
        <f t="shared" si="0"/>
        <v>27631665.210000001</v>
      </c>
    </row>
    <row r="21" spans="1:15" x14ac:dyDescent="0.25">
      <c r="A21" s="2" t="s">
        <v>175</v>
      </c>
      <c r="C21" s="17" t="s">
        <v>176</v>
      </c>
      <c r="D21" s="111">
        <v>1031</v>
      </c>
    </row>
    <row r="22" spans="1:15" x14ac:dyDescent="0.25">
      <c r="A22" s="2" t="s">
        <v>62</v>
      </c>
      <c r="C22" s="16" t="s">
        <v>63</v>
      </c>
      <c r="D22" s="111">
        <v>1922336.94</v>
      </c>
      <c r="O22" s="2">
        <f t="shared" si="0"/>
        <v>1922336.94</v>
      </c>
    </row>
    <row r="23" spans="1:15" x14ac:dyDescent="0.25">
      <c r="C23" s="16"/>
      <c r="D23" s="99"/>
      <c r="O23" s="2">
        <f t="shared" si="0"/>
        <v>0</v>
      </c>
    </row>
    <row r="24" spans="1:15" ht="6.75" customHeight="1" x14ac:dyDescent="0.25">
      <c r="C24" s="16"/>
      <c r="D24" s="99"/>
      <c r="O24" s="2">
        <f t="shared" si="0"/>
        <v>0</v>
      </c>
    </row>
    <row r="25" spans="1:15" ht="13.8" thickBot="1" x14ac:dyDescent="0.3">
      <c r="A25" s="3" t="s">
        <v>23</v>
      </c>
      <c r="C25" s="16"/>
      <c r="D25" s="101">
        <f>SUM(D9:D24)</f>
        <v>50587581.959999993</v>
      </c>
      <c r="E25" s="8">
        <f t="shared" ref="E25:M25" si="1">SUM(E9:E24)</f>
        <v>0</v>
      </c>
      <c r="F25" s="8">
        <f t="shared" si="1"/>
        <v>0</v>
      </c>
      <c r="G25" s="8">
        <f t="shared" si="1"/>
        <v>0</v>
      </c>
      <c r="H25" s="8">
        <f t="shared" si="1"/>
        <v>0</v>
      </c>
      <c r="I25" s="8">
        <f t="shared" si="1"/>
        <v>0</v>
      </c>
      <c r="J25" s="8">
        <f t="shared" si="1"/>
        <v>0</v>
      </c>
      <c r="K25" s="8">
        <f t="shared" si="1"/>
        <v>0</v>
      </c>
      <c r="L25" s="8">
        <f t="shared" si="1"/>
        <v>0</v>
      </c>
      <c r="M25" s="8">
        <f t="shared" si="1"/>
        <v>0</v>
      </c>
      <c r="O25" s="2">
        <f t="shared" si="0"/>
        <v>50587581.959999993</v>
      </c>
    </row>
    <row r="26" spans="1:15" ht="13.8" thickTop="1" x14ac:dyDescent="0.25">
      <c r="C26" s="16"/>
      <c r="D26" s="99"/>
      <c r="O26" s="2">
        <f t="shared" si="0"/>
        <v>0</v>
      </c>
    </row>
    <row r="27" spans="1:15" x14ac:dyDescent="0.25">
      <c r="A27" s="3" t="s">
        <v>24</v>
      </c>
      <c r="C27" s="16"/>
      <c r="D27" s="99"/>
      <c r="O27" s="2">
        <f t="shared" si="0"/>
        <v>0</v>
      </c>
    </row>
    <row r="28" spans="1:15" x14ac:dyDescent="0.25">
      <c r="C28" s="16"/>
      <c r="D28" s="99"/>
      <c r="O28" s="2">
        <f t="shared" si="0"/>
        <v>0</v>
      </c>
    </row>
    <row r="29" spans="1:15" x14ac:dyDescent="0.25">
      <c r="C29" s="16"/>
      <c r="D29" s="99"/>
      <c r="O29" s="2">
        <f t="shared" si="0"/>
        <v>0</v>
      </c>
    </row>
    <row r="30" spans="1:15" x14ac:dyDescent="0.25">
      <c r="C30" s="16"/>
      <c r="D30" s="99"/>
      <c r="O30" s="2">
        <f t="shared" si="0"/>
        <v>0</v>
      </c>
    </row>
    <row r="31" spans="1:15" x14ac:dyDescent="0.25">
      <c r="A31" s="2" t="s">
        <v>53</v>
      </c>
      <c r="C31" s="16" t="s">
        <v>13</v>
      </c>
      <c r="D31" s="100">
        <v>0</v>
      </c>
      <c r="O31" s="2">
        <f t="shared" si="0"/>
        <v>0</v>
      </c>
    </row>
    <row r="32" spans="1:15" x14ac:dyDescent="0.25">
      <c r="A32" s="2" t="s">
        <v>55</v>
      </c>
      <c r="C32" s="16" t="s">
        <v>14</v>
      </c>
      <c r="D32" s="111">
        <v>1177444.3</v>
      </c>
      <c r="O32" s="2">
        <f t="shared" si="0"/>
        <v>1177444.3</v>
      </c>
    </row>
    <row r="33" spans="1:15" x14ac:dyDescent="0.25">
      <c r="A33" s="2" t="s">
        <v>57</v>
      </c>
      <c r="C33" s="16" t="s">
        <v>56</v>
      </c>
      <c r="D33" s="100">
        <v>0</v>
      </c>
      <c r="O33" s="2">
        <f t="shared" si="0"/>
        <v>0</v>
      </c>
    </row>
    <row r="34" spans="1:15" x14ac:dyDescent="0.25">
      <c r="A34" s="2" t="s">
        <v>86</v>
      </c>
      <c r="C34" s="16" t="s">
        <v>75</v>
      </c>
      <c r="D34" s="111">
        <v>46004</v>
      </c>
      <c r="O34" s="2">
        <f t="shared" si="0"/>
        <v>46004</v>
      </c>
    </row>
    <row r="35" spans="1:15" x14ac:dyDescent="0.25">
      <c r="A35" s="2" t="s">
        <v>61</v>
      </c>
      <c r="C35" s="16" t="s">
        <v>60</v>
      </c>
      <c r="D35" s="100">
        <v>0</v>
      </c>
      <c r="O35" s="2">
        <f t="shared" si="0"/>
        <v>0</v>
      </c>
    </row>
    <row r="36" spans="1:15" x14ac:dyDescent="0.25">
      <c r="A36" s="2" t="s">
        <v>59</v>
      </c>
      <c r="C36" s="16" t="s">
        <v>58</v>
      </c>
      <c r="D36" s="100">
        <v>0</v>
      </c>
      <c r="O36" s="2">
        <f t="shared" si="0"/>
        <v>0</v>
      </c>
    </row>
    <row r="37" spans="1:15" x14ac:dyDescent="0.25">
      <c r="A37" s="2" t="s">
        <v>74</v>
      </c>
      <c r="C37" s="16" t="s">
        <v>16</v>
      </c>
      <c r="D37" s="111">
        <v>39098006.359999999</v>
      </c>
      <c r="O37" s="2">
        <f t="shared" si="0"/>
        <v>39098006.359999999</v>
      </c>
    </row>
    <row r="38" spans="1:15" x14ac:dyDescent="0.25">
      <c r="A38" s="2" t="s">
        <v>199</v>
      </c>
      <c r="C38" s="16"/>
      <c r="D38" s="111">
        <f>4826336.48+292.12</f>
        <v>4826628.6000000006</v>
      </c>
    </row>
    <row r="39" spans="1:15" x14ac:dyDescent="0.25">
      <c r="A39" s="2" t="s">
        <v>88</v>
      </c>
      <c r="C39" s="16" t="s">
        <v>87</v>
      </c>
      <c r="D39" s="111">
        <v>2951.32</v>
      </c>
      <c r="O39" s="2">
        <f t="shared" si="0"/>
        <v>2951.32</v>
      </c>
    </row>
    <row r="40" spans="1:15" x14ac:dyDescent="0.25">
      <c r="A40" s="2" t="s">
        <v>202</v>
      </c>
      <c r="C40" s="16"/>
      <c r="D40" s="111">
        <v>547354.86</v>
      </c>
    </row>
    <row r="41" spans="1:15" x14ac:dyDescent="0.25">
      <c r="A41" s="2" t="s">
        <v>203</v>
      </c>
      <c r="C41" s="16"/>
      <c r="D41" s="111">
        <v>395227.45</v>
      </c>
    </row>
    <row r="42" spans="1:15" x14ac:dyDescent="0.25">
      <c r="A42" s="2" t="s">
        <v>21</v>
      </c>
      <c r="C42" s="16" t="s">
        <v>22</v>
      </c>
      <c r="D42" s="100">
        <v>0</v>
      </c>
      <c r="O42" s="2">
        <f t="shared" si="0"/>
        <v>0</v>
      </c>
    </row>
    <row r="43" spans="1:15" x14ac:dyDescent="0.25">
      <c r="A43" s="2" t="s">
        <v>204</v>
      </c>
      <c r="C43" s="16"/>
      <c r="D43" s="111">
        <v>136371.20000000001</v>
      </c>
    </row>
    <row r="44" spans="1:15" x14ac:dyDescent="0.25">
      <c r="A44" s="2" t="s">
        <v>175</v>
      </c>
      <c r="C44" s="17"/>
      <c r="D44" s="100"/>
    </row>
    <row r="45" spans="1:15" x14ac:dyDescent="0.25">
      <c r="A45" s="2" t="s">
        <v>66</v>
      </c>
      <c r="C45" s="16" t="s">
        <v>179</v>
      </c>
      <c r="D45" s="111">
        <v>3959838.74</v>
      </c>
      <c r="O45" s="2">
        <f t="shared" si="0"/>
        <v>3959838.74</v>
      </c>
    </row>
    <row r="46" spans="1:15" ht="7.5" customHeight="1" x14ac:dyDescent="0.25">
      <c r="A46" s="3"/>
      <c r="C46" s="16"/>
      <c r="D46" s="100"/>
      <c r="O46" s="2">
        <f t="shared" si="0"/>
        <v>0</v>
      </c>
    </row>
    <row r="47" spans="1:15" x14ac:dyDescent="0.25">
      <c r="A47" s="3" t="s">
        <v>25</v>
      </c>
      <c r="C47" s="16"/>
      <c r="D47" s="102">
        <f t="shared" ref="D47:M47" si="2">SUM(D28:D46)</f>
        <v>50189826.830000006</v>
      </c>
      <c r="E47" s="6">
        <f t="shared" si="2"/>
        <v>0</v>
      </c>
      <c r="F47" s="6">
        <f t="shared" si="2"/>
        <v>0</v>
      </c>
      <c r="G47" s="6">
        <f t="shared" si="2"/>
        <v>0</v>
      </c>
      <c r="H47" s="6">
        <f t="shared" si="2"/>
        <v>0</v>
      </c>
      <c r="I47" s="6">
        <f t="shared" si="2"/>
        <v>0</v>
      </c>
      <c r="J47" s="6">
        <f t="shared" si="2"/>
        <v>0</v>
      </c>
      <c r="K47" s="6">
        <f t="shared" si="2"/>
        <v>0</v>
      </c>
      <c r="L47" s="6">
        <f t="shared" si="2"/>
        <v>0</v>
      </c>
      <c r="M47" s="6">
        <f t="shared" si="2"/>
        <v>0</v>
      </c>
      <c r="O47" s="2">
        <f t="shared" si="0"/>
        <v>50189826.830000006</v>
      </c>
    </row>
    <row r="48" spans="1:15" x14ac:dyDescent="0.25">
      <c r="A48" s="3"/>
      <c r="C48" s="16"/>
      <c r="D48" s="100"/>
      <c r="O48" s="2">
        <f t="shared" si="0"/>
        <v>0</v>
      </c>
    </row>
    <row r="49" spans="1:16" x14ac:dyDescent="0.25">
      <c r="A49" s="3" t="s">
        <v>123</v>
      </c>
      <c r="C49" s="16"/>
      <c r="D49" s="100"/>
      <c r="O49" s="2">
        <f t="shared" si="0"/>
        <v>0</v>
      </c>
    </row>
    <row r="50" spans="1:16" x14ac:dyDescent="0.25">
      <c r="A50" s="2" t="s">
        <v>18</v>
      </c>
      <c r="C50" s="17" t="s">
        <v>73</v>
      </c>
      <c r="D50" s="100">
        <f>-85347.47+D97</f>
        <v>397755.13000000024</v>
      </c>
      <c r="O50" s="2">
        <f t="shared" si="0"/>
        <v>397755.13000000024</v>
      </c>
    </row>
    <row r="51" spans="1:16" ht="6.75" customHeight="1" x14ac:dyDescent="0.25">
      <c r="C51" s="16"/>
      <c r="D51" s="100"/>
      <c r="O51" s="2">
        <f t="shared" si="0"/>
        <v>0</v>
      </c>
    </row>
    <row r="52" spans="1:16" x14ac:dyDescent="0.25">
      <c r="A52" s="3" t="s">
        <v>26</v>
      </c>
      <c r="C52" s="16"/>
      <c r="D52" s="102">
        <f t="shared" ref="D52:M52" si="3">SUM(D48:D51)</f>
        <v>397755.13000000024</v>
      </c>
      <c r="E52" s="6">
        <f t="shared" si="3"/>
        <v>0</v>
      </c>
      <c r="F52" s="6">
        <f t="shared" si="3"/>
        <v>0</v>
      </c>
      <c r="G52" s="6">
        <f t="shared" si="3"/>
        <v>0</v>
      </c>
      <c r="H52" s="6">
        <f t="shared" si="3"/>
        <v>0</v>
      </c>
      <c r="I52" s="6">
        <f t="shared" si="3"/>
        <v>0</v>
      </c>
      <c r="J52" s="6">
        <f t="shared" si="3"/>
        <v>0</v>
      </c>
      <c r="K52" s="6">
        <f t="shared" si="3"/>
        <v>0</v>
      </c>
      <c r="L52" s="6">
        <f t="shared" si="3"/>
        <v>0</v>
      </c>
      <c r="M52" s="6">
        <f t="shared" si="3"/>
        <v>0</v>
      </c>
      <c r="O52" s="2">
        <f t="shared" si="0"/>
        <v>397755.13000000024</v>
      </c>
    </row>
    <row r="53" spans="1:16" ht="6.75" customHeight="1" x14ac:dyDescent="0.25">
      <c r="C53" s="16"/>
      <c r="D53" s="100"/>
      <c r="O53" s="2">
        <f t="shared" si="0"/>
        <v>0</v>
      </c>
    </row>
    <row r="54" spans="1:16" ht="13.8" thickBot="1" x14ac:dyDescent="0.3">
      <c r="A54" s="3" t="s">
        <v>27</v>
      </c>
      <c r="C54" s="16"/>
      <c r="D54" s="101">
        <f t="shared" ref="D54:M54" si="4">+D52+D47</f>
        <v>50587581.960000008</v>
      </c>
      <c r="E54" s="8">
        <f t="shared" si="4"/>
        <v>0</v>
      </c>
      <c r="F54" s="8">
        <f t="shared" si="4"/>
        <v>0</v>
      </c>
      <c r="G54" s="8">
        <f t="shared" si="4"/>
        <v>0</v>
      </c>
      <c r="H54" s="8">
        <f t="shared" si="4"/>
        <v>0</v>
      </c>
      <c r="I54" s="8">
        <f t="shared" si="4"/>
        <v>0</v>
      </c>
      <c r="J54" s="8">
        <f t="shared" si="4"/>
        <v>0</v>
      </c>
      <c r="K54" s="8">
        <f t="shared" si="4"/>
        <v>0</v>
      </c>
      <c r="L54" s="8">
        <f t="shared" si="4"/>
        <v>0</v>
      </c>
      <c r="M54" s="8">
        <f t="shared" si="4"/>
        <v>0</v>
      </c>
      <c r="O54" s="2">
        <f t="shared" si="0"/>
        <v>50587581.960000008</v>
      </c>
    </row>
    <row r="55" spans="1:16" ht="13.8" thickTop="1" x14ac:dyDescent="0.25">
      <c r="C55" s="16"/>
      <c r="D55" s="100"/>
      <c r="O55" s="2">
        <f t="shared" si="0"/>
        <v>0</v>
      </c>
    </row>
    <row r="56" spans="1:16" x14ac:dyDescent="0.25">
      <c r="A56" s="2" t="s">
        <v>28</v>
      </c>
      <c r="C56" s="16"/>
      <c r="D56" s="99">
        <f>+D25-D54</f>
        <v>0</v>
      </c>
      <c r="O56" s="2">
        <f t="shared" si="0"/>
        <v>0</v>
      </c>
      <c r="P56" s="2">
        <f>+D56/2</f>
        <v>0</v>
      </c>
    </row>
    <row r="57" spans="1:16" x14ac:dyDescent="0.25">
      <c r="C57" s="16"/>
      <c r="D57" s="99"/>
      <c r="O57" s="2">
        <f t="shared" si="0"/>
        <v>0</v>
      </c>
    </row>
    <row r="58" spans="1:16" x14ac:dyDescent="0.25">
      <c r="C58" s="16"/>
      <c r="D58" s="99"/>
      <c r="O58" s="2">
        <f t="shared" si="0"/>
        <v>0</v>
      </c>
    </row>
    <row r="59" spans="1:16" ht="15.6" x14ac:dyDescent="0.3">
      <c r="A59" s="1" t="s">
        <v>105</v>
      </c>
      <c r="C59" s="16"/>
      <c r="D59" s="99"/>
      <c r="O59" s="2">
        <f t="shared" si="0"/>
        <v>0</v>
      </c>
    </row>
    <row r="60" spans="1:16" x14ac:dyDescent="0.25">
      <c r="C60" s="16"/>
      <c r="D60" s="99"/>
      <c r="O60" s="2">
        <f t="shared" si="0"/>
        <v>0</v>
      </c>
    </row>
    <row r="61" spans="1:16" x14ac:dyDescent="0.25">
      <c r="A61" s="3" t="s">
        <v>100</v>
      </c>
      <c r="C61" s="16"/>
      <c r="D61" s="99"/>
      <c r="O61" s="2">
        <f t="shared" si="0"/>
        <v>0</v>
      </c>
    </row>
    <row r="62" spans="1:16" x14ac:dyDescent="0.25">
      <c r="A62" s="2" t="s">
        <v>47</v>
      </c>
      <c r="C62" s="16"/>
      <c r="D62" s="111">
        <v>0</v>
      </c>
      <c r="O62" s="2">
        <f t="shared" si="0"/>
        <v>0</v>
      </c>
    </row>
    <row r="63" spans="1:16" x14ac:dyDescent="0.25">
      <c r="A63" s="2" t="s">
        <v>68</v>
      </c>
      <c r="C63" s="16"/>
      <c r="D63" s="111">
        <v>0</v>
      </c>
      <c r="O63" s="2">
        <f t="shared" si="0"/>
        <v>0</v>
      </c>
    </row>
    <row r="64" spans="1:16" x14ac:dyDescent="0.25">
      <c r="A64" s="2" t="s">
        <v>117</v>
      </c>
      <c r="C64" s="25" t="s">
        <v>97</v>
      </c>
      <c r="D64" s="111">
        <v>193469.97</v>
      </c>
      <c r="O64" s="2">
        <f t="shared" si="0"/>
        <v>193469.97</v>
      </c>
    </row>
    <row r="65" spans="1:25" x14ac:dyDescent="0.25">
      <c r="A65" s="2" t="s">
        <v>98</v>
      </c>
      <c r="C65" s="16" t="s">
        <v>94</v>
      </c>
      <c r="D65" s="111">
        <v>2450187.1800000002</v>
      </c>
      <c r="O65" s="2">
        <f t="shared" si="0"/>
        <v>2450187.1800000002</v>
      </c>
    </row>
    <row r="66" spans="1:25" x14ac:dyDescent="0.25">
      <c r="A66" s="2" t="s">
        <v>183</v>
      </c>
      <c r="C66" s="16" t="s">
        <v>184</v>
      </c>
      <c r="D66" s="111">
        <v>-14158.95</v>
      </c>
    </row>
    <row r="67" spans="1:25" x14ac:dyDescent="0.25">
      <c r="A67" s="2" t="s">
        <v>34</v>
      </c>
      <c r="C67" s="16" t="s">
        <v>41</v>
      </c>
      <c r="D67" s="113">
        <v>0</v>
      </c>
      <c r="G67" s="9"/>
      <c r="O67" s="2">
        <f t="shared" si="0"/>
        <v>0</v>
      </c>
    </row>
    <row r="68" spans="1:25" x14ac:dyDescent="0.25">
      <c r="A68" s="2" t="s">
        <v>167</v>
      </c>
      <c r="C68" s="16" t="s">
        <v>168</v>
      </c>
      <c r="D68" s="113">
        <v>237678.38</v>
      </c>
      <c r="G68" s="9"/>
    </row>
    <row r="69" spans="1:25" x14ac:dyDescent="0.25">
      <c r="A69" s="2" t="s">
        <v>92</v>
      </c>
      <c r="C69" s="16" t="s">
        <v>93</v>
      </c>
      <c r="D69" s="113">
        <v>45000</v>
      </c>
      <c r="G69" s="9"/>
      <c r="O69" s="2">
        <f t="shared" si="0"/>
        <v>45000</v>
      </c>
    </row>
    <row r="70" spans="1:25" x14ac:dyDescent="0.25">
      <c r="A70" s="2" t="s">
        <v>101</v>
      </c>
      <c r="C70" s="16"/>
      <c r="D70" s="104">
        <f>SUM(D63:D69)</f>
        <v>2912176.58</v>
      </c>
      <c r="E70" s="27">
        <f t="shared" ref="E70:M70" si="5">SUM(E63:E69)</f>
        <v>0</v>
      </c>
      <c r="F70" s="27">
        <f t="shared" si="5"/>
        <v>0</v>
      </c>
      <c r="G70" s="27">
        <f t="shared" si="5"/>
        <v>0</v>
      </c>
      <c r="H70" s="27">
        <f t="shared" si="5"/>
        <v>0</v>
      </c>
      <c r="I70" s="27">
        <f t="shared" si="5"/>
        <v>0</v>
      </c>
      <c r="J70" s="27">
        <f t="shared" si="5"/>
        <v>0</v>
      </c>
      <c r="K70" s="27">
        <f t="shared" si="5"/>
        <v>0</v>
      </c>
      <c r="L70" s="27">
        <f t="shared" si="5"/>
        <v>0</v>
      </c>
      <c r="M70" s="27">
        <f t="shared" si="5"/>
        <v>0</v>
      </c>
      <c r="N70" s="26"/>
      <c r="O70" s="2">
        <f t="shared" si="0"/>
        <v>2912176.58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 spans="1:25" x14ac:dyDescent="0.25">
      <c r="C71" s="16"/>
      <c r="D71" s="103"/>
      <c r="G71" s="9"/>
      <c r="O71" s="2">
        <f t="shared" si="0"/>
        <v>0</v>
      </c>
    </row>
    <row r="72" spans="1:25" x14ac:dyDescent="0.25">
      <c r="A72" s="3" t="s">
        <v>102</v>
      </c>
      <c r="C72" s="16"/>
      <c r="D72" s="99"/>
      <c r="G72" s="9"/>
      <c r="O72" s="2">
        <f t="shared" si="0"/>
        <v>0</v>
      </c>
    </row>
    <row r="73" spans="1:25" x14ac:dyDescent="0.25">
      <c r="A73" s="2" t="s">
        <v>116</v>
      </c>
      <c r="C73" s="25" t="s">
        <v>171</v>
      </c>
      <c r="D73" s="111">
        <v>453593.48</v>
      </c>
      <c r="G73" s="9"/>
      <c r="O73" s="2">
        <f t="shared" si="0"/>
        <v>453593.48</v>
      </c>
    </row>
    <row r="74" spans="1:25" x14ac:dyDescent="0.25">
      <c r="A74" s="2" t="s">
        <v>170</v>
      </c>
      <c r="C74" s="47" t="s">
        <v>180</v>
      </c>
      <c r="D74" s="111">
        <v>-13572.37</v>
      </c>
      <c r="G74" s="9"/>
    </row>
    <row r="75" spans="1:25" x14ac:dyDescent="0.25">
      <c r="A75" s="2" t="s">
        <v>118</v>
      </c>
      <c r="C75" s="25" t="s">
        <v>96</v>
      </c>
      <c r="D75" s="112">
        <v>665841.54</v>
      </c>
      <c r="G75" s="9"/>
      <c r="O75" s="2">
        <f t="shared" si="0"/>
        <v>665841.54</v>
      </c>
    </row>
    <row r="76" spans="1:25" x14ac:dyDescent="0.25">
      <c r="A76" s="2" t="s">
        <v>103</v>
      </c>
      <c r="C76" s="16"/>
      <c r="D76" s="104">
        <f>SUM(D73:D75)</f>
        <v>1105862.6499999999</v>
      </c>
      <c r="E76" s="27">
        <f t="shared" ref="E76:M76" si="6">SUM(E73:E75)</f>
        <v>0</v>
      </c>
      <c r="F76" s="27">
        <f t="shared" si="6"/>
        <v>0</v>
      </c>
      <c r="G76" s="27">
        <f t="shared" si="6"/>
        <v>0</v>
      </c>
      <c r="H76" s="27">
        <f t="shared" si="6"/>
        <v>0</v>
      </c>
      <c r="I76" s="27">
        <f t="shared" si="6"/>
        <v>0</v>
      </c>
      <c r="J76" s="27">
        <f t="shared" si="6"/>
        <v>0</v>
      </c>
      <c r="K76" s="27">
        <f t="shared" si="6"/>
        <v>0</v>
      </c>
      <c r="L76" s="27">
        <f t="shared" si="6"/>
        <v>0</v>
      </c>
      <c r="M76" s="27">
        <f t="shared" si="6"/>
        <v>0</v>
      </c>
      <c r="O76" s="2">
        <f t="shared" si="0"/>
        <v>1105862.6499999999</v>
      </c>
    </row>
    <row r="77" spans="1:25" x14ac:dyDescent="0.25">
      <c r="C77" s="16"/>
      <c r="D77" s="99"/>
      <c r="E77" s="20"/>
      <c r="F77" s="20"/>
      <c r="G77" s="20"/>
      <c r="H77" s="20"/>
      <c r="I77" s="20"/>
      <c r="J77" s="20"/>
      <c r="K77" s="20"/>
      <c r="L77" s="20"/>
      <c r="M77" s="20"/>
      <c r="O77" s="2">
        <f t="shared" si="0"/>
        <v>0</v>
      </c>
    </row>
    <row r="78" spans="1:25" x14ac:dyDescent="0.25">
      <c r="A78" s="3" t="s">
        <v>119</v>
      </c>
      <c r="C78" s="16"/>
      <c r="D78" s="104">
        <f t="shared" ref="D78:M78" si="7">+D70-D76</f>
        <v>1806313.9300000002</v>
      </c>
      <c r="E78" s="22">
        <f t="shared" si="7"/>
        <v>0</v>
      </c>
      <c r="F78" s="22">
        <f t="shared" si="7"/>
        <v>0</v>
      </c>
      <c r="G78" s="22">
        <f t="shared" si="7"/>
        <v>0</v>
      </c>
      <c r="H78" s="22">
        <f t="shared" si="7"/>
        <v>0</v>
      </c>
      <c r="I78" s="22">
        <f t="shared" si="7"/>
        <v>0</v>
      </c>
      <c r="J78" s="22">
        <f t="shared" si="7"/>
        <v>0</v>
      </c>
      <c r="K78" s="22">
        <f t="shared" si="7"/>
        <v>0</v>
      </c>
      <c r="L78" s="22">
        <f t="shared" si="7"/>
        <v>0</v>
      </c>
      <c r="M78" s="22">
        <f t="shared" si="7"/>
        <v>0</v>
      </c>
      <c r="O78" s="2">
        <f t="shared" si="0"/>
        <v>1806313.9300000002</v>
      </c>
    </row>
    <row r="79" spans="1:25" x14ac:dyDescent="0.25">
      <c r="A79" s="3"/>
      <c r="C79" s="16"/>
      <c r="D79" s="103"/>
      <c r="E79" s="23"/>
      <c r="F79" s="23"/>
      <c r="G79" s="23"/>
      <c r="H79" s="23"/>
      <c r="I79" s="23"/>
      <c r="J79" s="23"/>
      <c r="K79" s="23"/>
      <c r="L79" s="23"/>
      <c r="M79" s="23"/>
      <c r="O79" s="2">
        <f t="shared" si="0"/>
        <v>0</v>
      </c>
    </row>
    <row r="80" spans="1:25" x14ac:dyDescent="0.25">
      <c r="A80" s="3" t="s">
        <v>112</v>
      </c>
      <c r="C80" s="16"/>
      <c r="D80" s="103"/>
      <c r="G80" s="9"/>
      <c r="O80" s="2">
        <f t="shared" si="0"/>
        <v>0</v>
      </c>
    </row>
    <row r="81" spans="1:15" x14ac:dyDescent="0.25">
      <c r="A81" s="2" t="s">
        <v>35</v>
      </c>
      <c r="C81" s="16" t="s">
        <v>95</v>
      </c>
      <c r="D81" s="105" t="s">
        <v>205</v>
      </c>
      <c r="G81" s="9"/>
      <c r="O81" s="2" t="str">
        <f t="shared" si="0"/>
        <v>NA</v>
      </c>
    </row>
    <row r="82" spans="1:15" x14ac:dyDescent="0.25">
      <c r="A82" s="2" t="s">
        <v>89</v>
      </c>
      <c r="C82" s="17" t="s">
        <v>166</v>
      </c>
      <c r="D82" s="105" t="s">
        <v>205</v>
      </c>
      <c r="G82" s="9"/>
      <c r="O82" s="2" t="str">
        <f t="shared" si="0"/>
        <v>NA</v>
      </c>
    </row>
    <row r="83" spans="1:15" ht="9" customHeight="1" x14ac:dyDescent="0.25">
      <c r="C83" s="16"/>
      <c r="D83" s="106"/>
      <c r="G83" s="9"/>
      <c r="O83" s="2">
        <f t="shared" si="0"/>
        <v>0</v>
      </c>
    </row>
    <row r="84" spans="1:15" x14ac:dyDescent="0.25">
      <c r="A84" s="19" t="s">
        <v>114</v>
      </c>
      <c r="C84" s="16"/>
      <c r="D84" s="114">
        <v>1104060.22</v>
      </c>
      <c r="E84" s="22">
        <f t="shared" ref="E84:M84" si="8">SUM(E81:E82)</f>
        <v>0</v>
      </c>
      <c r="F84" s="22">
        <f t="shared" si="8"/>
        <v>0</v>
      </c>
      <c r="G84" s="22">
        <f t="shared" si="8"/>
        <v>0</v>
      </c>
      <c r="H84" s="22">
        <f t="shared" si="8"/>
        <v>0</v>
      </c>
      <c r="I84" s="22">
        <f t="shared" si="8"/>
        <v>0</v>
      </c>
      <c r="J84" s="22">
        <f t="shared" si="8"/>
        <v>0</v>
      </c>
      <c r="K84" s="22">
        <f t="shared" si="8"/>
        <v>0</v>
      </c>
      <c r="L84" s="22">
        <f t="shared" si="8"/>
        <v>0</v>
      </c>
      <c r="M84" s="22">
        <f t="shared" si="8"/>
        <v>0</v>
      </c>
      <c r="O84" s="2">
        <f t="shared" si="0"/>
        <v>1104060.22</v>
      </c>
    </row>
    <row r="85" spans="1:15" x14ac:dyDescent="0.25">
      <c r="A85" s="3"/>
      <c r="C85" s="16"/>
      <c r="D85" s="103"/>
      <c r="G85" s="9"/>
      <c r="O85" s="2">
        <f t="shared" si="0"/>
        <v>0</v>
      </c>
    </row>
    <row r="86" spans="1:15" x14ac:dyDescent="0.25">
      <c r="A86" s="3" t="s">
        <v>99</v>
      </c>
      <c r="C86" s="16"/>
      <c r="D86" s="104">
        <f>+D78-D84</f>
        <v>702253.7100000002</v>
      </c>
      <c r="E86" s="22">
        <f t="shared" ref="E86:M86" si="9">+E78-E84</f>
        <v>0</v>
      </c>
      <c r="F86" s="22">
        <f t="shared" si="9"/>
        <v>0</v>
      </c>
      <c r="G86" s="22">
        <f t="shared" si="9"/>
        <v>0</v>
      </c>
      <c r="H86" s="22">
        <f t="shared" si="9"/>
        <v>0</v>
      </c>
      <c r="I86" s="22">
        <f t="shared" si="9"/>
        <v>0</v>
      </c>
      <c r="J86" s="22">
        <f t="shared" si="9"/>
        <v>0</v>
      </c>
      <c r="K86" s="22">
        <f t="shared" si="9"/>
        <v>0</v>
      </c>
      <c r="L86" s="22">
        <f t="shared" si="9"/>
        <v>0</v>
      </c>
      <c r="M86" s="22">
        <f t="shared" si="9"/>
        <v>0</v>
      </c>
      <c r="O86" s="2">
        <f t="shared" si="0"/>
        <v>702253.7100000002</v>
      </c>
    </row>
    <row r="87" spans="1:15" x14ac:dyDescent="0.25">
      <c r="A87" s="3"/>
      <c r="C87" s="16"/>
      <c r="D87" s="103"/>
      <c r="G87" s="9"/>
      <c r="O87" s="2">
        <f t="shared" ref="O87:O97" si="10">+D87</f>
        <v>0</v>
      </c>
    </row>
    <row r="88" spans="1:15" x14ac:dyDescent="0.25">
      <c r="A88" s="3" t="s">
        <v>158</v>
      </c>
      <c r="C88" s="16"/>
      <c r="D88" s="103"/>
      <c r="G88" s="9"/>
      <c r="O88" s="2">
        <f t="shared" si="10"/>
        <v>0</v>
      </c>
    </row>
    <row r="89" spans="1:15" x14ac:dyDescent="0.25">
      <c r="A89" s="2" t="s">
        <v>206</v>
      </c>
      <c r="C89" s="16" t="s">
        <v>91</v>
      </c>
      <c r="D89" s="111">
        <v>-46857.89</v>
      </c>
      <c r="G89" s="9"/>
      <c r="O89" s="2">
        <f t="shared" si="10"/>
        <v>-46857.89</v>
      </c>
    </row>
    <row r="90" spans="1:15" x14ac:dyDescent="0.25">
      <c r="A90" s="19" t="s">
        <v>207</v>
      </c>
      <c r="C90" s="16"/>
      <c r="D90" s="113">
        <v>-40148</v>
      </c>
      <c r="G90" s="9"/>
      <c r="O90" s="2">
        <f t="shared" si="10"/>
        <v>-40148</v>
      </c>
    </row>
    <row r="91" spans="1:15" x14ac:dyDescent="0.25">
      <c r="A91" s="3"/>
      <c r="C91" s="16"/>
      <c r="D91" s="103"/>
      <c r="G91" s="9"/>
    </row>
    <row r="92" spans="1:15" x14ac:dyDescent="0.25">
      <c r="A92" s="3" t="s">
        <v>38</v>
      </c>
      <c r="C92" s="16"/>
      <c r="D92" s="104">
        <f>+D86-D89-D90</f>
        <v>789259.60000000021</v>
      </c>
      <c r="E92" s="22">
        <f t="shared" ref="E92:M92" si="11">+E86+E89</f>
        <v>0</v>
      </c>
      <c r="F92" s="22">
        <f t="shared" si="11"/>
        <v>0</v>
      </c>
      <c r="G92" s="22">
        <f t="shared" si="11"/>
        <v>0</v>
      </c>
      <c r="H92" s="22">
        <f t="shared" si="11"/>
        <v>0</v>
      </c>
      <c r="I92" s="22">
        <f t="shared" si="11"/>
        <v>0</v>
      </c>
      <c r="J92" s="22">
        <f t="shared" si="11"/>
        <v>0</v>
      </c>
      <c r="K92" s="22">
        <f t="shared" si="11"/>
        <v>0</v>
      </c>
      <c r="L92" s="22">
        <f t="shared" si="11"/>
        <v>0</v>
      </c>
      <c r="M92" s="22">
        <f t="shared" si="11"/>
        <v>0</v>
      </c>
      <c r="O92" s="2">
        <f t="shared" si="10"/>
        <v>789259.60000000021</v>
      </c>
    </row>
    <row r="93" spans="1:15" x14ac:dyDescent="0.25">
      <c r="A93" s="3"/>
      <c r="C93" s="16"/>
      <c r="D93" s="103"/>
      <c r="E93" s="23"/>
      <c r="F93" s="23"/>
      <c r="G93" s="23"/>
      <c r="H93" s="23"/>
      <c r="I93" s="23"/>
      <c r="J93" s="23"/>
      <c r="K93" s="23"/>
      <c r="L93" s="23"/>
      <c r="M93" s="23"/>
      <c r="O93" s="2">
        <f t="shared" si="10"/>
        <v>0</v>
      </c>
    </row>
    <row r="94" spans="1:15" x14ac:dyDescent="0.25">
      <c r="A94" s="2" t="s">
        <v>177</v>
      </c>
      <c r="C94" s="16" t="s">
        <v>182</v>
      </c>
      <c r="D94" s="113">
        <v>-1031</v>
      </c>
      <c r="E94" s="23"/>
      <c r="F94" s="23"/>
      <c r="G94" s="23"/>
      <c r="H94" s="23"/>
      <c r="I94" s="23"/>
      <c r="J94" s="23"/>
      <c r="K94" s="23"/>
      <c r="L94" s="23"/>
      <c r="M94" s="23"/>
    </row>
    <row r="95" spans="1:15" x14ac:dyDescent="0.25">
      <c r="A95" s="2" t="s">
        <v>185</v>
      </c>
      <c r="C95" s="16" t="s">
        <v>43</v>
      </c>
      <c r="D95" s="111">
        <v>307188</v>
      </c>
      <c r="G95" s="9"/>
      <c r="O95" s="2">
        <f t="shared" si="10"/>
        <v>307188</v>
      </c>
    </row>
    <row r="96" spans="1:15" x14ac:dyDescent="0.25">
      <c r="C96" s="16"/>
      <c r="D96" s="99"/>
      <c r="G96" s="9"/>
      <c r="O96" s="2">
        <f t="shared" si="10"/>
        <v>0</v>
      </c>
    </row>
    <row r="97" spans="1:15" ht="13.8" thickBot="1" x14ac:dyDescent="0.3">
      <c r="A97" s="3" t="s">
        <v>44</v>
      </c>
      <c r="C97" s="16"/>
      <c r="D97" s="107">
        <f>+D92-D95-D94</f>
        <v>483102.60000000021</v>
      </c>
      <c r="E97" s="28">
        <f t="shared" ref="E97:M97" si="12">+E95-E92</f>
        <v>0</v>
      </c>
      <c r="F97" s="28">
        <f t="shared" si="12"/>
        <v>0</v>
      </c>
      <c r="G97" s="28">
        <f t="shared" si="12"/>
        <v>0</v>
      </c>
      <c r="H97" s="28">
        <f t="shared" si="12"/>
        <v>0</v>
      </c>
      <c r="I97" s="28">
        <f t="shared" si="12"/>
        <v>0</v>
      </c>
      <c r="J97" s="28">
        <f t="shared" si="12"/>
        <v>0</v>
      </c>
      <c r="K97" s="28">
        <f t="shared" si="12"/>
        <v>0</v>
      </c>
      <c r="L97" s="28">
        <f t="shared" si="12"/>
        <v>0</v>
      </c>
      <c r="M97" s="28">
        <f t="shared" si="12"/>
        <v>0</v>
      </c>
      <c r="O97" s="2">
        <f t="shared" si="10"/>
        <v>483102.60000000021</v>
      </c>
    </row>
    <row r="98" spans="1:15" ht="13.8" thickTop="1" x14ac:dyDescent="0.25">
      <c r="C98" s="16"/>
      <c r="D98" s="99"/>
      <c r="G98" s="9"/>
    </row>
    <row r="99" spans="1:15" x14ac:dyDescent="0.25">
      <c r="A99" s="46" t="s">
        <v>181</v>
      </c>
      <c r="C99" s="16"/>
      <c r="D99" s="99"/>
      <c r="G99" s="9"/>
    </row>
    <row r="100" spans="1:15" x14ac:dyDescent="0.25">
      <c r="A100" s="16"/>
      <c r="C100" s="16"/>
      <c r="D100" s="99"/>
      <c r="G100" s="9"/>
    </row>
    <row r="101" spans="1:15" x14ac:dyDescent="0.25">
      <c r="C101" s="16"/>
      <c r="D101" s="99"/>
      <c r="G101" s="9"/>
    </row>
    <row r="102" spans="1:15" x14ac:dyDescent="0.25">
      <c r="C102" s="16"/>
      <c r="D102" s="99"/>
    </row>
    <row r="103" spans="1:15" x14ac:dyDescent="0.25">
      <c r="C103" s="16"/>
      <c r="D103" s="99"/>
    </row>
    <row r="104" spans="1:15" x14ac:dyDescent="0.25">
      <c r="C104" s="16"/>
      <c r="D104" s="99"/>
    </row>
    <row r="105" spans="1:15" x14ac:dyDescent="0.25">
      <c r="C105" s="16"/>
      <c r="D105" s="99"/>
    </row>
    <row r="106" spans="1:15" x14ac:dyDescent="0.25">
      <c r="C106" s="16"/>
      <c r="D106" s="99"/>
    </row>
    <row r="107" spans="1:15" x14ac:dyDescent="0.25">
      <c r="C107" s="16"/>
      <c r="D107" s="99"/>
    </row>
    <row r="108" spans="1:15" x14ac:dyDescent="0.25">
      <c r="C108" s="16"/>
      <c r="D108" s="99"/>
    </row>
    <row r="109" spans="1:15" x14ac:dyDescent="0.25">
      <c r="C109" s="16"/>
      <c r="D109" s="99"/>
    </row>
    <row r="110" spans="1:15" x14ac:dyDescent="0.25">
      <c r="C110" s="16"/>
      <c r="D110" s="99"/>
    </row>
    <row r="111" spans="1:15" x14ac:dyDescent="0.25">
      <c r="C111" s="16"/>
      <c r="D111" s="99"/>
    </row>
    <row r="112" spans="1:15" x14ac:dyDescent="0.25">
      <c r="C112" s="16"/>
      <c r="D112" s="99"/>
    </row>
    <row r="113" spans="3:4" x14ac:dyDescent="0.25">
      <c r="C113" s="16"/>
      <c r="D113" s="99"/>
    </row>
    <row r="114" spans="3:4" x14ac:dyDescent="0.25">
      <c r="C114" s="16"/>
      <c r="D114" s="99"/>
    </row>
    <row r="115" spans="3:4" x14ac:dyDescent="0.25">
      <c r="C115" s="16"/>
      <c r="D115" s="99"/>
    </row>
    <row r="116" spans="3:4" x14ac:dyDescent="0.25">
      <c r="C116" s="16"/>
      <c r="D116" s="99"/>
    </row>
    <row r="117" spans="3:4" x14ac:dyDescent="0.25">
      <c r="C117" s="5"/>
      <c r="D117" s="99"/>
    </row>
    <row r="118" spans="3:4" x14ac:dyDescent="0.25">
      <c r="C118" s="5"/>
      <c r="D118" s="99"/>
    </row>
    <row r="119" spans="3:4" x14ac:dyDescent="0.25">
      <c r="C119" s="5"/>
      <c r="D119" s="99"/>
    </row>
    <row r="120" spans="3:4" x14ac:dyDescent="0.25">
      <c r="C120" s="5"/>
      <c r="D120" s="99"/>
    </row>
    <row r="121" spans="3:4" x14ac:dyDescent="0.25">
      <c r="C121" s="5"/>
      <c r="D121" s="99"/>
    </row>
    <row r="122" spans="3:4" x14ac:dyDescent="0.25">
      <c r="C122" s="5"/>
      <c r="D122" s="99"/>
    </row>
    <row r="123" spans="3:4" x14ac:dyDescent="0.25">
      <c r="C123" s="5"/>
      <c r="D123" s="99"/>
    </row>
    <row r="124" spans="3:4" x14ac:dyDescent="0.25">
      <c r="C124" s="5"/>
      <c r="D124" s="99"/>
    </row>
    <row r="125" spans="3:4" x14ac:dyDescent="0.25">
      <c r="C125" s="5"/>
      <c r="D125" s="99"/>
    </row>
    <row r="126" spans="3:4" x14ac:dyDescent="0.25">
      <c r="C126" s="5"/>
      <c r="D126" s="99"/>
    </row>
    <row r="127" spans="3:4" x14ac:dyDescent="0.25">
      <c r="C127" s="5"/>
      <c r="D127" s="99"/>
    </row>
    <row r="128" spans="3:4" x14ac:dyDescent="0.25">
      <c r="C128" s="5"/>
      <c r="D128" s="99"/>
    </row>
    <row r="129" spans="3:4" x14ac:dyDescent="0.25">
      <c r="C129" s="5"/>
      <c r="D129" s="99"/>
    </row>
    <row r="130" spans="3:4" x14ac:dyDescent="0.25">
      <c r="C130" s="5"/>
      <c r="D130" s="99"/>
    </row>
    <row r="131" spans="3:4" x14ac:dyDescent="0.25">
      <c r="C131" s="5"/>
      <c r="D131" s="99"/>
    </row>
    <row r="132" spans="3:4" x14ac:dyDescent="0.25">
      <c r="C132" s="5"/>
      <c r="D132" s="99"/>
    </row>
    <row r="133" spans="3:4" x14ac:dyDescent="0.25">
      <c r="C133" s="5"/>
    </row>
    <row r="134" spans="3:4" x14ac:dyDescent="0.25">
      <c r="C134" s="5"/>
    </row>
    <row r="135" spans="3:4" x14ac:dyDescent="0.25">
      <c r="C135" s="5"/>
    </row>
    <row r="136" spans="3:4" x14ac:dyDescent="0.25">
      <c r="C136" s="5"/>
    </row>
    <row r="137" spans="3:4" x14ac:dyDescent="0.25">
      <c r="C137" s="5"/>
    </row>
    <row r="138" spans="3:4" x14ac:dyDescent="0.25">
      <c r="C138" s="5"/>
    </row>
    <row r="139" spans="3:4" x14ac:dyDescent="0.25">
      <c r="C139" s="5"/>
    </row>
    <row r="140" spans="3:4" x14ac:dyDescent="0.25">
      <c r="C140" s="5"/>
    </row>
    <row r="141" spans="3:4" x14ac:dyDescent="0.25">
      <c r="C141" s="5"/>
    </row>
    <row r="142" spans="3:4" x14ac:dyDescent="0.25">
      <c r="C142" s="5"/>
    </row>
    <row r="143" spans="3:4" x14ac:dyDescent="0.25">
      <c r="C143" s="5"/>
    </row>
    <row r="144" spans="3:4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  <row r="155" spans="3:3" x14ac:dyDescent="0.25">
      <c r="C155" s="5"/>
    </row>
    <row r="156" spans="3:3" x14ac:dyDescent="0.25">
      <c r="C156" s="5"/>
    </row>
    <row r="157" spans="3:3" x14ac:dyDescent="0.25">
      <c r="C157" s="5"/>
    </row>
    <row r="158" spans="3:3" x14ac:dyDescent="0.25">
      <c r="C158" s="5"/>
    </row>
    <row r="159" spans="3:3" x14ac:dyDescent="0.25">
      <c r="C159" s="5"/>
    </row>
    <row r="160" spans="3:3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</sheetData>
  <pageMargins left="0.75" right="0.75" top="1" bottom="1" header="0.5" footer="0.5"/>
  <pageSetup scale="5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3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23" sqref="D23"/>
    </sheetView>
  </sheetViews>
  <sheetFormatPr defaultColWidth="12.6640625" defaultRowHeight="13.2" x14ac:dyDescent="0.25"/>
  <cols>
    <col min="1" max="1" width="28.33203125" style="2" customWidth="1"/>
    <col min="2" max="2" width="12.6640625" style="2" customWidth="1"/>
    <col min="3" max="3" width="13" style="4" customWidth="1"/>
    <col min="4" max="4" width="15" style="2" customWidth="1"/>
    <col min="5" max="9" width="12.6640625" style="2" hidden="1" customWidth="1"/>
    <col min="10" max="10" width="13.6640625" style="2" hidden="1" customWidth="1"/>
    <col min="11" max="11" width="12.6640625" style="2" hidden="1" customWidth="1"/>
    <col min="12" max="13" width="14.109375" style="2" hidden="1" customWidth="1"/>
    <col min="14" max="15" width="12.6640625" style="2" hidden="1" customWidth="1"/>
    <col min="16" max="16384" width="12.6640625" style="2"/>
  </cols>
  <sheetData>
    <row r="1" spans="1:16" ht="15.6" x14ac:dyDescent="0.3">
      <c r="A1" s="1" t="s">
        <v>0</v>
      </c>
    </row>
    <row r="2" spans="1:16" x14ac:dyDescent="0.25">
      <c r="A2" s="12" t="s">
        <v>45</v>
      </c>
    </row>
    <row r="3" spans="1:16" x14ac:dyDescent="0.25">
      <c r="A3" s="2" t="s">
        <v>1</v>
      </c>
    </row>
    <row r="5" spans="1:16" x14ac:dyDescent="0.25">
      <c r="D5" s="10"/>
    </row>
    <row r="6" spans="1:16" ht="13.8" thickBot="1" x14ac:dyDescent="0.3">
      <c r="D6" s="11"/>
      <c r="O6" s="34" t="s">
        <v>128</v>
      </c>
    </row>
    <row r="7" spans="1:16" ht="13.8" thickBot="1" x14ac:dyDescent="0.3">
      <c r="C7" s="15" t="s">
        <v>12</v>
      </c>
      <c r="D7" s="13">
        <v>36739</v>
      </c>
      <c r="E7" s="13">
        <v>36617</v>
      </c>
      <c r="F7" s="13">
        <v>36647</v>
      </c>
      <c r="G7" s="13">
        <v>36678</v>
      </c>
      <c r="H7" s="13">
        <v>36708</v>
      </c>
      <c r="I7" s="13">
        <v>36739</v>
      </c>
      <c r="J7" s="13">
        <v>36770</v>
      </c>
      <c r="K7" s="13">
        <v>36800</v>
      </c>
      <c r="L7" s="13">
        <v>36831</v>
      </c>
      <c r="M7" s="13">
        <v>36861</v>
      </c>
      <c r="N7" s="14"/>
      <c r="O7" s="13" t="s">
        <v>129</v>
      </c>
      <c r="P7" s="14"/>
    </row>
    <row r="8" spans="1:16" x14ac:dyDescent="0.25">
      <c r="A8" s="3" t="s">
        <v>11</v>
      </c>
      <c r="D8" s="10"/>
    </row>
    <row r="9" spans="1:16" ht="8.25" customHeight="1" x14ac:dyDescent="0.25">
      <c r="C9" s="18"/>
    </row>
    <row r="10" spans="1:16" x14ac:dyDescent="0.25">
      <c r="A10" s="2" t="s">
        <v>71</v>
      </c>
      <c r="C10" s="16" t="s">
        <v>49</v>
      </c>
      <c r="D10" s="109">
        <v>2316228</v>
      </c>
      <c r="O10" s="2">
        <f>+D10</f>
        <v>2316228</v>
      </c>
    </row>
    <row r="11" spans="1:16" x14ac:dyDescent="0.25">
      <c r="A11" s="2" t="s">
        <v>51</v>
      </c>
      <c r="C11" s="16" t="s">
        <v>16</v>
      </c>
      <c r="D11" s="109">
        <v>34252723.950000003</v>
      </c>
      <c r="O11" s="2">
        <f t="shared" ref="O11:O65" si="0">+D11</f>
        <v>34252723.950000003</v>
      </c>
    </row>
    <row r="12" spans="1:16" x14ac:dyDescent="0.25">
      <c r="A12" s="2" t="s">
        <v>52</v>
      </c>
      <c r="C12" s="16" t="s">
        <v>17</v>
      </c>
      <c r="D12" s="109">
        <v>46004</v>
      </c>
      <c r="O12" s="2">
        <f t="shared" si="0"/>
        <v>46004</v>
      </c>
    </row>
    <row r="13" spans="1:16" x14ac:dyDescent="0.25">
      <c r="C13" s="16"/>
      <c r="O13" s="2">
        <f t="shared" si="0"/>
        <v>0</v>
      </c>
    </row>
    <row r="14" spans="1:16" ht="6.75" customHeight="1" x14ac:dyDescent="0.25">
      <c r="C14" s="16"/>
      <c r="O14" s="2">
        <f t="shared" si="0"/>
        <v>0</v>
      </c>
    </row>
    <row r="15" spans="1:16" ht="13.8" thickBot="1" x14ac:dyDescent="0.3">
      <c r="A15" s="3" t="s">
        <v>23</v>
      </c>
      <c r="C15" s="16"/>
      <c r="D15" s="110">
        <f>SUM(D9:D14)</f>
        <v>36614955.950000003</v>
      </c>
      <c r="E15" s="8">
        <f t="shared" ref="E15:M15" si="1">SUM(E9:E14)</f>
        <v>0</v>
      </c>
      <c r="F15" s="8">
        <f t="shared" si="1"/>
        <v>0</v>
      </c>
      <c r="G15" s="8">
        <f t="shared" si="1"/>
        <v>0</v>
      </c>
      <c r="H15" s="8">
        <f t="shared" si="1"/>
        <v>0</v>
      </c>
      <c r="I15" s="8">
        <f t="shared" si="1"/>
        <v>0</v>
      </c>
      <c r="J15" s="8">
        <f t="shared" si="1"/>
        <v>0</v>
      </c>
      <c r="K15" s="8">
        <f t="shared" si="1"/>
        <v>0</v>
      </c>
      <c r="L15" s="8">
        <f t="shared" si="1"/>
        <v>0</v>
      </c>
      <c r="M15" s="8">
        <f t="shared" si="1"/>
        <v>0</v>
      </c>
      <c r="O15" s="2">
        <f t="shared" si="0"/>
        <v>36614955.950000003</v>
      </c>
    </row>
    <row r="16" spans="1:16" ht="13.8" thickTop="1" x14ac:dyDescent="0.25">
      <c r="C16" s="16"/>
      <c r="O16" s="2">
        <f t="shared" si="0"/>
        <v>0</v>
      </c>
    </row>
    <row r="17" spans="1:15" x14ac:dyDescent="0.25">
      <c r="A17" s="3" t="s">
        <v>24</v>
      </c>
      <c r="C17" s="16"/>
      <c r="O17" s="2">
        <f t="shared" si="0"/>
        <v>0</v>
      </c>
    </row>
    <row r="18" spans="1:15" x14ac:dyDescent="0.25">
      <c r="C18" s="16"/>
      <c r="O18" s="2">
        <f t="shared" si="0"/>
        <v>0</v>
      </c>
    </row>
    <row r="19" spans="1:15" x14ac:dyDescent="0.25">
      <c r="A19" s="2" t="s">
        <v>53</v>
      </c>
      <c r="C19" s="16" t="s">
        <v>13</v>
      </c>
      <c r="D19" s="109">
        <v>4034541</v>
      </c>
      <c r="O19" s="2">
        <f t="shared" si="0"/>
        <v>4034541</v>
      </c>
    </row>
    <row r="20" spans="1:15" x14ac:dyDescent="0.25">
      <c r="A20" s="2" t="s">
        <v>54</v>
      </c>
      <c r="C20" s="16" t="s">
        <v>15</v>
      </c>
      <c r="D20" s="109">
        <v>1550575</v>
      </c>
      <c r="O20" s="2">
        <f t="shared" si="0"/>
        <v>1550575</v>
      </c>
    </row>
    <row r="21" spans="1:15" x14ac:dyDescent="0.25">
      <c r="A21" s="2" t="s">
        <v>21</v>
      </c>
      <c r="C21" s="16" t="s">
        <v>22</v>
      </c>
      <c r="D21" s="109">
        <v>4216.16</v>
      </c>
      <c r="O21" s="2">
        <f t="shared" si="0"/>
        <v>4216.16</v>
      </c>
    </row>
    <row r="22" spans="1:15" x14ac:dyDescent="0.25">
      <c r="A22" s="2" t="s">
        <v>175</v>
      </c>
      <c r="C22" s="17" t="s">
        <v>176</v>
      </c>
      <c r="D22" s="2">
        <v>0</v>
      </c>
    </row>
    <row r="23" spans="1:15" x14ac:dyDescent="0.25">
      <c r="A23" s="2" t="s">
        <v>172</v>
      </c>
      <c r="C23" s="16" t="s">
        <v>173</v>
      </c>
      <c r="D23" s="2">
        <v>0</v>
      </c>
      <c r="O23" s="2">
        <f t="shared" si="0"/>
        <v>0</v>
      </c>
    </row>
    <row r="24" spans="1:15" ht="7.5" customHeight="1" x14ac:dyDescent="0.25">
      <c r="A24" s="3"/>
      <c r="C24" s="16"/>
      <c r="O24" s="2">
        <f t="shared" si="0"/>
        <v>0</v>
      </c>
    </row>
    <row r="25" spans="1:15" x14ac:dyDescent="0.25">
      <c r="A25" s="3" t="s">
        <v>25</v>
      </c>
      <c r="C25" s="16"/>
      <c r="D25" s="6">
        <f t="shared" ref="D25:M25" si="2">SUM(D18:D24)</f>
        <v>5589332.1600000001</v>
      </c>
      <c r="E25" s="6">
        <f t="shared" si="2"/>
        <v>0</v>
      </c>
      <c r="F25" s="6">
        <f t="shared" si="2"/>
        <v>0</v>
      </c>
      <c r="G25" s="6">
        <f t="shared" si="2"/>
        <v>0</v>
      </c>
      <c r="H25" s="6">
        <f t="shared" si="2"/>
        <v>0</v>
      </c>
      <c r="I25" s="6">
        <f t="shared" si="2"/>
        <v>0</v>
      </c>
      <c r="J25" s="6">
        <f t="shared" si="2"/>
        <v>0</v>
      </c>
      <c r="K25" s="6">
        <f t="shared" si="2"/>
        <v>0</v>
      </c>
      <c r="L25" s="6">
        <f t="shared" si="2"/>
        <v>0</v>
      </c>
      <c r="M25" s="6">
        <f t="shared" si="2"/>
        <v>0</v>
      </c>
      <c r="O25" s="2">
        <f t="shared" si="0"/>
        <v>5589332.1600000001</v>
      </c>
    </row>
    <row r="26" spans="1:15" x14ac:dyDescent="0.25">
      <c r="C26" s="16"/>
      <c r="O26" s="2">
        <f t="shared" si="0"/>
        <v>0</v>
      </c>
    </row>
    <row r="27" spans="1:15" x14ac:dyDescent="0.25">
      <c r="C27" s="16"/>
      <c r="O27" s="2">
        <f t="shared" si="0"/>
        <v>0</v>
      </c>
    </row>
    <row r="28" spans="1:15" x14ac:dyDescent="0.25">
      <c r="A28" s="2" t="s">
        <v>18</v>
      </c>
      <c r="C28" s="17" t="s">
        <v>19</v>
      </c>
      <c r="D28" s="2">
        <f>29751121.09+(0.9999*D62)</f>
        <v>31022521.777215999</v>
      </c>
      <c r="O28" s="2">
        <f t="shared" si="0"/>
        <v>31022521.777215999</v>
      </c>
    </row>
    <row r="29" spans="1:15" x14ac:dyDescent="0.25">
      <c r="A29" s="2" t="s">
        <v>18</v>
      </c>
      <c r="C29" s="17" t="s">
        <v>20</v>
      </c>
      <c r="D29" s="2">
        <f>2974.86+(0.0001*D62)</f>
        <v>3102.012784</v>
      </c>
      <c r="O29" s="2">
        <f t="shared" si="0"/>
        <v>3102.012784</v>
      </c>
    </row>
    <row r="30" spans="1:15" ht="6.75" customHeight="1" x14ac:dyDescent="0.25">
      <c r="C30" s="16"/>
      <c r="O30" s="2">
        <f t="shared" si="0"/>
        <v>0</v>
      </c>
    </row>
    <row r="31" spans="1:15" x14ac:dyDescent="0.25">
      <c r="A31" s="3" t="s">
        <v>26</v>
      </c>
      <c r="C31" s="16"/>
      <c r="D31" s="6">
        <f t="shared" ref="D31:M31" si="3">SUM(D26:D30)</f>
        <v>31025623.789999999</v>
      </c>
      <c r="E31" s="6">
        <f t="shared" si="3"/>
        <v>0</v>
      </c>
      <c r="F31" s="6">
        <f t="shared" si="3"/>
        <v>0</v>
      </c>
      <c r="G31" s="6">
        <f t="shared" si="3"/>
        <v>0</v>
      </c>
      <c r="H31" s="6">
        <f t="shared" si="3"/>
        <v>0</v>
      </c>
      <c r="I31" s="6">
        <f t="shared" si="3"/>
        <v>0</v>
      </c>
      <c r="J31" s="6">
        <f t="shared" si="3"/>
        <v>0</v>
      </c>
      <c r="K31" s="6">
        <f t="shared" si="3"/>
        <v>0</v>
      </c>
      <c r="L31" s="6">
        <f t="shared" si="3"/>
        <v>0</v>
      </c>
      <c r="M31" s="6">
        <f t="shared" si="3"/>
        <v>0</v>
      </c>
      <c r="O31" s="2">
        <f t="shared" si="0"/>
        <v>31025623.789999999</v>
      </c>
    </row>
    <row r="32" spans="1:15" ht="6.75" customHeight="1" x14ac:dyDescent="0.25">
      <c r="C32" s="16"/>
      <c r="O32" s="2">
        <f t="shared" si="0"/>
        <v>0</v>
      </c>
    </row>
    <row r="33" spans="1:15" ht="13.8" thickBot="1" x14ac:dyDescent="0.3">
      <c r="A33" s="3" t="s">
        <v>27</v>
      </c>
      <c r="C33" s="16"/>
      <c r="D33" s="110">
        <f t="shared" ref="D33:M33" si="4">+D31+D25</f>
        <v>36614955.950000003</v>
      </c>
      <c r="E33" s="8">
        <f t="shared" si="4"/>
        <v>0</v>
      </c>
      <c r="F33" s="8">
        <f t="shared" si="4"/>
        <v>0</v>
      </c>
      <c r="G33" s="8">
        <f t="shared" si="4"/>
        <v>0</v>
      </c>
      <c r="H33" s="8">
        <f t="shared" si="4"/>
        <v>0</v>
      </c>
      <c r="I33" s="8">
        <f t="shared" si="4"/>
        <v>0</v>
      </c>
      <c r="J33" s="8">
        <f t="shared" si="4"/>
        <v>0</v>
      </c>
      <c r="K33" s="8">
        <f t="shared" si="4"/>
        <v>0</v>
      </c>
      <c r="L33" s="8">
        <f t="shared" si="4"/>
        <v>0</v>
      </c>
      <c r="M33" s="8">
        <f t="shared" si="4"/>
        <v>0</v>
      </c>
      <c r="O33" s="2">
        <f t="shared" si="0"/>
        <v>36614955.950000003</v>
      </c>
    </row>
    <row r="34" spans="1:15" ht="13.8" thickTop="1" x14ac:dyDescent="0.25">
      <c r="C34" s="16"/>
      <c r="O34" s="2">
        <f t="shared" si="0"/>
        <v>0</v>
      </c>
    </row>
    <row r="35" spans="1:15" x14ac:dyDescent="0.25">
      <c r="A35" s="2" t="s">
        <v>28</v>
      </c>
      <c r="C35" s="16"/>
      <c r="D35" s="2">
        <f>+D15-D33</f>
        <v>0</v>
      </c>
      <c r="O35" s="2">
        <f t="shared" si="0"/>
        <v>0</v>
      </c>
    </row>
    <row r="36" spans="1:15" x14ac:dyDescent="0.25">
      <c r="C36" s="16"/>
      <c r="O36" s="2">
        <f t="shared" si="0"/>
        <v>0</v>
      </c>
    </row>
    <row r="37" spans="1:15" x14ac:dyDescent="0.25">
      <c r="A37" s="2" t="s">
        <v>46</v>
      </c>
      <c r="C37" s="16"/>
      <c r="O37" s="2">
        <f t="shared" si="0"/>
        <v>0</v>
      </c>
    </row>
    <row r="38" spans="1:15" x14ac:dyDescent="0.25">
      <c r="C38" s="16"/>
      <c r="O38" s="2">
        <f t="shared" si="0"/>
        <v>0</v>
      </c>
    </row>
    <row r="39" spans="1:15" x14ac:dyDescent="0.25">
      <c r="C39" s="16"/>
      <c r="O39" s="2">
        <f t="shared" si="0"/>
        <v>0</v>
      </c>
    </row>
    <row r="40" spans="1:15" x14ac:dyDescent="0.25">
      <c r="A40" s="3" t="s">
        <v>30</v>
      </c>
      <c r="C40" s="16"/>
      <c r="O40" s="2">
        <f t="shared" si="0"/>
        <v>0</v>
      </c>
    </row>
    <row r="41" spans="1:15" x14ac:dyDescent="0.25">
      <c r="A41" s="2" t="s">
        <v>47</v>
      </c>
      <c r="C41" s="16"/>
      <c r="O41" s="2">
        <f t="shared" si="0"/>
        <v>0</v>
      </c>
    </row>
    <row r="42" spans="1:15" x14ac:dyDescent="0.25">
      <c r="A42" s="2" t="s">
        <v>32</v>
      </c>
      <c r="C42" s="16" t="s">
        <v>40</v>
      </c>
      <c r="D42" s="109">
        <v>2016296</v>
      </c>
      <c r="O42" s="2">
        <f t="shared" si="0"/>
        <v>2016296</v>
      </c>
    </row>
    <row r="43" spans="1:15" x14ac:dyDescent="0.25">
      <c r="A43" s="2" t="s">
        <v>29</v>
      </c>
      <c r="C43" s="16"/>
      <c r="O43" s="2">
        <f t="shared" si="0"/>
        <v>0</v>
      </c>
    </row>
    <row r="44" spans="1:15" x14ac:dyDescent="0.25">
      <c r="A44" s="2" t="s">
        <v>34</v>
      </c>
      <c r="C44" s="16" t="s">
        <v>41</v>
      </c>
      <c r="D44" s="109">
        <v>376.84</v>
      </c>
      <c r="O44" s="2">
        <f t="shared" si="0"/>
        <v>376.84</v>
      </c>
    </row>
    <row r="45" spans="1:15" x14ac:dyDescent="0.25">
      <c r="C45" s="16"/>
      <c r="O45" s="2">
        <f t="shared" si="0"/>
        <v>0</v>
      </c>
    </row>
    <row r="46" spans="1:15" x14ac:dyDescent="0.25">
      <c r="A46" s="3" t="s">
        <v>36</v>
      </c>
      <c r="C46" s="16"/>
      <c r="D46" s="6">
        <f>SUM(D40:D45)</f>
        <v>2016672.84</v>
      </c>
      <c r="O46" s="2">
        <f t="shared" si="0"/>
        <v>2016672.84</v>
      </c>
    </row>
    <row r="47" spans="1:15" x14ac:dyDescent="0.25">
      <c r="A47" s="3"/>
      <c r="C47" s="16"/>
      <c r="D47" s="9"/>
      <c r="O47" s="2">
        <f t="shared" si="0"/>
        <v>0</v>
      </c>
    </row>
    <row r="48" spans="1:15" x14ac:dyDescent="0.25">
      <c r="A48" s="3"/>
      <c r="C48" s="16"/>
      <c r="D48" s="9"/>
      <c r="O48" s="2">
        <f t="shared" si="0"/>
        <v>0</v>
      </c>
    </row>
    <row r="49" spans="1:15" x14ac:dyDescent="0.25">
      <c r="A49" s="2" t="s">
        <v>35</v>
      </c>
      <c r="C49" s="16"/>
      <c r="D49" s="9">
        <v>0</v>
      </c>
      <c r="O49" s="2">
        <f t="shared" si="0"/>
        <v>0</v>
      </c>
    </row>
    <row r="50" spans="1:15" x14ac:dyDescent="0.25">
      <c r="C50" s="16"/>
      <c r="D50" s="9"/>
      <c r="O50" s="2">
        <f t="shared" si="0"/>
        <v>0</v>
      </c>
    </row>
    <row r="51" spans="1:15" x14ac:dyDescent="0.25">
      <c r="A51" s="3" t="s">
        <v>37</v>
      </c>
      <c r="C51" s="16"/>
      <c r="D51" s="6">
        <f>SUM(D48:D50)</f>
        <v>0</v>
      </c>
      <c r="O51" s="2">
        <f t="shared" si="0"/>
        <v>0</v>
      </c>
    </row>
    <row r="52" spans="1:15" x14ac:dyDescent="0.25">
      <c r="A52" s="3"/>
      <c r="C52" s="16"/>
      <c r="D52" s="9"/>
      <c r="O52" s="2">
        <f t="shared" si="0"/>
        <v>0</v>
      </c>
    </row>
    <row r="53" spans="1:15" x14ac:dyDescent="0.25">
      <c r="A53" s="3" t="s">
        <v>38</v>
      </c>
      <c r="C53" s="16"/>
      <c r="D53" s="6">
        <f>+D46-D51</f>
        <v>2016672.84</v>
      </c>
      <c r="O53" s="2">
        <f t="shared" si="0"/>
        <v>2016672.84</v>
      </c>
    </row>
    <row r="54" spans="1:15" x14ac:dyDescent="0.25">
      <c r="A54" s="3"/>
      <c r="C54" s="16"/>
      <c r="D54" s="9"/>
      <c r="O54" s="2">
        <f t="shared" si="0"/>
        <v>0</v>
      </c>
    </row>
    <row r="55" spans="1:15" x14ac:dyDescent="0.25">
      <c r="A55" s="2" t="s">
        <v>33</v>
      </c>
      <c r="C55" s="16" t="s">
        <v>42</v>
      </c>
      <c r="D55" s="109">
        <v>144125</v>
      </c>
      <c r="O55" s="2">
        <f t="shared" si="0"/>
        <v>144125</v>
      </c>
    </row>
    <row r="56" spans="1:15" x14ac:dyDescent="0.25">
      <c r="C56" s="16"/>
      <c r="O56" s="2">
        <f t="shared" si="0"/>
        <v>0</v>
      </c>
    </row>
    <row r="57" spans="1:15" x14ac:dyDescent="0.25">
      <c r="A57" s="3" t="s">
        <v>39</v>
      </c>
      <c r="C57" s="16"/>
      <c r="D57" s="6">
        <f>+D53-D55</f>
        <v>1872547.8400000001</v>
      </c>
      <c r="O57" s="2">
        <f t="shared" si="0"/>
        <v>1872547.8400000001</v>
      </c>
    </row>
    <row r="58" spans="1:15" x14ac:dyDescent="0.25">
      <c r="A58" s="3"/>
      <c r="C58" s="16"/>
      <c r="D58" s="9"/>
    </row>
    <row r="59" spans="1:15" x14ac:dyDescent="0.25">
      <c r="A59" s="2" t="s">
        <v>177</v>
      </c>
      <c r="C59" s="16" t="s">
        <v>178</v>
      </c>
      <c r="D59" s="2">
        <v>0</v>
      </c>
      <c r="O59" s="2">
        <f t="shared" si="0"/>
        <v>0</v>
      </c>
    </row>
    <row r="60" spans="1:15" x14ac:dyDescent="0.25">
      <c r="A60" s="2" t="s">
        <v>31</v>
      </c>
      <c r="C60" s="16" t="s">
        <v>43</v>
      </c>
      <c r="D60" s="109">
        <v>-601020</v>
      </c>
      <c r="O60" s="2">
        <f t="shared" si="0"/>
        <v>-601020</v>
      </c>
    </row>
    <row r="61" spans="1:15" x14ac:dyDescent="0.25">
      <c r="C61" s="16"/>
      <c r="O61" s="2">
        <f t="shared" si="0"/>
        <v>0</v>
      </c>
    </row>
    <row r="62" spans="1:15" ht="13.8" thickBot="1" x14ac:dyDescent="0.3">
      <c r="A62" s="3" t="s">
        <v>44</v>
      </c>
      <c r="C62" s="16"/>
      <c r="D62" s="7">
        <f>+D57+D60+D59</f>
        <v>1271527.8400000001</v>
      </c>
      <c r="O62" s="2">
        <f t="shared" si="0"/>
        <v>1271527.8400000001</v>
      </c>
    </row>
    <row r="63" spans="1:15" ht="13.8" thickTop="1" x14ac:dyDescent="0.25">
      <c r="C63" s="16"/>
      <c r="O63" s="2">
        <f t="shared" si="0"/>
        <v>0</v>
      </c>
    </row>
    <row r="64" spans="1:15" x14ac:dyDescent="0.25">
      <c r="C64" s="16"/>
      <c r="O64" s="2">
        <f t="shared" si="0"/>
        <v>0</v>
      </c>
    </row>
    <row r="65" spans="3:15" x14ac:dyDescent="0.25">
      <c r="C65" s="16"/>
      <c r="O65" s="2">
        <f t="shared" si="0"/>
        <v>0</v>
      </c>
    </row>
    <row r="66" spans="3:15" x14ac:dyDescent="0.25">
      <c r="C66" s="16"/>
    </row>
    <row r="67" spans="3:15" x14ac:dyDescent="0.25">
      <c r="C67" s="16"/>
    </row>
    <row r="68" spans="3:15" x14ac:dyDescent="0.25">
      <c r="C68" s="16"/>
    </row>
    <row r="69" spans="3:15" x14ac:dyDescent="0.25">
      <c r="C69" s="16"/>
    </row>
    <row r="70" spans="3:15" x14ac:dyDescent="0.25">
      <c r="C70" s="16"/>
    </row>
    <row r="71" spans="3:15" x14ac:dyDescent="0.25">
      <c r="C71" s="16"/>
    </row>
    <row r="72" spans="3:15" x14ac:dyDescent="0.25">
      <c r="C72" s="16"/>
    </row>
    <row r="73" spans="3:15" x14ac:dyDescent="0.25">
      <c r="C73" s="16"/>
    </row>
    <row r="74" spans="3:15" x14ac:dyDescent="0.25">
      <c r="C74" s="16"/>
    </row>
    <row r="75" spans="3:15" x14ac:dyDescent="0.25">
      <c r="C75" s="16"/>
    </row>
    <row r="76" spans="3:15" x14ac:dyDescent="0.25">
      <c r="C76" s="16"/>
    </row>
    <row r="77" spans="3:15" x14ac:dyDescent="0.25">
      <c r="C77" s="16"/>
    </row>
    <row r="78" spans="3:15" x14ac:dyDescent="0.25">
      <c r="C78" s="16"/>
    </row>
    <row r="79" spans="3:15" x14ac:dyDescent="0.25">
      <c r="C79" s="16"/>
    </row>
    <row r="80" spans="3:15" x14ac:dyDescent="0.25">
      <c r="C80" s="16"/>
    </row>
    <row r="81" spans="3:3" x14ac:dyDescent="0.25">
      <c r="C81" s="16"/>
    </row>
    <row r="82" spans="3:3" x14ac:dyDescent="0.25">
      <c r="C82" s="16"/>
    </row>
    <row r="83" spans="3:3" x14ac:dyDescent="0.25">
      <c r="C83" s="16"/>
    </row>
    <row r="84" spans="3:3" x14ac:dyDescent="0.25">
      <c r="C84" s="16"/>
    </row>
    <row r="85" spans="3:3" x14ac:dyDescent="0.25">
      <c r="C85" s="16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  <row r="155" spans="3:3" x14ac:dyDescent="0.25">
      <c r="C155" s="5"/>
    </row>
    <row r="156" spans="3:3" x14ac:dyDescent="0.25">
      <c r="C156" s="5"/>
    </row>
    <row r="157" spans="3:3" x14ac:dyDescent="0.25">
      <c r="C157" s="5"/>
    </row>
    <row r="158" spans="3:3" x14ac:dyDescent="0.25">
      <c r="C158" s="5"/>
    </row>
    <row r="159" spans="3:3" x14ac:dyDescent="0.25">
      <c r="C159" s="5"/>
    </row>
    <row r="160" spans="3:3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</sheetData>
  <pageMargins left="0.75" right="0.75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1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14" sqref="D14"/>
    </sheetView>
  </sheetViews>
  <sheetFormatPr defaultColWidth="12.6640625" defaultRowHeight="13.2" x14ac:dyDescent="0.25"/>
  <cols>
    <col min="1" max="1" width="28.33203125" style="2" customWidth="1"/>
    <col min="2" max="2" width="12.6640625" style="2" customWidth="1"/>
    <col min="3" max="3" width="13" style="4" customWidth="1"/>
    <col min="4" max="4" width="13.33203125" style="2" customWidth="1"/>
    <col min="5" max="9" width="12.6640625" style="2" hidden="1" customWidth="1"/>
    <col min="10" max="10" width="13.6640625" style="2" hidden="1" customWidth="1"/>
    <col min="11" max="11" width="12.6640625" style="2" hidden="1" customWidth="1"/>
    <col min="12" max="13" width="14.109375" style="2" hidden="1" customWidth="1"/>
    <col min="14" max="15" width="12.6640625" style="2" hidden="1" customWidth="1"/>
    <col min="16" max="16384" width="12.6640625" style="2"/>
  </cols>
  <sheetData>
    <row r="1" spans="1:16" ht="15.6" x14ac:dyDescent="0.3">
      <c r="A1" s="1" t="s">
        <v>0</v>
      </c>
    </row>
    <row r="2" spans="1:16" x14ac:dyDescent="0.25">
      <c r="A2" s="12" t="s">
        <v>48</v>
      </c>
    </row>
    <row r="3" spans="1:16" x14ac:dyDescent="0.25">
      <c r="A3" s="2" t="s">
        <v>1</v>
      </c>
    </row>
    <row r="5" spans="1:16" x14ac:dyDescent="0.25">
      <c r="D5" s="10"/>
    </row>
    <row r="6" spans="1:16" ht="13.8" thickBot="1" x14ac:dyDescent="0.3">
      <c r="D6" s="11"/>
      <c r="O6" s="34" t="s">
        <v>128</v>
      </c>
    </row>
    <row r="7" spans="1:16" ht="13.8" thickBot="1" x14ac:dyDescent="0.3">
      <c r="C7" s="15" t="s">
        <v>12</v>
      </c>
      <c r="D7" s="13" t="s">
        <v>197</v>
      </c>
      <c r="E7" s="13">
        <v>36617</v>
      </c>
      <c r="F7" s="13">
        <v>36647</v>
      </c>
      <c r="G7" s="13">
        <v>36678</v>
      </c>
      <c r="H7" s="13">
        <v>36708</v>
      </c>
      <c r="I7" s="13">
        <v>36739</v>
      </c>
      <c r="J7" s="13">
        <v>36770</v>
      </c>
      <c r="K7" s="13">
        <v>36800</v>
      </c>
      <c r="L7" s="13">
        <v>36831</v>
      </c>
      <c r="M7" s="13">
        <v>36861</v>
      </c>
      <c r="N7" s="14"/>
      <c r="O7" s="13" t="s">
        <v>129</v>
      </c>
      <c r="P7" s="14"/>
    </row>
    <row r="8" spans="1:16" x14ac:dyDescent="0.25">
      <c r="A8" s="3" t="s">
        <v>11</v>
      </c>
      <c r="D8" s="10"/>
      <c r="O8" s="2">
        <f>+D8</f>
        <v>0</v>
      </c>
    </row>
    <row r="9" spans="1:16" ht="8.25" customHeight="1" x14ac:dyDescent="0.25">
      <c r="O9" s="2">
        <f t="shared" ref="O9:O77" si="0">+D9</f>
        <v>0</v>
      </c>
    </row>
    <row r="10" spans="1:16" x14ac:dyDescent="0.25">
      <c r="D10" s="20"/>
      <c r="O10" s="2">
        <f t="shared" si="0"/>
        <v>0</v>
      </c>
    </row>
    <row r="11" spans="1:16" x14ac:dyDescent="0.25">
      <c r="A11" s="2" t="s">
        <v>72</v>
      </c>
      <c r="C11" s="16" t="s">
        <v>50</v>
      </c>
      <c r="D11" s="109">
        <v>2817410</v>
      </c>
      <c r="O11" s="2">
        <f t="shared" si="0"/>
        <v>2817410</v>
      </c>
    </row>
    <row r="12" spans="1:16" x14ac:dyDescent="0.25">
      <c r="A12" s="2" t="s">
        <v>51</v>
      </c>
      <c r="C12" s="16" t="s">
        <v>16</v>
      </c>
      <c r="D12" s="109">
        <f>18367295.29</f>
        <v>18367295.289999999</v>
      </c>
      <c r="O12" s="2">
        <f t="shared" si="0"/>
        <v>18367295.289999999</v>
      </c>
    </row>
    <row r="13" spans="1:16" x14ac:dyDescent="0.25">
      <c r="A13" s="2" t="s">
        <v>52</v>
      </c>
      <c r="C13" s="16" t="s">
        <v>17</v>
      </c>
      <c r="D13" s="20">
        <v>0</v>
      </c>
      <c r="O13" s="2">
        <f t="shared" si="0"/>
        <v>0</v>
      </c>
    </row>
    <row r="14" spans="1:16" x14ac:dyDescent="0.25">
      <c r="A14" s="2" t="s">
        <v>62</v>
      </c>
      <c r="C14" s="16" t="s">
        <v>63</v>
      </c>
      <c r="D14" s="109">
        <v>44594.43</v>
      </c>
      <c r="O14" s="2">
        <f t="shared" si="0"/>
        <v>44594.43</v>
      </c>
    </row>
    <row r="15" spans="1:16" x14ac:dyDescent="0.25">
      <c r="C15" s="16"/>
      <c r="D15" s="20"/>
      <c r="O15" s="2">
        <f t="shared" si="0"/>
        <v>0</v>
      </c>
    </row>
    <row r="16" spans="1:16" ht="6.75" customHeight="1" x14ac:dyDescent="0.25">
      <c r="C16" s="16"/>
      <c r="D16" s="20"/>
      <c r="O16" s="2">
        <f t="shared" si="0"/>
        <v>0</v>
      </c>
    </row>
    <row r="17" spans="1:15" ht="13.8" thickBot="1" x14ac:dyDescent="0.3">
      <c r="A17" s="3" t="s">
        <v>23</v>
      </c>
      <c r="C17" s="16"/>
      <c r="D17" s="21">
        <f>SUM(D9:D16)</f>
        <v>21229299.719999999</v>
      </c>
      <c r="E17" s="8">
        <f t="shared" ref="E17:M17" si="1">SUM(E9:E16)</f>
        <v>0</v>
      </c>
      <c r="F17" s="8">
        <f t="shared" si="1"/>
        <v>0</v>
      </c>
      <c r="G17" s="8">
        <f t="shared" si="1"/>
        <v>0</v>
      </c>
      <c r="H17" s="8">
        <f t="shared" si="1"/>
        <v>0</v>
      </c>
      <c r="I17" s="8">
        <f t="shared" si="1"/>
        <v>0</v>
      </c>
      <c r="J17" s="8">
        <f t="shared" si="1"/>
        <v>0</v>
      </c>
      <c r="K17" s="8">
        <f t="shared" si="1"/>
        <v>0</v>
      </c>
      <c r="L17" s="8">
        <f t="shared" si="1"/>
        <v>0</v>
      </c>
      <c r="M17" s="8">
        <f t="shared" si="1"/>
        <v>0</v>
      </c>
      <c r="O17" s="2">
        <f t="shared" si="0"/>
        <v>21229299.719999999</v>
      </c>
    </row>
    <row r="18" spans="1:15" ht="13.8" thickTop="1" x14ac:dyDescent="0.25">
      <c r="C18" s="16"/>
      <c r="D18" s="20"/>
      <c r="O18" s="2">
        <f t="shared" si="0"/>
        <v>0</v>
      </c>
    </row>
    <row r="19" spans="1:15" x14ac:dyDescent="0.25">
      <c r="A19" s="3" t="s">
        <v>24</v>
      </c>
      <c r="C19" s="16"/>
      <c r="D19" s="20"/>
      <c r="O19" s="2">
        <f t="shared" si="0"/>
        <v>0</v>
      </c>
    </row>
    <row r="20" spans="1:15" ht="12" customHeight="1" x14ac:dyDescent="0.25">
      <c r="C20" s="16"/>
      <c r="D20" s="20"/>
      <c r="O20" s="2">
        <f t="shared" si="0"/>
        <v>0</v>
      </c>
    </row>
    <row r="21" spans="1:15" x14ac:dyDescent="0.25">
      <c r="A21" s="2" t="s">
        <v>53</v>
      </c>
      <c r="C21" s="16" t="s">
        <v>13</v>
      </c>
      <c r="D21" s="109">
        <f>4538944-8545</f>
        <v>4530399</v>
      </c>
      <c r="O21" s="2">
        <f t="shared" si="0"/>
        <v>4530399</v>
      </c>
    </row>
    <row r="22" spans="1:15" x14ac:dyDescent="0.25">
      <c r="A22" s="2" t="s">
        <v>55</v>
      </c>
      <c r="C22" s="16" t="s">
        <v>14</v>
      </c>
      <c r="D22" s="109">
        <v>182373.7</v>
      </c>
      <c r="O22" s="2">
        <f t="shared" si="0"/>
        <v>182373.7</v>
      </c>
    </row>
    <row r="23" spans="1:15" x14ac:dyDescent="0.25">
      <c r="A23" s="2" t="s">
        <v>57</v>
      </c>
      <c r="C23" s="16" t="s">
        <v>56</v>
      </c>
      <c r="D23" s="109">
        <v>25552.54</v>
      </c>
      <c r="O23" s="2">
        <f t="shared" si="0"/>
        <v>25552.54</v>
      </c>
    </row>
    <row r="24" spans="1:15" x14ac:dyDescent="0.25">
      <c r="A24" s="2" t="s">
        <v>61</v>
      </c>
      <c r="C24" s="16" t="s">
        <v>60</v>
      </c>
      <c r="D24" s="109">
        <v>561.70000000000005</v>
      </c>
      <c r="O24" s="2">
        <f t="shared" si="0"/>
        <v>561.70000000000005</v>
      </c>
    </row>
    <row r="25" spans="1:15" x14ac:dyDescent="0.25">
      <c r="A25" s="2" t="s">
        <v>59</v>
      </c>
      <c r="C25" s="16" t="s">
        <v>58</v>
      </c>
      <c r="D25" s="109">
        <v>965909</v>
      </c>
      <c r="O25" s="2">
        <f t="shared" si="0"/>
        <v>965909</v>
      </c>
    </row>
    <row r="26" spans="1:15" x14ac:dyDescent="0.25">
      <c r="A26" s="2" t="s">
        <v>196</v>
      </c>
      <c r="C26" s="16"/>
      <c r="D26" s="109">
        <v>17500</v>
      </c>
    </row>
    <row r="27" spans="1:15" x14ac:dyDescent="0.25">
      <c r="A27" s="2" t="s">
        <v>300</v>
      </c>
      <c r="C27" s="16"/>
      <c r="D27" s="109">
        <v>3703.49</v>
      </c>
    </row>
    <row r="28" spans="1:15" x14ac:dyDescent="0.25">
      <c r="A28" s="2" t="s">
        <v>172</v>
      </c>
      <c r="C28" s="16" t="s">
        <v>173</v>
      </c>
      <c r="D28" s="109">
        <v>16267.5</v>
      </c>
    </row>
    <row r="29" spans="1:15" x14ac:dyDescent="0.25">
      <c r="A29" s="2" t="s">
        <v>21</v>
      </c>
      <c r="C29" s="16" t="s">
        <v>22</v>
      </c>
      <c r="D29" s="109">
        <v>2626.04</v>
      </c>
      <c r="O29" s="2">
        <f t="shared" si="0"/>
        <v>2626.04</v>
      </c>
    </row>
    <row r="30" spans="1:15" x14ac:dyDescent="0.25">
      <c r="A30" s="2" t="s">
        <v>175</v>
      </c>
      <c r="C30" s="17" t="s">
        <v>176</v>
      </c>
      <c r="D30" s="20">
        <v>0</v>
      </c>
    </row>
    <row r="31" spans="1:15" x14ac:dyDescent="0.25">
      <c r="A31" s="2" t="s">
        <v>66</v>
      </c>
      <c r="C31" s="16" t="s">
        <v>67</v>
      </c>
      <c r="D31" s="109">
        <v>3465000</v>
      </c>
      <c r="O31" s="2">
        <f t="shared" si="0"/>
        <v>3465000</v>
      </c>
    </row>
    <row r="32" spans="1:15" ht="7.5" customHeight="1" x14ac:dyDescent="0.25">
      <c r="A32" s="3"/>
      <c r="C32" s="16"/>
      <c r="D32" s="20"/>
      <c r="O32" s="2">
        <f t="shared" si="0"/>
        <v>0</v>
      </c>
    </row>
    <row r="33" spans="1:15" x14ac:dyDescent="0.25">
      <c r="A33" s="3" t="s">
        <v>25</v>
      </c>
      <c r="C33" s="16"/>
      <c r="D33" s="22">
        <f t="shared" ref="D33:M33" si="2">SUM(D20:D32)</f>
        <v>9209892.9700000007</v>
      </c>
      <c r="E33" s="6">
        <f t="shared" si="2"/>
        <v>0</v>
      </c>
      <c r="F33" s="6">
        <f t="shared" si="2"/>
        <v>0</v>
      </c>
      <c r="G33" s="6">
        <f t="shared" si="2"/>
        <v>0</v>
      </c>
      <c r="H33" s="6">
        <f t="shared" si="2"/>
        <v>0</v>
      </c>
      <c r="I33" s="6">
        <f t="shared" si="2"/>
        <v>0</v>
      </c>
      <c r="J33" s="6">
        <f t="shared" si="2"/>
        <v>0</v>
      </c>
      <c r="K33" s="6">
        <f t="shared" si="2"/>
        <v>0</v>
      </c>
      <c r="L33" s="6">
        <f t="shared" si="2"/>
        <v>0</v>
      </c>
      <c r="M33" s="6">
        <f t="shared" si="2"/>
        <v>0</v>
      </c>
      <c r="O33" s="2">
        <f t="shared" si="0"/>
        <v>9209892.9700000007</v>
      </c>
    </row>
    <row r="34" spans="1:15" x14ac:dyDescent="0.25">
      <c r="C34" s="16"/>
      <c r="D34" s="20"/>
      <c r="O34" s="2">
        <f t="shared" si="0"/>
        <v>0</v>
      </c>
    </row>
    <row r="35" spans="1:15" x14ac:dyDescent="0.25">
      <c r="C35" s="16"/>
      <c r="D35" s="20"/>
      <c r="O35" s="2">
        <f t="shared" si="0"/>
        <v>0</v>
      </c>
    </row>
    <row r="36" spans="1:15" x14ac:dyDescent="0.25">
      <c r="A36" s="2" t="s">
        <v>18</v>
      </c>
      <c r="C36" s="17" t="s">
        <v>64</v>
      </c>
      <c r="D36" s="20">
        <f>(0.9999*D70)+12162986.19</f>
        <v>12018205.379528999</v>
      </c>
      <c r="O36" s="2">
        <f t="shared" si="0"/>
        <v>12018205.379528999</v>
      </c>
    </row>
    <row r="37" spans="1:15" x14ac:dyDescent="0.25">
      <c r="A37" s="2" t="s">
        <v>18</v>
      </c>
      <c r="C37" s="17" t="s">
        <v>65</v>
      </c>
      <c r="D37" s="20">
        <f>(0.0001*D70)+1215.85</f>
        <v>1201.370471</v>
      </c>
      <c r="O37" s="2">
        <f t="shared" si="0"/>
        <v>1201.370471</v>
      </c>
    </row>
    <row r="38" spans="1:15" ht="6.75" customHeight="1" x14ac:dyDescent="0.25">
      <c r="C38" s="16"/>
      <c r="D38" s="20"/>
      <c r="O38" s="2">
        <f t="shared" si="0"/>
        <v>0</v>
      </c>
    </row>
    <row r="39" spans="1:15" x14ac:dyDescent="0.25">
      <c r="A39" s="3" t="s">
        <v>26</v>
      </c>
      <c r="C39" s="16"/>
      <c r="D39" s="22">
        <f t="shared" ref="D39:M39" si="3">SUM(D34:D38)</f>
        <v>12019406.75</v>
      </c>
      <c r="E39" s="6">
        <f t="shared" si="3"/>
        <v>0</v>
      </c>
      <c r="F39" s="6">
        <f t="shared" si="3"/>
        <v>0</v>
      </c>
      <c r="G39" s="6">
        <f t="shared" si="3"/>
        <v>0</v>
      </c>
      <c r="H39" s="6">
        <f t="shared" si="3"/>
        <v>0</v>
      </c>
      <c r="I39" s="6">
        <f t="shared" si="3"/>
        <v>0</v>
      </c>
      <c r="J39" s="6">
        <f t="shared" si="3"/>
        <v>0</v>
      </c>
      <c r="K39" s="6">
        <f t="shared" si="3"/>
        <v>0</v>
      </c>
      <c r="L39" s="6">
        <f t="shared" si="3"/>
        <v>0</v>
      </c>
      <c r="M39" s="6">
        <f t="shared" si="3"/>
        <v>0</v>
      </c>
      <c r="O39" s="2">
        <f t="shared" si="0"/>
        <v>12019406.75</v>
      </c>
    </row>
    <row r="40" spans="1:15" ht="6.75" customHeight="1" x14ac:dyDescent="0.25">
      <c r="C40" s="16"/>
      <c r="D40" s="20"/>
      <c r="O40" s="2">
        <f t="shared" si="0"/>
        <v>0</v>
      </c>
    </row>
    <row r="41" spans="1:15" ht="13.8" thickBot="1" x14ac:dyDescent="0.3">
      <c r="A41" s="3" t="s">
        <v>27</v>
      </c>
      <c r="C41" s="16"/>
      <c r="D41" s="21">
        <f t="shared" ref="D41:M41" si="4">+D39+D33</f>
        <v>21229299.719999999</v>
      </c>
      <c r="E41" s="8">
        <f t="shared" si="4"/>
        <v>0</v>
      </c>
      <c r="F41" s="8">
        <f t="shared" si="4"/>
        <v>0</v>
      </c>
      <c r="G41" s="8">
        <f t="shared" si="4"/>
        <v>0</v>
      </c>
      <c r="H41" s="8">
        <f t="shared" si="4"/>
        <v>0</v>
      </c>
      <c r="I41" s="8">
        <f t="shared" si="4"/>
        <v>0</v>
      </c>
      <c r="J41" s="8">
        <f t="shared" si="4"/>
        <v>0</v>
      </c>
      <c r="K41" s="8">
        <f t="shared" si="4"/>
        <v>0</v>
      </c>
      <c r="L41" s="8">
        <f t="shared" si="4"/>
        <v>0</v>
      </c>
      <c r="M41" s="8">
        <f t="shared" si="4"/>
        <v>0</v>
      </c>
      <c r="O41" s="2">
        <f t="shared" si="0"/>
        <v>21229299.719999999</v>
      </c>
    </row>
    <row r="42" spans="1:15" ht="13.8" thickTop="1" x14ac:dyDescent="0.25">
      <c r="C42" s="16"/>
      <c r="D42" s="20"/>
      <c r="O42" s="2">
        <f t="shared" si="0"/>
        <v>0</v>
      </c>
    </row>
    <row r="43" spans="1:15" x14ac:dyDescent="0.25">
      <c r="A43" s="2" t="s">
        <v>28</v>
      </c>
      <c r="C43" s="16"/>
      <c r="D43" s="20">
        <f>+D17-D41</f>
        <v>0</v>
      </c>
      <c r="O43" s="2">
        <f t="shared" si="0"/>
        <v>0</v>
      </c>
    </row>
    <row r="44" spans="1:15" x14ac:dyDescent="0.25">
      <c r="C44" s="16"/>
      <c r="D44" s="20"/>
      <c r="O44" s="2">
        <f t="shared" si="0"/>
        <v>0</v>
      </c>
    </row>
    <row r="45" spans="1:15" x14ac:dyDescent="0.25">
      <c r="A45" s="2" t="s">
        <v>46</v>
      </c>
      <c r="C45" s="16"/>
      <c r="D45" s="20"/>
      <c r="O45" s="2">
        <f t="shared" si="0"/>
        <v>0</v>
      </c>
    </row>
    <row r="46" spans="1:15" x14ac:dyDescent="0.25">
      <c r="C46" s="16"/>
      <c r="D46" s="20"/>
      <c r="O46" s="2">
        <f t="shared" si="0"/>
        <v>0</v>
      </c>
    </row>
    <row r="47" spans="1:15" x14ac:dyDescent="0.25">
      <c r="C47" s="16"/>
      <c r="D47" s="20"/>
      <c r="O47" s="2">
        <f t="shared" si="0"/>
        <v>0</v>
      </c>
    </row>
    <row r="48" spans="1:15" x14ac:dyDescent="0.25">
      <c r="A48" s="3" t="s">
        <v>30</v>
      </c>
      <c r="C48" s="16"/>
      <c r="D48" s="20"/>
      <c r="O48" s="2">
        <f t="shared" si="0"/>
        <v>0</v>
      </c>
    </row>
    <row r="49" spans="1:15" x14ac:dyDescent="0.25">
      <c r="A49" s="2" t="s">
        <v>47</v>
      </c>
      <c r="C49" s="16"/>
      <c r="D49" s="20"/>
      <c r="O49" s="2">
        <f t="shared" si="0"/>
        <v>0</v>
      </c>
    </row>
    <row r="50" spans="1:15" x14ac:dyDescent="0.25">
      <c r="A50" s="2" t="s">
        <v>68</v>
      </c>
      <c r="C50" s="16" t="s">
        <v>69</v>
      </c>
      <c r="D50" s="109">
        <v>-90</v>
      </c>
      <c r="O50" s="2">
        <f t="shared" si="0"/>
        <v>-90</v>
      </c>
    </row>
    <row r="51" spans="1:15" x14ac:dyDescent="0.25">
      <c r="A51" s="2" t="s">
        <v>29</v>
      </c>
      <c r="C51" s="16"/>
      <c r="D51" s="20"/>
      <c r="O51" s="2">
        <f t="shared" si="0"/>
        <v>0</v>
      </c>
    </row>
    <row r="52" spans="1:15" x14ac:dyDescent="0.25">
      <c r="A52" s="2" t="s">
        <v>34</v>
      </c>
      <c r="C52" s="16" t="s">
        <v>41</v>
      </c>
      <c r="D52" s="109">
        <v>52977.71</v>
      </c>
      <c r="O52" s="2">
        <f t="shared" si="0"/>
        <v>52977.71</v>
      </c>
    </row>
    <row r="53" spans="1:15" x14ac:dyDescent="0.25">
      <c r="C53" s="16"/>
      <c r="D53" s="20"/>
      <c r="O53" s="2">
        <f t="shared" si="0"/>
        <v>0</v>
      </c>
    </row>
    <row r="54" spans="1:15" x14ac:dyDescent="0.25">
      <c r="A54" s="3" t="s">
        <v>36</v>
      </c>
      <c r="C54" s="16"/>
      <c r="D54" s="22">
        <f>SUM(D48:D53)</f>
        <v>52887.71</v>
      </c>
      <c r="O54" s="2">
        <f t="shared" si="0"/>
        <v>52887.71</v>
      </c>
    </row>
    <row r="55" spans="1:15" x14ac:dyDescent="0.25">
      <c r="A55" s="3"/>
      <c r="C55" s="16"/>
      <c r="D55" s="23"/>
      <c r="O55" s="2">
        <f t="shared" si="0"/>
        <v>0</v>
      </c>
    </row>
    <row r="56" spans="1:15" x14ac:dyDescent="0.25">
      <c r="A56" s="3"/>
      <c r="C56" s="16"/>
      <c r="D56" s="23"/>
      <c r="O56" s="2">
        <f t="shared" si="0"/>
        <v>0</v>
      </c>
    </row>
    <row r="57" spans="1:15" x14ac:dyDescent="0.25">
      <c r="A57" s="2" t="s">
        <v>35</v>
      </c>
      <c r="C57" s="16"/>
      <c r="D57" s="23">
        <v>0</v>
      </c>
      <c r="O57" s="2">
        <f t="shared" si="0"/>
        <v>0</v>
      </c>
    </row>
    <row r="58" spans="1:15" x14ac:dyDescent="0.25">
      <c r="C58" s="16"/>
      <c r="D58" s="23"/>
      <c r="O58" s="2">
        <f t="shared" si="0"/>
        <v>0</v>
      </c>
    </row>
    <row r="59" spans="1:15" x14ac:dyDescent="0.25">
      <c r="A59" s="3" t="s">
        <v>37</v>
      </c>
      <c r="C59" s="16"/>
      <c r="D59" s="22">
        <f>SUM(D56:D58)</f>
        <v>0</v>
      </c>
      <c r="O59" s="2">
        <f t="shared" si="0"/>
        <v>0</v>
      </c>
    </row>
    <row r="60" spans="1:15" x14ac:dyDescent="0.25">
      <c r="A60" s="3"/>
      <c r="C60" s="16"/>
      <c r="D60" s="23"/>
      <c r="O60" s="2">
        <f t="shared" si="0"/>
        <v>0</v>
      </c>
    </row>
    <row r="61" spans="1:15" x14ac:dyDescent="0.25">
      <c r="A61" s="3" t="s">
        <v>38</v>
      </c>
      <c r="C61" s="16"/>
      <c r="D61" s="22">
        <f>+D54-D59</f>
        <v>52887.71</v>
      </c>
      <c r="O61" s="2">
        <f t="shared" si="0"/>
        <v>52887.71</v>
      </c>
    </row>
    <row r="62" spans="1:15" x14ac:dyDescent="0.25">
      <c r="A62" s="3"/>
      <c r="C62" s="16"/>
      <c r="D62" s="23"/>
      <c r="O62" s="2">
        <f t="shared" si="0"/>
        <v>0</v>
      </c>
    </row>
    <row r="63" spans="1:15" x14ac:dyDescent="0.25">
      <c r="A63" s="2" t="s">
        <v>33</v>
      </c>
      <c r="C63" s="16" t="s">
        <v>42</v>
      </c>
      <c r="D63" s="109">
        <v>188624</v>
      </c>
      <c r="O63" s="2">
        <f t="shared" si="0"/>
        <v>188624</v>
      </c>
    </row>
    <row r="64" spans="1:15" x14ac:dyDescent="0.25">
      <c r="A64" s="2" t="s">
        <v>70</v>
      </c>
      <c r="C64" s="16"/>
      <c r="D64" s="109">
        <v>73884</v>
      </c>
      <c r="O64" s="2">
        <f t="shared" si="0"/>
        <v>73884</v>
      </c>
    </row>
    <row r="65" spans="1:15" x14ac:dyDescent="0.25">
      <c r="A65" s="3" t="s">
        <v>39</v>
      </c>
      <c r="C65" s="16"/>
      <c r="D65" s="22">
        <f>+D61-D63-D64</f>
        <v>-209620.29</v>
      </c>
      <c r="O65" s="2">
        <f t="shared" si="0"/>
        <v>-209620.29</v>
      </c>
    </row>
    <row r="66" spans="1:15" x14ac:dyDescent="0.25">
      <c r="C66" s="16"/>
      <c r="D66" s="20"/>
      <c r="O66" s="2">
        <f t="shared" si="0"/>
        <v>0</v>
      </c>
    </row>
    <row r="67" spans="1:15" x14ac:dyDescent="0.25">
      <c r="A67" s="2" t="s">
        <v>177</v>
      </c>
      <c r="C67" s="16" t="s">
        <v>178</v>
      </c>
      <c r="D67" s="20">
        <v>0</v>
      </c>
    </row>
    <row r="68" spans="1:15" x14ac:dyDescent="0.25">
      <c r="A68" s="2" t="s">
        <v>31</v>
      </c>
      <c r="C68" s="16" t="s">
        <v>43</v>
      </c>
      <c r="D68" s="109">
        <v>64825</v>
      </c>
      <c r="O68" s="2">
        <f t="shared" si="0"/>
        <v>64825</v>
      </c>
    </row>
    <row r="69" spans="1:15" x14ac:dyDescent="0.25">
      <c r="C69" s="16"/>
      <c r="D69" s="20"/>
      <c r="O69" s="2">
        <f t="shared" si="0"/>
        <v>0</v>
      </c>
    </row>
    <row r="70" spans="1:15" ht="13.8" thickBot="1" x14ac:dyDescent="0.3">
      <c r="A70" s="3" t="s">
        <v>44</v>
      </c>
      <c r="C70" s="16"/>
      <c r="D70" s="24">
        <f>+D65+D68+D67</f>
        <v>-144795.29</v>
      </c>
      <c r="O70" s="2">
        <f t="shared" si="0"/>
        <v>-144795.29</v>
      </c>
    </row>
    <row r="71" spans="1:15" ht="13.8" thickTop="1" x14ac:dyDescent="0.25">
      <c r="C71" s="16"/>
      <c r="D71" s="20"/>
      <c r="O71" s="2">
        <f t="shared" si="0"/>
        <v>0</v>
      </c>
    </row>
    <row r="72" spans="1:15" x14ac:dyDescent="0.25">
      <c r="C72" s="16"/>
      <c r="D72" s="20"/>
      <c r="O72" s="2">
        <f t="shared" si="0"/>
        <v>0</v>
      </c>
    </row>
    <row r="73" spans="1:15" x14ac:dyDescent="0.25">
      <c r="C73" s="16"/>
      <c r="D73" s="20"/>
      <c r="O73" s="2">
        <f t="shared" si="0"/>
        <v>0</v>
      </c>
    </row>
    <row r="74" spans="1:15" x14ac:dyDescent="0.25">
      <c r="C74" s="16"/>
      <c r="D74" s="20"/>
      <c r="O74" s="2">
        <f t="shared" si="0"/>
        <v>0</v>
      </c>
    </row>
    <row r="75" spans="1:15" x14ac:dyDescent="0.25">
      <c r="C75" s="16"/>
      <c r="D75" s="20"/>
      <c r="O75" s="2">
        <f t="shared" si="0"/>
        <v>0</v>
      </c>
    </row>
    <row r="76" spans="1:15" x14ac:dyDescent="0.25">
      <c r="C76" s="16"/>
      <c r="D76" s="20"/>
      <c r="O76" s="2">
        <f t="shared" si="0"/>
        <v>0</v>
      </c>
    </row>
    <row r="77" spans="1:15" x14ac:dyDescent="0.25">
      <c r="C77" s="16"/>
      <c r="D77" s="20"/>
      <c r="O77" s="2">
        <f t="shared" si="0"/>
        <v>0</v>
      </c>
    </row>
    <row r="78" spans="1:15" x14ac:dyDescent="0.25">
      <c r="C78" s="16"/>
      <c r="D78" s="20"/>
      <c r="O78" s="2">
        <f>+D78</f>
        <v>0</v>
      </c>
    </row>
    <row r="79" spans="1:15" x14ac:dyDescent="0.25">
      <c r="C79" s="16"/>
      <c r="D79" s="20"/>
    </row>
    <row r="80" spans="1:15" x14ac:dyDescent="0.25">
      <c r="C80" s="16"/>
      <c r="D80" s="20"/>
    </row>
    <row r="81" spans="3:4" x14ac:dyDescent="0.25">
      <c r="C81" s="16"/>
      <c r="D81" s="20"/>
    </row>
    <row r="82" spans="3:4" x14ac:dyDescent="0.25">
      <c r="C82" s="16"/>
    </row>
    <row r="83" spans="3:4" x14ac:dyDescent="0.25">
      <c r="C83" s="16"/>
    </row>
    <row r="84" spans="3:4" x14ac:dyDescent="0.25">
      <c r="C84" s="16"/>
    </row>
    <row r="85" spans="3:4" x14ac:dyDescent="0.25">
      <c r="C85" s="16"/>
    </row>
    <row r="86" spans="3:4" x14ac:dyDescent="0.25">
      <c r="C86" s="16"/>
    </row>
    <row r="87" spans="3:4" x14ac:dyDescent="0.25">
      <c r="C87" s="16"/>
    </row>
    <row r="88" spans="3:4" x14ac:dyDescent="0.25">
      <c r="C88" s="16"/>
    </row>
    <row r="89" spans="3:4" x14ac:dyDescent="0.25">
      <c r="C89" s="16"/>
    </row>
    <row r="90" spans="3:4" x14ac:dyDescent="0.25">
      <c r="C90" s="5"/>
    </row>
    <row r="91" spans="3:4" x14ac:dyDescent="0.25">
      <c r="C91" s="5"/>
    </row>
    <row r="92" spans="3:4" x14ac:dyDescent="0.25">
      <c r="C92" s="5"/>
    </row>
    <row r="93" spans="3:4" x14ac:dyDescent="0.25">
      <c r="C93" s="5"/>
    </row>
    <row r="94" spans="3:4" x14ac:dyDescent="0.25">
      <c r="C94" s="5"/>
    </row>
    <row r="95" spans="3:4" x14ac:dyDescent="0.25">
      <c r="C95" s="5"/>
    </row>
    <row r="96" spans="3:4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  <row r="155" spans="3:3" x14ac:dyDescent="0.25">
      <c r="C155" s="5"/>
    </row>
    <row r="156" spans="3:3" x14ac:dyDescent="0.25">
      <c r="C156" s="5"/>
    </row>
    <row r="157" spans="3:3" x14ac:dyDescent="0.25">
      <c r="C157" s="5"/>
    </row>
    <row r="158" spans="3:3" x14ac:dyDescent="0.25">
      <c r="C158" s="5"/>
    </row>
    <row r="159" spans="3:3" x14ac:dyDescent="0.25">
      <c r="C159" s="5"/>
    </row>
    <row r="160" spans="3:3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</sheetData>
  <printOptions headings="1" gridLines="1"/>
  <pageMargins left="0.75" right="0.75" top="1" bottom="1" header="0.5" footer="0.5"/>
  <pageSetup scale="7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2"/>
  <sheetViews>
    <sheetView topLeftCell="A10" zoomScale="75" workbookViewId="0">
      <selection activeCell="O26" sqref="O26"/>
    </sheetView>
  </sheetViews>
  <sheetFormatPr defaultRowHeight="13.2" x14ac:dyDescent="0.25"/>
  <cols>
    <col min="1" max="1" width="3.6640625" customWidth="1"/>
    <col min="2" max="2" width="3.5546875" customWidth="1"/>
    <col min="3" max="3" width="48.5546875" customWidth="1"/>
    <col min="4" max="4" width="19.44140625" style="75" hidden="1" customWidth="1"/>
    <col min="5" max="6" width="18.44140625" style="75" hidden="1" customWidth="1"/>
    <col min="7" max="7" width="21.44140625" style="75" customWidth="1"/>
    <col min="8" max="8" width="11.33203125" style="75" customWidth="1"/>
    <col min="9" max="9" width="2.44140625" customWidth="1"/>
    <col min="10" max="10" width="3.33203125" customWidth="1"/>
    <col min="11" max="11" width="16.5546875" customWidth="1"/>
    <col min="12" max="12" width="28.44140625" customWidth="1"/>
    <col min="13" max="13" width="24.109375" hidden="1" customWidth="1"/>
    <col min="14" max="14" width="18" hidden="1" customWidth="1"/>
    <col min="15" max="15" width="17.33203125" customWidth="1"/>
    <col min="16" max="16" width="12" customWidth="1"/>
  </cols>
  <sheetData>
    <row r="1" spans="1:15" ht="13.8" x14ac:dyDescent="0.25">
      <c r="A1" s="123" t="s">
        <v>254</v>
      </c>
      <c r="B1" s="123"/>
      <c r="C1" s="123"/>
      <c r="D1" s="123"/>
      <c r="E1" s="123"/>
      <c r="F1" s="123"/>
      <c r="G1" s="123"/>
      <c r="H1" s="68"/>
      <c r="J1" s="123" t="s">
        <v>254</v>
      </c>
      <c r="K1" s="123"/>
      <c r="L1" s="123"/>
      <c r="M1" s="123"/>
      <c r="N1" s="123"/>
      <c r="O1" s="123"/>
    </row>
    <row r="2" spans="1:15" ht="13.8" x14ac:dyDescent="0.25">
      <c r="A2" s="123" t="s">
        <v>108</v>
      </c>
      <c r="B2" s="123"/>
      <c r="C2" s="123"/>
      <c r="D2" s="123"/>
      <c r="E2" s="123"/>
      <c r="F2" s="123"/>
      <c r="G2" s="123"/>
      <c r="H2" s="68"/>
      <c r="J2" s="123" t="s">
        <v>211</v>
      </c>
      <c r="K2" s="123"/>
      <c r="L2" s="123"/>
      <c r="M2" s="123"/>
      <c r="N2" s="123"/>
      <c r="O2" s="123"/>
    </row>
    <row r="3" spans="1:15" ht="13.8" x14ac:dyDescent="0.25">
      <c r="A3" s="121">
        <f>'P&amp;SCombined'!A3:D3</f>
        <v>36769</v>
      </c>
      <c r="B3" s="121"/>
      <c r="C3" s="121"/>
      <c r="D3" s="121"/>
      <c r="E3" s="121"/>
      <c r="F3" s="121"/>
      <c r="G3" s="121"/>
      <c r="H3" s="93"/>
      <c r="J3" s="121" t="s">
        <v>301</v>
      </c>
      <c r="K3" s="121"/>
      <c r="L3" s="121"/>
      <c r="M3" s="121"/>
      <c r="N3" s="121"/>
      <c r="O3" s="121"/>
    </row>
    <row r="4" spans="1:15" ht="13.8" x14ac:dyDescent="0.25">
      <c r="A4" s="68"/>
      <c r="B4" s="68"/>
      <c r="C4" s="68"/>
      <c r="D4" s="68"/>
      <c r="E4" s="68"/>
      <c r="F4" s="68"/>
      <c r="G4" s="68"/>
      <c r="H4" s="68"/>
      <c r="J4" s="68"/>
      <c r="K4" s="68"/>
      <c r="L4" s="68"/>
      <c r="M4" s="68"/>
    </row>
    <row r="5" spans="1:15" ht="13.8" x14ac:dyDescent="0.25">
      <c r="A5" s="68"/>
      <c r="B5" s="68"/>
      <c r="C5" s="68"/>
      <c r="D5" s="69"/>
      <c r="E5" s="122" t="s">
        <v>212</v>
      </c>
      <c r="F5" s="122"/>
      <c r="G5" s="70"/>
      <c r="H5" s="70"/>
      <c r="J5" s="68"/>
      <c r="K5" s="68"/>
      <c r="L5" s="68"/>
      <c r="M5" s="68"/>
    </row>
    <row r="6" spans="1:15" ht="39.6" x14ac:dyDescent="0.25">
      <c r="A6" s="68"/>
      <c r="B6" s="68"/>
      <c r="C6" s="68"/>
      <c r="D6" s="70" t="s">
        <v>213</v>
      </c>
      <c r="E6" s="72" t="s">
        <v>214</v>
      </c>
      <c r="F6" s="70" t="s">
        <v>215</v>
      </c>
      <c r="G6" s="69"/>
      <c r="H6" s="69"/>
      <c r="J6" s="68"/>
      <c r="K6" s="68"/>
      <c r="L6" s="68"/>
      <c r="M6" s="70" t="s">
        <v>213</v>
      </c>
      <c r="N6" s="73" t="s">
        <v>212</v>
      </c>
      <c r="O6" s="74"/>
    </row>
    <row r="7" spans="1:15" x14ac:dyDescent="0.25">
      <c r="M7" s="71"/>
    </row>
    <row r="8" spans="1:15" x14ac:dyDescent="0.25">
      <c r="A8" s="51" t="s">
        <v>216</v>
      </c>
    </row>
    <row r="9" spans="1:15" x14ac:dyDescent="0.25">
      <c r="B9" t="s">
        <v>217</v>
      </c>
      <c r="J9" s="51" t="s">
        <v>218</v>
      </c>
    </row>
    <row r="10" spans="1:15" x14ac:dyDescent="0.25">
      <c r="C10" t="s">
        <v>82</v>
      </c>
      <c r="D10" s="75">
        <f>'63K'!D10</f>
        <v>122531.79</v>
      </c>
      <c r="E10" s="80">
        <v>0</v>
      </c>
      <c r="F10" s="80">
        <v>0</v>
      </c>
      <c r="G10" s="80">
        <f>D10+E10+F10</f>
        <v>122531.79</v>
      </c>
      <c r="H10" s="80"/>
      <c r="K10" t="s">
        <v>256</v>
      </c>
      <c r="M10" s="75">
        <f>'63K'!D64</f>
        <v>193469.97</v>
      </c>
      <c r="N10" s="75">
        <v>0</v>
      </c>
      <c r="O10" s="75">
        <f>M10+N10</f>
        <v>193469.97</v>
      </c>
    </row>
    <row r="11" spans="1:15" x14ac:dyDescent="0.25">
      <c r="C11" t="s">
        <v>255</v>
      </c>
      <c r="D11" s="77">
        <f>'63K'!D15+'63K'!D16+'63K'!D17+'63K'!D18</f>
        <v>5435819.1799999997</v>
      </c>
      <c r="E11" s="77">
        <f>-3785044.5</f>
        <v>-3785044.5</v>
      </c>
      <c r="F11" s="77">
        <f>-N26-N33</f>
        <v>0</v>
      </c>
      <c r="G11" s="77">
        <f>D11+E11+F11</f>
        <v>1650774.6799999997</v>
      </c>
      <c r="H11" s="80" t="s">
        <v>309</v>
      </c>
      <c r="K11" t="s">
        <v>258</v>
      </c>
      <c r="M11" s="71">
        <f>'63K'!D65+'63K'!D66</f>
        <v>2436028.23</v>
      </c>
      <c r="N11" s="71">
        <v>0</v>
      </c>
      <c r="O11" s="71">
        <f>M11+N11</f>
        <v>2436028.23</v>
      </c>
    </row>
    <row r="12" spans="1:15" x14ac:dyDescent="0.25">
      <c r="C12" t="s">
        <v>268</v>
      </c>
      <c r="D12" s="71">
        <f>'63K'!D14</f>
        <v>1081560.47</v>
      </c>
      <c r="G12" s="77">
        <f>D12+E12+F12</f>
        <v>1081560.47</v>
      </c>
      <c r="H12" s="80" t="s">
        <v>309</v>
      </c>
      <c r="K12" t="s">
        <v>260</v>
      </c>
      <c r="M12" s="81">
        <f>'63K'!D68+'63K'!D69</f>
        <v>282678.38</v>
      </c>
      <c r="N12" s="81">
        <v>0</v>
      </c>
      <c r="O12" s="81">
        <f>M12+N12</f>
        <v>282678.38</v>
      </c>
    </row>
    <row r="13" spans="1:15" x14ac:dyDescent="0.25">
      <c r="C13" t="s">
        <v>257</v>
      </c>
      <c r="D13" s="77">
        <f>'63K'!D12</f>
        <v>2603</v>
      </c>
      <c r="E13" s="77">
        <v>0</v>
      </c>
      <c r="F13" s="77">
        <v>0</v>
      </c>
      <c r="G13" s="77">
        <f>D13+E13+F13</f>
        <v>2603</v>
      </c>
      <c r="H13" s="77"/>
      <c r="J13" s="51" t="s">
        <v>261</v>
      </c>
      <c r="M13" s="75">
        <f>SUM(M10:M12)</f>
        <v>2912176.58</v>
      </c>
      <c r="N13" s="75">
        <f>SUM(N10:N12)</f>
        <v>0</v>
      </c>
      <c r="O13" s="75">
        <f>SUM(O10:O12)</f>
        <v>2912176.58</v>
      </c>
    </row>
    <row r="14" spans="1:15" x14ac:dyDescent="0.25">
      <c r="C14" t="s">
        <v>259</v>
      </c>
      <c r="D14" s="81">
        <f>'63K'!D13</f>
        <v>13572.37</v>
      </c>
      <c r="E14" s="81">
        <v>0</v>
      </c>
      <c r="F14" s="81">
        <v>0</v>
      </c>
      <c r="G14" s="81">
        <f>D14+E14+F14</f>
        <v>13572.37</v>
      </c>
      <c r="H14" s="77"/>
    </row>
    <row r="15" spans="1:15" x14ac:dyDescent="0.25">
      <c r="B15" t="s">
        <v>220</v>
      </c>
      <c r="D15" s="75">
        <f>SUM(D10:D14)</f>
        <v>6656086.8099999996</v>
      </c>
      <c r="E15" s="75">
        <f>SUM(E10:E14)</f>
        <v>-3785044.5</v>
      </c>
      <c r="F15" s="75">
        <f>SUM(F10:F14)</f>
        <v>0</v>
      </c>
      <c r="G15" s="75">
        <f>SUM(G10:G14)</f>
        <v>2871042.3099999996</v>
      </c>
      <c r="J15" s="51" t="s">
        <v>29</v>
      </c>
      <c r="M15" s="71">
        <f>'63K'!D76</f>
        <v>1105862.6499999999</v>
      </c>
      <c r="N15" s="71">
        <v>0</v>
      </c>
      <c r="O15" s="71">
        <f>M15+N15</f>
        <v>1105862.6499999999</v>
      </c>
    </row>
    <row r="17" spans="1:16" x14ac:dyDescent="0.25">
      <c r="B17" t="s">
        <v>262</v>
      </c>
      <c r="D17" s="71">
        <f>'63K'!D19</f>
        <v>14376462</v>
      </c>
      <c r="E17" s="71">
        <v>0</v>
      </c>
      <c r="F17" s="71">
        <v>0</v>
      </c>
      <c r="G17" s="77">
        <f>D17+E17+F17</f>
        <v>14376462</v>
      </c>
      <c r="H17" s="77"/>
      <c r="J17" s="51" t="s">
        <v>222</v>
      </c>
      <c r="M17" s="77">
        <f>'63K'!D84</f>
        <v>1104060.22</v>
      </c>
      <c r="N17" s="77">
        <v>0</v>
      </c>
      <c r="O17" s="71">
        <f>M17+N17</f>
        <v>1104060.22</v>
      </c>
    </row>
    <row r="18" spans="1:16" x14ac:dyDescent="0.25">
      <c r="D18" s="71"/>
      <c r="E18" s="71"/>
      <c r="F18" s="71"/>
      <c r="G18" s="71"/>
      <c r="H18" s="71"/>
      <c r="M18" s="78"/>
      <c r="N18" s="78"/>
      <c r="O18" s="78"/>
    </row>
    <row r="19" spans="1:16" x14ac:dyDescent="0.25">
      <c r="B19" t="s">
        <v>263</v>
      </c>
      <c r="D19" s="71">
        <f>'63K'!D20</f>
        <v>27631665.210000001</v>
      </c>
      <c r="E19" s="71">
        <v>0</v>
      </c>
      <c r="F19" s="71">
        <f>F31</f>
        <v>-136371.20000000001</v>
      </c>
      <c r="G19" s="77">
        <f>D19+E19+F19</f>
        <v>27495294.010000002</v>
      </c>
      <c r="H19" s="77"/>
      <c r="J19" s="51" t="s">
        <v>223</v>
      </c>
      <c r="M19" s="75">
        <f>M13-M15-M17</f>
        <v>702253.7100000002</v>
      </c>
      <c r="N19" s="75">
        <f>N13-N15-N17</f>
        <v>0</v>
      </c>
      <c r="O19" s="75">
        <f>O13-O15-O17</f>
        <v>702253.7100000002</v>
      </c>
    </row>
    <row r="20" spans="1:16" x14ac:dyDescent="0.25">
      <c r="D20" s="71"/>
      <c r="E20" s="71"/>
      <c r="F20" s="71"/>
      <c r="G20" s="71"/>
      <c r="H20" s="71"/>
      <c r="M20" s="71"/>
      <c r="N20" s="71"/>
      <c r="O20" s="71"/>
    </row>
    <row r="21" spans="1:16" x14ac:dyDescent="0.25">
      <c r="B21" t="s">
        <v>62</v>
      </c>
      <c r="D21" s="71">
        <f>'63K'!D22</f>
        <v>1922336.94</v>
      </c>
      <c r="E21" s="71">
        <v>0</v>
      </c>
      <c r="F21" s="71">
        <v>0</v>
      </c>
      <c r="G21" s="77">
        <f>D21+E21+F21</f>
        <v>1922336.94</v>
      </c>
      <c r="H21" s="77"/>
      <c r="J21" s="51" t="s">
        <v>225</v>
      </c>
      <c r="M21" s="71">
        <v>0</v>
      </c>
      <c r="N21" s="71">
        <v>0</v>
      </c>
      <c r="O21" s="71">
        <f>M21+N21</f>
        <v>0</v>
      </c>
    </row>
    <row r="22" spans="1:16" x14ac:dyDescent="0.25">
      <c r="M22" s="71"/>
      <c r="N22" s="71"/>
      <c r="O22" s="71"/>
    </row>
    <row r="23" spans="1:16" ht="13.8" thickBot="1" x14ac:dyDescent="0.3">
      <c r="A23" s="51" t="s">
        <v>224</v>
      </c>
      <c r="D23" s="79">
        <f>SUM(D15:D21)</f>
        <v>50586550.959999993</v>
      </c>
      <c r="E23" s="79">
        <f>SUM(E15:E21)</f>
        <v>-3785044.5</v>
      </c>
      <c r="F23" s="79">
        <f>SUM(F15:F21)</f>
        <v>-136371.20000000001</v>
      </c>
      <c r="G23" s="79">
        <f>SUM(G15:G21)</f>
        <v>46665135.259999998</v>
      </c>
      <c r="H23" s="80"/>
      <c r="J23" s="51" t="s">
        <v>226</v>
      </c>
      <c r="M23" s="71">
        <v>0</v>
      </c>
      <c r="N23" s="71">
        <v>0</v>
      </c>
      <c r="O23" s="71">
        <f>M23+N23</f>
        <v>0</v>
      </c>
    </row>
    <row r="24" spans="1:16" ht="13.8" thickTop="1" x14ac:dyDescent="0.25"/>
    <row r="25" spans="1:16" x14ac:dyDescent="0.25">
      <c r="J25" s="51" t="s">
        <v>229</v>
      </c>
      <c r="M25" s="71"/>
      <c r="N25" s="71"/>
      <c r="O25" s="71"/>
    </row>
    <row r="26" spans="1:16" x14ac:dyDescent="0.25">
      <c r="A26" s="51" t="s">
        <v>227</v>
      </c>
      <c r="K26" t="s">
        <v>231</v>
      </c>
      <c r="M26" s="75">
        <f>'63K'!D90</f>
        <v>-40148</v>
      </c>
      <c r="N26" s="75">
        <v>0</v>
      </c>
      <c r="O26" s="71">
        <f>M26+N26</f>
        <v>-40148</v>
      </c>
      <c r="P26" t="s">
        <v>312</v>
      </c>
    </row>
    <row r="27" spans="1:16" x14ac:dyDescent="0.25">
      <c r="B27" t="s">
        <v>228</v>
      </c>
      <c r="K27" t="s">
        <v>233</v>
      </c>
      <c r="M27" s="81">
        <f>'63K'!D89</f>
        <v>-46857.89</v>
      </c>
      <c r="N27" s="81">
        <v>0</v>
      </c>
      <c r="O27" s="81">
        <f>M27+N27</f>
        <v>-46857.89</v>
      </c>
    </row>
    <row r="28" spans="1:16" x14ac:dyDescent="0.25">
      <c r="C28" t="s">
        <v>264</v>
      </c>
      <c r="D28" s="75">
        <f>'63K'!D31+'63K'!D32+'63K'!D33+'63K'!D34+'63K'!D35+'63K'!D36+'63K'!D37+'63K'!D38+'63K'!D39</f>
        <v>45151034.579999998</v>
      </c>
      <c r="E28" s="75">
        <v>-42917530.520000003</v>
      </c>
      <c r="F28" s="75">
        <f>D36</f>
        <v>3959838.74</v>
      </c>
      <c r="G28" s="80">
        <f t="shared" ref="G28:G33" si="0">D28+E28+F28</f>
        <v>6193342.7999999952</v>
      </c>
      <c r="H28" s="80" t="s">
        <v>309</v>
      </c>
      <c r="J28" s="51" t="s">
        <v>234</v>
      </c>
      <c r="M28" s="75">
        <f>SUM(M26:M27)</f>
        <v>-87005.89</v>
      </c>
      <c r="N28" s="75">
        <f>SUM(N26:N27)</f>
        <v>0</v>
      </c>
      <c r="O28" s="75">
        <f>SUM(O26:O27)</f>
        <v>-87005.89</v>
      </c>
    </row>
    <row r="29" spans="1:16" x14ac:dyDescent="0.25">
      <c r="C29" t="s">
        <v>269</v>
      </c>
      <c r="D29" s="71">
        <f>'63K'!D40</f>
        <v>547354.86</v>
      </c>
      <c r="E29" s="71"/>
      <c r="F29" s="71"/>
      <c r="G29" s="77">
        <f t="shared" si="0"/>
        <v>547354.86</v>
      </c>
      <c r="H29" s="80" t="s">
        <v>309</v>
      </c>
      <c r="J29" s="51"/>
      <c r="M29" s="81"/>
      <c r="N29" s="81"/>
      <c r="O29" s="81"/>
    </row>
    <row r="30" spans="1:16" x14ac:dyDescent="0.25">
      <c r="C30" t="s">
        <v>270</v>
      </c>
      <c r="D30" s="71">
        <f>'63K'!D41</f>
        <v>395227.45</v>
      </c>
      <c r="E30" s="71"/>
      <c r="F30" s="71"/>
      <c r="G30" s="77">
        <f t="shared" si="0"/>
        <v>395227.45</v>
      </c>
      <c r="H30" s="77"/>
      <c r="J30" s="51" t="s">
        <v>237</v>
      </c>
      <c r="M30" s="82">
        <f>M19+M21-M28+M23</f>
        <v>789259.60000000021</v>
      </c>
      <c r="N30" s="82">
        <f>N19+N21-N28+N23</f>
        <v>0</v>
      </c>
      <c r="O30" s="82">
        <f>O19+O21-O28+O23</f>
        <v>789259.60000000021</v>
      </c>
    </row>
    <row r="31" spans="1:16" x14ac:dyDescent="0.25">
      <c r="C31" t="s">
        <v>204</v>
      </c>
      <c r="D31" s="71">
        <f>'63K'!D43</f>
        <v>136371.20000000001</v>
      </c>
      <c r="E31" s="71">
        <v>0</v>
      </c>
      <c r="F31" s="71">
        <f>-D31</f>
        <v>-136371.20000000001</v>
      </c>
      <c r="G31" s="77">
        <f t="shared" si="0"/>
        <v>0</v>
      </c>
      <c r="H31" s="77"/>
    </row>
    <row r="32" spans="1:16" x14ac:dyDescent="0.25">
      <c r="C32" t="s">
        <v>21</v>
      </c>
      <c r="D32" s="71">
        <f>'63K'!D42</f>
        <v>0</v>
      </c>
      <c r="E32" s="71">
        <v>0</v>
      </c>
      <c r="F32" s="71">
        <v>0</v>
      </c>
      <c r="G32" s="77">
        <f t="shared" si="0"/>
        <v>0</v>
      </c>
      <c r="H32" s="77"/>
      <c r="J32" s="51" t="s">
        <v>239</v>
      </c>
      <c r="M32" s="71"/>
      <c r="N32" s="71"/>
      <c r="O32" s="71"/>
    </row>
    <row r="33" spans="1:15" x14ac:dyDescent="0.25">
      <c r="C33" t="s">
        <v>235</v>
      </c>
      <c r="D33" s="81">
        <f>-'63K'!D21</f>
        <v>-1031</v>
      </c>
      <c r="E33" s="81">
        <v>0</v>
      </c>
      <c r="F33" s="81">
        <v>0</v>
      </c>
      <c r="G33" s="81">
        <f t="shared" si="0"/>
        <v>-1031</v>
      </c>
      <c r="H33" s="77"/>
      <c r="K33" t="s">
        <v>240</v>
      </c>
      <c r="M33" s="75">
        <f>'63K'!D95</f>
        <v>307188</v>
      </c>
      <c r="N33" s="75">
        <f>ROUND(N30*0.35,0)</f>
        <v>0</v>
      </c>
      <c r="O33" s="75">
        <f>M33+N33</f>
        <v>307188</v>
      </c>
    </row>
    <row r="34" spans="1:15" x14ac:dyDescent="0.25">
      <c r="B34" t="s">
        <v>236</v>
      </c>
      <c r="D34" s="75">
        <f>SUM(D28:D33)</f>
        <v>46228957.090000004</v>
      </c>
      <c r="E34" s="75">
        <f>SUM(E28:E33)</f>
        <v>-42917530.520000003</v>
      </c>
      <c r="F34" s="75">
        <f>SUM(F28:F33)</f>
        <v>3823467.54</v>
      </c>
      <c r="G34" s="75">
        <f>SUM(G28:G33)</f>
        <v>7134894.1099999957</v>
      </c>
      <c r="K34" t="s">
        <v>265</v>
      </c>
      <c r="M34" s="71">
        <v>0</v>
      </c>
      <c r="N34" s="71">
        <v>0</v>
      </c>
      <c r="O34" s="71">
        <f>M34+N34</f>
        <v>0</v>
      </c>
    </row>
    <row r="35" spans="1:15" x14ac:dyDescent="0.25">
      <c r="K35" t="s">
        <v>266</v>
      </c>
      <c r="M35" s="81">
        <v>-1031</v>
      </c>
      <c r="N35" s="81">
        <v>0</v>
      </c>
      <c r="O35" s="81">
        <f>M35+N35</f>
        <v>-1031</v>
      </c>
    </row>
    <row r="36" spans="1:15" x14ac:dyDescent="0.25">
      <c r="B36" t="s">
        <v>238</v>
      </c>
      <c r="D36" s="71">
        <f>'63K'!D45</f>
        <v>3959838.74</v>
      </c>
      <c r="E36" s="71">
        <v>0</v>
      </c>
      <c r="F36" s="71">
        <f>-D36</f>
        <v>-3959838.74</v>
      </c>
      <c r="G36" s="77">
        <f>D36+E36+F36</f>
        <v>0</v>
      </c>
      <c r="H36" s="77"/>
      <c r="J36" s="51" t="s">
        <v>243</v>
      </c>
      <c r="M36" s="75">
        <f>SUM(M33:M35)</f>
        <v>306157</v>
      </c>
      <c r="N36" s="75">
        <f>SUM(N33:N35)</f>
        <v>0</v>
      </c>
      <c r="O36" s="75">
        <f>SUM(O33:O35)</f>
        <v>306157</v>
      </c>
    </row>
    <row r="38" spans="1:15" ht="13.8" thickBot="1" x14ac:dyDescent="0.3">
      <c r="B38" t="s">
        <v>241</v>
      </c>
      <c r="D38" s="71">
        <f>'63K'!D52</f>
        <v>397755.13000000024</v>
      </c>
      <c r="E38" s="71">
        <f>E23-E34-E36</f>
        <v>39132486.020000003</v>
      </c>
      <c r="F38" s="71">
        <f>F23-F34-F36</f>
        <v>0</v>
      </c>
      <c r="G38" s="77">
        <f>D38+E38+F38</f>
        <v>39530241.150000006</v>
      </c>
      <c r="H38" s="77"/>
      <c r="J38" s="51" t="s">
        <v>245</v>
      </c>
      <c r="M38" s="79">
        <f>M30-M36</f>
        <v>483102.60000000021</v>
      </c>
      <c r="N38" s="79">
        <f>N30-N36</f>
        <v>0</v>
      </c>
      <c r="O38" s="79">
        <f>O30-O36</f>
        <v>483102.60000000021</v>
      </c>
    </row>
    <row r="39" spans="1:15" ht="13.8" thickTop="1" x14ac:dyDescent="0.25">
      <c r="M39" s="71"/>
    </row>
    <row r="40" spans="1:15" ht="13.8" thickBot="1" x14ac:dyDescent="0.3">
      <c r="A40" s="51" t="s">
        <v>244</v>
      </c>
      <c r="D40" s="79">
        <f>SUM(D34:D38)</f>
        <v>50586550.960000008</v>
      </c>
      <c r="E40" s="79">
        <f>SUM(E34:E38)</f>
        <v>-3785044.5</v>
      </c>
      <c r="F40" s="79">
        <f>SUM(F34:F38)</f>
        <v>-136371.20000000019</v>
      </c>
      <c r="G40" s="79">
        <f>SUM(G34:G38)</f>
        <v>46665135.260000005</v>
      </c>
      <c r="H40" s="80"/>
      <c r="J40" s="51" t="s">
        <v>314</v>
      </c>
      <c r="M40" s="75"/>
    </row>
    <row r="41" spans="1:15" ht="13.8" thickTop="1" x14ac:dyDescent="0.25">
      <c r="K41" t="s">
        <v>313</v>
      </c>
      <c r="M41" s="75"/>
    </row>
    <row r="43" spans="1:15" x14ac:dyDescent="0.25">
      <c r="A43" s="51" t="s">
        <v>246</v>
      </c>
      <c r="M43" s="71"/>
    </row>
    <row r="44" spans="1:15" x14ac:dyDescent="0.25">
      <c r="B44" t="s">
        <v>267</v>
      </c>
      <c r="D44" s="75">
        <f>-85347.46+M38</f>
        <v>397755.14000000019</v>
      </c>
      <c r="E44" s="75">
        <f>E38</f>
        <v>39132486.020000003</v>
      </c>
      <c r="F44" s="75">
        <f>F38</f>
        <v>0</v>
      </c>
      <c r="G44" s="80">
        <f>D44+E44+F44</f>
        <v>39530241.160000004</v>
      </c>
      <c r="H44" s="80"/>
      <c r="M44" s="71"/>
    </row>
    <row r="45" spans="1:15" ht="13.8" thickBot="1" x14ac:dyDescent="0.3">
      <c r="A45" s="51" t="s">
        <v>249</v>
      </c>
      <c r="D45" s="79">
        <f>SUM(D44:D44)</f>
        <v>397755.14000000019</v>
      </c>
      <c r="E45" s="79">
        <f>SUM(E44:E44)</f>
        <v>39132486.020000003</v>
      </c>
      <c r="F45" s="79">
        <f>SUM(F44:F44)</f>
        <v>0</v>
      </c>
      <c r="G45" s="79">
        <f>SUM(G44:G44)</f>
        <v>39530241.160000004</v>
      </c>
      <c r="H45" s="80"/>
      <c r="M45" s="71"/>
    </row>
    <row r="46" spans="1:15" ht="13.8" thickTop="1" x14ac:dyDescent="0.25">
      <c r="M46" s="71"/>
    </row>
    <row r="47" spans="1:15" x14ac:dyDescent="0.25">
      <c r="A47" s="51" t="s">
        <v>310</v>
      </c>
      <c r="M47" s="71"/>
    </row>
    <row r="48" spans="1:15" x14ac:dyDescent="0.25">
      <c r="C48" t="s">
        <v>315</v>
      </c>
      <c r="M48" s="71"/>
    </row>
    <row r="49" spans="13:13" x14ac:dyDescent="0.25">
      <c r="M49" s="71"/>
    </row>
    <row r="50" spans="13:13" x14ac:dyDescent="0.25">
      <c r="M50" s="71"/>
    </row>
    <row r="51" spans="13:13" x14ac:dyDescent="0.25">
      <c r="M51" s="71"/>
    </row>
    <row r="52" spans="13:13" x14ac:dyDescent="0.25">
      <c r="M52" s="71"/>
    </row>
    <row r="53" spans="13:13" x14ac:dyDescent="0.25">
      <c r="M53" s="71"/>
    </row>
    <row r="54" spans="13:13" x14ac:dyDescent="0.25">
      <c r="M54" s="71"/>
    </row>
    <row r="55" spans="13:13" x14ac:dyDescent="0.25">
      <c r="M55" s="71"/>
    </row>
    <row r="56" spans="13:13" x14ac:dyDescent="0.25">
      <c r="M56" s="71"/>
    </row>
    <row r="57" spans="13:13" x14ac:dyDescent="0.25">
      <c r="M57" s="71"/>
    </row>
    <row r="58" spans="13:13" x14ac:dyDescent="0.25">
      <c r="M58" s="71"/>
    </row>
    <row r="59" spans="13:13" x14ac:dyDescent="0.25">
      <c r="M59" s="71"/>
    </row>
    <row r="60" spans="13:13" x14ac:dyDescent="0.25">
      <c r="M60" s="71"/>
    </row>
    <row r="61" spans="13:13" x14ac:dyDescent="0.25">
      <c r="M61" s="71"/>
    </row>
    <row r="62" spans="13:13" x14ac:dyDescent="0.25">
      <c r="M62" s="71"/>
    </row>
    <row r="63" spans="13:13" x14ac:dyDescent="0.25">
      <c r="M63" s="71"/>
    </row>
    <row r="64" spans="13:13" x14ac:dyDescent="0.25">
      <c r="M64" s="71"/>
    </row>
    <row r="65" spans="13:13" x14ac:dyDescent="0.25">
      <c r="M65" s="71"/>
    </row>
    <row r="66" spans="13:13" x14ac:dyDescent="0.25">
      <c r="M66" s="71"/>
    </row>
    <row r="67" spans="13:13" x14ac:dyDescent="0.25">
      <c r="M67" s="71"/>
    </row>
    <row r="68" spans="13:13" x14ac:dyDescent="0.25">
      <c r="M68" s="71"/>
    </row>
    <row r="69" spans="13:13" x14ac:dyDescent="0.25">
      <c r="M69" s="71"/>
    </row>
    <row r="70" spans="13:13" x14ac:dyDescent="0.25">
      <c r="M70" s="71"/>
    </row>
    <row r="71" spans="13:13" x14ac:dyDescent="0.25">
      <c r="M71" s="71"/>
    </row>
    <row r="72" spans="13:13" x14ac:dyDescent="0.25">
      <c r="M72" s="71"/>
    </row>
  </sheetData>
  <mergeCells count="7">
    <mergeCell ref="A3:G3"/>
    <mergeCell ref="J3:O3"/>
    <mergeCell ref="E5:F5"/>
    <mergeCell ref="A1:G1"/>
    <mergeCell ref="J1:O1"/>
    <mergeCell ref="A2:G2"/>
    <mergeCell ref="J2:O2"/>
  </mergeCells>
  <printOptions horizontalCentered="1"/>
  <pageMargins left="0.75" right="0.75" top="1" bottom="1" header="0.5" footer="0.5"/>
  <pageSetup scale="5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3"/>
  <sheetViews>
    <sheetView topLeftCell="A14" zoomScale="75" workbookViewId="0">
      <selection activeCell="O22" sqref="O22"/>
    </sheetView>
  </sheetViews>
  <sheetFormatPr defaultRowHeight="13.2" x14ac:dyDescent="0.25"/>
  <cols>
    <col min="1" max="1" width="3.6640625" customWidth="1"/>
    <col min="2" max="2" width="3.5546875" customWidth="1"/>
    <col min="3" max="3" width="48.5546875" customWidth="1"/>
    <col min="4" max="4" width="20.33203125" style="75" hidden="1" customWidth="1"/>
    <col min="5" max="6" width="18.44140625" style="75" hidden="1" customWidth="1"/>
    <col min="7" max="7" width="26" style="75" customWidth="1"/>
    <col min="8" max="8" width="15.6640625" style="75" customWidth="1"/>
    <col min="9" max="9" width="2.44140625" customWidth="1"/>
    <col min="10" max="10" width="5" customWidth="1"/>
    <col min="11" max="11" width="16.5546875" customWidth="1"/>
    <col min="12" max="12" width="22" customWidth="1"/>
    <col min="13" max="13" width="24.33203125" hidden="1" customWidth="1"/>
    <col min="14" max="14" width="17.6640625" hidden="1" customWidth="1"/>
    <col min="15" max="15" width="21.6640625" customWidth="1"/>
    <col min="16" max="16" width="14.5546875" customWidth="1"/>
  </cols>
  <sheetData>
    <row r="1" spans="1:15" ht="13.8" x14ac:dyDescent="0.25">
      <c r="A1" s="123" t="s">
        <v>250</v>
      </c>
      <c r="B1" s="123"/>
      <c r="C1" s="123"/>
      <c r="D1" s="123"/>
      <c r="E1" s="123"/>
      <c r="F1" s="123"/>
      <c r="G1" s="123"/>
      <c r="H1" s="68"/>
      <c r="J1" s="123" t="s">
        <v>250</v>
      </c>
      <c r="K1" s="123"/>
      <c r="L1" s="123"/>
      <c r="M1" s="123"/>
      <c r="N1" s="123"/>
      <c r="O1" s="123"/>
    </row>
    <row r="2" spans="1:15" ht="13.8" x14ac:dyDescent="0.25">
      <c r="A2" s="123" t="s">
        <v>108</v>
      </c>
      <c r="B2" s="123"/>
      <c r="C2" s="123"/>
      <c r="D2" s="123"/>
      <c r="E2" s="123"/>
      <c r="F2" s="123"/>
      <c r="G2" s="123"/>
      <c r="H2" s="68"/>
      <c r="J2" s="123" t="s">
        <v>211</v>
      </c>
      <c r="K2" s="123"/>
      <c r="L2" s="123"/>
      <c r="M2" s="123"/>
      <c r="N2" s="123"/>
      <c r="O2" s="123"/>
    </row>
    <row r="3" spans="1:15" ht="13.8" x14ac:dyDescent="0.25">
      <c r="A3" s="121">
        <f>'P&amp;SCombined'!A3:D3</f>
        <v>36769</v>
      </c>
      <c r="B3" s="121"/>
      <c r="C3" s="121"/>
      <c r="D3" s="121"/>
      <c r="E3" s="121"/>
      <c r="F3" s="121"/>
      <c r="G3" s="121"/>
      <c r="H3" s="93"/>
      <c r="I3" s="85"/>
      <c r="J3" s="121" t="s">
        <v>301</v>
      </c>
      <c r="K3" s="121"/>
      <c r="L3" s="121"/>
      <c r="M3" s="121"/>
      <c r="N3" s="121"/>
      <c r="O3" s="121"/>
    </row>
    <row r="4" spans="1:15" ht="13.8" x14ac:dyDescent="0.25">
      <c r="A4" s="68"/>
      <c r="B4" s="68"/>
      <c r="C4" s="68"/>
      <c r="D4" s="68"/>
      <c r="E4" s="68"/>
      <c r="F4" s="68"/>
      <c r="G4" s="68"/>
      <c r="H4" s="68"/>
      <c r="J4" s="68"/>
      <c r="K4" s="68"/>
      <c r="L4" s="68"/>
      <c r="M4" s="68"/>
    </row>
    <row r="5" spans="1:15" ht="13.8" x14ac:dyDescent="0.25">
      <c r="A5" s="68"/>
      <c r="B5" s="68"/>
      <c r="C5" s="68"/>
      <c r="D5" s="69"/>
      <c r="E5" s="122" t="s">
        <v>212</v>
      </c>
      <c r="F5" s="122"/>
      <c r="G5" s="70"/>
      <c r="H5" s="70"/>
      <c r="J5" s="68"/>
      <c r="K5" s="68"/>
      <c r="L5" s="68"/>
      <c r="M5" s="68"/>
    </row>
    <row r="6" spans="1:15" ht="39.6" x14ac:dyDescent="0.25">
      <c r="A6" s="68"/>
      <c r="B6" s="68"/>
      <c r="C6" s="68"/>
      <c r="D6" s="70" t="s">
        <v>213</v>
      </c>
      <c r="E6" s="72" t="s">
        <v>214</v>
      </c>
      <c r="F6" s="70" t="s">
        <v>215</v>
      </c>
      <c r="G6" s="69"/>
      <c r="H6" s="69"/>
      <c r="J6" s="68"/>
      <c r="K6" s="68"/>
      <c r="L6" s="68"/>
      <c r="M6" s="70" t="s">
        <v>213</v>
      </c>
      <c r="N6" s="73" t="s">
        <v>212</v>
      </c>
      <c r="O6" s="74"/>
    </row>
    <row r="7" spans="1:15" x14ac:dyDescent="0.25">
      <c r="M7" s="71"/>
    </row>
    <row r="8" spans="1:15" x14ac:dyDescent="0.25">
      <c r="A8" s="51" t="s">
        <v>216</v>
      </c>
    </row>
    <row r="9" spans="1:15" x14ac:dyDescent="0.25">
      <c r="B9" t="s">
        <v>217</v>
      </c>
      <c r="J9" s="51" t="s">
        <v>218</v>
      </c>
      <c r="M9" s="75">
        <v>0</v>
      </c>
      <c r="N9" s="75">
        <v>0</v>
      </c>
      <c r="O9" s="82">
        <f>M9+N9</f>
        <v>0</v>
      </c>
    </row>
    <row r="10" spans="1:15" x14ac:dyDescent="0.25">
      <c r="C10" t="s">
        <v>219</v>
      </c>
      <c r="D10" s="76">
        <f>'247'!D11+'247'!D12-'247'!D20</f>
        <v>32748152.950000003</v>
      </c>
      <c r="E10" s="76">
        <f>-31897570.95</f>
        <v>-31897570.949999999</v>
      </c>
      <c r="F10" s="76">
        <v>0</v>
      </c>
      <c r="G10" s="76">
        <f>D10+E10+F10</f>
        <v>850582.00000000373</v>
      </c>
      <c r="H10" s="80" t="s">
        <v>309</v>
      </c>
    </row>
    <row r="11" spans="1:15" x14ac:dyDescent="0.25">
      <c r="B11" t="s">
        <v>220</v>
      </c>
      <c r="D11" s="75">
        <f>SUM(D10)</f>
        <v>32748152.950000003</v>
      </c>
      <c r="E11" s="75">
        <f>SUM(E10)</f>
        <v>-31897570.949999999</v>
      </c>
      <c r="F11" s="75">
        <f>SUM(F10)</f>
        <v>0</v>
      </c>
      <c r="G11" s="75">
        <f>SUM(G10)</f>
        <v>850582.00000000373</v>
      </c>
      <c r="J11" s="51" t="s">
        <v>29</v>
      </c>
      <c r="M11" s="71">
        <v>0</v>
      </c>
      <c r="N11" s="71">
        <v>0</v>
      </c>
      <c r="O11" s="82">
        <f>M11+N11</f>
        <v>0</v>
      </c>
    </row>
    <row r="13" spans="1:15" x14ac:dyDescent="0.25">
      <c r="B13" t="s">
        <v>251</v>
      </c>
      <c r="D13" s="71">
        <f>'247'!D10</f>
        <v>2316228</v>
      </c>
      <c r="E13" s="71">
        <v>0</v>
      </c>
      <c r="F13" s="71">
        <f>N17</f>
        <v>0</v>
      </c>
      <c r="G13" s="71">
        <f>D13+E13+F13</f>
        <v>2316228</v>
      </c>
      <c r="H13" s="71"/>
      <c r="J13" s="51" t="s">
        <v>222</v>
      </c>
      <c r="M13" s="77">
        <f>-'247'!D44</f>
        <v>-376.84</v>
      </c>
      <c r="N13" s="71">
        <v>0</v>
      </c>
      <c r="O13" s="82">
        <f>M13+N13</f>
        <v>-376.84</v>
      </c>
    </row>
    <row r="14" spans="1:15" x14ac:dyDescent="0.25">
      <c r="D14" s="71"/>
      <c r="E14" s="71"/>
      <c r="F14" s="71"/>
      <c r="G14" s="71"/>
      <c r="H14" s="71"/>
      <c r="M14" s="78"/>
      <c r="N14" s="78"/>
      <c r="O14" s="78"/>
    </row>
    <row r="15" spans="1:15" x14ac:dyDescent="0.25">
      <c r="B15" t="s">
        <v>62</v>
      </c>
      <c r="D15" s="71">
        <v>0</v>
      </c>
      <c r="E15" s="71">
        <v>0</v>
      </c>
      <c r="F15" s="71">
        <v>0</v>
      </c>
      <c r="G15" s="71">
        <f>D15+E15+F15</f>
        <v>0</v>
      </c>
      <c r="H15" s="71"/>
      <c r="J15" s="51" t="s">
        <v>223</v>
      </c>
      <c r="M15" s="75">
        <f>M13*-1</f>
        <v>376.84</v>
      </c>
      <c r="N15" s="75">
        <f>N13*-1</f>
        <v>0</v>
      </c>
      <c r="O15" s="75">
        <f>O13*-1</f>
        <v>376.84</v>
      </c>
    </row>
    <row r="16" spans="1:15" x14ac:dyDescent="0.25">
      <c r="M16" s="71"/>
    </row>
    <row r="17" spans="1:16" ht="13.8" thickBot="1" x14ac:dyDescent="0.3">
      <c r="A17" s="51" t="s">
        <v>224</v>
      </c>
      <c r="D17" s="79">
        <f>SUM(D11:D15)</f>
        <v>35064380.950000003</v>
      </c>
      <c r="E17" s="79">
        <f>SUM(E11:E15)</f>
        <v>-31897570.949999999</v>
      </c>
      <c r="F17" s="79">
        <f>SUM(F11:F15)</f>
        <v>0</v>
      </c>
      <c r="G17" s="79">
        <f>SUM(G11:G15)</f>
        <v>3166810.0000000037</v>
      </c>
      <c r="H17" s="80"/>
      <c r="J17" s="51" t="s">
        <v>225</v>
      </c>
      <c r="M17" s="71">
        <f>'247'!D42</f>
        <v>2016296</v>
      </c>
      <c r="N17" s="71">
        <v>0</v>
      </c>
      <c r="O17" s="82">
        <f>M17+N17</f>
        <v>2016296</v>
      </c>
    </row>
    <row r="18" spans="1:16" ht="13.8" thickTop="1" x14ac:dyDescent="0.25">
      <c r="M18" s="71"/>
    </row>
    <row r="19" spans="1:16" x14ac:dyDescent="0.25">
      <c r="J19" s="51" t="s">
        <v>226</v>
      </c>
      <c r="M19" s="71">
        <v>0</v>
      </c>
      <c r="N19" s="71">
        <v>0</v>
      </c>
      <c r="O19" s="71">
        <f>M19+N19</f>
        <v>0</v>
      </c>
    </row>
    <row r="20" spans="1:16" x14ac:dyDescent="0.25">
      <c r="A20" s="51" t="s">
        <v>227</v>
      </c>
    </row>
    <row r="21" spans="1:16" x14ac:dyDescent="0.25">
      <c r="B21" t="s">
        <v>228</v>
      </c>
      <c r="J21" s="51" t="s">
        <v>229</v>
      </c>
      <c r="M21" s="71"/>
    </row>
    <row r="22" spans="1:16" x14ac:dyDescent="0.25">
      <c r="C22" t="s">
        <v>230</v>
      </c>
      <c r="D22" s="75">
        <f>'247'!D19</f>
        <v>4034541</v>
      </c>
      <c r="E22" s="75">
        <v>-3372480</v>
      </c>
      <c r="F22" s="75">
        <f>N24+N29</f>
        <v>-605412</v>
      </c>
      <c r="G22" s="75">
        <f>D22+E22+F22</f>
        <v>56649</v>
      </c>
      <c r="H22" s="80" t="s">
        <v>309</v>
      </c>
      <c r="K22" t="s">
        <v>231</v>
      </c>
      <c r="M22" s="75">
        <f>'247'!D55</f>
        <v>144125</v>
      </c>
      <c r="N22" s="75">
        <v>0</v>
      </c>
      <c r="O22" s="82">
        <f>M22+N22</f>
        <v>144125</v>
      </c>
      <c r="P22" t="s">
        <v>320</v>
      </c>
    </row>
    <row r="23" spans="1:16" x14ac:dyDescent="0.25">
      <c r="C23" t="s">
        <v>232</v>
      </c>
      <c r="D23" s="71">
        <f>'247'!D23</f>
        <v>0</v>
      </c>
      <c r="E23" s="71">
        <v>0</v>
      </c>
      <c r="F23" s="71">
        <v>0</v>
      </c>
      <c r="G23" s="71">
        <f>D23+E23+F23</f>
        <v>0</v>
      </c>
      <c r="H23" s="71"/>
      <c r="K23" t="s">
        <v>233</v>
      </c>
      <c r="M23" s="81">
        <v>0</v>
      </c>
      <c r="N23" s="81">
        <v>0</v>
      </c>
      <c r="O23" s="83">
        <f>M23+N23</f>
        <v>0</v>
      </c>
    </row>
    <row r="24" spans="1:16" x14ac:dyDescent="0.25">
      <c r="C24" t="s">
        <v>21</v>
      </c>
      <c r="D24" s="71">
        <f>'247'!D21</f>
        <v>4216.16</v>
      </c>
      <c r="E24" s="71">
        <v>0</v>
      </c>
      <c r="F24" s="71">
        <v>0</v>
      </c>
      <c r="G24" s="71">
        <f>D24+E24+F24</f>
        <v>4216.16</v>
      </c>
      <c r="H24" s="71"/>
      <c r="J24" s="51" t="s">
        <v>234</v>
      </c>
      <c r="M24" s="75">
        <f>SUM(M22:M23)</f>
        <v>144125</v>
      </c>
      <c r="N24" s="75">
        <f>SUM(N22:N23)</f>
        <v>0</v>
      </c>
      <c r="O24" s="75">
        <f>SUM(O22:O23)</f>
        <v>144125</v>
      </c>
    </row>
    <row r="25" spans="1:16" x14ac:dyDescent="0.25">
      <c r="C25" t="s">
        <v>235</v>
      </c>
      <c r="D25" s="81">
        <f>'247'!D22</f>
        <v>0</v>
      </c>
      <c r="E25" s="81">
        <v>0</v>
      </c>
      <c r="F25" s="81">
        <f>N30</f>
        <v>659784</v>
      </c>
      <c r="G25" s="81">
        <f>D25+E25+F25</f>
        <v>659784</v>
      </c>
      <c r="H25" s="80" t="s">
        <v>311</v>
      </c>
      <c r="J25" s="51"/>
      <c r="M25" s="81"/>
      <c r="N25" s="78"/>
      <c r="O25" s="78"/>
    </row>
    <row r="26" spans="1:16" x14ac:dyDescent="0.25">
      <c r="B26" t="s">
        <v>236</v>
      </c>
      <c r="D26" s="75">
        <f>SUM(D22:D25)</f>
        <v>4038757.16</v>
      </c>
      <c r="E26" s="75">
        <f>SUM(E22:E25)</f>
        <v>-3372480</v>
      </c>
      <c r="F26" s="75">
        <f>SUM(F22:F25)</f>
        <v>54372</v>
      </c>
      <c r="G26" s="75">
        <f>SUM(G22:G25)</f>
        <v>720649.16</v>
      </c>
      <c r="J26" s="51" t="s">
        <v>237</v>
      </c>
      <c r="M26" s="82">
        <f>M15+M17-M24+M19</f>
        <v>1872547.8400000001</v>
      </c>
      <c r="N26" s="82">
        <f>N15+N17-N24+N19</f>
        <v>0</v>
      </c>
      <c r="O26" s="82">
        <f>O15+O17-O24+O19</f>
        <v>1872547.8400000001</v>
      </c>
    </row>
    <row r="28" spans="1:16" x14ac:dyDescent="0.25">
      <c r="B28" t="s">
        <v>238</v>
      </c>
      <c r="D28" s="71">
        <v>0</v>
      </c>
      <c r="E28" s="71">
        <v>0</v>
      </c>
      <c r="F28" s="71">
        <v>0</v>
      </c>
      <c r="G28" s="71">
        <f>D28+E28+F28</f>
        <v>0</v>
      </c>
      <c r="H28" s="71"/>
      <c r="J28" s="51" t="s">
        <v>239</v>
      </c>
      <c r="M28" s="71"/>
    </row>
    <row r="29" spans="1:16" x14ac:dyDescent="0.25">
      <c r="K29" t="s">
        <v>240</v>
      </c>
      <c r="M29" s="75">
        <f>-'247'!D60</f>
        <v>601020</v>
      </c>
      <c r="N29" s="75">
        <v>-605412</v>
      </c>
      <c r="O29" s="82">
        <f>M29+N29</f>
        <v>-4392</v>
      </c>
    </row>
    <row r="30" spans="1:16" x14ac:dyDescent="0.25">
      <c r="B30" t="s">
        <v>241</v>
      </c>
      <c r="D30" s="71">
        <f>'247'!D31</f>
        <v>31025623.789999999</v>
      </c>
      <c r="E30" s="71">
        <f>E17-E26-E28</f>
        <v>-28525090.949999999</v>
      </c>
      <c r="F30" s="71">
        <f>F17-F26-F28</f>
        <v>-54372</v>
      </c>
      <c r="G30" s="71">
        <f>D30+E30+F30</f>
        <v>2446160.84</v>
      </c>
      <c r="H30" s="71"/>
      <c r="K30" t="s">
        <v>242</v>
      </c>
      <c r="M30" s="81">
        <f>'247'!D59</f>
        <v>0</v>
      </c>
      <c r="N30" s="81">
        <v>659784</v>
      </c>
      <c r="O30" s="83">
        <f>M30+N30</f>
        <v>659784</v>
      </c>
    </row>
    <row r="31" spans="1:16" x14ac:dyDescent="0.25">
      <c r="J31" s="51" t="s">
        <v>243</v>
      </c>
      <c r="M31" s="75">
        <f>SUM(M29:M30)</f>
        <v>601020</v>
      </c>
      <c r="N31" s="75">
        <f>SUM(N29:N30)</f>
        <v>54372</v>
      </c>
      <c r="O31" s="75">
        <f>SUM(O29:O30)</f>
        <v>655392</v>
      </c>
      <c r="P31" t="s">
        <v>321</v>
      </c>
    </row>
    <row r="32" spans="1:16" ht="13.8" thickBot="1" x14ac:dyDescent="0.3">
      <c r="A32" s="51" t="s">
        <v>244</v>
      </c>
      <c r="D32" s="79">
        <f>SUM(D26:D30)</f>
        <v>35064380.950000003</v>
      </c>
      <c r="E32" s="79">
        <f>SUM(E26:E30)</f>
        <v>-31897570.949999999</v>
      </c>
      <c r="F32" s="79">
        <f>SUM(F26:F30)</f>
        <v>0</v>
      </c>
      <c r="G32" s="79">
        <f>SUM(G26:G30)</f>
        <v>3166810</v>
      </c>
      <c r="H32" s="80"/>
    </row>
    <row r="33" spans="1:15" ht="14.4" thickTop="1" thickBot="1" x14ac:dyDescent="0.3">
      <c r="J33" s="51" t="s">
        <v>245</v>
      </c>
      <c r="M33" s="79">
        <f>M26-M31</f>
        <v>1271527.8400000001</v>
      </c>
      <c r="N33" s="79">
        <f>N26-N31</f>
        <v>-54372</v>
      </c>
      <c r="O33" s="79">
        <f>O26-O31</f>
        <v>1217155.8400000001</v>
      </c>
    </row>
    <row r="34" spans="1:15" ht="13.8" thickTop="1" x14ac:dyDescent="0.25">
      <c r="M34" s="71"/>
    </row>
    <row r="35" spans="1:15" x14ac:dyDescent="0.25">
      <c r="A35" s="51" t="s">
        <v>246</v>
      </c>
      <c r="J35" s="51" t="s">
        <v>327</v>
      </c>
    </row>
    <row r="36" spans="1:15" x14ac:dyDescent="0.25">
      <c r="B36" t="s">
        <v>252</v>
      </c>
      <c r="D36" s="75">
        <f>'247'!D29</f>
        <v>3102.012784</v>
      </c>
      <c r="E36" s="75">
        <f>0.0001*E30</f>
        <v>-2852.5090949999999</v>
      </c>
      <c r="F36" s="75">
        <f>0.0001*F30</f>
        <v>-5.4372000000000007</v>
      </c>
      <c r="G36" s="75">
        <f>D36+E36+F36</f>
        <v>244.06648900000013</v>
      </c>
      <c r="K36" t="s">
        <v>322</v>
      </c>
      <c r="M36" s="75"/>
    </row>
    <row r="37" spans="1:15" x14ac:dyDescent="0.25">
      <c r="B37" t="s">
        <v>253</v>
      </c>
      <c r="D37" s="81">
        <f>'247'!D28</f>
        <v>31022521.777215999</v>
      </c>
      <c r="E37" s="81">
        <f>0.9999*E30</f>
        <v>-28522238.440905001</v>
      </c>
      <c r="F37" s="81">
        <f>0.9999*F30</f>
        <v>-54366.5628</v>
      </c>
      <c r="G37" s="81">
        <f>D37+E37+F37</f>
        <v>2445916.7735109976</v>
      </c>
      <c r="H37" s="77"/>
      <c r="K37" t="s">
        <v>323</v>
      </c>
      <c r="M37" s="75"/>
    </row>
    <row r="38" spans="1:15" ht="13.8" thickBot="1" x14ac:dyDescent="0.3">
      <c r="A38" s="51" t="s">
        <v>249</v>
      </c>
      <c r="D38" s="79">
        <f>SUM(D36:D37)</f>
        <v>31025623.789999999</v>
      </c>
      <c r="E38" s="79">
        <f>SUM(E36:E37)</f>
        <v>-28525090.949999999</v>
      </c>
      <c r="F38" s="79">
        <f>SUM(F36:F37)</f>
        <v>-54372</v>
      </c>
      <c r="G38" s="79">
        <f>SUM(G36:G37)</f>
        <v>2446160.8399999975</v>
      </c>
      <c r="H38" s="80"/>
      <c r="K38" t="s">
        <v>324</v>
      </c>
      <c r="M38" s="75"/>
    </row>
    <row r="39" spans="1:15" ht="13.8" thickTop="1" x14ac:dyDescent="0.25">
      <c r="K39" t="s">
        <v>325</v>
      </c>
      <c r="M39" s="75"/>
    </row>
    <row r="40" spans="1:15" x14ac:dyDescent="0.25">
      <c r="A40" s="51" t="s">
        <v>310</v>
      </c>
      <c r="D40"/>
      <c r="M40" s="71"/>
    </row>
    <row r="41" spans="1:15" x14ac:dyDescent="0.25">
      <c r="C41" t="s">
        <v>315</v>
      </c>
      <c r="D41"/>
      <c r="E41"/>
      <c r="J41" s="51" t="s">
        <v>329</v>
      </c>
      <c r="M41" s="75"/>
    </row>
    <row r="42" spans="1:15" x14ac:dyDescent="0.25">
      <c r="D42"/>
      <c r="E42"/>
      <c r="K42" t="s">
        <v>330</v>
      </c>
      <c r="M42" s="75"/>
    </row>
    <row r="43" spans="1:15" x14ac:dyDescent="0.25">
      <c r="A43" s="51" t="s">
        <v>328</v>
      </c>
      <c r="D43"/>
      <c r="M43" s="71"/>
    </row>
    <row r="44" spans="1:15" x14ac:dyDescent="0.25">
      <c r="C44" t="s">
        <v>316</v>
      </c>
    </row>
    <row r="45" spans="1:15" x14ac:dyDescent="0.25">
      <c r="C45" t="s">
        <v>317</v>
      </c>
    </row>
    <row r="46" spans="1:15" x14ac:dyDescent="0.25">
      <c r="C46" t="s">
        <v>318</v>
      </c>
      <c r="M46" s="71"/>
    </row>
    <row r="47" spans="1:15" x14ac:dyDescent="0.25">
      <c r="C47" t="s">
        <v>319</v>
      </c>
      <c r="M47" s="71"/>
    </row>
    <row r="48" spans="1:15" x14ac:dyDescent="0.25">
      <c r="M48" s="71"/>
    </row>
    <row r="49" spans="13:13" x14ac:dyDescent="0.25">
      <c r="M49" s="71"/>
    </row>
    <row r="50" spans="13:13" x14ac:dyDescent="0.25">
      <c r="M50" s="71"/>
    </row>
    <row r="51" spans="13:13" x14ac:dyDescent="0.25">
      <c r="M51" s="71"/>
    </row>
    <row r="52" spans="13:13" x14ac:dyDescent="0.25">
      <c r="M52" s="71"/>
    </row>
    <row r="53" spans="13:13" x14ac:dyDescent="0.25">
      <c r="M53" s="71"/>
    </row>
    <row r="54" spans="13:13" x14ac:dyDescent="0.25">
      <c r="M54" s="71"/>
    </row>
    <row r="55" spans="13:13" x14ac:dyDescent="0.25">
      <c r="M55" s="71"/>
    </row>
    <row r="56" spans="13:13" x14ac:dyDescent="0.25">
      <c r="M56" s="71"/>
    </row>
    <row r="57" spans="13:13" x14ac:dyDescent="0.25">
      <c r="M57" s="71"/>
    </row>
    <row r="58" spans="13:13" x14ac:dyDescent="0.25">
      <c r="M58" s="71"/>
    </row>
    <row r="59" spans="13:13" x14ac:dyDescent="0.25">
      <c r="M59" s="71"/>
    </row>
    <row r="60" spans="13:13" x14ac:dyDescent="0.25">
      <c r="M60" s="71"/>
    </row>
    <row r="61" spans="13:13" x14ac:dyDescent="0.25">
      <c r="M61" s="71"/>
    </row>
    <row r="62" spans="13:13" x14ac:dyDescent="0.25">
      <c r="M62" s="71"/>
    </row>
    <row r="63" spans="13:13" x14ac:dyDescent="0.25">
      <c r="M63" s="71"/>
    </row>
    <row r="64" spans="13:13" x14ac:dyDescent="0.25">
      <c r="M64" s="71"/>
    </row>
    <row r="65" spans="13:13" x14ac:dyDescent="0.25">
      <c r="M65" s="71"/>
    </row>
    <row r="66" spans="13:13" x14ac:dyDescent="0.25">
      <c r="M66" s="71"/>
    </row>
    <row r="67" spans="13:13" x14ac:dyDescent="0.25">
      <c r="M67" s="71"/>
    </row>
    <row r="68" spans="13:13" x14ac:dyDescent="0.25">
      <c r="M68" s="71"/>
    </row>
    <row r="69" spans="13:13" x14ac:dyDescent="0.25">
      <c r="M69" s="71"/>
    </row>
    <row r="70" spans="13:13" x14ac:dyDescent="0.25">
      <c r="M70" s="71"/>
    </row>
    <row r="71" spans="13:13" x14ac:dyDescent="0.25">
      <c r="M71" s="71"/>
    </row>
    <row r="72" spans="13:13" x14ac:dyDescent="0.25">
      <c r="M72" s="71"/>
    </row>
    <row r="73" spans="13:13" x14ac:dyDescent="0.25">
      <c r="M73" s="71"/>
    </row>
  </sheetData>
  <mergeCells count="7">
    <mergeCell ref="A3:G3"/>
    <mergeCell ref="J3:O3"/>
    <mergeCell ref="E5:F5"/>
    <mergeCell ref="A1:G1"/>
    <mergeCell ref="J1:O1"/>
    <mergeCell ref="A2:G2"/>
    <mergeCell ref="J2:O2"/>
  </mergeCells>
  <printOptions horizontalCentered="1"/>
  <pageMargins left="0.75" right="0.75" top="1" bottom="1" header="0.5" footer="0.5"/>
  <pageSetup scale="5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2"/>
  <sheetViews>
    <sheetView zoomScale="75" workbookViewId="0">
      <selection activeCell="G6" sqref="G6"/>
    </sheetView>
  </sheetViews>
  <sheetFormatPr defaultRowHeight="13.2" x14ac:dyDescent="0.25"/>
  <cols>
    <col min="1" max="1" width="3.6640625" customWidth="1"/>
    <col min="2" max="2" width="3.5546875" customWidth="1"/>
    <col min="3" max="3" width="48.5546875" customWidth="1"/>
    <col min="4" max="4" width="19.44140625" style="75" hidden="1" customWidth="1"/>
    <col min="5" max="5" width="21.6640625" style="75" hidden="1" customWidth="1"/>
    <col min="6" max="6" width="15.6640625" style="75" hidden="1" customWidth="1"/>
    <col min="7" max="8" width="17.44140625" style="75" customWidth="1"/>
    <col min="9" max="9" width="2.44140625" customWidth="1"/>
    <col min="10" max="10" width="5" customWidth="1"/>
    <col min="11" max="11" width="16.5546875" customWidth="1"/>
    <col min="12" max="12" width="22" customWidth="1"/>
    <col min="13" max="13" width="26" hidden="1" customWidth="1"/>
    <col min="14" max="14" width="21.44140625" hidden="1" customWidth="1"/>
    <col min="15" max="15" width="22.33203125" customWidth="1"/>
    <col min="16" max="16" width="13.6640625" customWidth="1"/>
  </cols>
  <sheetData>
    <row r="1" spans="1:15" ht="13.8" x14ac:dyDescent="0.25">
      <c r="A1" s="123" t="s">
        <v>210</v>
      </c>
      <c r="B1" s="123"/>
      <c r="C1" s="123"/>
      <c r="D1" s="123"/>
      <c r="E1" s="123"/>
      <c r="F1" s="123"/>
      <c r="G1" s="123"/>
      <c r="H1" s="68"/>
      <c r="J1" s="123" t="s">
        <v>210</v>
      </c>
      <c r="K1" s="123"/>
      <c r="L1" s="123"/>
      <c r="M1" s="123"/>
      <c r="N1" s="123"/>
      <c r="O1" s="123"/>
    </row>
    <row r="2" spans="1:15" ht="13.8" x14ac:dyDescent="0.25">
      <c r="A2" s="123" t="s">
        <v>108</v>
      </c>
      <c r="B2" s="123"/>
      <c r="C2" s="123"/>
      <c r="D2" s="123"/>
      <c r="E2" s="123"/>
      <c r="F2" s="123"/>
      <c r="G2" s="123"/>
      <c r="H2" s="68"/>
      <c r="J2" s="123" t="s">
        <v>211</v>
      </c>
      <c r="K2" s="123"/>
      <c r="L2" s="123"/>
      <c r="M2" s="123"/>
      <c r="N2" s="123"/>
      <c r="O2" s="123"/>
    </row>
    <row r="3" spans="1:15" ht="13.8" x14ac:dyDescent="0.25">
      <c r="A3" s="121">
        <f>'P&amp;SCombined'!A3:D3</f>
        <v>36769</v>
      </c>
      <c r="B3" s="121"/>
      <c r="C3" s="121"/>
      <c r="D3" s="121"/>
      <c r="E3" s="121"/>
      <c r="F3" s="121"/>
      <c r="G3" s="121"/>
      <c r="H3" s="93"/>
      <c r="J3" s="121" t="s">
        <v>301</v>
      </c>
      <c r="K3" s="121"/>
      <c r="L3" s="121"/>
      <c r="M3" s="121"/>
      <c r="N3" s="121"/>
      <c r="O3" s="121"/>
    </row>
    <row r="4" spans="1:15" ht="13.8" x14ac:dyDescent="0.25">
      <c r="A4" s="68"/>
      <c r="B4" s="68"/>
      <c r="C4" s="68"/>
      <c r="D4" s="68"/>
      <c r="E4" s="68"/>
      <c r="F4" s="68"/>
      <c r="G4" s="68"/>
      <c r="H4" s="68"/>
      <c r="J4" s="68"/>
      <c r="K4" s="68"/>
      <c r="L4" s="68"/>
      <c r="M4" s="68"/>
    </row>
    <row r="5" spans="1:15" x14ac:dyDescent="0.25">
      <c r="D5" s="69"/>
      <c r="E5" s="122" t="s">
        <v>212</v>
      </c>
      <c r="F5" s="122"/>
      <c r="G5" s="70"/>
      <c r="H5" s="70"/>
      <c r="M5" s="71"/>
    </row>
    <row r="6" spans="1:15" ht="26.4" x14ac:dyDescent="0.25">
      <c r="D6" s="70" t="s">
        <v>213</v>
      </c>
      <c r="E6" s="72" t="s">
        <v>304</v>
      </c>
      <c r="F6" s="70" t="s">
        <v>215</v>
      </c>
      <c r="G6" s="69"/>
      <c r="H6" s="69"/>
      <c r="M6" s="70" t="s">
        <v>213</v>
      </c>
      <c r="N6" s="73" t="s">
        <v>212</v>
      </c>
      <c r="O6" s="74"/>
    </row>
    <row r="7" spans="1:15" x14ac:dyDescent="0.25">
      <c r="A7" s="51" t="s">
        <v>216</v>
      </c>
    </row>
    <row r="8" spans="1:15" x14ac:dyDescent="0.25">
      <c r="B8" t="s">
        <v>217</v>
      </c>
      <c r="J8" s="51" t="s">
        <v>218</v>
      </c>
      <c r="M8" s="75">
        <v>0</v>
      </c>
      <c r="N8" s="75">
        <v>0</v>
      </c>
      <c r="O8" s="75">
        <f>M8+N8</f>
        <v>0</v>
      </c>
    </row>
    <row r="9" spans="1:15" x14ac:dyDescent="0.25">
      <c r="C9" t="s">
        <v>219</v>
      </c>
      <c r="D9" s="76">
        <f>'259'!D12+'259'!D13-'259'!D22-'259'!D23-'259'!D24-'259'!D25-'259'!D26-'259'!D27</f>
        <v>17171694.860000003</v>
      </c>
      <c r="E9" s="76">
        <f>-17187902.56</f>
        <v>-17187902.559999999</v>
      </c>
      <c r="F9" s="76">
        <v>0</v>
      </c>
      <c r="G9" s="76">
        <f>D9+E9+F9</f>
        <v>-16207.69999999553</v>
      </c>
      <c r="H9" s="80" t="s">
        <v>309</v>
      </c>
    </row>
    <row r="10" spans="1:15" x14ac:dyDescent="0.25">
      <c r="B10" t="s">
        <v>220</v>
      </c>
      <c r="D10" s="75">
        <f>SUM(D9)</f>
        <v>17171694.860000003</v>
      </c>
      <c r="E10" s="75">
        <f>SUM(E9)</f>
        <v>-17187902.559999999</v>
      </c>
      <c r="F10" s="75">
        <f>SUM(F9)</f>
        <v>0</v>
      </c>
      <c r="G10" s="75">
        <f>SUM(G9)</f>
        <v>-16207.69999999553</v>
      </c>
      <c r="J10" s="51" t="s">
        <v>29</v>
      </c>
      <c r="M10" s="71">
        <v>0</v>
      </c>
      <c r="N10" s="71">
        <v>0</v>
      </c>
      <c r="O10" s="71">
        <f>M10+N10</f>
        <v>0</v>
      </c>
    </row>
    <row r="12" spans="1:15" x14ac:dyDescent="0.25">
      <c r="B12" t="s">
        <v>221</v>
      </c>
      <c r="D12" s="71">
        <f>'259'!D11</f>
        <v>2817410</v>
      </c>
      <c r="E12" s="71">
        <v>0</v>
      </c>
      <c r="F12" s="71">
        <v>0</v>
      </c>
      <c r="G12" s="77">
        <f>D12+E12+F12</f>
        <v>2817410</v>
      </c>
      <c r="H12" s="77"/>
      <c r="J12" s="51" t="s">
        <v>222</v>
      </c>
      <c r="M12" s="77">
        <f>-'259'!D52</f>
        <v>-52977.71</v>
      </c>
      <c r="N12" s="77">
        <v>52977.71</v>
      </c>
      <c r="O12" s="77">
        <f>M12+N12</f>
        <v>0</v>
      </c>
    </row>
    <row r="13" spans="1:15" x14ac:dyDescent="0.25">
      <c r="D13" s="71"/>
      <c r="E13" s="71"/>
      <c r="F13" s="71"/>
      <c r="G13" s="71"/>
      <c r="H13" s="71"/>
      <c r="M13" s="78"/>
      <c r="N13" s="78"/>
      <c r="O13" s="78"/>
    </row>
    <row r="14" spans="1:15" x14ac:dyDescent="0.25">
      <c r="B14" t="s">
        <v>62</v>
      </c>
      <c r="D14" s="71">
        <f>'259'!D14</f>
        <v>44594.43</v>
      </c>
      <c r="E14" s="71">
        <v>0</v>
      </c>
      <c r="F14" s="71">
        <v>0</v>
      </c>
      <c r="G14" s="77">
        <f>D14+E14+F14</f>
        <v>44594.43</v>
      </c>
      <c r="H14" s="77"/>
      <c r="J14" s="51" t="s">
        <v>223</v>
      </c>
      <c r="M14" s="75">
        <f>M12*-1</f>
        <v>52977.71</v>
      </c>
      <c r="N14" s="75">
        <f>N12*-1</f>
        <v>-52977.71</v>
      </c>
      <c r="O14" s="75">
        <f>O12*-1</f>
        <v>0</v>
      </c>
    </row>
    <row r="15" spans="1:15" x14ac:dyDescent="0.25">
      <c r="M15" s="71"/>
      <c r="N15" s="71"/>
      <c r="O15" s="71"/>
    </row>
    <row r="16" spans="1:15" ht="13.8" thickBot="1" x14ac:dyDescent="0.3">
      <c r="A16" s="51" t="s">
        <v>224</v>
      </c>
      <c r="D16" s="79">
        <f>SUM(D10:D14)</f>
        <v>20033699.290000003</v>
      </c>
      <c r="E16" s="79">
        <f>SUM(E10:E14)</f>
        <v>-17187902.559999999</v>
      </c>
      <c r="F16" s="79">
        <f>SUM(F10:F14)</f>
        <v>0</v>
      </c>
      <c r="G16" s="79">
        <f>SUM(G10:G14)</f>
        <v>2845796.7300000046</v>
      </c>
      <c r="H16" s="80"/>
      <c r="J16" s="51" t="s">
        <v>225</v>
      </c>
      <c r="M16" s="71">
        <f>'259'!D50</f>
        <v>-90</v>
      </c>
      <c r="N16" s="71">
        <v>0</v>
      </c>
      <c r="O16" s="71">
        <f>M16+N16</f>
        <v>-90</v>
      </c>
    </row>
    <row r="17" spans="1:16" ht="13.8" thickTop="1" x14ac:dyDescent="0.25">
      <c r="M17" s="71"/>
      <c r="N17" s="71"/>
      <c r="O17" s="71"/>
    </row>
    <row r="18" spans="1:16" x14ac:dyDescent="0.25">
      <c r="J18" s="51" t="s">
        <v>226</v>
      </c>
      <c r="M18" s="71">
        <v>0</v>
      </c>
      <c r="N18" s="71">
        <v>52977.71</v>
      </c>
      <c r="O18" s="71">
        <f>M18+N18</f>
        <v>52977.71</v>
      </c>
    </row>
    <row r="19" spans="1:16" x14ac:dyDescent="0.25">
      <c r="A19" s="51" t="s">
        <v>227</v>
      </c>
    </row>
    <row r="20" spans="1:16" x14ac:dyDescent="0.25">
      <c r="B20" t="s">
        <v>228</v>
      </c>
      <c r="J20" s="51" t="s">
        <v>229</v>
      </c>
      <c r="M20" s="71"/>
      <c r="N20" s="71"/>
      <c r="O20" s="71"/>
    </row>
    <row r="21" spans="1:16" x14ac:dyDescent="0.25">
      <c r="C21" t="s">
        <v>230</v>
      </c>
      <c r="D21" s="75">
        <f>'259'!D21</f>
        <v>4530399</v>
      </c>
      <c r="E21" s="75">
        <v>-4498792</v>
      </c>
      <c r="F21" s="75">
        <v>2884</v>
      </c>
      <c r="G21" s="80">
        <f>D21+E21+F21</f>
        <v>34491</v>
      </c>
      <c r="H21" s="80" t="s">
        <v>309</v>
      </c>
      <c r="K21" t="s">
        <v>231</v>
      </c>
      <c r="M21" s="75">
        <f>'259'!D63</f>
        <v>188624</v>
      </c>
      <c r="N21" s="75">
        <v>73884</v>
      </c>
      <c r="O21" s="75">
        <f>M21+N21</f>
        <v>262508</v>
      </c>
      <c r="P21" t="s">
        <v>320</v>
      </c>
    </row>
    <row r="22" spans="1:16" x14ac:dyDescent="0.25">
      <c r="C22" t="s">
        <v>232</v>
      </c>
      <c r="D22" s="71">
        <f>'259'!D28</f>
        <v>16267.5</v>
      </c>
      <c r="E22" s="71">
        <v>0</v>
      </c>
      <c r="F22" s="71">
        <v>0</v>
      </c>
      <c r="G22" s="77">
        <f>D22+E22+F22</f>
        <v>16267.5</v>
      </c>
      <c r="H22" s="77"/>
      <c r="K22" t="s">
        <v>233</v>
      </c>
      <c r="M22" s="81">
        <f>'259'!D64</f>
        <v>73884</v>
      </c>
      <c r="N22" s="81">
        <v>-73884</v>
      </c>
      <c r="O22" s="81">
        <f>+M22+N22</f>
        <v>0</v>
      </c>
    </row>
    <row r="23" spans="1:16" x14ac:dyDescent="0.25">
      <c r="C23" t="s">
        <v>21</v>
      </c>
      <c r="D23" s="75">
        <f>'259'!D29</f>
        <v>2626.04</v>
      </c>
      <c r="E23" s="71">
        <v>0</v>
      </c>
      <c r="F23" s="71">
        <v>0</v>
      </c>
      <c r="G23" s="77">
        <f>D23+E23+F23</f>
        <v>2626.04</v>
      </c>
      <c r="H23" s="77"/>
      <c r="J23" s="51" t="s">
        <v>234</v>
      </c>
      <c r="M23" s="75">
        <f>SUM(M21:M22)</f>
        <v>262508</v>
      </c>
      <c r="N23" s="75">
        <f>SUM(N21:N22)</f>
        <v>0</v>
      </c>
      <c r="O23" s="75">
        <f>SUM(O21:O22)</f>
        <v>262508</v>
      </c>
    </row>
    <row r="24" spans="1:16" x14ac:dyDescent="0.25">
      <c r="C24" t="s">
        <v>235</v>
      </c>
      <c r="D24" s="81">
        <f>'259'!D30</f>
        <v>0</v>
      </c>
      <c r="E24" s="81">
        <v>0</v>
      </c>
      <c r="F24" s="81">
        <v>-11427</v>
      </c>
      <c r="G24" s="81">
        <f>D24+E24+F24</f>
        <v>-11427</v>
      </c>
      <c r="H24" s="80" t="s">
        <v>311</v>
      </c>
      <c r="J24" s="51"/>
      <c r="M24" s="81"/>
      <c r="N24" s="81"/>
      <c r="O24" s="81"/>
    </row>
    <row r="25" spans="1:16" x14ac:dyDescent="0.25">
      <c r="B25" t="s">
        <v>236</v>
      </c>
      <c r="D25" s="75">
        <f>SUM(D21:D24)</f>
        <v>4549292.54</v>
      </c>
      <c r="E25" s="75">
        <f>SUM(E21:E24)</f>
        <v>-4498792</v>
      </c>
      <c r="F25" s="75">
        <f>SUM(F21:F24)</f>
        <v>-8543</v>
      </c>
      <c r="G25" s="75">
        <f>SUM(G21:G24)</f>
        <v>41957.54</v>
      </c>
      <c r="J25" s="51" t="s">
        <v>237</v>
      </c>
      <c r="M25" s="82">
        <f>M14+M16-M23+M18</f>
        <v>-209620.29</v>
      </c>
      <c r="N25" s="82">
        <f>N14+N16-N23+N18</f>
        <v>0</v>
      </c>
      <c r="O25" s="82">
        <f>O14+O16-O23+O18</f>
        <v>-209620.29</v>
      </c>
    </row>
    <row r="27" spans="1:16" x14ac:dyDescent="0.25">
      <c r="B27" t="s">
        <v>238</v>
      </c>
      <c r="D27" s="71">
        <f>'259'!D31</f>
        <v>3465000</v>
      </c>
      <c r="E27" s="71">
        <v>0</v>
      </c>
      <c r="F27" s="71">
        <v>0</v>
      </c>
      <c r="G27" s="77">
        <f>D27+E27+F27</f>
        <v>3465000</v>
      </c>
      <c r="H27" s="77"/>
      <c r="J27" s="51" t="s">
        <v>239</v>
      </c>
      <c r="M27" s="71"/>
      <c r="N27" s="71"/>
      <c r="O27" s="71"/>
    </row>
    <row r="28" spans="1:16" x14ac:dyDescent="0.25">
      <c r="K28" t="s">
        <v>240</v>
      </c>
      <c r="M28" s="75">
        <f>-'259'!D68</f>
        <v>-64825</v>
      </c>
      <c r="N28" s="75">
        <v>2884</v>
      </c>
      <c r="O28" s="75">
        <f>M28+N28</f>
        <v>-61941</v>
      </c>
    </row>
    <row r="29" spans="1:16" x14ac:dyDescent="0.25">
      <c r="B29" t="s">
        <v>241</v>
      </c>
      <c r="D29" s="71">
        <f>'259'!D39</f>
        <v>12019406.75</v>
      </c>
      <c r="E29" s="71">
        <f>E16-E25-E27</f>
        <v>-12689110.559999999</v>
      </c>
      <c r="F29" s="71">
        <f>F16-F25-F27</f>
        <v>8543</v>
      </c>
      <c r="G29" s="71">
        <f>G16-G25-G27</f>
        <v>-661160.8099999954</v>
      </c>
      <c r="H29" s="71"/>
      <c r="K29" t="s">
        <v>242</v>
      </c>
      <c r="M29" s="81">
        <f>'259'!D67</f>
        <v>0</v>
      </c>
      <c r="N29" s="81">
        <v>-11427</v>
      </c>
      <c r="O29" s="81">
        <f>+M29+N29</f>
        <v>-11427</v>
      </c>
    </row>
    <row r="30" spans="1:16" x14ac:dyDescent="0.25">
      <c r="J30" s="51" t="s">
        <v>243</v>
      </c>
      <c r="M30" s="75">
        <f>SUM(M28:M29)</f>
        <v>-64825</v>
      </c>
      <c r="N30" s="75">
        <f>SUM(N28:N29)</f>
        <v>-8543</v>
      </c>
      <c r="O30" s="75">
        <f>SUM(O28:O29)</f>
        <v>-73368</v>
      </c>
      <c r="P30" t="s">
        <v>321</v>
      </c>
    </row>
    <row r="31" spans="1:16" ht="13.8" thickBot="1" x14ac:dyDescent="0.3">
      <c r="A31" s="51" t="s">
        <v>244</v>
      </c>
      <c r="D31" s="79">
        <f>SUM(D25:D29)</f>
        <v>20033699.289999999</v>
      </c>
      <c r="E31" s="79">
        <f>SUM(E25:E29)</f>
        <v>-17187902.559999999</v>
      </c>
      <c r="F31" s="79">
        <f>SUM(F25:F29)</f>
        <v>0</v>
      </c>
      <c r="G31" s="79">
        <f>SUM(G25:G29)</f>
        <v>2845796.7300000046</v>
      </c>
      <c r="H31" s="80"/>
    </row>
    <row r="32" spans="1:16" ht="14.4" thickTop="1" thickBot="1" x14ac:dyDescent="0.3">
      <c r="J32" s="51" t="s">
        <v>245</v>
      </c>
      <c r="M32" s="79">
        <f>M25-M30</f>
        <v>-144795.29</v>
      </c>
      <c r="N32" s="79">
        <f>N25-N30</f>
        <v>8543</v>
      </c>
      <c r="O32" s="79">
        <f>O25-O30</f>
        <v>-136252.29</v>
      </c>
    </row>
    <row r="33" spans="1:13" ht="13.8" thickTop="1" x14ac:dyDescent="0.25">
      <c r="M33" s="71"/>
    </row>
    <row r="34" spans="1:13" x14ac:dyDescent="0.25">
      <c r="A34" s="51" t="s">
        <v>246</v>
      </c>
      <c r="J34" s="51" t="s">
        <v>326</v>
      </c>
      <c r="M34" s="71"/>
    </row>
    <row r="35" spans="1:13" x14ac:dyDescent="0.25">
      <c r="B35" t="s">
        <v>247</v>
      </c>
      <c r="D35" s="75">
        <f>1216.42+(0.0001*M32)</f>
        <v>1201.9404710000001</v>
      </c>
      <c r="E35" s="75">
        <f>(0.0001*E29)</f>
        <v>-1268.9110559999999</v>
      </c>
      <c r="F35" s="75">
        <f>(0.0001*F29)</f>
        <v>0.85430000000000006</v>
      </c>
      <c r="G35" s="80">
        <f>D35+E35+F35</f>
        <v>-66.116284999999806</v>
      </c>
      <c r="H35" s="80"/>
      <c r="K35" t="s">
        <v>322</v>
      </c>
      <c r="M35" s="71"/>
    </row>
    <row r="36" spans="1:13" x14ac:dyDescent="0.25">
      <c r="B36" t="s">
        <v>248</v>
      </c>
      <c r="D36" s="81">
        <f>12162985.62+(0.9999*M32)</f>
        <v>12018204.809528999</v>
      </c>
      <c r="E36" s="81">
        <f>(0.9999*E29)</f>
        <v>-12687841.648943998</v>
      </c>
      <c r="F36" s="81">
        <f>(0.9999*F29)</f>
        <v>8542.1457000000009</v>
      </c>
      <c r="G36" s="81">
        <f>D36+E36+F36</f>
        <v>-661094.6937149989</v>
      </c>
      <c r="H36" s="77"/>
      <c r="K36" t="s">
        <v>323</v>
      </c>
      <c r="M36" s="71"/>
    </row>
    <row r="37" spans="1:13" ht="13.8" thickBot="1" x14ac:dyDescent="0.3">
      <c r="A37" s="51" t="s">
        <v>249</v>
      </c>
      <c r="D37" s="79">
        <f>SUM(D35:D36)</f>
        <v>12019406.749999998</v>
      </c>
      <c r="E37" s="79">
        <f>SUM(E35:E36)</f>
        <v>-12689110.559999999</v>
      </c>
      <c r="F37" s="79">
        <f>SUM(F35:F36)</f>
        <v>8543.0000000000018</v>
      </c>
      <c r="G37" s="79">
        <f>SUM(G35:G36)</f>
        <v>-661160.80999999889</v>
      </c>
      <c r="H37" s="80"/>
      <c r="K37" t="s">
        <v>331</v>
      </c>
      <c r="M37" s="71"/>
    </row>
    <row r="38" spans="1:13" ht="13.8" thickTop="1" x14ac:dyDescent="0.25">
      <c r="K38" t="s">
        <v>325</v>
      </c>
      <c r="M38" s="71"/>
    </row>
    <row r="39" spans="1:13" x14ac:dyDescent="0.25">
      <c r="A39" s="51" t="s">
        <v>310</v>
      </c>
      <c r="M39" s="71"/>
    </row>
    <row r="40" spans="1:13" x14ac:dyDescent="0.25">
      <c r="C40" t="s">
        <v>315</v>
      </c>
      <c r="J40" s="51" t="s">
        <v>332</v>
      </c>
      <c r="M40" s="71"/>
    </row>
    <row r="41" spans="1:13" x14ac:dyDescent="0.25">
      <c r="K41" t="s">
        <v>330</v>
      </c>
      <c r="M41" s="71"/>
    </row>
    <row r="42" spans="1:13" x14ac:dyDescent="0.25">
      <c r="A42" s="51" t="s">
        <v>326</v>
      </c>
      <c r="M42" s="71"/>
    </row>
    <row r="43" spans="1:13" x14ac:dyDescent="0.25">
      <c r="C43" t="s">
        <v>316</v>
      </c>
      <c r="M43" s="71"/>
    </row>
    <row r="44" spans="1:13" x14ac:dyDescent="0.25">
      <c r="C44" t="s">
        <v>317</v>
      </c>
      <c r="M44" s="71"/>
    </row>
    <row r="45" spans="1:13" x14ac:dyDescent="0.25">
      <c r="C45" t="s">
        <v>318</v>
      </c>
      <c r="M45" s="71"/>
    </row>
    <row r="46" spans="1:13" x14ac:dyDescent="0.25">
      <c r="C46" t="s">
        <v>319</v>
      </c>
      <c r="M46" s="71"/>
    </row>
    <row r="47" spans="1:13" x14ac:dyDescent="0.25">
      <c r="M47" s="71"/>
    </row>
    <row r="48" spans="1:13" x14ac:dyDescent="0.25">
      <c r="M48" s="71"/>
    </row>
    <row r="49" spans="13:13" x14ac:dyDescent="0.25">
      <c r="M49" s="71"/>
    </row>
    <row r="50" spans="13:13" x14ac:dyDescent="0.25">
      <c r="M50" s="71"/>
    </row>
    <row r="51" spans="13:13" x14ac:dyDescent="0.25">
      <c r="M51" s="71"/>
    </row>
    <row r="52" spans="13:13" x14ac:dyDescent="0.25">
      <c r="M52" s="71"/>
    </row>
    <row r="53" spans="13:13" x14ac:dyDescent="0.25">
      <c r="M53" s="71"/>
    </row>
    <row r="54" spans="13:13" x14ac:dyDescent="0.25">
      <c r="M54" s="71"/>
    </row>
    <row r="55" spans="13:13" x14ac:dyDescent="0.25">
      <c r="M55" s="71"/>
    </row>
    <row r="56" spans="13:13" x14ac:dyDescent="0.25">
      <c r="M56" s="71"/>
    </row>
    <row r="57" spans="13:13" x14ac:dyDescent="0.25">
      <c r="M57" s="71"/>
    </row>
    <row r="58" spans="13:13" x14ac:dyDescent="0.25">
      <c r="M58" s="71"/>
    </row>
    <row r="59" spans="13:13" x14ac:dyDescent="0.25">
      <c r="M59" s="71"/>
    </row>
    <row r="60" spans="13:13" x14ac:dyDescent="0.25">
      <c r="M60" s="71"/>
    </row>
    <row r="61" spans="13:13" x14ac:dyDescent="0.25">
      <c r="M61" s="71"/>
    </row>
    <row r="62" spans="13:13" x14ac:dyDescent="0.25">
      <c r="M62" s="71"/>
    </row>
    <row r="63" spans="13:13" x14ac:dyDescent="0.25">
      <c r="M63" s="71"/>
    </row>
    <row r="64" spans="13:13" x14ac:dyDescent="0.25">
      <c r="M64" s="71"/>
    </row>
    <row r="65" spans="13:13" x14ac:dyDescent="0.25">
      <c r="M65" s="71"/>
    </row>
    <row r="66" spans="13:13" x14ac:dyDescent="0.25">
      <c r="M66" s="71"/>
    </row>
    <row r="67" spans="13:13" x14ac:dyDescent="0.25">
      <c r="M67" s="71"/>
    </row>
    <row r="68" spans="13:13" x14ac:dyDescent="0.25">
      <c r="M68" s="71"/>
    </row>
    <row r="69" spans="13:13" x14ac:dyDescent="0.25">
      <c r="M69" s="71"/>
    </row>
    <row r="70" spans="13:13" x14ac:dyDescent="0.25">
      <c r="M70" s="71"/>
    </row>
    <row r="71" spans="13:13" x14ac:dyDescent="0.25">
      <c r="M71" s="71"/>
    </row>
    <row r="72" spans="13:13" x14ac:dyDescent="0.25">
      <c r="M72" s="71"/>
    </row>
  </sheetData>
  <mergeCells count="7">
    <mergeCell ref="A3:G3"/>
    <mergeCell ref="J3:O3"/>
    <mergeCell ref="E5:F5"/>
    <mergeCell ref="A1:G1"/>
    <mergeCell ref="J1:O1"/>
    <mergeCell ref="A2:G2"/>
    <mergeCell ref="J2:O2"/>
  </mergeCells>
  <pageMargins left="0.75" right="0.75" top="1" bottom="1" header="0.5" footer="0.5"/>
  <pageSetup scale="51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0"/>
  <sheetViews>
    <sheetView tabSelected="1" zoomScale="75" workbookViewId="0">
      <selection sqref="A1:D1"/>
    </sheetView>
  </sheetViews>
  <sheetFormatPr defaultRowHeight="13.2" x14ac:dyDescent="0.25"/>
  <cols>
    <col min="1" max="1" width="3.6640625" customWidth="1"/>
    <col min="2" max="2" width="3.5546875" customWidth="1"/>
    <col min="3" max="3" width="48.5546875" customWidth="1"/>
    <col min="4" max="6" width="19.44140625" style="75" customWidth="1"/>
    <col min="7" max="7" width="15.33203125" style="75" customWidth="1"/>
    <col min="8" max="8" width="2.44140625" customWidth="1"/>
    <col min="9" max="9" width="3.33203125" customWidth="1"/>
    <col min="10" max="10" width="16.5546875" customWidth="1"/>
    <col min="11" max="11" width="28.44140625" customWidth="1"/>
    <col min="12" max="12" width="24.109375" customWidth="1"/>
    <col min="13" max="13" width="16.44140625" customWidth="1"/>
    <col min="14" max="14" width="17.44140625" customWidth="1"/>
    <col min="15" max="15" width="16.6640625" customWidth="1"/>
    <col min="16" max="17" width="13.6640625" customWidth="1"/>
    <col min="18" max="18" width="1.6640625" customWidth="1"/>
    <col min="19" max="19" width="43.33203125" customWidth="1"/>
    <col min="20" max="20" width="13.44140625" bestFit="1" customWidth="1"/>
    <col min="21" max="21" width="23.44140625" customWidth="1"/>
  </cols>
  <sheetData>
    <row r="1" spans="1:21" ht="13.8" x14ac:dyDescent="0.25">
      <c r="A1" s="123" t="s">
        <v>271</v>
      </c>
      <c r="B1" s="123"/>
      <c r="C1" s="123"/>
      <c r="D1" s="123"/>
      <c r="E1" s="68"/>
      <c r="F1" s="68"/>
      <c r="G1" s="68"/>
      <c r="I1" s="123" t="s">
        <v>271</v>
      </c>
      <c r="J1" s="123"/>
      <c r="K1" s="123"/>
      <c r="L1" s="123"/>
      <c r="M1" s="123"/>
      <c r="N1" s="123"/>
      <c r="S1" s="124" t="s">
        <v>271</v>
      </c>
      <c r="T1" s="124"/>
      <c r="U1" s="124"/>
    </row>
    <row r="2" spans="1:21" ht="13.8" x14ac:dyDescent="0.25">
      <c r="A2" s="123" t="s">
        <v>108</v>
      </c>
      <c r="B2" s="123"/>
      <c r="C2" s="123"/>
      <c r="D2" s="123"/>
      <c r="E2" s="68"/>
      <c r="F2" s="68"/>
      <c r="G2" s="68"/>
      <c r="I2" s="123" t="s">
        <v>211</v>
      </c>
      <c r="J2" s="123"/>
      <c r="K2" s="123"/>
      <c r="L2" s="123"/>
      <c r="M2" s="123"/>
      <c r="N2" s="123"/>
      <c r="S2" s="124" t="s">
        <v>287</v>
      </c>
      <c r="T2" s="124"/>
      <c r="U2" s="124"/>
    </row>
    <row r="3" spans="1:21" ht="13.8" x14ac:dyDescent="0.25">
      <c r="A3" s="121">
        <v>36769</v>
      </c>
      <c r="B3" s="121"/>
      <c r="C3" s="121"/>
      <c r="D3" s="121"/>
      <c r="E3" s="68"/>
      <c r="F3" s="68"/>
      <c r="G3" s="68"/>
      <c r="I3" s="121" t="s">
        <v>301</v>
      </c>
      <c r="J3" s="121"/>
      <c r="K3" s="121"/>
      <c r="L3" s="121"/>
      <c r="M3" s="121"/>
      <c r="N3" s="121"/>
      <c r="S3" s="124" t="s">
        <v>302</v>
      </c>
      <c r="T3" s="124"/>
      <c r="U3" s="124"/>
    </row>
    <row r="4" spans="1:21" ht="13.8" x14ac:dyDescent="0.25">
      <c r="A4" s="68"/>
      <c r="B4" s="68"/>
      <c r="C4" s="68"/>
      <c r="D4" s="68"/>
      <c r="E4" s="68"/>
      <c r="F4" s="68"/>
      <c r="G4" s="68"/>
      <c r="I4" s="68"/>
      <c r="J4" s="68"/>
      <c r="K4" s="68"/>
      <c r="L4" s="68"/>
      <c r="S4" s="124" t="s">
        <v>296</v>
      </c>
      <c r="T4" s="124"/>
      <c r="U4" s="124"/>
    </row>
    <row r="5" spans="1:21" ht="13.8" x14ac:dyDescent="0.25">
      <c r="A5" s="68"/>
      <c r="B5" s="68"/>
      <c r="C5" s="68"/>
      <c r="D5" s="69"/>
      <c r="E5" s="69"/>
      <c r="F5" s="69"/>
      <c r="G5" s="69"/>
      <c r="I5" s="68"/>
      <c r="J5" s="68"/>
      <c r="K5" s="68"/>
      <c r="L5" s="68"/>
    </row>
    <row r="6" spans="1:21" ht="39.6" x14ac:dyDescent="0.25">
      <c r="A6" s="68"/>
      <c r="B6" s="68"/>
      <c r="C6" s="68"/>
      <c r="D6" s="72"/>
      <c r="E6" s="72" t="s">
        <v>278</v>
      </c>
      <c r="F6" s="70" t="s">
        <v>279</v>
      </c>
      <c r="G6" s="70"/>
      <c r="I6" s="68"/>
      <c r="J6" s="68"/>
      <c r="K6" s="68"/>
      <c r="L6" s="70" t="s">
        <v>213</v>
      </c>
      <c r="M6" s="73" t="s">
        <v>212</v>
      </c>
      <c r="N6" s="74"/>
      <c r="O6" s="72" t="s">
        <v>278</v>
      </c>
      <c r="P6" s="70" t="s">
        <v>279</v>
      </c>
      <c r="Q6" s="70"/>
      <c r="T6" s="73" t="s">
        <v>288</v>
      </c>
      <c r="U6" s="74" t="s">
        <v>303</v>
      </c>
    </row>
    <row r="7" spans="1:21" x14ac:dyDescent="0.25">
      <c r="L7" s="71"/>
    </row>
    <row r="8" spans="1:21" x14ac:dyDescent="0.25">
      <c r="A8" s="51" t="s">
        <v>216</v>
      </c>
    </row>
    <row r="9" spans="1:21" x14ac:dyDescent="0.25">
      <c r="B9" t="s">
        <v>217</v>
      </c>
      <c r="I9" s="51" t="s">
        <v>218</v>
      </c>
    </row>
    <row r="10" spans="1:21" x14ac:dyDescent="0.25">
      <c r="C10" t="s">
        <v>82</v>
      </c>
      <c r="D10" s="75">
        <f>'P&amp;S63K'!G10</f>
        <v>122531.79</v>
      </c>
      <c r="E10" s="75">
        <v>0</v>
      </c>
      <c r="F10" s="89">
        <f>D10-E10</f>
        <v>122531.79</v>
      </c>
      <c r="G10" s="89"/>
      <c r="J10" t="s">
        <v>256</v>
      </c>
      <c r="L10" s="75">
        <f>'P&amp;S63K'!M10</f>
        <v>193469.97</v>
      </c>
      <c r="M10" s="75">
        <f>'P&amp;S63K'!N10</f>
        <v>0</v>
      </c>
      <c r="N10" s="75">
        <f>L10+M10</f>
        <v>193469.97</v>
      </c>
      <c r="O10" s="75">
        <v>137136.38</v>
      </c>
      <c r="P10" s="82">
        <f>N10-O10</f>
        <v>56333.59</v>
      </c>
      <c r="Q10" s="82"/>
      <c r="S10" t="s">
        <v>280</v>
      </c>
      <c r="T10" s="75">
        <f>P13</f>
        <v>1147268.93</v>
      </c>
      <c r="U10" s="82">
        <f>-T10</f>
        <v>-1147268.93</v>
      </c>
    </row>
    <row r="11" spans="1:21" x14ac:dyDescent="0.25">
      <c r="C11" t="s">
        <v>255</v>
      </c>
      <c r="D11" s="77">
        <v>0</v>
      </c>
      <c r="E11" s="77">
        <v>0</v>
      </c>
      <c r="F11" s="90">
        <f>D11-E11</f>
        <v>0</v>
      </c>
      <c r="G11" s="90" t="s">
        <v>309</v>
      </c>
      <c r="J11" t="s">
        <v>258</v>
      </c>
      <c r="L11" s="71">
        <f>'P&amp;S63K'!M11</f>
        <v>2436028.23</v>
      </c>
      <c r="M11" s="71">
        <f>'P&amp;S63K'!N11</f>
        <v>0</v>
      </c>
      <c r="N11" s="71">
        <f>L11+M11</f>
        <v>2436028.23</v>
      </c>
      <c r="O11" s="71">
        <v>1527818.96</v>
      </c>
      <c r="P11" s="71">
        <f>N11-O11</f>
        <v>908209.27</v>
      </c>
      <c r="Q11" s="71"/>
    </row>
    <row r="12" spans="1:21" x14ac:dyDescent="0.25">
      <c r="C12" t="s">
        <v>277</v>
      </c>
      <c r="D12" s="71">
        <v>0</v>
      </c>
      <c r="E12" s="71">
        <v>0</v>
      </c>
      <c r="F12" s="90">
        <f>D12-E12</f>
        <v>0</v>
      </c>
      <c r="G12" s="90"/>
      <c r="J12" t="s">
        <v>260</v>
      </c>
      <c r="L12" s="81">
        <f>'P&amp;S63K'!M12</f>
        <v>282678.38</v>
      </c>
      <c r="M12" s="81">
        <f>'P&amp;S63K'!N12</f>
        <v>0</v>
      </c>
      <c r="N12" s="81">
        <f>L12+M12</f>
        <v>282678.38</v>
      </c>
      <c r="O12" s="81">
        <v>99952.31</v>
      </c>
      <c r="P12" s="81">
        <f>N12-O12</f>
        <v>182726.07</v>
      </c>
      <c r="Q12" s="77"/>
      <c r="S12" t="s">
        <v>281</v>
      </c>
      <c r="T12" s="71">
        <f>-P15-P18</f>
        <v>-1025804.7199999999</v>
      </c>
      <c r="U12" s="71">
        <f>-T12</f>
        <v>1025804.7199999999</v>
      </c>
    </row>
    <row r="13" spans="1:21" x14ac:dyDescent="0.25">
      <c r="C13" t="s">
        <v>257</v>
      </c>
      <c r="D13" s="77">
        <f>'P&amp;S63K'!G13</f>
        <v>2603</v>
      </c>
      <c r="E13" s="77">
        <v>2603</v>
      </c>
      <c r="F13" s="90">
        <f>D13-E13</f>
        <v>0</v>
      </c>
      <c r="G13" s="90"/>
      <c r="I13" s="51" t="s">
        <v>261</v>
      </c>
      <c r="L13" s="75">
        <f>SUM(L10:L12)</f>
        <v>2912176.58</v>
      </c>
      <c r="M13" s="75">
        <f>SUM(M10:M12)</f>
        <v>0</v>
      </c>
      <c r="N13" s="75">
        <f>SUM(N10:N12)</f>
        <v>2912176.58</v>
      </c>
      <c r="O13" s="75">
        <f>SUM(O10:O12)</f>
        <v>1764907.65</v>
      </c>
      <c r="P13" s="75">
        <f>SUM(P10:P12)</f>
        <v>1147268.93</v>
      </c>
      <c r="Q13" s="75"/>
      <c r="T13" s="71"/>
    </row>
    <row r="14" spans="1:21" x14ac:dyDescent="0.25">
      <c r="C14" t="s">
        <v>259</v>
      </c>
      <c r="D14" s="81">
        <f>'P&amp;S63K'!G14</f>
        <v>13572.37</v>
      </c>
      <c r="E14" s="81">
        <v>9457.64</v>
      </c>
      <c r="F14" s="91">
        <f>D14-E14</f>
        <v>4114.7300000000014</v>
      </c>
      <c r="G14" s="117"/>
      <c r="S14" t="s">
        <v>282</v>
      </c>
      <c r="T14" s="71">
        <f>P22</f>
        <v>535044</v>
      </c>
      <c r="U14">
        <v>0</v>
      </c>
    </row>
    <row r="15" spans="1:21" x14ac:dyDescent="0.25">
      <c r="B15" t="s">
        <v>220</v>
      </c>
      <c r="D15" s="75">
        <f>SUM(D10:D14)</f>
        <v>138707.16</v>
      </c>
      <c r="E15" s="75">
        <f>SUM(E10:E14)</f>
        <v>12060.64</v>
      </c>
      <c r="F15" s="89">
        <f>SUM(F10:F14)</f>
        <v>126646.51999999999</v>
      </c>
      <c r="G15" s="89"/>
      <c r="I15" s="51" t="s">
        <v>29</v>
      </c>
      <c r="L15" s="71">
        <f>'P&amp;S63K'!M15+'P&amp;S247'!M11+'P&amp;S259'!M10</f>
        <v>1105862.6499999999</v>
      </c>
      <c r="M15" s="71">
        <f>'P&amp;S63K'!N15+'P&amp;S247'!N11+'P&amp;S259'!N10</f>
        <v>0</v>
      </c>
      <c r="N15" s="71">
        <f>L15+M15</f>
        <v>1105862.6499999999</v>
      </c>
      <c r="O15" s="71">
        <v>352733.87</v>
      </c>
      <c r="P15" s="71">
        <f>N15-O15</f>
        <v>753128.77999999991</v>
      </c>
      <c r="Q15" s="71"/>
      <c r="T15" s="71"/>
    </row>
    <row r="16" spans="1:21" x14ac:dyDescent="0.25">
      <c r="F16" s="89"/>
      <c r="G16" s="89"/>
      <c r="I16" s="51"/>
      <c r="L16" s="71"/>
      <c r="M16" s="71"/>
      <c r="N16" s="71"/>
      <c r="S16" t="s">
        <v>283</v>
      </c>
      <c r="T16" s="71">
        <f>-P37</f>
        <v>-242716</v>
      </c>
      <c r="U16">
        <v>0</v>
      </c>
    </row>
    <row r="17" spans="1:21" x14ac:dyDescent="0.25">
      <c r="B17" t="s">
        <v>272</v>
      </c>
      <c r="F17" s="89"/>
      <c r="G17" s="89"/>
      <c r="I17" s="51"/>
      <c r="L17" s="71"/>
      <c r="M17" s="71"/>
      <c r="N17" s="71"/>
    </row>
    <row r="18" spans="1:21" x14ac:dyDescent="0.25">
      <c r="C18" t="s">
        <v>273</v>
      </c>
      <c r="D18" s="75">
        <f>'P&amp;S63K'!G17</f>
        <v>14376462</v>
      </c>
      <c r="E18" s="75">
        <v>13876462</v>
      </c>
      <c r="F18" s="89">
        <f>D18-E18</f>
        <v>500000</v>
      </c>
      <c r="G18" s="89"/>
      <c r="I18" s="51" t="s">
        <v>222</v>
      </c>
      <c r="L18" s="77">
        <f>'P&amp;S63K'!M17+'P&amp;S247'!M13+'P&amp;S259'!M12</f>
        <v>1050705.67</v>
      </c>
      <c r="M18" s="77">
        <f>'P&amp;S63K'!N17+'P&amp;S247'!N13+'P&amp;S259'!N12</f>
        <v>52977.71</v>
      </c>
      <c r="N18" s="71">
        <f>L18+M18</f>
        <v>1103683.3799999999</v>
      </c>
      <c r="O18" s="71">
        <v>831007.44</v>
      </c>
      <c r="P18" s="71">
        <f>N18-O18</f>
        <v>272675.93999999994</v>
      </c>
      <c r="Q18" s="71"/>
      <c r="S18" t="s">
        <v>305</v>
      </c>
      <c r="T18" s="82">
        <f>-P27</f>
        <v>-48502</v>
      </c>
      <c r="U18">
        <v>0</v>
      </c>
    </row>
    <row r="19" spans="1:21" x14ac:dyDescent="0.25">
      <c r="C19" t="s">
        <v>274</v>
      </c>
      <c r="D19" s="71">
        <f>'P&amp;S259'!G12</f>
        <v>2817410</v>
      </c>
      <c r="E19" s="71">
        <v>2799910</v>
      </c>
      <c r="F19" s="90">
        <f>D19-E19</f>
        <v>17500</v>
      </c>
      <c r="G19" s="90"/>
      <c r="L19" s="78"/>
      <c r="M19" s="78"/>
      <c r="N19" s="78"/>
      <c r="O19" s="78"/>
      <c r="P19" s="78"/>
      <c r="Q19" s="119"/>
    </row>
    <row r="20" spans="1:21" x14ac:dyDescent="0.25">
      <c r="C20" t="s">
        <v>275</v>
      </c>
      <c r="D20" s="81">
        <f>'P&amp;S247'!G13</f>
        <v>2316228</v>
      </c>
      <c r="E20" s="81">
        <v>2631766</v>
      </c>
      <c r="F20" s="91">
        <f>D20-E20</f>
        <v>-315538</v>
      </c>
      <c r="G20" s="117"/>
      <c r="I20" s="51" t="s">
        <v>223</v>
      </c>
      <c r="L20" s="75">
        <f>L13-L15-L18</f>
        <v>755608.26000000024</v>
      </c>
      <c r="M20" s="75">
        <f>M13-M15-M18</f>
        <v>-52977.71</v>
      </c>
      <c r="N20" s="75">
        <f>N13-N15-N18</f>
        <v>702630.55000000028</v>
      </c>
      <c r="O20" s="75">
        <f>O13-O15-O18</f>
        <v>581166.33999999985</v>
      </c>
      <c r="P20" s="75">
        <f>P13-P15-P18</f>
        <v>121464.21000000008</v>
      </c>
      <c r="Q20" s="75"/>
      <c r="S20" t="s">
        <v>299</v>
      </c>
      <c r="T20" s="71">
        <v>-0.4</v>
      </c>
      <c r="U20" s="71">
        <f>T20</f>
        <v>-0.4</v>
      </c>
    </row>
    <row r="21" spans="1:21" x14ac:dyDescent="0.25">
      <c r="B21" t="s">
        <v>276</v>
      </c>
      <c r="D21" s="75">
        <f>SUM(D18:D20)</f>
        <v>19510100</v>
      </c>
      <c r="E21" s="75">
        <f>SUM(E18:E20)</f>
        <v>19308138</v>
      </c>
      <c r="F21" s="89">
        <f>SUM(F18:F20)</f>
        <v>201962</v>
      </c>
      <c r="G21" s="89"/>
      <c r="L21" s="71"/>
      <c r="M21" s="71"/>
      <c r="N21" s="71"/>
    </row>
    <row r="22" spans="1:21" ht="13.8" thickBot="1" x14ac:dyDescent="0.3">
      <c r="D22" s="71"/>
      <c r="E22" s="71"/>
      <c r="F22" s="90"/>
      <c r="G22" s="90"/>
      <c r="I22" s="51" t="s">
        <v>225</v>
      </c>
      <c r="L22" s="71">
        <f>'P&amp;S63K'!M21+'P&amp;S247'!M17+'P&amp;S259'!M16</f>
        <v>2016206</v>
      </c>
      <c r="M22" s="71">
        <f>'P&amp;S63K'!N21+'P&amp;S247'!N17+'P&amp;S259'!N16</f>
        <v>0</v>
      </c>
      <c r="N22" s="71">
        <f>L22+M22</f>
        <v>2016206</v>
      </c>
      <c r="O22" s="71">
        <v>1481162</v>
      </c>
      <c r="P22" s="71">
        <f>N22-O22</f>
        <v>535044</v>
      </c>
      <c r="Q22" s="71"/>
      <c r="S22" t="s">
        <v>284</v>
      </c>
      <c r="T22" s="86">
        <f>SUM(T10:T21)</f>
        <v>365289.81000000006</v>
      </c>
      <c r="U22" s="86">
        <f>SUM(U10:U21)</f>
        <v>-121464.61000000007</v>
      </c>
    </row>
    <row r="23" spans="1:21" ht="13.8" thickTop="1" x14ac:dyDescent="0.25">
      <c r="B23" t="s">
        <v>263</v>
      </c>
      <c r="D23" s="71">
        <f>'P&amp;S63K'!G19</f>
        <v>27495294.010000002</v>
      </c>
      <c r="E23" s="71">
        <v>23726948.079999998</v>
      </c>
      <c r="F23" s="90">
        <f>D23-E23</f>
        <v>3768345.9300000034</v>
      </c>
      <c r="G23" s="90"/>
      <c r="L23" s="71"/>
      <c r="M23" s="71"/>
      <c r="N23" s="71"/>
    </row>
    <row r="24" spans="1:21" x14ac:dyDescent="0.25">
      <c r="D24" s="71"/>
      <c r="E24" s="71"/>
      <c r="F24" s="90"/>
      <c r="G24" s="90"/>
      <c r="I24" s="51" t="s">
        <v>226</v>
      </c>
      <c r="L24" s="71">
        <f>'P&amp;S63K'!M23+'P&amp;S247'!M19+'P&amp;S259'!M18</f>
        <v>0</v>
      </c>
      <c r="M24" s="71">
        <f>'P&amp;S63K'!N23+'P&amp;S247'!N19+'P&amp;S259'!N18</f>
        <v>52977.71</v>
      </c>
      <c r="N24" s="71">
        <f>L24+M24</f>
        <v>52977.71</v>
      </c>
      <c r="O24" s="71">
        <v>52977.71</v>
      </c>
      <c r="P24" s="71">
        <f>N24-O24</f>
        <v>0</v>
      </c>
      <c r="Q24" s="71"/>
      <c r="S24" t="s">
        <v>285</v>
      </c>
      <c r="T24" s="84">
        <f>F18</f>
        <v>500000</v>
      </c>
      <c r="U24" s="84">
        <f>T24</f>
        <v>500000</v>
      </c>
    </row>
    <row r="25" spans="1:21" x14ac:dyDescent="0.25">
      <c r="B25" t="s">
        <v>62</v>
      </c>
      <c r="D25" s="71">
        <f>'P&amp;S63K'!G21+'P&amp;S247'!G15+'P&amp;S259'!G14</f>
        <v>1966931.3699999999</v>
      </c>
      <c r="E25" s="71">
        <v>1868226.86</v>
      </c>
      <c r="F25" s="90">
        <f>D25-E25</f>
        <v>98704.509999999776</v>
      </c>
      <c r="G25" s="90"/>
    </row>
    <row r="26" spans="1:21" x14ac:dyDescent="0.25">
      <c r="F26" s="89"/>
      <c r="G26" s="89"/>
      <c r="I26" s="51" t="s">
        <v>229</v>
      </c>
      <c r="L26" s="71"/>
      <c r="M26" s="71"/>
      <c r="N26" s="71"/>
      <c r="S26" t="s">
        <v>293</v>
      </c>
    </row>
    <row r="27" spans="1:21" ht="13.8" thickBot="1" x14ac:dyDescent="0.3">
      <c r="A27" s="51" t="s">
        <v>224</v>
      </c>
      <c r="D27" s="79">
        <f>D15+D21+D23+D25</f>
        <v>49111032.539999999</v>
      </c>
      <c r="E27" s="79">
        <f>E15+E21+E23+E25</f>
        <v>44915373.579999998</v>
      </c>
      <c r="F27" s="92">
        <f>F15+F21+F23+F25</f>
        <v>4195658.9600000028</v>
      </c>
      <c r="G27" s="118"/>
      <c r="J27" t="s">
        <v>231</v>
      </c>
      <c r="L27" s="75">
        <f>'P&amp;S63K'!M26+'P&amp;S247'!M22+'P&amp;S259'!M21</f>
        <v>292601</v>
      </c>
      <c r="M27" s="75">
        <f>'P&amp;S63K'!N26+'P&amp;S247'!N22+'P&amp;S259'!N21</f>
        <v>73884</v>
      </c>
      <c r="N27" s="75">
        <f>L27+M27</f>
        <v>366485</v>
      </c>
      <c r="O27" s="75">
        <v>317983</v>
      </c>
      <c r="P27" s="75">
        <f>N27-O27</f>
        <v>48502</v>
      </c>
      <c r="Q27" s="75"/>
      <c r="S27" t="s">
        <v>294</v>
      </c>
      <c r="T27" s="71">
        <f>P22</f>
        <v>535044</v>
      </c>
    </row>
    <row r="28" spans="1:21" ht="13.8" thickTop="1" x14ac:dyDescent="0.25">
      <c r="F28" s="89"/>
      <c r="G28" s="89"/>
      <c r="J28" t="s">
        <v>233</v>
      </c>
      <c r="L28" s="81">
        <f>'P&amp;S63K'!M27+'P&amp;S247'!M23+'P&amp;S259'!M22</f>
        <v>27026.11</v>
      </c>
      <c r="M28" s="81">
        <f>'P&amp;S63K'!N27+'P&amp;S247'!N23+'P&amp;S259'!N22</f>
        <v>-73884</v>
      </c>
      <c r="N28" s="81">
        <f>L28+M28</f>
        <v>-46857.89</v>
      </c>
      <c r="O28" s="81">
        <v>-46858.29</v>
      </c>
      <c r="P28" s="81">
        <f>N28-O28</f>
        <v>0.40000000000145519</v>
      </c>
      <c r="Q28" s="77"/>
      <c r="S28" t="s">
        <v>295</v>
      </c>
      <c r="T28" s="87">
        <f>F20-T27</f>
        <v>-850582</v>
      </c>
      <c r="U28" s="88">
        <f>T28</f>
        <v>-850582</v>
      </c>
    </row>
    <row r="29" spans="1:21" x14ac:dyDescent="0.25">
      <c r="F29" s="89"/>
      <c r="G29" s="89"/>
      <c r="I29" s="51" t="s">
        <v>234</v>
      </c>
      <c r="L29" s="75">
        <f>SUM(L27:L28)</f>
        <v>319627.11</v>
      </c>
      <c r="M29" s="75">
        <f>SUM(M27:M28)</f>
        <v>0</v>
      </c>
      <c r="N29" s="75">
        <f>SUM(N27:N28)</f>
        <v>319627.11</v>
      </c>
      <c r="O29" s="75">
        <f>SUM(O27:O28)</f>
        <v>271124.71000000002</v>
      </c>
      <c r="P29" s="75">
        <f>SUM(P27:P28)</f>
        <v>48502.400000000001</v>
      </c>
      <c r="Q29" s="75"/>
    </row>
    <row r="30" spans="1:21" x14ac:dyDescent="0.25">
      <c r="A30" s="51" t="s">
        <v>227</v>
      </c>
      <c r="F30" s="89"/>
      <c r="G30" s="89"/>
      <c r="I30" s="51"/>
      <c r="L30" s="81"/>
      <c r="M30" s="81"/>
      <c r="N30" s="81"/>
      <c r="O30" s="81"/>
      <c r="P30" s="81"/>
      <c r="Q30" s="77"/>
      <c r="S30" t="s">
        <v>308</v>
      </c>
      <c r="T30" s="108">
        <f>F19</f>
        <v>17500</v>
      </c>
      <c r="U30" s="108">
        <f>T30</f>
        <v>17500</v>
      </c>
    </row>
    <row r="31" spans="1:21" x14ac:dyDescent="0.25">
      <c r="B31" t="s">
        <v>228</v>
      </c>
      <c r="F31" s="89"/>
      <c r="G31" s="89"/>
      <c r="I31" s="51" t="s">
        <v>237</v>
      </c>
      <c r="L31" s="82">
        <f>L20+L22-L29+L24</f>
        <v>2452187.1500000004</v>
      </c>
      <c r="M31" s="82">
        <f>M20+M22-M29+M24</f>
        <v>0</v>
      </c>
      <c r="N31" s="82">
        <f>N20+N22-N29+N24</f>
        <v>2452187.1500000004</v>
      </c>
      <c r="O31" s="82">
        <f>O20+O22-O29+O24</f>
        <v>1844181.3399999999</v>
      </c>
      <c r="P31" s="82">
        <f>P20+P22-P29+P24</f>
        <v>608005.81000000006</v>
      </c>
      <c r="Q31" s="82"/>
    </row>
    <row r="32" spans="1:21" x14ac:dyDescent="0.25">
      <c r="C32" t="s">
        <v>264</v>
      </c>
      <c r="D32" s="75">
        <f>'P&amp;S63K'!G28+'P&amp;S247'!G22+'P&amp;S259'!G21-'P&amp;S63K'!G12-('P&amp;S63K'!G11+'P&amp;S247'!G10+'P&amp;S259'!G9)</f>
        <v>2717773.3499999875</v>
      </c>
      <c r="E32" s="75">
        <v>0</v>
      </c>
      <c r="F32" s="89">
        <f t="shared" ref="F32:F37" si="0">D32-E32</f>
        <v>2717773.3499999875</v>
      </c>
      <c r="G32" s="90" t="s">
        <v>309</v>
      </c>
      <c r="S32" t="s">
        <v>286</v>
      </c>
      <c r="T32" s="84">
        <f>F23</f>
        <v>3768345.9300000034</v>
      </c>
      <c r="U32" s="84">
        <f>T32</f>
        <v>3768345.9300000034</v>
      </c>
    </row>
    <row r="33" spans="1:21" x14ac:dyDescent="0.25">
      <c r="C33" t="s">
        <v>269</v>
      </c>
      <c r="D33" s="71">
        <f>'P&amp;S63K'!G29</f>
        <v>547354.86</v>
      </c>
      <c r="E33" s="71">
        <v>0</v>
      </c>
      <c r="F33" s="90">
        <f t="shared" si="0"/>
        <v>547354.86</v>
      </c>
      <c r="G33" s="90" t="s">
        <v>309</v>
      </c>
      <c r="I33" s="51" t="s">
        <v>239</v>
      </c>
      <c r="L33" s="71"/>
      <c r="M33" s="71"/>
      <c r="N33" s="71"/>
    </row>
    <row r="34" spans="1:21" x14ac:dyDescent="0.25">
      <c r="C34" t="s">
        <v>270</v>
      </c>
      <c r="D34" s="71">
        <f>'P&amp;S63K'!G30</f>
        <v>395227.45</v>
      </c>
      <c r="E34" s="71">
        <v>0</v>
      </c>
      <c r="F34" s="90">
        <f t="shared" si="0"/>
        <v>395227.45</v>
      </c>
      <c r="G34" s="90"/>
      <c r="J34" t="s">
        <v>240</v>
      </c>
      <c r="L34" s="75">
        <f>'P&amp;S63K'!M33+'P&amp;S247'!M29+'P&amp;S259'!M28</f>
        <v>843383</v>
      </c>
      <c r="M34" s="75">
        <f>'P&amp;S63K'!N33+'P&amp;S247'!N29+'P&amp;S259'!N28</f>
        <v>-602528</v>
      </c>
      <c r="N34" s="75">
        <f>L34+M34</f>
        <v>240855</v>
      </c>
      <c r="O34" s="75">
        <v>151885</v>
      </c>
      <c r="P34" s="75">
        <f>N34-O34</f>
        <v>88970</v>
      </c>
      <c r="Q34" s="75"/>
      <c r="S34" t="s">
        <v>298</v>
      </c>
      <c r="T34" s="71">
        <f>F10-F34-F33</f>
        <v>-820050.52</v>
      </c>
      <c r="U34" s="71">
        <v>0</v>
      </c>
    </row>
    <row r="35" spans="1:21" x14ac:dyDescent="0.25">
      <c r="C35" t="s">
        <v>232</v>
      </c>
      <c r="D35" s="71">
        <f>'P&amp;S247'!G23+'P&amp;S259'!G22</f>
        <v>16267.5</v>
      </c>
      <c r="E35" s="71">
        <v>0</v>
      </c>
      <c r="F35" s="90">
        <f t="shared" si="0"/>
        <v>16267.5</v>
      </c>
      <c r="G35" s="90"/>
      <c r="J35" t="s">
        <v>265</v>
      </c>
      <c r="L35" s="84">
        <f>'P&amp;S63K'!M34</f>
        <v>0</v>
      </c>
      <c r="M35" s="84">
        <f>'P&amp;S63K'!N34</f>
        <v>0</v>
      </c>
      <c r="N35" s="71">
        <f>L35+M35</f>
        <v>0</v>
      </c>
      <c r="O35" s="71">
        <v>0</v>
      </c>
      <c r="P35" s="71">
        <f>N35-O35</f>
        <v>0</v>
      </c>
      <c r="Q35" s="71"/>
    </row>
    <row r="36" spans="1:21" x14ac:dyDescent="0.25">
      <c r="C36" t="s">
        <v>21</v>
      </c>
      <c r="D36" s="71">
        <f>'P&amp;S63K'!G32+'P&amp;S247'!G24+'P&amp;S259'!G23</f>
        <v>6842.2</v>
      </c>
      <c r="E36" s="71">
        <v>6842.2</v>
      </c>
      <c r="F36" s="90">
        <f t="shared" si="0"/>
        <v>0</v>
      </c>
      <c r="G36" s="90"/>
      <c r="J36" t="s">
        <v>266</v>
      </c>
      <c r="L36" s="81">
        <f>'P&amp;S63K'!M35+'P&amp;S247'!M30+'P&amp;S259'!M29</f>
        <v>-1031</v>
      </c>
      <c r="M36" s="81">
        <f>'P&amp;S63K'!N35+'P&amp;S247'!N30+'P&amp;S259'!N29</f>
        <v>648357</v>
      </c>
      <c r="N36" s="81">
        <f>L36+M36</f>
        <v>647326</v>
      </c>
      <c r="O36" s="81">
        <v>493580</v>
      </c>
      <c r="P36" s="81">
        <f>N36-O36</f>
        <v>153746</v>
      </c>
      <c r="S36" t="s">
        <v>307</v>
      </c>
      <c r="T36" s="84">
        <f>-F35</f>
        <v>-16267.5</v>
      </c>
      <c r="U36" s="71">
        <v>0</v>
      </c>
    </row>
    <row r="37" spans="1:21" x14ac:dyDescent="0.25">
      <c r="C37" t="s">
        <v>235</v>
      </c>
      <c r="D37" s="81">
        <f>'P&amp;S63K'!G33+'P&amp;S247'!G25+'P&amp;S259'!G24</f>
        <v>647326</v>
      </c>
      <c r="E37" s="81">
        <v>493580</v>
      </c>
      <c r="F37" s="91">
        <f t="shared" si="0"/>
        <v>153746</v>
      </c>
      <c r="G37" s="117" t="s">
        <v>311</v>
      </c>
      <c r="I37" s="51" t="s">
        <v>243</v>
      </c>
      <c r="L37" s="75">
        <f>SUM(L34:L36)</f>
        <v>842352</v>
      </c>
      <c r="M37" s="75">
        <f>SUM(M34:M36)</f>
        <v>45829</v>
      </c>
      <c r="N37" s="75">
        <f>SUM(N34:N36)</f>
        <v>888181</v>
      </c>
      <c r="O37" s="75">
        <f>SUM(O34:O36)</f>
        <v>645465</v>
      </c>
      <c r="P37" s="75">
        <f>SUM(P34:P36)</f>
        <v>242716</v>
      </c>
      <c r="Q37" s="117" t="s">
        <v>311</v>
      </c>
    </row>
    <row r="38" spans="1:21" x14ac:dyDescent="0.25">
      <c r="B38" t="s">
        <v>236</v>
      </c>
      <c r="D38" s="75">
        <f>SUM(D32:D37)</f>
        <v>4330791.3599999882</v>
      </c>
      <c r="E38" s="75">
        <f>SUM(E32:E37)</f>
        <v>500422.2</v>
      </c>
      <c r="F38" s="89">
        <f>SUM(F32:F37)</f>
        <v>3830369.1599999876</v>
      </c>
      <c r="G38" s="89"/>
      <c r="S38" t="s">
        <v>289</v>
      </c>
      <c r="T38" s="84"/>
      <c r="U38" s="84">
        <f>T38</f>
        <v>0</v>
      </c>
    </row>
    <row r="39" spans="1:21" ht="13.8" thickBot="1" x14ac:dyDescent="0.3">
      <c r="F39" s="89"/>
      <c r="G39" s="89"/>
      <c r="I39" s="51" t="s">
        <v>245</v>
      </c>
      <c r="L39" s="79">
        <f>L31-L37</f>
        <v>1609835.1500000004</v>
      </c>
      <c r="M39" s="79">
        <f>M31-M37</f>
        <v>-45829</v>
      </c>
      <c r="N39" s="79">
        <f>N31-N37</f>
        <v>1564006.1500000004</v>
      </c>
      <c r="O39" s="79">
        <f>O31-O37</f>
        <v>1198716.3399999999</v>
      </c>
      <c r="P39" s="79">
        <f>P31-P37</f>
        <v>365289.81000000006</v>
      </c>
      <c r="Q39" s="80"/>
      <c r="S39" t="s">
        <v>290</v>
      </c>
      <c r="T39" s="71">
        <f>-P34</f>
        <v>-88970</v>
      </c>
    </row>
    <row r="40" spans="1:21" ht="13.8" thickTop="1" x14ac:dyDescent="0.25">
      <c r="B40" t="s">
        <v>238</v>
      </c>
      <c r="D40" s="71">
        <f>'P&amp;S63K'!G36+'P&amp;S247'!G28+'P&amp;S259'!G27</f>
        <v>3465000</v>
      </c>
      <c r="E40" s="71">
        <v>3465000</v>
      </c>
      <c r="F40" s="90">
        <f>D40-E40</f>
        <v>0</v>
      </c>
      <c r="G40" s="90"/>
      <c r="L40" s="71"/>
      <c r="S40" t="s">
        <v>291</v>
      </c>
      <c r="T40" s="84">
        <f>-F32-T39</f>
        <v>-2628803.3499999875</v>
      </c>
    </row>
    <row r="41" spans="1:21" x14ac:dyDescent="0.25">
      <c r="F41" s="89"/>
      <c r="G41" s="89"/>
      <c r="I41" s="51" t="s">
        <v>328</v>
      </c>
      <c r="L41" s="75"/>
    </row>
    <row r="42" spans="1:21" x14ac:dyDescent="0.25">
      <c r="B42" t="s">
        <v>241</v>
      </c>
      <c r="D42" s="71">
        <f>'P&amp;S247'!G30+'P&amp;S63K'!G38+'P&amp;S259'!G29</f>
        <v>41315241.180000015</v>
      </c>
      <c r="E42" s="71">
        <v>40949951.380000003</v>
      </c>
      <c r="F42" s="90">
        <f>D42-E42</f>
        <v>365289.80000001192</v>
      </c>
      <c r="G42" s="90"/>
      <c r="J42" t="s">
        <v>334</v>
      </c>
      <c r="L42" s="75"/>
      <c r="S42" t="s">
        <v>297</v>
      </c>
      <c r="T42" s="84">
        <f>-P36</f>
        <v>-153746</v>
      </c>
    </row>
    <row r="43" spans="1:21" x14ac:dyDescent="0.25">
      <c r="F43" s="89"/>
      <c r="G43" s="89"/>
      <c r="J43" t="s">
        <v>335</v>
      </c>
      <c r="L43" s="75"/>
    </row>
    <row r="44" spans="1:21" ht="13.8" thickBot="1" x14ac:dyDescent="0.3">
      <c r="A44" s="51" t="s">
        <v>244</v>
      </c>
      <c r="D44" s="79">
        <f>SUM(D38:D42)</f>
        <v>49111032.540000007</v>
      </c>
      <c r="E44" s="79">
        <f>SUM(E38:E42)</f>
        <v>44915373.580000006</v>
      </c>
      <c r="F44" s="92">
        <f>SUM(F38:F42)</f>
        <v>4195658.959999999</v>
      </c>
      <c r="G44" s="118"/>
      <c r="J44" t="s">
        <v>336</v>
      </c>
      <c r="L44" s="75"/>
      <c r="S44" t="s">
        <v>306</v>
      </c>
      <c r="T44" s="84">
        <f>F14+F25</f>
        <v>102819.23999999977</v>
      </c>
      <c r="U44" s="88">
        <f>T44</f>
        <v>102819.23999999977</v>
      </c>
    </row>
    <row r="45" spans="1:21" ht="13.8" thickTop="1" x14ac:dyDescent="0.25">
      <c r="J45" t="s">
        <v>337</v>
      </c>
      <c r="L45" s="75"/>
    </row>
    <row r="46" spans="1:21" ht="13.8" thickBot="1" x14ac:dyDescent="0.3">
      <c r="D46" s="75">
        <f>D27-D44</f>
        <v>0</v>
      </c>
      <c r="L46" s="75"/>
      <c r="S46" t="s">
        <v>127</v>
      </c>
      <c r="T46" s="86">
        <f>-T22+T24+T27+T28+T30+T32+T34+T40+T39+T42+T44+T36</f>
        <v>-9.9999843951081857E-3</v>
      </c>
      <c r="U46" s="120">
        <f>SUM(U22:U45)</f>
        <v>3416618.5600000028</v>
      </c>
    </row>
    <row r="47" spans="1:21" ht="13.8" thickTop="1" x14ac:dyDescent="0.25">
      <c r="A47" s="51" t="s">
        <v>246</v>
      </c>
      <c r="I47" t="s">
        <v>333</v>
      </c>
      <c r="L47" s="75"/>
    </row>
    <row r="48" spans="1:21" x14ac:dyDescent="0.25">
      <c r="B48" t="s">
        <v>267</v>
      </c>
      <c r="D48" s="75">
        <f>'P&amp;S63K'!G44</f>
        <v>39530241.160000004</v>
      </c>
      <c r="E48" s="115">
        <v>39455109.350000001</v>
      </c>
      <c r="F48" s="75">
        <f>D48-E48</f>
        <v>75131.810000002384</v>
      </c>
      <c r="J48" t="s">
        <v>338</v>
      </c>
      <c r="L48" s="75"/>
      <c r="S48" t="s">
        <v>343</v>
      </c>
    </row>
    <row r="49" spans="1:19" x14ac:dyDescent="0.25">
      <c r="B49" t="s">
        <v>247</v>
      </c>
      <c r="D49" s="71">
        <f>'P&amp;S259'!G35</f>
        <v>-66.116284999999806</v>
      </c>
      <c r="E49" s="96">
        <v>-62.95</v>
      </c>
      <c r="F49" s="71">
        <f>D49-E49</f>
        <v>-3.1662849999998031</v>
      </c>
      <c r="G49" s="71"/>
      <c r="J49" t="s">
        <v>339</v>
      </c>
      <c r="L49" s="75"/>
    </row>
    <row r="50" spans="1:19" x14ac:dyDescent="0.25">
      <c r="B50" t="s">
        <v>248</v>
      </c>
      <c r="D50" s="71">
        <f>'P&amp;S259'!G36</f>
        <v>-661094.6937149989</v>
      </c>
      <c r="E50" s="96">
        <v>-629424.86</v>
      </c>
      <c r="F50" s="71">
        <f>D50-E50</f>
        <v>-31669.833714998909</v>
      </c>
      <c r="G50" s="71"/>
      <c r="J50" t="s">
        <v>340</v>
      </c>
      <c r="L50" s="75"/>
      <c r="S50" t="s">
        <v>344</v>
      </c>
    </row>
    <row r="51" spans="1:19" x14ac:dyDescent="0.25">
      <c r="B51" t="s">
        <v>252</v>
      </c>
      <c r="D51" s="71">
        <f>'P&amp;S247'!G36</f>
        <v>244.06648900000013</v>
      </c>
      <c r="E51" s="96">
        <v>212.43</v>
      </c>
      <c r="F51" s="71">
        <f>D51-E51</f>
        <v>31.636489000000125</v>
      </c>
      <c r="G51" s="71"/>
      <c r="J51" t="s">
        <v>337</v>
      </c>
      <c r="L51" s="75"/>
    </row>
    <row r="52" spans="1:19" x14ac:dyDescent="0.25">
      <c r="B52" t="s">
        <v>253</v>
      </c>
      <c r="D52" s="71">
        <f>'P&amp;S247'!G37</f>
        <v>2445916.7735109976</v>
      </c>
      <c r="E52" s="116">
        <v>2124117.41</v>
      </c>
      <c r="F52" s="71">
        <f>D52-E52</f>
        <v>321799.3635109975</v>
      </c>
      <c r="G52" s="71"/>
      <c r="L52" s="71"/>
      <c r="S52" t="s">
        <v>345</v>
      </c>
    </row>
    <row r="53" spans="1:19" ht="13.8" thickBot="1" x14ac:dyDescent="0.3">
      <c r="A53" s="51" t="s">
        <v>249</v>
      </c>
      <c r="D53" s="79">
        <f>SUM(D48:D52)</f>
        <v>41315241.190000005</v>
      </c>
      <c r="E53" s="79">
        <f>SUM(E48:E52)</f>
        <v>40949951.379999995</v>
      </c>
      <c r="F53" s="79">
        <f>SUM(F48:F52)</f>
        <v>365289.81000000099</v>
      </c>
      <c r="G53" s="80"/>
      <c r="I53" s="51" t="s">
        <v>341</v>
      </c>
      <c r="L53" s="71"/>
    </row>
    <row r="54" spans="1:19" ht="13.8" thickTop="1" x14ac:dyDescent="0.25">
      <c r="J54" t="s">
        <v>342</v>
      </c>
      <c r="L54" s="71"/>
    </row>
    <row r="55" spans="1:19" x14ac:dyDescent="0.25">
      <c r="A55" s="51" t="s">
        <v>310</v>
      </c>
      <c r="L55" s="71"/>
    </row>
    <row r="56" spans="1:19" x14ac:dyDescent="0.25">
      <c r="C56" t="s">
        <v>315</v>
      </c>
      <c r="L56" s="71"/>
    </row>
    <row r="57" spans="1:19" x14ac:dyDescent="0.25">
      <c r="L57" s="71"/>
    </row>
    <row r="58" spans="1:19" x14ac:dyDescent="0.25">
      <c r="A58" s="51" t="s">
        <v>328</v>
      </c>
      <c r="L58" s="71"/>
    </row>
    <row r="59" spans="1:19" x14ac:dyDescent="0.25">
      <c r="C59" t="s">
        <v>316</v>
      </c>
      <c r="L59" s="75"/>
    </row>
    <row r="60" spans="1:19" x14ac:dyDescent="0.25">
      <c r="C60" t="s">
        <v>317</v>
      </c>
      <c r="L60" s="75"/>
    </row>
    <row r="61" spans="1:19" x14ac:dyDescent="0.25">
      <c r="C61" t="s">
        <v>318</v>
      </c>
      <c r="L61" s="71"/>
    </row>
    <row r="62" spans="1:19" x14ac:dyDescent="0.25">
      <c r="C62" t="s">
        <v>319</v>
      </c>
      <c r="L62" s="71"/>
    </row>
    <row r="63" spans="1:19" x14ac:dyDescent="0.25">
      <c r="L63" s="71"/>
    </row>
    <row r="64" spans="1:19" x14ac:dyDescent="0.25">
      <c r="A64" t="s">
        <v>333</v>
      </c>
      <c r="L64" s="71"/>
    </row>
    <row r="65" spans="3:12" x14ac:dyDescent="0.25">
      <c r="C65" t="s">
        <v>316</v>
      </c>
      <c r="L65" s="71"/>
    </row>
    <row r="66" spans="3:12" x14ac:dyDescent="0.25">
      <c r="C66" t="s">
        <v>317</v>
      </c>
      <c r="L66" s="71"/>
    </row>
    <row r="67" spans="3:12" x14ac:dyDescent="0.25">
      <c r="C67" t="s">
        <v>318</v>
      </c>
      <c r="L67" s="71"/>
    </row>
    <row r="68" spans="3:12" x14ac:dyDescent="0.25">
      <c r="C68" t="s">
        <v>319</v>
      </c>
      <c r="L68" s="71"/>
    </row>
    <row r="69" spans="3:12" x14ac:dyDescent="0.25">
      <c r="L69" s="71"/>
    </row>
    <row r="70" spans="3:12" x14ac:dyDescent="0.25">
      <c r="L70" s="71"/>
    </row>
  </sheetData>
  <mergeCells count="10">
    <mergeCell ref="S1:U1"/>
    <mergeCell ref="S2:U2"/>
    <mergeCell ref="S3:U3"/>
    <mergeCell ref="S4:U4"/>
    <mergeCell ref="A3:D3"/>
    <mergeCell ref="I3:N3"/>
    <mergeCell ref="A1:D1"/>
    <mergeCell ref="I1:N1"/>
    <mergeCell ref="A2:D2"/>
    <mergeCell ref="I2:N2"/>
  </mergeCells>
  <printOptions horizontalCentered="1"/>
  <pageMargins left="0" right="0" top="1" bottom="1" header="0.5" footer="0.5"/>
  <pageSetup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Assets </vt:lpstr>
      <vt:lpstr>Do Not Use</vt:lpstr>
      <vt:lpstr>63K</vt:lpstr>
      <vt:lpstr>247</vt:lpstr>
      <vt:lpstr>259</vt:lpstr>
      <vt:lpstr>P&amp;S63K</vt:lpstr>
      <vt:lpstr>P&amp;S247</vt:lpstr>
      <vt:lpstr>P&amp;S259</vt:lpstr>
      <vt:lpstr>P&amp;SCombined</vt:lpstr>
      <vt:lpstr>Notes</vt:lpstr>
      <vt:lpstr>'247'!Print_Area</vt:lpstr>
      <vt:lpstr>'259'!Print_Area</vt:lpstr>
      <vt:lpstr>'63K'!Print_Area</vt:lpstr>
      <vt:lpstr>'Assets '!Print_Area</vt:lpstr>
      <vt:lpstr>'Do Not Use'!Print_Area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apearce</dc:creator>
  <cp:lastModifiedBy>Havlíček Jan</cp:lastModifiedBy>
  <cp:lastPrinted>2000-09-14T03:07:13Z</cp:lastPrinted>
  <dcterms:created xsi:type="dcterms:W3CDTF">2000-04-17T21:12:52Z</dcterms:created>
  <dcterms:modified xsi:type="dcterms:W3CDTF">2023-09-13T22:45:13Z</dcterms:modified>
</cp:coreProperties>
</file>