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Large C&amp;I (ABX1 43)" sheetId="9" r:id="rId1"/>
    <sheet name="Agricultural" sheetId="12" r:id="rId2"/>
  </sheets>
  <externalReferences>
    <externalReference r:id="rId3"/>
  </externalReferences>
  <definedNames>
    <definedName name="_xlnm.Print_Area" localSheetId="1">Agricultural!$A$1:$H$48</definedName>
    <definedName name="_xlnm.Print_Area" localSheetId="0">'Large C&amp;I (ABX1 43)'!$A$1:$H$65,'Large C&amp;I (ABX1 43)'!$A$69:$H$131,'Large C&amp;I (ABX1 43)'!$A$135:$H$186,'Large C&amp;I (ABX1 43)'!$A$190:$H$236,'Large C&amp;I (ABX1 43)'!$A$240:$H$304,'Large C&amp;I (ABX1 43)'!$A$308:$H$358,'Large C&amp;I (ABX1 43)'!$A$362:$H$403</definedName>
  </definedNames>
  <calcPr calcId="0"/>
</workbook>
</file>

<file path=xl/calcChain.xml><?xml version="1.0" encoding="utf-8"?>
<calcChain xmlns="http://schemas.openxmlformats.org/spreadsheetml/2006/main">
  <c r="C7" i="12" l="1"/>
  <c r="C9" i="12"/>
  <c r="G9" i="12"/>
  <c r="C12" i="12"/>
  <c r="C13" i="12"/>
  <c r="C20" i="12"/>
  <c r="E20" i="12"/>
  <c r="G20" i="12"/>
  <c r="B22" i="12"/>
  <c r="C22" i="12"/>
  <c r="D22" i="12"/>
  <c r="E22" i="12"/>
  <c r="F22" i="12"/>
  <c r="G22" i="12"/>
  <c r="B24" i="12"/>
  <c r="C24" i="12"/>
  <c r="D24" i="12"/>
  <c r="E24" i="12"/>
  <c r="F24" i="12"/>
  <c r="G24" i="12"/>
  <c r="H24" i="12"/>
  <c r="M26" i="12"/>
  <c r="O26" i="12"/>
  <c r="Q26" i="12"/>
  <c r="M27" i="12"/>
  <c r="O27" i="12"/>
  <c r="Q27" i="12"/>
  <c r="C28" i="12"/>
  <c r="E28" i="12"/>
  <c r="G28" i="12"/>
  <c r="M28" i="12"/>
  <c r="Q28" i="12"/>
  <c r="M30" i="12"/>
  <c r="O30" i="12"/>
  <c r="Q30" i="12"/>
  <c r="B31" i="12"/>
  <c r="C31" i="12"/>
  <c r="D31" i="12"/>
  <c r="E31" i="12"/>
  <c r="F31" i="12"/>
  <c r="G31" i="12"/>
  <c r="B32" i="12"/>
  <c r="C32" i="12"/>
  <c r="D32" i="12"/>
  <c r="E32" i="12"/>
  <c r="F32" i="12"/>
  <c r="G32" i="12"/>
  <c r="R32" i="12"/>
  <c r="R33" i="12"/>
  <c r="B34" i="12"/>
  <c r="C34" i="12"/>
  <c r="D34" i="12"/>
  <c r="E34" i="12"/>
  <c r="F34" i="12"/>
  <c r="G34" i="12"/>
  <c r="H34" i="12"/>
  <c r="B37" i="12"/>
  <c r="C37" i="12"/>
  <c r="D37" i="12"/>
  <c r="E37" i="12"/>
  <c r="F37" i="12"/>
  <c r="G37" i="12"/>
  <c r="H37" i="12"/>
  <c r="B48" i="12"/>
  <c r="C48" i="12"/>
  <c r="D48" i="12"/>
  <c r="E48" i="12"/>
  <c r="F48" i="12"/>
  <c r="G48" i="12"/>
  <c r="H48" i="12"/>
  <c r="C7" i="9"/>
  <c r="C9" i="9"/>
  <c r="G9" i="9"/>
  <c r="C12" i="9"/>
  <c r="C13" i="9"/>
  <c r="C14" i="9"/>
  <c r="C25" i="9"/>
  <c r="E25" i="9"/>
  <c r="G25" i="9"/>
  <c r="C26" i="9"/>
  <c r="E26" i="9"/>
  <c r="G26" i="9"/>
  <c r="C27" i="9"/>
  <c r="E27" i="9"/>
  <c r="G27" i="9"/>
  <c r="B30" i="9"/>
  <c r="C30" i="9"/>
  <c r="D30" i="9"/>
  <c r="E30" i="9"/>
  <c r="F30" i="9"/>
  <c r="G30" i="9"/>
  <c r="B31" i="9"/>
  <c r="C31" i="9"/>
  <c r="D31" i="9"/>
  <c r="E31" i="9"/>
  <c r="F31" i="9"/>
  <c r="G31" i="9"/>
  <c r="B33" i="9"/>
  <c r="C33" i="9"/>
  <c r="D33" i="9"/>
  <c r="E33" i="9"/>
  <c r="F33" i="9"/>
  <c r="G33" i="9"/>
  <c r="H33" i="9"/>
  <c r="L37" i="9"/>
  <c r="N37" i="9"/>
  <c r="P37" i="9"/>
  <c r="Q37" i="9"/>
  <c r="L38" i="9"/>
  <c r="N38" i="9"/>
  <c r="P38" i="9"/>
  <c r="C39" i="9"/>
  <c r="E39" i="9"/>
  <c r="G39" i="9"/>
  <c r="L39" i="9"/>
  <c r="N39" i="9"/>
  <c r="P39" i="9"/>
  <c r="C40" i="9"/>
  <c r="E40" i="9"/>
  <c r="G40" i="9"/>
  <c r="L40" i="9"/>
  <c r="P40" i="9"/>
  <c r="C41" i="9"/>
  <c r="E41" i="9"/>
  <c r="G41" i="9"/>
  <c r="C42" i="9"/>
  <c r="E42" i="9"/>
  <c r="G42" i="9"/>
  <c r="L42" i="9"/>
  <c r="N42" i="9"/>
  <c r="P42" i="9"/>
  <c r="C43" i="9"/>
  <c r="E43" i="9"/>
  <c r="G43" i="9"/>
  <c r="P44" i="9"/>
  <c r="P45" i="9"/>
  <c r="C46" i="9"/>
  <c r="E46" i="9"/>
  <c r="G46" i="9"/>
  <c r="C47" i="9"/>
  <c r="E47" i="9"/>
  <c r="G47" i="9"/>
  <c r="C48" i="9"/>
  <c r="E48" i="9"/>
  <c r="G48" i="9"/>
  <c r="C49" i="9"/>
  <c r="E49" i="9"/>
  <c r="G49" i="9"/>
  <c r="C50" i="9"/>
  <c r="E50" i="9"/>
  <c r="G50" i="9"/>
  <c r="L52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B102" i="9"/>
  <c r="C102" i="9"/>
  <c r="D102" i="9"/>
  <c r="E102" i="9"/>
  <c r="F102" i="9"/>
  <c r="G102" i="9"/>
  <c r="B103" i="9"/>
  <c r="C103" i="9"/>
  <c r="D103" i="9"/>
  <c r="E103" i="9"/>
  <c r="F103" i="9"/>
  <c r="G103" i="9"/>
  <c r="B104" i="9"/>
  <c r="C104" i="9"/>
  <c r="D104" i="9"/>
  <c r="E104" i="9"/>
  <c r="F104" i="9"/>
  <c r="G104" i="9"/>
  <c r="B106" i="9"/>
  <c r="C106" i="9"/>
  <c r="D106" i="9"/>
  <c r="E106" i="9"/>
  <c r="F106" i="9"/>
  <c r="G106" i="9"/>
  <c r="H106" i="9"/>
  <c r="C113" i="9"/>
  <c r="E113" i="9"/>
  <c r="G113" i="9"/>
  <c r="C114" i="9"/>
  <c r="E114" i="9"/>
  <c r="G114" i="9"/>
  <c r="C115" i="9"/>
  <c r="E115" i="9"/>
  <c r="G115" i="9"/>
  <c r="C118" i="9"/>
  <c r="E118" i="9"/>
  <c r="G118" i="9"/>
  <c r="C119" i="9"/>
  <c r="E119" i="9"/>
  <c r="G119" i="9"/>
  <c r="C120" i="9"/>
  <c r="E120" i="9"/>
  <c r="G120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6" i="9"/>
  <c r="C126" i="9"/>
  <c r="D126" i="9"/>
  <c r="E126" i="9"/>
  <c r="F126" i="9"/>
  <c r="G126" i="9"/>
  <c r="B129" i="9"/>
  <c r="C129" i="9"/>
  <c r="D129" i="9"/>
  <c r="E129" i="9"/>
  <c r="F129" i="9"/>
  <c r="G129" i="9"/>
  <c r="B130" i="9"/>
  <c r="C130" i="9"/>
  <c r="D130" i="9"/>
  <c r="E130" i="9"/>
  <c r="F130" i="9"/>
  <c r="G130" i="9"/>
  <c r="B131" i="9"/>
  <c r="C131" i="9"/>
  <c r="D131" i="9"/>
  <c r="E131" i="9"/>
  <c r="F131" i="9"/>
  <c r="G131" i="9"/>
  <c r="B145" i="9"/>
  <c r="C145" i="9"/>
  <c r="D145" i="9"/>
  <c r="E145" i="9"/>
  <c r="F145" i="9"/>
  <c r="G145" i="9"/>
  <c r="B146" i="9"/>
  <c r="C146" i="9"/>
  <c r="D146" i="9"/>
  <c r="E146" i="9"/>
  <c r="F146" i="9"/>
  <c r="G146" i="9"/>
  <c r="B147" i="9"/>
  <c r="C147" i="9"/>
  <c r="D147" i="9"/>
  <c r="E147" i="9"/>
  <c r="F147" i="9"/>
  <c r="G147" i="9"/>
  <c r="B149" i="9"/>
  <c r="C149" i="9"/>
  <c r="D149" i="9"/>
  <c r="E149" i="9"/>
  <c r="F149" i="9"/>
  <c r="G149" i="9"/>
  <c r="H149" i="9"/>
  <c r="C156" i="9"/>
  <c r="E156" i="9"/>
  <c r="G156" i="9"/>
  <c r="C157" i="9"/>
  <c r="E157" i="9"/>
  <c r="G157" i="9"/>
  <c r="E158" i="9"/>
  <c r="C159" i="9"/>
  <c r="E159" i="9"/>
  <c r="G159" i="9"/>
  <c r="C162" i="9"/>
  <c r="E162" i="9"/>
  <c r="G162" i="9"/>
  <c r="C163" i="9"/>
  <c r="E163" i="9"/>
  <c r="G163" i="9"/>
  <c r="E164" i="9"/>
  <c r="C165" i="9"/>
  <c r="E165" i="9"/>
  <c r="G165" i="9"/>
  <c r="B169" i="9"/>
  <c r="C169" i="9"/>
  <c r="D169" i="9"/>
  <c r="E169" i="9"/>
  <c r="F169" i="9"/>
  <c r="G169" i="9"/>
  <c r="B170" i="9"/>
  <c r="C170" i="9"/>
  <c r="D170" i="9"/>
  <c r="E170" i="9"/>
  <c r="F170" i="9"/>
  <c r="G170" i="9"/>
  <c r="C171" i="9"/>
  <c r="D171" i="9"/>
  <c r="E171" i="9"/>
  <c r="F171" i="9"/>
  <c r="G171" i="9"/>
  <c r="C172" i="9"/>
  <c r="D172" i="9"/>
  <c r="E172" i="9"/>
  <c r="F172" i="9"/>
  <c r="G172" i="9"/>
  <c r="B175" i="9"/>
  <c r="C175" i="9"/>
  <c r="D175" i="9"/>
  <c r="E175" i="9"/>
  <c r="F175" i="9"/>
  <c r="G175" i="9"/>
  <c r="B176" i="9"/>
  <c r="C176" i="9"/>
  <c r="D176" i="9"/>
  <c r="E176" i="9"/>
  <c r="F176" i="9"/>
  <c r="G176" i="9"/>
  <c r="C177" i="9"/>
  <c r="D177" i="9"/>
  <c r="E177" i="9"/>
  <c r="F177" i="9"/>
  <c r="G177" i="9"/>
  <c r="B178" i="9"/>
  <c r="C178" i="9"/>
  <c r="D178" i="9"/>
  <c r="E178" i="9"/>
  <c r="F178" i="9"/>
  <c r="G178" i="9"/>
  <c r="B181" i="9"/>
  <c r="C181" i="9"/>
  <c r="D181" i="9"/>
  <c r="E181" i="9"/>
  <c r="F181" i="9"/>
  <c r="G181" i="9"/>
  <c r="B182" i="9"/>
  <c r="C182" i="9"/>
  <c r="D182" i="9"/>
  <c r="E182" i="9"/>
  <c r="F182" i="9"/>
  <c r="G182" i="9"/>
  <c r="C183" i="9"/>
  <c r="D183" i="9"/>
  <c r="E183" i="9"/>
  <c r="F183" i="9"/>
  <c r="G183" i="9"/>
  <c r="B184" i="9"/>
  <c r="C184" i="9"/>
  <c r="D184" i="9"/>
  <c r="E184" i="9"/>
  <c r="F184" i="9"/>
  <c r="G184" i="9"/>
  <c r="B186" i="9"/>
  <c r="C186" i="9"/>
  <c r="D186" i="9"/>
  <c r="E186" i="9"/>
  <c r="F186" i="9"/>
  <c r="G186" i="9"/>
  <c r="H186" i="9"/>
  <c r="C200" i="9"/>
  <c r="E200" i="9"/>
  <c r="G200" i="9"/>
  <c r="C201" i="9"/>
  <c r="E201" i="9"/>
  <c r="G201" i="9"/>
  <c r="E202" i="9"/>
  <c r="E203" i="9"/>
  <c r="C206" i="9"/>
  <c r="E206" i="9"/>
  <c r="G206" i="9"/>
  <c r="C207" i="9"/>
  <c r="E207" i="9"/>
  <c r="G207" i="9"/>
  <c r="E208" i="9"/>
  <c r="E209" i="9"/>
  <c r="B213" i="9"/>
  <c r="C213" i="9"/>
  <c r="D213" i="9"/>
  <c r="E213" i="9"/>
  <c r="F213" i="9"/>
  <c r="G213" i="9"/>
  <c r="B214" i="9"/>
  <c r="C214" i="9"/>
  <c r="D214" i="9"/>
  <c r="E214" i="9"/>
  <c r="F214" i="9"/>
  <c r="G214" i="9"/>
  <c r="C215" i="9"/>
  <c r="D215" i="9"/>
  <c r="E215" i="9"/>
  <c r="F215" i="9"/>
  <c r="G215" i="9"/>
  <c r="C216" i="9"/>
  <c r="D216" i="9"/>
  <c r="E216" i="9"/>
  <c r="F216" i="9"/>
  <c r="G216" i="9"/>
  <c r="B219" i="9"/>
  <c r="C219" i="9"/>
  <c r="D219" i="9"/>
  <c r="E219" i="9"/>
  <c r="F219" i="9"/>
  <c r="G219" i="9"/>
  <c r="B220" i="9"/>
  <c r="C220" i="9"/>
  <c r="D220" i="9"/>
  <c r="E220" i="9"/>
  <c r="F220" i="9"/>
  <c r="G220" i="9"/>
  <c r="C221" i="9"/>
  <c r="D221" i="9"/>
  <c r="E221" i="9"/>
  <c r="F221" i="9"/>
  <c r="G221" i="9"/>
  <c r="C222" i="9"/>
  <c r="D222" i="9"/>
  <c r="E222" i="9"/>
  <c r="F222" i="9"/>
  <c r="G222" i="9"/>
  <c r="B225" i="9"/>
  <c r="C225" i="9"/>
  <c r="D225" i="9"/>
  <c r="E225" i="9"/>
  <c r="F225" i="9"/>
  <c r="G225" i="9"/>
  <c r="B226" i="9"/>
  <c r="C226" i="9"/>
  <c r="D226" i="9"/>
  <c r="E226" i="9"/>
  <c r="F226" i="9"/>
  <c r="G226" i="9"/>
  <c r="C227" i="9"/>
  <c r="D227" i="9"/>
  <c r="E227" i="9"/>
  <c r="F227" i="9"/>
  <c r="G227" i="9"/>
  <c r="C228" i="9"/>
  <c r="D228" i="9"/>
  <c r="E228" i="9"/>
  <c r="F228" i="9"/>
  <c r="G228" i="9"/>
  <c r="B231" i="9"/>
  <c r="C231" i="9"/>
  <c r="D231" i="9"/>
  <c r="E231" i="9"/>
  <c r="F231" i="9"/>
  <c r="G231" i="9"/>
  <c r="B232" i="9"/>
  <c r="C232" i="9"/>
  <c r="D232" i="9"/>
  <c r="E232" i="9"/>
  <c r="F232" i="9"/>
  <c r="G232" i="9"/>
  <c r="C233" i="9"/>
  <c r="D233" i="9"/>
  <c r="E233" i="9"/>
  <c r="F233" i="9"/>
  <c r="G233" i="9"/>
  <c r="C234" i="9"/>
  <c r="D234" i="9"/>
  <c r="E234" i="9"/>
  <c r="F234" i="9"/>
  <c r="G234" i="9"/>
  <c r="B236" i="9"/>
  <c r="C236" i="9"/>
  <c r="D236" i="9"/>
  <c r="E236" i="9"/>
  <c r="F236" i="9"/>
  <c r="G236" i="9"/>
  <c r="H236" i="9"/>
  <c r="C250" i="9"/>
  <c r="E250" i="9"/>
  <c r="G250" i="9"/>
  <c r="C251" i="9"/>
  <c r="E251" i="9"/>
  <c r="G251" i="9"/>
  <c r="E252" i="9"/>
  <c r="E253" i="9"/>
  <c r="C256" i="9"/>
  <c r="E256" i="9"/>
  <c r="G256" i="9"/>
  <c r="C257" i="9"/>
  <c r="E257" i="9"/>
  <c r="G257" i="9"/>
  <c r="E258" i="9"/>
  <c r="E259" i="9"/>
  <c r="B263" i="9"/>
  <c r="C263" i="9"/>
  <c r="D263" i="9"/>
  <c r="E263" i="9"/>
  <c r="F263" i="9"/>
  <c r="G263" i="9"/>
  <c r="B264" i="9"/>
  <c r="C264" i="9"/>
  <c r="D264" i="9"/>
  <c r="E264" i="9"/>
  <c r="F264" i="9"/>
  <c r="G264" i="9"/>
  <c r="C265" i="9"/>
  <c r="D265" i="9"/>
  <c r="E265" i="9"/>
  <c r="F265" i="9"/>
  <c r="G265" i="9"/>
  <c r="C266" i="9"/>
  <c r="D266" i="9"/>
  <c r="E266" i="9"/>
  <c r="F266" i="9"/>
  <c r="G266" i="9"/>
  <c r="B269" i="9"/>
  <c r="C269" i="9"/>
  <c r="D269" i="9"/>
  <c r="E269" i="9"/>
  <c r="F269" i="9"/>
  <c r="G269" i="9"/>
  <c r="B270" i="9"/>
  <c r="C270" i="9"/>
  <c r="D270" i="9"/>
  <c r="E270" i="9"/>
  <c r="F270" i="9"/>
  <c r="G270" i="9"/>
  <c r="C271" i="9"/>
  <c r="D271" i="9"/>
  <c r="E271" i="9"/>
  <c r="F271" i="9"/>
  <c r="G271" i="9"/>
  <c r="C272" i="9"/>
  <c r="D272" i="9"/>
  <c r="E272" i="9"/>
  <c r="F272" i="9"/>
  <c r="G272" i="9"/>
  <c r="B275" i="9"/>
  <c r="C275" i="9"/>
  <c r="D275" i="9"/>
  <c r="E275" i="9"/>
  <c r="F275" i="9"/>
  <c r="G275" i="9"/>
  <c r="B276" i="9"/>
  <c r="C276" i="9"/>
  <c r="D276" i="9"/>
  <c r="E276" i="9"/>
  <c r="F276" i="9"/>
  <c r="G276" i="9"/>
  <c r="C277" i="9"/>
  <c r="D277" i="9"/>
  <c r="E277" i="9"/>
  <c r="F277" i="9"/>
  <c r="G277" i="9"/>
  <c r="C278" i="9"/>
  <c r="D278" i="9"/>
  <c r="E278" i="9"/>
  <c r="F278" i="9"/>
  <c r="G278" i="9"/>
  <c r="B281" i="9"/>
  <c r="C281" i="9"/>
  <c r="D281" i="9"/>
  <c r="E281" i="9"/>
  <c r="F281" i="9"/>
  <c r="G281" i="9"/>
  <c r="B282" i="9"/>
  <c r="C282" i="9"/>
  <c r="D282" i="9"/>
  <c r="E282" i="9"/>
  <c r="F282" i="9"/>
  <c r="G282" i="9"/>
  <c r="C283" i="9"/>
  <c r="D283" i="9"/>
  <c r="E283" i="9"/>
  <c r="F283" i="9"/>
  <c r="G283" i="9"/>
  <c r="C284" i="9"/>
  <c r="D284" i="9"/>
  <c r="E284" i="9"/>
  <c r="F284" i="9"/>
  <c r="G284" i="9"/>
  <c r="B287" i="9"/>
  <c r="C287" i="9"/>
  <c r="D287" i="9"/>
  <c r="E287" i="9"/>
  <c r="F287" i="9"/>
  <c r="G287" i="9"/>
  <c r="B288" i="9"/>
  <c r="C288" i="9"/>
  <c r="D288" i="9"/>
  <c r="E288" i="9"/>
  <c r="F288" i="9"/>
  <c r="G288" i="9"/>
  <c r="C289" i="9"/>
  <c r="D289" i="9"/>
  <c r="E289" i="9"/>
  <c r="F289" i="9"/>
  <c r="G289" i="9"/>
  <c r="C290" i="9"/>
  <c r="D290" i="9"/>
  <c r="E290" i="9"/>
  <c r="F290" i="9"/>
  <c r="G290" i="9"/>
  <c r="B293" i="9"/>
  <c r="C293" i="9"/>
  <c r="D293" i="9"/>
  <c r="E293" i="9"/>
  <c r="F293" i="9"/>
  <c r="G293" i="9"/>
  <c r="B294" i="9"/>
  <c r="C294" i="9"/>
  <c r="D294" i="9"/>
  <c r="E294" i="9"/>
  <c r="F294" i="9"/>
  <c r="G294" i="9"/>
  <c r="C295" i="9"/>
  <c r="D295" i="9"/>
  <c r="E295" i="9"/>
  <c r="F295" i="9"/>
  <c r="G295" i="9"/>
  <c r="C296" i="9"/>
  <c r="D296" i="9"/>
  <c r="E296" i="9"/>
  <c r="F296" i="9"/>
  <c r="G296" i="9"/>
  <c r="B299" i="9"/>
  <c r="C299" i="9"/>
  <c r="D299" i="9"/>
  <c r="E299" i="9"/>
  <c r="F299" i="9"/>
  <c r="G299" i="9"/>
  <c r="B300" i="9"/>
  <c r="C300" i="9"/>
  <c r="D300" i="9"/>
  <c r="E300" i="9"/>
  <c r="F300" i="9"/>
  <c r="G300" i="9"/>
  <c r="C301" i="9"/>
  <c r="D301" i="9"/>
  <c r="E301" i="9"/>
  <c r="F301" i="9"/>
  <c r="G301" i="9"/>
  <c r="C302" i="9"/>
  <c r="D302" i="9"/>
  <c r="E302" i="9"/>
  <c r="F302" i="9"/>
  <c r="G302" i="9"/>
  <c r="B304" i="9"/>
  <c r="C304" i="9"/>
  <c r="D304" i="9"/>
  <c r="E304" i="9"/>
  <c r="F304" i="9"/>
  <c r="G304" i="9"/>
  <c r="H304" i="9"/>
  <c r="C318" i="9"/>
  <c r="E318" i="9"/>
  <c r="G318" i="9"/>
  <c r="C319" i="9"/>
  <c r="E319" i="9"/>
  <c r="G319" i="9"/>
  <c r="C320" i="9"/>
  <c r="E320" i="9"/>
  <c r="G320" i="9"/>
  <c r="C323" i="9"/>
  <c r="E323" i="9"/>
  <c r="G323" i="9"/>
  <c r="C324" i="9"/>
  <c r="E324" i="9"/>
  <c r="G324" i="9"/>
  <c r="C325" i="9"/>
  <c r="E325" i="9"/>
  <c r="G325" i="9"/>
  <c r="B329" i="9"/>
  <c r="C329" i="9"/>
  <c r="D329" i="9"/>
  <c r="E329" i="9"/>
  <c r="F329" i="9"/>
  <c r="G329" i="9"/>
  <c r="B330" i="9"/>
  <c r="C330" i="9"/>
  <c r="D330" i="9"/>
  <c r="E330" i="9"/>
  <c r="F330" i="9"/>
  <c r="G330" i="9"/>
  <c r="B331" i="9"/>
  <c r="C331" i="9"/>
  <c r="D331" i="9"/>
  <c r="E331" i="9"/>
  <c r="F331" i="9"/>
  <c r="G331" i="9"/>
  <c r="B334" i="9"/>
  <c r="C334" i="9"/>
  <c r="D334" i="9"/>
  <c r="E334" i="9"/>
  <c r="F334" i="9"/>
  <c r="G334" i="9"/>
  <c r="B335" i="9"/>
  <c r="C335" i="9"/>
  <c r="D335" i="9"/>
  <c r="E335" i="9"/>
  <c r="F335" i="9"/>
  <c r="G335" i="9"/>
  <c r="B336" i="9"/>
  <c r="C336" i="9"/>
  <c r="D336" i="9"/>
  <c r="E336" i="9"/>
  <c r="F336" i="9"/>
  <c r="G336" i="9"/>
  <c r="B339" i="9"/>
  <c r="C339" i="9"/>
  <c r="D339" i="9"/>
  <c r="E339" i="9"/>
  <c r="F339" i="9"/>
  <c r="G339" i="9"/>
  <c r="B340" i="9"/>
  <c r="C340" i="9"/>
  <c r="D340" i="9"/>
  <c r="E340" i="9"/>
  <c r="F340" i="9"/>
  <c r="G340" i="9"/>
  <c r="B341" i="9"/>
  <c r="C341" i="9"/>
  <c r="D341" i="9"/>
  <c r="E341" i="9"/>
  <c r="F341" i="9"/>
  <c r="G341" i="9"/>
  <c r="B344" i="9"/>
  <c r="C344" i="9"/>
  <c r="D344" i="9"/>
  <c r="E344" i="9"/>
  <c r="F344" i="9"/>
  <c r="G344" i="9"/>
  <c r="B345" i="9"/>
  <c r="C345" i="9"/>
  <c r="D345" i="9"/>
  <c r="E345" i="9"/>
  <c r="F345" i="9"/>
  <c r="G345" i="9"/>
  <c r="B346" i="9"/>
  <c r="C346" i="9"/>
  <c r="D346" i="9"/>
  <c r="E346" i="9"/>
  <c r="F346" i="9"/>
  <c r="G346" i="9"/>
  <c r="B349" i="9"/>
  <c r="C349" i="9"/>
  <c r="D349" i="9"/>
  <c r="E349" i="9"/>
  <c r="F349" i="9"/>
  <c r="G349" i="9"/>
  <c r="B350" i="9"/>
  <c r="C350" i="9"/>
  <c r="D350" i="9"/>
  <c r="E350" i="9"/>
  <c r="F350" i="9"/>
  <c r="G350" i="9"/>
  <c r="B351" i="9"/>
  <c r="C351" i="9"/>
  <c r="D351" i="9"/>
  <c r="E351" i="9"/>
  <c r="F351" i="9"/>
  <c r="G351" i="9"/>
  <c r="B354" i="9"/>
  <c r="C354" i="9"/>
  <c r="D354" i="9"/>
  <c r="E354" i="9"/>
  <c r="F354" i="9"/>
  <c r="G354" i="9"/>
  <c r="B355" i="9"/>
  <c r="C355" i="9"/>
  <c r="D355" i="9"/>
  <c r="E355" i="9"/>
  <c r="F355" i="9"/>
  <c r="G355" i="9"/>
  <c r="B356" i="9"/>
  <c r="C356" i="9"/>
  <c r="D356" i="9"/>
  <c r="E356" i="9"/>
  <c r="F356" i="9"/>
  <c r="G356" i="9"/>
  <c r="B358" i="9"/>
  <c r="C358" i="9"/>
  <c r="D358" i="9"/>
  <c r="E358" i="9"/>
  <c r="F358" i="9"/>
  <c r="G358" i="9"/>
  <c r="H358" i="9"/>
  <c r="C370" i="9"/>
  <c r="E370" i="9"/>
  <c r="G370" i="9"/>
  <c r="C373" i="9"/>
  <c r="E373" i="9"/>
  <c r="G373" i="9"/>
  <c r="C374" i="9"/>
  <c r="E374" i="9"/>
  <c r="G374" i="9"/>
  <c r="E375" i="9"/>
  <c r="B379" i="9"/>
  <c r="C379" i="9"/>
  <c r="D379" i="9"/>
  <c r="E379" i="9"/>
  <c r="F379" i="9"/>
  <c r="G379" i="9"/>
  <c r="B380" i="9"/>
  <c r="C380" i="9"/>
  <c r="D380" i="9"/>
  <c r="E380" i="9"/>
  <c r="F380" i="9"/>
  <c r="G380" i="9"/>
  <c r="C381" i="9"/>
  <c r="D381" i="9"/>
  <c r="E381" i="9"/>
  <c r="F381" i="9"/>
  <c r="G381" i="9"/>
  <c r="B384" i="9"/>
  <c r="C384" i="9"/>
  <c r="D384" i="9"/>
  <c r="E384" i="9"/>
  <c r="F384" i="9"/>
  <c r="G384" i="9"/>
  <c r="B385" i="9"/>
  <c r="C385" i="9"/>
  <c r="D385" i="9"/>
  <c r="E385" i="9"/>
  <c r="F385" i="9"/>
  <c r="G385" i="9"/>
  <c r="C386" i="9"/>
  <c r="D386" i="9"/>
  <c r="E386" i="9"/>
  <c r="F386" i="9"/>
  <c r="G386" i="9"/>
  <c r="B389" i="9"/>
  <c r="C389" i="9"/>
  <c r="D389" i="9"/>
  <c r="E389" i="9"/>
  <c r="F389" i="9"/>
  <c r="G389" i="9"/>
  <c r="B390" i="9"/>
  <c r="C390" i="9"/>
  <c r="D390" i="9"/>
  <c r="E390" i="9"/>
  <c r="F390" i="9"/>
  <c r="G390" i="9"/>
  <c r="C391" i="9"/>
  <c r="D391" i="9"/>
  <c r="E391" i="9"/>
  <c r="F391" i="9"/>
  <c r="G391" i="9"/>
  <c r="B393" i="9"/>
  <c r="C393" i="9"/>
  <c r="D393" i="9"/>
  <c r="E393" i="9"/>
  <c r="F393" i="9"/>
  <c r="G393" i="9"/>
  <c r="H393" i="9"/>
  <c r="B396" i="9"/>
  <c r="C396" i="9"/>
  <c r="D396" i="9"/>
  <c r="E396" i="9"/>
  <c r="F396" i="9"/>
  <c r="G396" i="9"/>
  <c r="H396" i="9"/>
  <c r="N398" i="9"/>
  <c r="L400" i="9"/>
  <c r="L401" i="9"/>
  <c r="N401" i="9"/>
  <c r="L402" i="9"/>
  <c r="N402" i="9"/>
</calcChain>
</file>

<file path=xl/sharedStrings.xml><?xml version="1.0" encoding="utf-8"?>
<sst xmlns="http://schemas.openxmlformats.org/spreadsheetml/2006/main" count="423" uniqueCount="123">
  <si>
    <t>Customer Group</t>
  </si>
  <si>
    <t>New Total Revenue          ($ MM)</t>
  </si>
  <si>
    <t>San Diego Gas and Electric</t>
  </si>
  <si>
    <t>Usage Charges</t>
  </si>
  <si>
    <t>Fixed Charges</t>
  </si>
  <si>
    <t>Schedule AD</t>
  </si>
  <si>
    <t>Secondary</t>
  </si>
  <si>
    <t>Primary</t>
  </si>
  <si>
    <t xml:space="preserve">     On-Peak Summer</t>
  </si>
  <si>
    <t xml:space="preserve">    Semi-Peak Summer</t>
  </si>
  <si>
    <t xml:space="preserve">     Off-Peak Summer</t>
  </si>
  <si>
    <t>Off-Peak</t>
  </si>
  <si>
    <t>(Sheet 1 of 1)</t>
  </si>
  <si>
    <t xml:space="preserve">     On-Peak Winter</t>
  </si>
  <si>
    <t xml:space="preserve">    Semi-Peak Winter</t>
  </si>
  <si>
    <t xml:space="preserve">     Off-Peak Winter</t>
  </si>
  <si>
    <t>Schedule AY-TOU</t>
  </si>
  <si>
    <t xml:space="preserve">  On-Peak Energy</t>
  </si>
  <si>
    <t xml:space="preserve">    Secondary</t>
  </si>
  <si>
    <t xml:space="preserve">    Primary</t>
  </si>
  <si>
    <t xml:space="preserve">    Transmission</t>
  </si>
  <si>
    <t xml:space="preserve">  Semi-Peak Energy</t>
  </si>
  <si>
    <t xml:space="preserve">  Off-Peak Energy</t>
  </si>
  <si>
    <t>Schedule RTP-2</t>
  </si>
  <si>
    <t>Schedule A6-TOU</t>
  </si>
  <si>
    <t>Secondary Substation</t>
  </si>
  <si>
    <t>Primary Substation</t>
  </si>
  <si>
    <t>Transmission</t>
  </si>
  <si>
    <t>Total Schedule A6-TOU</t>
  </si>
  <si>
    <t>Total Schedule RTP-2</t>
  </si>
  <si>
    <t>2001 Annual Sales Forecast (GWh)</t>
  </si>
  <si>
    <t>New Total Rate     (cents/kWh)</t>
  </si>
  <si>
    <t>Increase in Class Average           (%)</t>
  </si>
  <si>
    <t>Schedules AL-TOU/AO-TOU/NJ</t>
  </si>
  <si>
    <t>Total Schedule AL-TOU/AO-TOU/NJ</t>
  </si>
  <si>
    <t>Total Revenue             ($ MM)</t>
  </si>
  <si>
    <t>-  On-Peak to Off-Peak Commodity Differential</t>
  </si>
  <si>
    <t>Total AY-TOU</t>
  </si>
  <si>
    <t>Schedule AV-1</t>
  </si>
  <si>
    <t>Total Schedule AV-1</t>
  </si>
  <si>
    <t>Schedule AV-2</t>
  </si>
  <si>
    <t>Total Schedule AV-2</t>
  </si>
  <si>
    <t>On-Peak</t>
  </si>
  <si>
    <t>Basic Service Fees</t>
  </si>
  <si>
    <t>Demand Charges-Secondary</t>
  </si>
  <si>
    <t>Demand Charges-Primary</t>
  </si>
  <si>
    <t>Demand Charges</t>
  </si>
  <si>
    <t>Signal Period 1G</t>
  </si>
  <si>
    <t>Signal Period 2G</t>
  </si>
  <si>
    <t>RTP Period</t>
  </si>
  <si>
    <t>Agricultural Rates</t>
  </si>
  <si>
    <t>AGRICULTURAL INPUTS</t>
  </si>
  <si>
    <t>Average Rate Increase for Agricultural Customers (cents/kWh)</t>
  </si>
  <si>
    <t>Additional Agricultural Revenues that Result ($ MM)</t>
  </si>
  <si>
    <t>Schedule PA</t>
  </si>
  <si>
    <t>Fixed Charges Basic Service Fees</t>
  </si>
  <si>
    <t>Total for Schedule PA</t>
  </si>
  <si>
    <t>Schedule PA-T-1</t>
  </si>
  <si>
    <t xml:space="preserve">Transmission </t>
  </si>
  <si>
    <t>Total for Schedule PA-T-1</t>
  </si>
  <si>
    <t>Schedule PA-TOU</t>
  </si>
  <si>
    <t>Fixed Charges-Basic Service Fees</t>
  </si>
  <si>
    <t>Total for Schedule PA-TOU</t>
  </si>
  <si>
    <t>AGRICULTURAL TOTAL</t>
  </si>
  <si>
    <t>Total for Schedule AD</t>
  </si>
  <si>
    <t>Rate</t>
  </si>
  <si>
    <t>Revenues</t>
  </si>
  <si>
    <t>(GWh)</t>
  </si>
  <si>
    <t>($/kWh)</t>
  </si>
  <si>
    <t>($ MM)</t>
  </si>
  <si>
    <t>Total Usage</t>
  </si>
  <si>
    <t>ALLOCATED REVENUE REQUIREMENT</t>
  </si>
  <si>
    <t>REVENUE DIFFERENCE</t>
  </si>
  <si>
    <t>ENERGY CHARGE ADJUSTMENT FACTOR</t>
  </si>
  <si>
    <t>USE "GOAL SEEK" TO ELIMINATE DIFFERENCE</t>
  </si>
  <si>
    <t>Capped Sales</t>
  </si>
  <si>
    <t xml:space="preserve">     On-Peak</t>
  </si>
  <si>
    <t xml:space="preserve">     Semi-Peak</t>
  </si>
  <si>
    <t xml:space="preserve">     Off-Peak</t>
  </si>
  <si>
    <t>-  Semi-Peak to Off-Peak Commodity Differential</t>
  </si>
  <si>
    <t>Schedules AL-TOU/AO-TOU/NJ (Conti.)</t>
  </si>
  <si>
    <t xml:space="preserve">     On-Peak </t>
  </si>
  <si>
    <t xml:space="preserve">    Semi-Peak </t>
  </si>
  <si>
    <t xml:space="preserve">     Off-Peak </t>
  </si>
  <si>
    <t>Notes:</t>
  </si>
  <si>
    <t>PA-TOU</t>
  </si>
  <si>
    <t>Schedule AY-TOU (Conti)</t>
  </si>
  <si>
    <t>(Sheet 1 of 7)</t>
  </si>
  <si>
    <t>(Sheet 2 of 7)</t>
  </si>
  <si>
    <t>(Sheet 3 of 7)</t>
  </si>
  <si>
    <t>(Sheet 4 of 7)</t>
  </si>
  <si>
    <t>(Sheet 5 of 7)</t>
  </si>
  <si>
    <t>(Sheet 6 of 7)</t>
  </si>
  <si>
    <t>(Sheet 7 of 7)</t>
  </si>
  <si>
    <t>Sales</t>
  </si>
  <si>
    <t>On-Peak to Off-Peak Commodity Price Differential</t>
  </si>
  <si>
    <t>Total</t>
  </si>
  <si>
    <t>(1) - The total rate columns and total revenue columns include T&amp;D and commodity charges.</t>
  </si>
  <si>
    <t>LARGE CUSTOMER TOTAL</t>
  </si>
  <si>
    <t>LARGE COMMERCIAL/INDUSTRIAL (ABX1 43) INPUTS</t>
  </si>
  <si>
    <t>Large Commercial/Industrial Rates (ABX1 43 CUSTOMERS)</t>
  </si>
  <si>
    <t>Commercial/Industrial (ABX1 43) TOU Commodity Price Differentials</t>
  </si>
  <si>
    <t>AB265</t>
  </si>
  <si>
    <t>ABX1 43</t>
  </si>
  <si>
    <t>DA Report</t>
  </si>
  <si>
    <t>Average Large Commercial/Industrial (ABX1 43) Rate Increase (cents/kWh)</t>
  </si>
  <si>
    <t>Additional Large Commercial/Industrial (ABX1 43) Revenues that Result ($ MM)</t>
  </si>
  <si>
    <t xml:space="preserve">       based on the projected 12-month DA load found in the April 2001 SDG&amp;E Direct Access Update Report.</t>
  </si>
  <si>
    <t>TOU COMMERCIAL/INDUSTRIAL (ABX1 43) TOTAL</t>
  </si>
  <si>
    <t>Commercial/Industrial (ABX1 43) TOU Commodity Price</t>
  </si>
  <si>
    <t>(2) - 2001 Annual Sales Forecast reflects the exclusion of Direct Access (DA) sales equal to 19.2% of total large commercial/industrial sales, which is</t>
  </si>
  <si>
    <t>(2) - 2001 Annual Sales Forecast reflects the exclusion of Direct Access (DA) sales equal to 0.5% of total agricultural sales, which is based on the</t>
  </si>
  <si>
    <t xml:space="preserve">       projected 12-month DA load found in the April 2001 SDG&amp;E Direct Access Update Report.</t>
  </si>
  <si>
    <t>Customer Rate Increase</t>
  </si>
  <si>
    <t>(cents/kWh)</t>
  </si>
  <si>
    <t>Average Large</t>
  </si>
  <si>
    <t>Weighted Average</t>
  </si>
  <si>
    <t>-  On-Peak Commodity Price (cents/kWh)</t>
  </si>
  <si>
    <t>-  Semi-Peak Commodity Price (cents/kWh)</t>
  </si>
  <si>
    <t>-  Off-Peak Commodity Price (cents/kWh)</t>
  </si>
  <si>
    <t>ABX1 43  Rate Increase w/ CARE Adder</t>
  </si>
  <si>
    <t>3/01/01  Total Rate (cents/kWh)</t>
  </si>
  <si>
    <t>Revenue Increase    ($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</si>
</sst>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"/>
    <numFmt numFmtId="166" formatCode="&quot;$&quot;#,##0.0_);[Red]\(&quot;$&quot;#,##0.0\)"/>
    <numFmt numFmtId="167" formatCode="#,##0.0"/>
    <numFmt numFmtId="168" formatCode="0.0%"/>
    <numFmt numFmtId="170" formatCode="_(* #,##0_);_(* \(#,##0\);_(* &quot;-&quot;??_);_(@_)"/>
    <numFmt numFmtId="174" formatCode="_(&quot;$&quot;* #,##0_);_(&quot;$&quot;* \(#,##0\);_(&quot;$&quot;* &quot;-&quot;??_);_(@_)"/>
    <numFmt numFmtId="175" formatCode="General_)"/>
    <numFmt numFmtId="179" formatCode="_(* #,##0.0_);_(* \(#,##0.0\);_(* &quot;-&quot;??_);_(@_)"/>
    <numFmt numFmtId="180" formatCode="0.000"/>
    <numFmt numFmtId="183" formatCode="0.000000"/>
    <numFmt numFmtId="184" formatCode="0.00000"/>
    <numFmt numFmtId="186" formatCode="&quot;$&quot;#,##0.00"/>
    <numFmt numFmtId="196" formatCode="_(* #,##0.000_);_(* \(#,##0.000\);_(* &quot;-&quot;??_);_(@_)"/>
    <numFmt numFmtId="201" formatCode="_(* #,##0.00000_);_(* \(#,##0.00000\);_(* &quot;-&quot;??_);_(@_)"/>
  </numFmts>
  <fonts count="17" x14ac:knownFonts="1">
    <font>
      <sz val="10"/>
      <name val="Arial"/>
    </font>
    <font>
      <sz val="10"/>
      <name val="Arial"/>
    </font>
    <font>
      <sz val="9"/>
      <name val="Helv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Times New Roman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8"/>
      <name val="Arial"/>
    </font>
    <font>
      <sz val="8"/>
      <color indexed="8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Protection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3" applyFont="1" applyBorder="1"/>
    <xf numFmtId="0" fontId="3" fillId="0" borderId="1" xfId="4" applyFont="1" applyBorder="1" applyAlignment="1">
      <alignment horizontal="left" wrapText="1"/>
    </xf>
    <xf numFmtId="0" fontId="3" fillId="0" borderId="1" xfId="4" applyFont="1" applyBorder="1" applyAlignment="1">
      <alignment horizontal="center" wrapText="1"/>
    </xf>
    <xf numFmtId="0" fontId="4" fillId="0" borderId="0" xfId="4" applyFont="1"/>
    <xf numFmtId="0" fontId="3" fillId="0" borderId="2" xfId="5" applyFont="1" applyFill="1" applyBorder="1" applyAlignment="1">
      <alignment horizontal="left"/>
    </xf>
    <xf numFmtId="0" fontId="4" fillId="0" borderId="0" xfId="0" applyFont="1"/>
    <xf numFmtId="0" fontId="3" fillId="0" borderId="0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/>
    </xf>
    <xf numFmtId="0" fontId="3" fillId="0" borderId="4" xfId="4" applyFont="1" applyBorder="1" applyAlignment="1">
      <alignment horizontal="center" wrapText="1"/>
    </xf>
    <xf numFmtId="0" fontId="5" fillId="0" borderId="0" xfId="4" applyFont="1" applyBorder="1"/>
    <xf numFmtId="0" fontId="5" fillId="0" borderId="5" xfId="4" applyFont="1" applyBorder="1"/>
    <xf numFmtId="0" fontId="3" fillId="0" borderId="0" xfId="4" applyFont="1" applyBorder="1" applyAlignment="1">
      <alignment horizontal="right"/>
    </xf>
    <xf numFmtId="3" fontId="4" fillId="0" borderId="0" xfId="4" applyNumberFormat="1" applyFont="1"/>
    <xf numFmtId="164" fontId="4" fillId="0" borderId="0" xfId="4" applyNumberFormat="1" applyFont="1"/>
    <xf numFmtId="166" fontId="4" fillId="0" borderId="0" xfId="2" applyNumberFormat="1" applyFont="1" applyBorder="1"/>
    <xf numFmtId="166" fontId="4" fillId="0" borderId="0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right"/>
    </xf>
    <xf numFmtId="9" fontId="4" fillId="0" borderId="0" xfId="4" applyNumberFormat="1" applyFont="1" applyFill="1" applyBorder="1" applyAlignment="1">
      <alignment horizontal="right"/>
    </xf>
    <xf numFmtId="9" fontId="4" fillId="0" borderId="0" xfId="4" applyNumberFormat="1" applyFont="1" applyBorder="1" applyAlignment="1">
      <alignment horizontal="right"/>
    </xf>
    <xf numFmtId="166" fontId="3" fillId="0" borderId="0" xfId="4" applyNumberFormat="1" applyFont="1" applyBorder="1" applyAlignment="1">
      <alignment horizontal="right"/>
    </xf>
    <xf numFmtId="9" fontId="3" fillId="0" borderId="0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right"/>
    </xf>
    <xf numFmtId="0" fontId="3" fillId="0" borderId="0" xfId="4" applyFont="1" applyBorder="1" applyAlignment="1">
      <alignment horizontal="left"/>
    </xf>
    <xf numFmtId="164" fontId="3" fillId="0" borderId="0" xfId="4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4" fillId="0" borderId="5" xfId="0" applyFont="1" applyBorder="1"/>
    <xf numFmtId="0" fontId="4" fillId="0" borderId="0" xfId="0" applyFont="1" applyBorder="1"/>
    <xf numFmtId="165" fontId="3" fillId="0" borderId="6" xfId="4" applyNumberFormat="1" applyFont="1" applyBorder="1"/>
    <xf numFmtId="0" fontId="4" fillId="0" borderId="7" xfId="0" applyFont="1" applyBorder="1"/>
    <xf numFmtId="0" fontId="7" fillId="0" borderId="0" xfId="0" applyFont="1"/>
    <xf numFmtId="0" fontId="9" fillId="0" borderId="0" xfId="4" applyFont="1"/>
    <xf numFmtId="8" fontId="3" fillId="0" borderId="0" xfId="5" applyNumberFormat="1" applyFont="1" applyFill="1" applyBorder="1" applyAlignment="1">
      <alignment horizontal="left"/>
    </xf>
    <xf numFmtId="166" fontId="3" fillId="0" borderId="0" xfId="1" applyNumberFormat="1" applyFont="1" applyFill="1" applyBorder="1" applyAlignment="1">
      <alignment horizontal="left"/>
    </xf>
    <xf numFmtId="0" fontId="3" fillId="0" borderId="3" xfId="5" quotePrefix="1" applyFont="1" applyFill="1" applyBorder="1" applyAlignment="1">
      <alignment horizontal="left"/>
    </xf>
    <xf numFmtId="0" fontId="5" fillId="0" borderId="0" xfId="4" applyFont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Border="1"/>
    <xf numFmtId="165" fontId="3" fillId="0" borderId="0" xfId="4" applyNumberFormat="1" applyFont="1" applyBorder="1"/>
    <xf numFmtId="0" fontId="3" fillId="0" borderId="8" xfId="5" applyFont="1" applyFill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4" applyFont="1" applyBorder="1" applyAlignment="1">
      <alignment horizontal="center"/>
    </xf>
    <xf numFmtId="0" fontId="4" fillId="0" borderId="0" xfId="4" applyFont="1" applyBorder="1" applyAlignment="1">
      <alignment horizontal="right"/>
    </xf>
    <xf numFmtId="0" fontId="11" fillId="0" borderId="0" xfId="0" applyFont="1" applyBorder="1"/>
    <xf numFmtId="9" fontId="10" fillId="0" borderId="6" xfId="6" applyFont="1" applyBorder="1"/>
    <xf numFmtId="0" fontId="3" fillId="0" borderId="5" xfId="3" applyFont="1" applyBorder="1"/>
    <xf numFmtId="0" fontId="3" fillId="0" borderId="9" xfId="3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8" fontId="3" fillId="0" borderId="0" xfId="3" applyNumberFormat="1" applyFont="1" applyBorder="1"/>
    <xf numFmtId="0" fontId="5" fillId="0" borderId="2" xfId="3" applyFont="1" applyBorder="1"/>
    <xf numFmtId="164" fontId="3" fillId="0" borderId="6" xfId="0" applyNumberFormat="1" applyFont="1" applyBorder="1"/>
    <xf numFmtId="170" fontId="3" fillId="0" borderId="7" xfId="1" applyNumberFormat="1" applyFont="1" applyBorder="1"/>
    <xf numFmtId="0" fontId="3" fillId="0" borderId="7" xfId="4" applyFont="1" applyBorder="1" applyAlignment="1">
      <alignment horizontal="left"/>
    </xf>
    <xf numFmtId="0" fontId="3" fillId="0" borderId="0" xfId="4" applyFont="1" applyBorder="1" applyAlignment="1">
      <alignment horizontal="left" wrapText="1"/>
    </xf>
    <xf numFmtId="0" fontId="3" fillId="0" borderId="0" xfId="4" applyFont="1" applyBorder="1" applyAlignment="1">
      <alignment horizontal="center" wrapText="1"/>
    </xf>
    <xf numFmtId="0" fontId="3" fillId="0" borderId="8" xfId="5" quotePrefix="1" applyFont="1" applyFill="1" applyBorder="1" applyAlignment="1">
      <alignment horizontal="left"/>
    </xf>
    <xf numFmtId="0" fontId="11" fillId="0" borderId="7" xfId="0" applyFont="1" applyBorder="1"/>
    <xf numFmtId="0" fontId="3" fillId="0" borderId="0" xfId="4" applyFont="1" applyBorder="1" applyAlignment="1">
      <alignment horizontal="center"/>
    </xf>
    <xf numFmtId="0" fontId="4" fillId="0" borderId="0" xfId="4" applyFont="1" applyFill="1" applyBorder="1" applyAlignment="1">
      <alignment horizontal="right"/>
    </xf>
    <xf numFmtId="0" fontId="3" fillId="0" borderId="0" xfId="4" applyFont="1" applyFill="1" applyBorder="1" applyAlignment="1">
      <alignment horizontal="center"/>
    </xf>
    <xf numFmtId="167" fontId="3" fillId="0" borderId="0" xfId="4" applyNumberFormat="1" applyFont="1" applyBorder="1" applyAlignment="1">
      <alignment horizontal="left"/>
    </xf>
    <xf numFmtId="179" fontId="4" fillId="0" borderId="0" xfId="1" applyNumberFormat="1" applyFont="1" applyBorder="1" applyAlignment="1">
      <alignment horizontal="right"/>
    </xf>
    <xf numFmtId="179" fontId="4" fillId="0" borderId="0" xfId="1" applyNumberFormat="1" applyFont="1"/>
    <xf numFmtId="179" fontId="4" fillId="0" borderId="0" xfId="1" applyNumberFormat="1" applyFont="1" applyBorder="1"/>
    <xf numFmtId="179" fontId="3" fillId="0" borderId="0" xfId="1" applyNumberFormat="1" applyFont="1" applyBorder="1" applyAlignment="1">
      <alignment horizontal="left"/>
    </xf>
    <xf numFmtId="179" fontId="4" fillId="0" borderId="0" xfId="1" applyNumberFormat="1" applyFont="1" applyAlignment="1">
      <alignment horizontal="right"/>
    </xf>
    <xf numFmtId="164" fontId="3" fillId="0" borderId="0" xfId="0" applyNumberFormat="1" applyFont="1" applyBorder="1"/>
    <xf numFmtId="38" fontId="4" fillId="0" borderId="0" xfId="0" applyNumberFormat="1" applyFont="1"/>
    <xf numFmtId="0" fontId="3" fillId="0" borderId="0" xfId="4" quotePrefix="1" applyFont="1" applyFill="1" applyBorder="1" applyAlignment="1">
      <alignment horizontal="center"/>
    </xf>
    <xf numFmtId="0" fontId="5" fillId="0" borderId="0" xfId="4" quotePrefix="1" applyFont="1" applyBorder="1"/>
    <xf numFmtId="43" fontId="4" fillId="0" borderId="0" xfId="1" applyNumberFormat="1" applyFont="1"/>
    <xf numFmtId="9" fontId="3" fillId="0" borderId="10" xfId="4" applyNumberFormat="1" applyFont="1" applyBorder="1" applyAlignment="1">
      <alignment horizontal="right"/>
    </xf>
    <xf numFmtId="167" fontId="4" fillId="0" borderId="0" xfId="0" applyNumberFormat="1" applyFont="1"/>
    <xf numFmtId="165" fontId="4" fillId="0" borderId="0" xfId="0" applyNumberFormat="1" applyFont="1"/>
    <xf numFmtId="165" fontId="3" fillId="0" borderId="0" xfId="4" applyNumberFormat="1" applyFont="1" applyBorder="1" applyAlignment="1">
      <alignment horizontal="right"/>
    </xf>
    <xf numFmtId="43" fontId="4" fillId="0" borderId="0" xfId="0" applyNumberFormat="1" applyFont="1" applyBorder="1"/>
    <xf numFmtId="43" fontId="4" fillId="0" borderId="0" xfId="0" applyNumberFormat="1" applyFont="1"/>
    <xf numFmtId="8" fontId="4" fillId="0" borderId="0" xfId="0" applyNumberFormat="1" applyFont="1"/>
    <xf numFmtId="165" fontId="3" fillId="0" borderId="9" xfId="4" applyNumberFormat="1" applyFont="1" applyBorder="1"/>
    <xf numFmtId="0" fontId="3" fillId="0" borderId="0" xfId="5" quotePrefix="1" applyFont="1" applyFill="1" applyBorder="1" applyAlignment="1">
      <alignment horizontal="left"/>
    </xf>
    <xf numFmtId="170" fontId="3" fillId="0" borderId="11" xfId="1" applyNumberFormat="1" applyFont="1" applyBorder="1"/>
    <xf numFmtId="179" fontId="3" fillId="0" borderId="11" xfId="1" applyNumberFormat="1" applyFont="1" applyBorder="1"/>
    <xf numFmtId="9" fontId="3" fillId="0" borderId="11" xfId="4" applyNumberFormat="1" applyFont="1" applyBorder="1" applyAlignment="1">
      <alignment horizontal="right"/>
    </xf>
    <xf numFmtId="166" fontId="3" fillId="0" borderId="0" xfId="0" applyNumberFormat="1" applyFont="1" applyBorder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1" fontId="4" fillId="0" borderId="0" xfId="4" applyNumberFormat="1" applyFont="1" applyFill="1" applyBorder="1" applyAlignment="1">
      <alignment horizontal="right"/>
    </xf>
    <xf numFmtId="196" fontId="4" fillId="0" borderId="0" xfId="0" applyNumberFormat="1" applyFont="1"/>
    <xf numFmtId="0" fontId="14" fillId="0" borderId="13" xfId="0" applyFont="1" applyBorder="1" applyAlignment="1">
      <alignment horizontal="right"/>
    </xf>
    <xf numFmtId="0" fontId="4" fillId="0" borderId="14" xfId="0" applyFont="1" applyBorder="1"/>
    <xf numFmtId="44" fontId="4" fillId="0" borderId="15" xfId="0" applyNumberFormat="1" applyFont="1" applyBorder="1"/>
    <xf numFmtId="0" fontId="14" fillId="0" borderId="16" xfId="0" applyFont="1" applyBorder="1" applyAlignment="1">
      <alignment horizontal="right"/>
    </xf>
    <xf numFmtId="174" fontId="4" fillId="0" borderId="17" xfId="0" applyNumberFormat="1" applyFont="1" applyBorder="1"/>
    <xf numFmtId="0" fontId="4" fillId="0" borderId="17" xfId="0" applyFont="1" applyBorder="1"/>
    <xf numFmtId="0" fontId="15" fillId="0" borderId="18" xfId="0" applyFont="1" applyBorder="1" applyAlignment="1">
      <alignment horizontal="right"/>
    </xf>
    <xf numFmtId="0" fontId="4" fillId="0" borderId="12" xfId="0" applyFont="1" applyBorder="1"/>
    <xf numFmtId="0" fontId="4" fillId="0" borderId="19" xfId="0" applyFont="1" applyBorder="1"/>
    <xf numFmtId="0" fontId="3" fillId="0" borderId="10" xfId="4" applyFont="1" applyBorder="1" applyAlignment="1">
      <alignment horizontal="right"/>
    </xf>
    <xf numFmtId="9" fontId="3" fillId="0" borderId="10" xfId="6" applyFont="1" applyBorder="1" applyAlignment="1">
      <alignment horizontal="right"/>
    </xf>
    <xf numFmtId="8" fontId="4" fillId="0" borderId="0" xfId="4" applyNumberFormat="1" applyFont="1" applyBorder="1" applyAlignment="1">
      <alignment horizontal="right"/>
    </xf>
    <xf numFmtId="8" fontId="7" fillId="0" borderId="0" xfId="0" applyNumberFormat="1" applyFont="1" applyBorder="1"/>
    <xf numFmtId="9" fontId="3" fillId="0" borderId="7" xfId="6" applyFont="1" applyBorder="1" applyAlignment="1">
      <alignment horizontal="right"/>
    </xf>
    <xf numFmtId="9" fontId="3" fillId="0" borderId="0" xfId="6" applyFont="1" applyBorder="1" applyAlignment="1">
      <alignment horizontal="right"/>
    </xf>
    <xf numFmtId="179" fontId="3" fillId="0" borderId="10" xfId="1" applyNumberFormat="1" applyFont="1" applyBorder="1"/>
    <xf numFmtId="0" fontId="3" fillId="0" borderId="12" xfId="4" applyFont="1" applyBorder="1" applyAlignment="1">
      <alignment horizontal="right"/>
    </xf>
    <xf numFmtId="179" fontId="4" fillId="0" borderId="0" xfId="0" applyNumberFormat="1" applyFont="1"/>
    <xf numFmtId="43" fontId="4" fillId="0" borderId="12" xfId="0" applyNumberFormat="1" applyFont="1" applyBorder="1"/>
    <xf numFmtId="0" fontId="3" fillId="0" borderId="10" xfId="0" applyFont="1" applyBorder="1" applyAlignment="1">
      <alignment horizontal="right"/>
    </xf>
    <xf numFmtId="186" fontId="4" fillId="0" borderId="0" xfId="0" applyNumberFormat="1" applyFont="1"/>
    <xf numFmtId="186" fontId="7" fillId="0" borderId="0" xfId="0" applyNumberFormat="1" applyFont="1" applyBorder="1"/>
    <xf numFmtId="186" fontId="7" fillId="0" borderId="0" xfId="0" applyNumberFormat="1" applyFont="1"/>
    <xf numFmtId="186" fontId="4" fillId="0" borderId="0" xfId="4" applyNumberFormat="1" applyFont="1" applyBorder="1" applyAlignment="1">
      <alignment horizontal="right"/>
    </xf>
    <xf numFmtId="179" fontId="3" fillId="0" borderId="10" xfId="1" applyNumberFormat="1" applyFont="1" applyBorder="1" applyAlignment="1">
      <alignment horizontal="right"/>
    </xf>
    <xf numFmtId="186" fontId="3" fillId="0" borderId="0" xfId="4" applyNumberFormat="1" applyFont="1" applyBorder="1" applyAlignment="1">
      <alignment horizontal="left"/>
    </xf>
    <xf numFmtId="43" fontId="3" fillId="0" borderId="20" xfId="1" applyNumberFormat="1" applyFont="1" applyBorder="1"/>
    <xf numFmtId="39" fontId="3" fillId="0" borderId="6" xfId="1" applyNumberFormat="1" applyFont="1" applyBorder="1"/>
    <xf numFmtId="179" fontId="8" fillId="0" borderId="0" xfId="1" applyNumberFormat="1" applyFont="1"/>
    <xf numFmtId="179" fontId="4" fillId="0" borderId="0" xfId="1" applyNumberFormat="1" applyFont="1" applyFill="1" applyBorder="1" applyAlignment="1">
      <alignment horizontal="right"/>
    </xf>
    <xf numFmtId="179" fontId="5" fillId="0" borderId="0" xfId="1" applyNumberFormat="1" applyFont="1" applyBorder="1"/>
    <xf numFmtId="179" fontId="3" fillId="0" borderId="0" xfId="1" applyNumberFormat="1" applyFont="1" applyBorder="1" applyAlignment="1">
      <alignment horizontal="right"/>
    </xf>
    <xf numFmtId="179" fontId="3" fillId="0" borderId="7" xfId="1" applyNumberFormat="1" applyFont="1" applyBorder="1"/>
    <xf numFmtId="179" fontId="3" fillId="0" borderId="10" xfId="1" applyNumberFormat="1" applyFont="1" applyBorder="1" applyAlignment="1">
      <alignment horizontal="left"/>
    </xf>
    <xf numFmtId="165" fontId="7" fillId="0" borderId="0" xfId="0" applyNumberFormat="1" applyFont="1"/>
    <xf numFmtId="39" fontId="3" fillId="0" borderId="20" xfId="1" applyNumberFormat="1" applyFont="1" applyBorder="1"/>
    <xf numFmtId="196" fontId="4" fillId="0" borderId="0" xfId="1" applyNumberFormat="1" applyFont="1" applyFill="1" applyBorder="1" applyAlignment="1">
      <alignment horizontal="right"/>
    </xf>
    <xf numFmtId="179" fontId="3" fillId="0" borderId="0" xfId="1" applyNumberFormat="1" applyFont="1" applyBorder="1" applyAlignment="1">
      <alignment horizontal="center" wrapText="1"/>
    </xf>
    <xf numFmtId="186" fontId="4" fillId="0" borderId="0" xfId="2" applyNumberFormat="1" applyFont="1" applyBorder="1"/>
    <xf numFmtId="186" fontId="3" fillId="0" borderId="0" xfId="4" applyNumberFormat="1" applyFont="1" applyBorder="1" applyAlignment="1">
      <alignment horizontal="center" wrapText="1"/>
    </xf>
    <xf numFmtId="186" fontId="3" fillId="0" borderId="0" xfId="4" applyNumberFormat="1" applyFont="1" applyBorder="1" applyAlignment="1">
      <alignment horizontal="right"/>
    </xf>
    <xf numFmtId="170" fontId="4" fillId="0" borderId="0" xfId="1" applyNumberFormat="1" applyFont="1"/>
    <xf numFmtId="167" fontId="4" fillId="0" borderId="0" xfId="1" applyNumberFormat="1" applyFont="1"/>
    <xf numFmtId="167" fontId="4" fillId="0" borderId="0" xfId="1" applyNumberFormat="1" applyFont="1" applyAlignment="1">
      <alignment horizontal="right"/>
    </xf>
    <xf numFmtId="165" fontId="4" fillId="0" borderId="0" xfId="1" applyNumberFormat="1" applyFont="1"/>
    <xf numFmtId="0" fontId="4" fillId="0" borderId="0" xfId="0" applyFont="1" applyBorder="1" applyAlignment="1">
      <alignment horizontal="left"/>
    </xf>
    <xf numFmtId="184" fontId="4" fillId="0" borderId="0" xfId="0" applyNumberFormat="1" applyFont="1"/>
    <xf numFmtId="8" fontId="4" fillId="0" borderId="0" xfId="2" applyNumberFormat="1" applyFont="1" applyBorder="1"/>
    <xf numFmtId="167" fontId="3" fillId="0" borderId="0" xfId="1" applyNumberFormat="1" applyFont="1" applyBorder="1"/>
    <xf numFmtId="179" fontId="3" fillId="0" borderId="0" xfId="1" applyNumberFormat="1" applyFont="1" applyBorder="1"/>
    <xf numFmtId="165" fontId="3" fillId="0" borderId="0" xfId="0" applyNumberFormat="1" applyFont="1" applyBorder="1"/>
    <xf numFmtId="167" fontId="3" fillId="0" borderId="0" xfId="0" applyNumberFormat="1" applyFont="1" applyBorder="1"/>
    <xf numFmtId="167" fontId="3" fillId="0" borderId="0" xfId="4" applyNumberFormat="1" applyFont="1" applyBorder="1" applyAlignment="1">
      <alignment horizontal="right"/>
    </xf>
    <xf numFmtId="164" fontId="4" fillId="0" borderId="0" xfId="4" applyNumberFormat="1" applyFont="1" applyFill="1" applyBorder="1" applyAlignment="1">
      <alignment horizontal="right"/>
    </xf>
    <xf numFmtId="2" fontId="4" fillId="0" borderId="0" xfId="0" applyNumberFormat="1" applyFont="1"/>
    <xf numFmtId="201" fontId="4" fillId="0" borderId="0" xfId="0" applyNumberFormat="1" applyFont="1"/>
    <xf numFmtId="184" fontId="3" fillId="0" borderId="0" xfId="4" applyNumberFormat="1" applyFont="1" applyFill="1" applyBorder="1" applyAlignment="1">
      <alignment horizontal="right"/>
    </xf>
    <xf numFmtId="170" fontId="3" fillId="0" borderId="0" xfId="1" applyNumberFormat="1" applyFont="1" applyBorder="1"/>
    <xf numFmtId="9" fontId="3" fillId="0" borderId="7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left"/>
    </xf>
    <xf numFmtId="8" fontId="3" fillId="0" borderId="0" xfId="4" applyNumberFormat="1" applyFont="1" applyBorder="1" applyAlignment="1">
      <alignment horizontal="center" wrapText="1"/>
    </xf>
    <xf numFmtId="8" fontId="3" fillId="0" borderId="10" xfId="2" applyNumberFormat="1" applyFont="1" applyBorder="1"/>
    <xf numFmtId="0" fontId="16" fillId="0" borderId="0" xfId="0" applyFont="1" applyAlignment="1">
      <alignment horizontal="center"/>
    </xf>
    <xf numFmtId="43" fontId="4" fillId="0" borderId="0" xfId="1" applyFont="1"/>
    <xf numFmtId="168" fontId="4" fillId="0" borderId="0" xfId="6" applyNumberFormat="1" applyFont="1"/>
    <xf numFmtId="43" fontId="4" fillId="0" borderId="0" xfId="1" applyFont="1" applyAlignment="1">
      <alignment horizontal="right"/>
    </xf>
    <xf numFmtId="43" fontId="4" fillId="0" borderId="0" xfId="1" applyFont="1" applyBorder="1"/>
    <xf numFmtId="43" fontId="3" fillId="0" borderId="6" xfId="1" applyNumberFormat="1" applyFont="1" applyBorder="1"/>
    <xf numFmtId="43" fontId="4" fillId="0" borderId="0" xfId="1" applyNumberFormat="1" applyFont="1" applyAlignment="1">
      <alignment horizontal="right"/>
    </xf>
    <xf numFmtId="43" fontId="3" fillId="0" borderId="10" xfId="1" applyNumberFormat="1" applyFont="1" applyBorder="1" applyAlignment="1">
      <alignment horizontal="right"/>
    </xf>
    <xf numFmtId="43" fontId="8" fillId="0" borderId="0" xfId="1" applyNumberFormat="1" applyFont="1"/>
    <xf numFmtId="43" fontId="3" fillId="0" borderId="10" xfId="1" applyNumberFormat="1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1" applyNumberFormat="1" applyFont="1" applyBorder="1"/>
    <xf numFmtId="43" fontId="4" fillId="0" borderId="0" xfId="4" applyNumberFormat="1" applyFont="1"/>
    <xf numFmtId="43" fontId="3" fillId="0" borderId="0" xfId="1" applyNumberFormat="1" applyFont="1" applyBorder="1" applyAlignment="1">
      <alignment horizontal="right"/>
    </xf>
    <xf numFmtId="43" fontId="3" fillId="0" borderId="0" xfId="1" applyNumberFormat="1" applyFont="1" applyBorder="1" applyAlignment="1">
      <alignment horizontal="left"/>
    </xf>
    <xf numFmtId="43" fontId="3" fillId="0" borderId="0" xfId="4" applyNumberFormat="1" applyFont="1" applyBorder="1" applyAlignment="1">
      <alignment horizontal="left"/>
    </xf>
    <xf numFmtId="43" fontId="3" fillId="0" borderId="0" xfId="4" applyNumberFormat="1" applyFont="1" applyBorder="1" applyAlignment="1">
      <alignment horizontal="right"/>
    </xf>
    <xf numFmtId="43" fontId="5" fillId="0" borderId="0" xfId="4" applyNumberFormat="1" applyFont="1" applyBorder="1"/>
    <xf numFmtId="43" fontId="8" fillId="0" borderId="0" xfId="4" applyNumberFormat="1" applyFont="1"/>
    <xf numFmtId="43" fontId="3" fillId="0" borderId="0" xfId="4" applyNumberFormat="1" applyFont="1" applyBorder="1" applyAlignment="1">
      <alignment horizontal="center" wrapText="1"/>
    </xf>
    <xf numFmtId="43" fontId="4" fillId="0" borderId="7" xfId="0" applyNumberFormat="1" applyFont="1" applyBorder="1"/>
    <xf numFmtId="43" fontId="3" fillId="0" borderId="7" xfId="1" applyNumberFormat="1" applyFont="1" applyBorder="1"/>
    <xf numFmtId="43" fontId="3" fillId="0" borderId="0" xfId="1" applyNumberFormat="1" applyFont="1" applyBorder="1" applyAlignment="1">
      <alignment horizontal="center" wrapText="1"/>
    </xf>
    <xf numFmtId="43" fontId="8" fillId="0" borderId="0" xfId="1" applyNumberFormat="1" applyFont="1" applyBorder="1"/>
    <xf numFmtId="43" fontId="4" fillId="0" borderId="0" xfId="1" applyNumberFormat="1" applyFont="1" applyFill="1"/>
    <xf numFmtId="43" fontId="3" fillId="0" borderId="11" xfId="1" applyNumberFormat="1" applyFont="1" applyBorder="1" applyAlignment="1">
      <alignment horizontal="right"/>
    </xf>
    <xf numFmtId="43" fontId="3" fillId="0" borderId="11" xfId="4" applyNumberFormat="1" applyFont="1" applyBorder="1" applyAlignment="1">
      <alignment horizontal="right"/>
    </xf>
    <xf numFmtId="43" fontId="8" fillId="0" borderId="0" xfId="4" applyNumberFormat="1" applyFont="1" applyBorder="1"/>
    <xf numFmtId="43" fontId="3" fillId="0" borderId="10" xfId="1" applyNumberFormat="1" applyFont="1" applyBorder="1" applyAlignment="1">
      <alignment horizontal="left"/>
    </xf>
    <xf numFmtId="4" fontId="3" fillId="0" borderId="0" xfId="4" applyNumberFormat="1" applyFont="1" applyBorder="1" applyAlignment="1">
      <alignment horizontal="right"/>
    </xf>
    <xf numFmtId="2" fontId="3" fillId="0" borderId="0" xfId="0" applyNumberFormat="1" applyFont="1" applyBorder="1"/>
    <xf numFmtId="184" fontId="4" fillId="0" borderId="0" xfId="0" applyNumberFormat="1" applyFont="1" applyBorder="1"/>
    <xf numFmtId="183" fontId="4" fillId="0" borderId="0" xfId="0" applyNumberFormat="1" applyFont="1" applyBorder="1"/>
    <xf numFmtId="180" fontId="4" fillId="0" borderId="0" xfId="0" applyNumberFormat="1" applyFont="1"/>
    <xf numFmtId="9" fontId="4" fillId="0" borderId="0" xfId="6" applyFont="1"/>
    <xf numFmtId="43" fontId="4" fillId="0" borderId="0" xfId="1" applyFont="1" applyBorder="1" applyAlignment="1">
      <alignment horizontal="right"/>
    </xf>
    <xf numFmtId="2" fontId="4" fillId="0" borderId="0" xfId="0" applyNumberFormat="1" applyFont="1" applyBorder="1"/>
    <xf numFmtId="166" fontId="3" fillId="0" borderId="20" xfId="1" applyNumberFormat="1" applyFont="1" applyFill="1" applyBorder="1" applyAlignment="1">
      <alignment horizontal="left"/>
    </xf>
    <xf numFmtId="166" fontId="3" fillId="0" borderId="6" xfId="1" applyNumberFormat="1" applyFont="1" applyFill="1" applyBorder="1" applyAlignment="1">
      <alignment horizontal="left"/>
    </xf>
    <xf numFmtId="0" fontId="3" fillId="0" borderId="3" xfId="0" applyFont="1" applyBorder="1"/>
    <xf numFmtId="0" fontId="3" fillId="0" borderId="8" xfId="0" applyFont="1" applyBorder="1"/>
    <xf numFmtId="8" fontId="3" fillId="0" borderId="20" xfId="4" applyNumberFormat="1" applyFont="1" applyBorder="1"/>
    <xf numFmtId="8" fontId="5" fillId="0" borderId="0" xfId="4" applyNumberFormat="1" applyFont="1" applyBorder="1"/>
    <xf numFmtId="8" fontId="4" fillId="0" borderId="0" xfId="4" applyNumberFormat="1" applyFont="1"/>
    <xf numFmtId="8" fontId="4" fillId="0" borderId="0" xfId="4" applyNumberFormat="1" applyFont="1" applyFill="1"/>
    <xf numFmtId="8" fontId="3" fillId="0" borderId="10" xfId="0" applyNumberFormat="1" applyFont="1" applyBorder="1"/>
    <xf numFmtId="8" fontId="7" fillId="0" borderId="0" xfId="0" applyNumberFormat="1" applyFont="1"/>
    <xf numFmtId="8" fontId="3" fillId="0" borderId="10" xfId="4" applyNumberFormat="1" applyFont="1" applyBorder="1" applyAlignment="1">
      <alignment horizontal="right"/>
    </xf>
    <xf numFmtId="8" fontId="4" fillId="0" borderId="7" xfId="0" applyNumberFormat="1" applyFont="1" applyBorder="1"/>
    <xf numFmtId="8" fontId="7" fillId="0" borderId="7" xfId="0" applyNumberFormat="1" applyFont="1" applyBorder="1"/>
    <xf numFmtId="8" fontId="3" fillId="0" borderId="7" xfId="1" applyNumberFormat="1" applyFont="1" applyBorder="1"/>
    <xf numFmtId="8" fontId="3" fillId="0" borderId="0" xfId="2" applyNumberFormat="1" applyFont="1" applyBorder="1"/>
    <xf numFmtId="8" fontId="3" fillId="0" borderId="11" xfId="1" applyNumberFormat="1" applyFont="1" applyBorder="1"/>
    <xf numFmtId="8" fontId="3" fillId="0" borderId="0" xfId="1" applyNumberFormat="1" applyFont="1" applyBorder="1"/>
    <xf numFmtId="8" fontId="4" fillId="0" borderId="0" xfId="0" applyNumberFormat="1" applyFont="1" applyBorder="1"/>
    <xf numFmtId="43" fontId="3" fillId="0" borderId="6" xfId="1" applyFont="1" applyBorder="1"/>
    <xf numFmtId="43" fontId="4" fillId="0" borderId="0" xfId="1" applyNumberFormat="1" applyFont="1" applyFill="1" applyBorder="1" applyAlignment="1">
      <alignment horizontal="right"/>
    </xf>
    <xf numFmtId="43" fontId="4" fillId="0" borderId="0" xfId="1" applyFont="1" applyFill="1"/>
    <xf numFmtId="43" fontId="4" fillId="0" borderId="0" xfId="1" applyNumberFormat="1" applyFont="1" applyFill="1" applyBorder="1" applyAlignment="1">
      <alignment horizontal="left"/>
    </xf>
    <xf numFmtId="43" fontId="4" fillId="0" borderId="0" xfId="4" applyNumberFormat="1" applyFont="1" applyFill="1" applyBorder="1" applyAlignment="1">
      <alignment horizontal="right"/>
    </xf>
    <xf numFmtId="43" fontId="4" fillId="0" borderId="0" xfId="4" applyNumberFormat="1" applyFont="1" applyBorder="1" applyAlignment="1">
      <alignment horizontal="right"/>
    </xf>
    <xf numFmtId="184" fontId="4" fillId="0" borderId="17" xfId="0" applyNumberFormat="1" applyFont="1" applyBorder="1"/>
    <xf numFmtId="43" fontId="3" fillId="0" borderId="0" xfId="5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center"/>
    </xf>
    <xf numFmtId="9" fontId="4" fillId="0" borderId="0" xfId="6" applyFont="1" applyBorder="1"/>
    <xf numFmtId="8" fontId="4" fillId="0" borderId="0" xfId="1" applyNumberFormat="1" applyFont="1" applyBorder="1"/>
    <xf numFmtId="9" fontId="4" fillId="0" borderId="0" xfId="0" applyNumberFormat="1" applyFont="1" applyBorder="1"/>
    <xf numFmtId="8" fontId="7" fillId="0" borderId="0" xfId="1" applyNumberFormat="1" applyFont="1" applyBorder="1"/>
    <xf numFmtId="8" fontId="4" fillId="0" borderId="0" xfId="4" applyNumberFormat="1" applyFont="1" applyFill="1" applyBorder="1" applyAlignment="1">
      <alignment horizontal="right"/>
    </xf>
    <xf numFmtId="8" fontId="4" fillId="0" borderId="0" xfId="0" applyNumberFormat="1" applyFont="1" applyFill="1" applyBorder="1"/>
    <xf numFmtId="43" fontId="4" fillId="0" borderId="0" xfId="1" applyNumberFormat="1" applyFont="1" applyFill="1" applyBorder="1"/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Edison Tiered Ratesmud" xfId="3"/>
    <cellStyle name="Normal_SDGE Tiered ratesmud" xfId="4"/>
    <cellStyle name="Normal_Total RRQ including ICIP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SDGE.RD.Template5-18(SMALL)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dential"/>
      <sheetName val="Small Commercial"/>
      <sheetName val="Medium-Large Commercial (AB265)"/>
      <sheetName val="Street Lighting"/>
    </sheetNames>
    <sheetDataSet>
      <sheetData sheetId="0">
        <row r="56">
          <cell r="N56">
            <v>3.8476985910389011E-4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65"/>
  <sheetViews>
    <sheetView tabSelected="1" zoomScaleNormal="100" workbookViewId="0"/>
  </sheetViews>
  <sheetFormatPr defaultColWidth="2.5546875" defaultRowHeight="13.2" x14ac:dyDescent="0.25"/>
  <cols>
    <col min="1" max="1" width="58.6640625" style="6" customWidth="1"/>
    <col min="2" max="2" width="12.6640625" style="6" customWidth="1"/>
    <col min="3" max="3" width="11.6640625" style="6" customWidth="1"/>
    <col min="4" max="5" width="8.6640625" style="6" customWidth="1"/>
    <col min="6" max="6" width="9.6640625" style="6" customWidth="1"/>
    <col min="7" max="7" width="11.6640625" style="6" customWidth="1"/>
    <col min="8" max="8" width="11.5546875" style="6" customWidth="1"/>
    <col min="9" max="10" width="2.5546875" style="6" customWidth="1"/>
    <col min="11" max="11" width="34.33203125" style="6" bestFit="1" customWidth="1"/>
    <col min="12" max="12" width="15.44140625" style="6" bestFit="1" customWidth="1"/>
    <col min="13" max="13" width="2.5546875" style="6" customWidth="1"/>
    <col min="14" max="14" width="15.44140625" style="6" bestFit="1" customWidth="1"/>
    <col min="15" max="15" width="2.5546875" style="6" customWidth="1"/>
    <col min="16" max="16" width="9" style="6" bestFit="1" customWidth="1"/>
    <col min="17" max="17" width="15.44140625" style="6" bestFit="1" customWidth="1"/>
    <col min="18" max="16384" width="2.5546875" style="6"/>
  </cols>
  <sheetData>
    <row r="1" spans="1:8" x14ac:dyDescent="0.25">
      <c r="H1" s="37" t="s">
        <v>87</v>
      </c>
    </row>
    <row r="2" spans="1:8" ht="21" x14ac:dyDescent="0.4">
      <c r="A2" s="229" t="s">
        <v>2</v>
      </c>
      <c r="B2" s="229"/>
      <c r="C2" s="229"/>
      <c r="D2" s="229"/>
      <c r="E2" s="229"/>
      <c r="F2" s="229"/>
      <c r="G2" s="229"/>
      <c r="H2" s="229"/>
    </row>
    <row r="3" spans="1:8" ht="21" x14ac:dyDescent="0.4">
      <c r="A3" s="229" t="s">
        <v>100</v>
      </c>
      <c r="B3" s="229"/>
      <c r="C3" s="229"/>
      <c r="D3" s="229"/>
      <c r="E3" s="229"/>
      <c r="F3" s="229"/>
      <c r="G3" s="229"/>
      <c r="H3" s="229"/>
    </row>
    <row r="4" spans="1:8" ht="13.8" thickBot="1" x14ac:dyDescent="0.3">
      <c r="A4" s="52"/>
      <c r="B4" s="52"/>
      <c r="C4" s="52"/>
      <c r="D4" s="52"/>
      <c r="E4" s="52"/>
      <c r="F4" s="52"/>
      <c r="G4" s="52"/>
      <c r="H4" s="52"/>
    </row>
    <row r="5" spans="1:8" x14ac:dyDescent="0.25">
      <c r="A5" s="55" t="s">
        <v>99</v>
      </c>
      <c r="B5" s="50"/>
      <c r="C5" s="51"/>
      <c r="D5" s="1"/>
      <c r="G5" s="230" t="s">
        <v>115</v>
      </c>
      <c r="H5" s="231"/>
    </row>
    <row r="6" spans="1:8" x14ac:dyDescent="0.25">
      <c r="A6" s="8"/>
      <c r="B6" s="28"/>
      <c r="C6" s="56"/>
      <c r="E6" s="54"/>
      <c r="F6" s="54"/>
      <c r="G6" s="232" t="s">
        <v>113</v>
      </c>
      <c r="H6" s="233"/>
    </row>
    <row r="7" spans="1:8" x14ac:dyDescent="0.25">
      <c r="A7" s="8" t="s">
        <v>105</v>
      </c>
      <c r="B7" s="28"/>
      <c r="C7" s="213">
        <f>G396-C396</f>
        <v>2.9107278049192988</v>
      </c>
      <c r="E7" s="33"/>
      <c r="F7" s="33"/>
      <c r="G7" s="234" t="s">
        <v>114</v>
      </c>
      <c r="H7" s="235"/>
    </row>
    <row r="8" spans="1:8" x14ac:dyDescent="0.25">
      <c r="A8" s="8"/>
      <c r="B8" s="28"/>
      <c r="C8" s="29"/>
      <c r="E8" s="33"/>
      <c r="F8" s="33"/>
      <c r="G8" s="197"/>
      <c r="H8" s="196"/>
    </row>
    <row r="9" spans="1:8" ht="13.8" thickBot="1" x14ac:dyDescent="0.3">
      <c r="A9" s="40" t="s">
        <v>106</v>
      </c>
      <c r="B9" s="30"/>
      <c r="C9" s="199">
        <f>E396</f>
        <v>157.21608423845814</v>
      </c>
      <c r="E9" s="33"/>
      <c r="F9" s="33"/>
      <c r="G9" s="236">
        <f>Agricultural!G48-Agricultural!C48</f>
        <v>2.9094911132643055</v>
      </c>
      <c r="H9" s="237"/>
    </row>
    <row r="10" spans="1:8" ht="13.8" thickBot="1" x14ac:dyDescent="0.3">
      <c r="A10" s="8"/>
      <c r="B10" s="28"/>
      <c r="C10" s="29"/>
      <c r="E10" s="33"/>
      <c r="F10" s="33"/>
      <c r="G10" s="198"/>
      <c r="H10" s="195"/>
    </row>
    <row r="11" spans="1:8" x14ac:dyDescent="0.25">
      <c r="A11" s="8" t="s">
        <v>109</v>
      </c>
      <c r="B11" s="28"/>
      <c r="C11" s="29"/>
      <c r="E11" s="33"/>
      <c r="F11" s="33"/>
      <c r="G11" s="28"/>
      <c r="H11" s="34"/>
    </row>
    <row r="12" spans="1:8" x14ac:dyDescent="0.25">
      <c r="A12" s="35" t="s">
        <v>117</v>
      </c>
      <c r="B12" s="28"/>
      <c r="C12" s="163">
        <f>N37*100</f>
        <v>15.316070838099433</v>
      </c>
      <c r="E12" s="33"/>
      <c r="F12" s="33"/>
      <c r="G12" s="28"/>
      <c r="H12" s="34"/>
    </row>
    <row r="13" spans="1:8" x14ac:dyDescent="0.25">
      <c r="A13" s="35" t="s">
        <v>118</v>
      </c>
      <c r="B13" s="28"/>
      <c r="C13" s="163">
        <f>N38*100</f>
        <v>10.721249586669602</v>
      </c>
      <c r="E13" s="33"/>
      <c r="F13" s="33"/>
      <c r="G13" s="28"/>
      <c r="H13" s="34"/>
    </row>
    <row r="14" spans="1:8" x14ac:dyDescent="0.25">
      <c r="A14" s="35" t="s">
        <v>119</v>
      </c>
      <c r="B14" s="28"/>
      <c r="C14" s="163">
        <f>N39*100</f>
        <v>7.6580354190497166</v>
      </c>
      <c r="E14" s="33"/>
      <c r="F14" s="33"/>
      <c r="G14" s="28"/>
      <c r="H14" s="34"/>
    </row>
    <row r="15" spans="1:8" x14ac:dyDescent="0.25">
      <c r="A15" s="8"/>
      <c r="B15" s="28"/>
      <c r="C15" s="29"/>
      <c r="E15" s="33"/>
      <c r="F15" s="33"/>
      <c r="G15" s="28"/>
      <c r="H15" s="34"/>
    </row>
    <row r="16" spans="1:8" ht="15.6" x14ac:dyDescent="0.3">
      <c r="A16" s="8" t="s">
        <v>101</v>
      </c>
      <c r="B16" s="48"/>
      <c r="C16" s="49"/>
      <c r="E16" s="33"/>
      <c r="F16" s="33"/>
      <c r="G16" s="28"/>
      <c r="H16" s="34"/>
    </row>
    <row r="17" spans="1:17" ht="15" x14ac:dyDescent="0.25">
      <c r="A17" s="35" t="s">
        <v>36</v>
      </c>
      <c r="B17" s="48"/>
      <c r="C17" s="123">
        <v>2</v>
      </c>
      <c r="E17" s="33"/>
      <c r="F17" s="33"/>
      <c r="G17" s="28"/>
      <c r="H17" s="34"/>
    </row>
    <row r="18" spans="1:17" ht="15.6" thickBot="1" x14ac:dyDescent="0.3">
      <c r="A18" s="61" t="s">
        <v>79</v>
      </c>
      <c r="B18" s="62"/>
      <c r="C18" s="131">
        <v>1.4</v>
      </c>
      <c r="E18" s="7"/>
      <c r="F18" s="7"/>
      <c r="G18" s="7"/>
      <c r="H18" s="7"/>
    </row>
    <row r="19" spans="1:17" ht="13.8" thickBot="1" x14ac:dyDescent="0.3">
      <c r="A19" s="32"/>
      <c r="B19" s="4"/>
      <c r="C19" s="4"/>
      <c r="D19" s="4"/>
      <c r="E19" s="4"/>
      <c r="F19" s="4"/>
      <c r="G19" s="4"/>
      <c r="H19" s="4"/>
    </row>
    <row r="20" spans="1:17" ht="53.4" thickBot="1" x14ac:dyDescent="0.3">
      <c r="A20" s="2" t="s">
        <v>0</v>
      </c>
      <c r="B20" s="9" t="s">
        <v>30</v>
      </c>
      <c r="C20" s="9" t="s">
        <v>121</v>
      </c>
      <c r="D20" s="9" t="s">
        <v>35</v>
      </c>
      <c r="E20" s="9" t="s">
        <v>122</v>
      </c>
      <c r="F20" s="9" t="s">
        <v>1</v>
      </c>
      <c r="G20" s="9" t="s">
        <v>31</v>
      </c>
      <c r="H20" s="3" t="s">
        <v>32</v>
      </c>
    </row>
    <row r="21" spans="1:17" x14ac:dyDescent="0.25">
      <c r="A21" s="75"/>
      <c r="B21" s="11"/>
      <c r="C21" s="11"/>
      <c r="D21" s="11"/>
      <c r="E21" s="11"/>
      <c r="F21" s="11"/>
      <c r="G21" s="11"/>
      <c r="H21" s="10"/>
      <c r="K21" s="23"/>
      <c r="L21" s="90"/>
    </row>
    <row r="22" spans="1:17" x14ac:dyDescent="0.25">
      <c r="A22" s="36" t="s">
        <v>5</v>
      </c>
      <c r="B22" s="66"/>
      <c r="C22" s="24"/>
      <c r="D22" s="143"/>
      <c r="E22" s="155"/>
      <c r="F22" s="107"/>
      <c r="G22" s="24"/>
      <c r="H22" s="23"/>
      <c r="K22" s="23"/>
      <c r="L22" s="90"/>
    </row>
    <row r="23" spans="1:17" x14ac:dyDescent="0.25">
      <c r="A23" s="36"/>
      <c r="B23" s="66"/>
      <c r="C23" s="24"/>
      <c r="D23" s="143"/>
      <c r="E23" s="155"/>
      <c r="F23" s="107"/>
      <c r="G23" s="24"/>
      <c r="H23" s="23"/>
      <c r="K23" s="23"/>
      <c r="L23" s="90"/>
    </row>
    <row r="24" spans="1:17" x14ac:dyDescent="0.25">
      <c r="A24" s="65" t="s">
        <v>4</v>
      </c>
      <c r="B24" s="66"/>
      <c r="C24" s="24"/>
      <c r="D24" s="83"/>
      <c r="E24" s="155"/>
      <c r="F24" s="107"/>
      <c r="G24" s="24"/>
      <c r="H24" s="23"/>
      <c r="K24" s="23"/>
      <c r="L24" s="90"/>
    </row>
    <row r="25" spans="1:17" x14ac:dyDescent="0.25">
      <c r="A25" s="64" t="s">
        <v>43</v>
      </c>
      <c r="B25" s="66"/>
      <c r="C25" s="214">
        <f>D25/B33*100</f>
        <v>0.10562703887563661</v>
      </c>
      <c r="D25" s="143">
        <v>4.2891503875199993E-2</v>
      </c>
      <c r="E25" s="107">
        <f>F25-D25</f>
        <v>0</v>
      </c>
      <c r="F25" s="226">
        <v>4.2891503875199993E-2</v>
      </c>
      <c r="G25" s="214">
        <f>F25/B33*100</f>
        <v>0.10562703887563661</v>
      </c>
      <c r="H25" s="23"/>
      <c r="K25" s="23"/>
      <c r="L25" s="90"/>
    </row>
    <row r="26" spans="1:17" x14ac:dyDescent="0.25">
      <c r="A26" s="64" t="s">
        <v>44</v>
      </c>
      <c r="B26" s="66"/>
      <c r="C26" s="214">
        <f>D26/B30*100</f>
        <v>4.4989999999999997</v>
      </c>
      <c r="D26" s="143">
        <v>1.7870628245235323</v>
      </c>
      <c r="E26" s="107">
        <f>F26-D26</f>
        <v>-0.12834360285214474</v>
      </c>
      <c r="F26" s="226">
        <v>1.6587192216713875</v>
      </c>
      <c r="G26" s="214">
        <f>F26/B30*100</f>
        <v>4.1758899999999999</v>
      </c>
      <c r="H26" s="23"/>
      <c r="K26" s="23"/>
      <c r="L26" s="90"/>
    </row>
    <row r="27" spans="1:17" x14ac:dyDescent="0.25">
      <c r="A27" s="64" t="s">
        <v>45</v>
      </c>
      <c r="B27" s="66"/>
      <c r="C27" s="214">
        <f>D27/B31*100</f>
        <v>2.0016800000000003</v>
      </c>
      <c r="D27" s="143">
        <v>1.7719330649799636E-2</v>
      </c>
      <c r="E27" s="107">
        <f>F27-D27</f>
        <v>-1.2849896272755477E-3</v>
      </c>
      <c r="F27" s="227">
        <v>1.6434341022524088E-2</v>
      </c>
      <c r="G27" s="214">
        <f>F27/B31*100</f>
        <v>1.8565199999999999</v>
      </c>
      <c r="H27" s="23"/>
      <c r="K27" s="23"/>
      <c r="L27" s="90"/>
    </row>
    <row r="28" spans="1:17" x14ac:dyDescent="0.25">
      <c r="A28" s="65"/>
      <c r="B28" s="66"/>
      <c r="C28" s="24"/>
      <c r="D28" s="143"/>
      <c r="E28" s="155"/>
      <c r="F28" s="83"/>
      <c r="G28" s="24"/>
      <c r="H28" s="23"/>
      <c r="K28" s="23"/>
      <c r="L28" s="90"/>
    </row>
    <row r="29" spans="1:17" x14ac:dyDescent="0.25">
      <c r="A29" s="52" t="s">
        <v>3</v>
      </c>
      <c r="B29" s="66"/>
      <c r="C29" s="24"/>
      <c r="D29" s="143"/>
      <c r="E29" s="155"/>
      <c r="F29" s="107"/>
      <c r="G29" s="24"/>
      <c r="H29" s="23"/>
      <c r="K29" s="23"/>
      <c r="L29" s="90"/>
    </row>
    <row r="30" spans="1:17" x14ac:dyDescent="0.25">
      <c r="A30" s="37" t="s">
        <v>6</v>
      </c>
      <c r="B30" s="68">
        <f>122.90016762*0.4*0.808</f>
        <v>39.721334174784005</v>
      </c>
      <c r="C30" s="168">
        <f>1.387+6.5</f>
        <v>7.8870000000000005</v>
      </c>
      <c r="D30" s="143">
        <f>C30*B30/100</f>
        <v>3.1328216263652151</v>
      </c>
      <c r="E30" s="107">
        <f>(L52-0.00706)*B30</f>
        <v>1.1330419158322722</v>
      </c>
      <c r="F30" s="107">
        <f>D30+E30</f>
        <v>4.2658635421974873</v>
      </c>
      <c r="G30" s="168">
        <f>F30/B30*100</f>
        <v>10.739476985910391</v>
      </c>
      <c r="H30" s="23"/>
      <c r="K30" s="23"/>
      <c r="L30" s="90"/>
    </row>
    <row r="31" spans="1:17" x14ac:dyDescent="0.25">
      <c r="A31" s="37" t="s">
        <v>7</v>
      </c>
      <c r="B31" s="68">
        <f>2.73893238*0.4*0.808</f>
        <v>0.8852229452160002</v>
      </c>
      <c r="C31" s="168">
        <f>1.353+6.5</f>
        <v>7.8529999999999998</v>
      </c>
      <c r="D31" s="143">
        <f>C31*B31/100</f>
        <v>6.9516557887812497E-2</v>
      </c>
      <c r="E31" s="107">
        <f>(L52-0.00687)*B31</f>
        <v>2.541897314587558E-2</v>
      </c>
      <c r="F31" s="107">
        <f>D31+E31</f>
        <v>9.493553103368807E-2</v>
      </c>
      <c r="G31" s="168">
        <f>F31/B31*100</f>
        <v>10.724476985910389</v>
      </c>
      <c r="H31" s="23"/>
      <c r="K31" s="23"/>
      <c r="L31" s="90"/>
    </row>
    <row r="32" spans="1:17" x14ac:dyDescent="0.25">
      <c r="A32" s="42"/>
      <c r="B32" s="70"/>
      <c r="C32" s="172"/>
      <c r="D32" s="143"/>
      <c r="E32" s="155"/>
      <c r="F32" s="107"/>
      <c r="G32" s="172"/>
      <c r="H32" s="23"/>
      <c r="K32" s="23"/>
      <c r="L32" s="90"/>
      <c r="Q32" s="192"/>
    </row>
    <row r="33" spans="1:17" ht="13.8" thickBot="1" x14ac:dyDescent="0.3">
      <c r="A33" s="105" t="s">
        <v>64</v>
      </c>
      <c r="B33" s="120">
        <f>B30+B31</f>
        <v>40.606557120000005</v>
      </c>
      <c r="C33" s="165">
        <f>D33/B33*100</f>
        <v>12.436444262875639</v>
      </c>
      <c r="D33" s="157">
        <f>SUM(D25:D31)</f>
        <v>5.0500118433015597</v>
      </c>
      <c r="E33" s="157">
        <f>SUM(E25:E31)</f>
        <v>1.0288322964987275</v>
      </c>
      <c r="F33" s="157">
        <f>SUM(F25:F31)</f>
        <v>6.078844139800287</v>
      </c>
      <c r="G33" s="165">
        <f>F33/B33*100</f>
        <v>14.970104758786027</v>
      </c>
      <c r="H33" s="106">
        <f>(G33-C33)/C33</f>
        <v>0.20372868983731027</v>
      </c>
      <c r="K33" s="23"/>
      <c r="L33" s="90"/>
    </row>
    <row r="34" spans="1:17" ht="13.8" thickTop="1" x14ac:dyDescent="0.25">
      <c r="A34" s="75"/>
      <c r="B34" s="10"/>
      <c r="C34" s="175"/>
      <c r="D34" s="200"/>
      <c r="E34" s="200"/>
      <c r="F34" s="200"/>
      <c r="G34" s="175"/>
      <c r="H34" s="10"/>
      <c r="K34" s="23"/>
      <c r="L34" s="90"/>
    </row>
    <row r="35" spans="1:17" x14ac:dyDescent="0.25">
      <c r="A35" s="36" t="s">
        <v>33</v>
      </c>
      <c r="B35" s="13"/>
      <c r="C35" s="170"/>
      <c r="D35" s="143"/>
      <c r="E35" s="107"/>
      <c r="F35" s="218"/>
      <c r="G35" s="170"/>
      <c r="H35" s="10"/>
      <c r="K35" s="23"/>
      <c r="L35" s="90" t="s">
        <v>75</v>
      </c>
      <c r="M35" s="73"/>
      <c r="N35" s="90" t="s">
        <v>65</v>
      </c>
      <c r="P35" s="6" t="s">
        <v>66</v>
      </c>
    </row>
    <row r="36" spans="1:17" x14ac:dyDescent="0.25">
      <c r="A36" s="36"/>
      <c r="B36" s="13"/>
      <c r="C36" s="170"/>
      <c r="D36" s="143"/>
      <c r="E36" s="107"/>
      <c r="F36" s="107"/>
      <c r="G36" s="170"/>
      <c r="H36" s="10"/>
      <c r="K36" s="112"/>
      <c r="L36" s="91" t="s">
        <v>67</v>
      </c>
      <c r="M36" s="93"/>
      <c r="N36" s="91" t="s">
        <v>68</v>
      </c>
      <c r="P36" s="91" t="s">
        <v>69</v>
      </c>
    </row>
    <row r="37" spans="1:17" x14ac:dyDescent="0.25">
      <c r="A37" s="63" t="s">
        <v>4</v>
      </c>
      <c r="B37" s="13"/>
      <c r="C37" s="170"/>
      <c r="D37" s="143"/>
      <c r="E37" s="107"/>
      <c r="F37" s="107"/>
      <c r="G37" s="176"/>
      <c r="H37" s="18"/>
      <c r="K37" s="44" t="s">
        <v>76</v>
      </c>
      <c r="L37" s="113">
        <f>SUM(B54:B58)+SUM(B86:B90)+SUM(B124:B126)+SUM(B263:B266)+SUM(B269:B272)+SUM(B287:B290)+SUM(B329:B331)+SUM(B344:B346)+SUM(B379:B381)</f>
        <v>870.17390117057835</v>
      </c>
      <c r="N37" s="142">
        <f>N39*2</f>
        <v>0.15316070838099433</v>
      </c>
      <c r="P37" s="82">
        <f>N37*L37</f>
        <v>133.27645111793913</v>
      </c>
      <c r="Q37" s="151">
        <f>L37/(L37+L38)*N37+L38/(L37+L38)*N38</f>
        <v>0.12137148522555363</v>
      </c>
    </row>
    <row r="38" spans="1:17" x14ac:dyDescent="0.25">
      <c r="A38" s="12" t="s">
        <v>43</v>
      </c>
      <c r="B38" s="13"/>
      <c r="C38" s="170"/>
      <c r="D38" s="143"/>
      <c r="E38" s="107"/>
      <c r="F38" s="107"/>
      <c r="G38" s="176"/>
      <c r="H38" s="18"/>
      <c r="K38" s="44" t="s">
        <v>77</v>
      </c>
      <c r="L38" s="81">
        <f>SUM(B61:B65)+SUM(B93:B97)+SUM(B129:B131)+SUM(B275:B278)+SUM(B293:B296)+SUM(B334:B336)+SUM(B349:B351)+SUM(B384:B386)</f>
        <v>1953.6812711174912</v>
      </c>
      <c r="N38" s="142">
        <f>N39*1.4</f>
        <v>0.10721249586669603</v>
      </c>
      <c r="P38" s="82">
        <f>N38*L38</f>
        <v>209.45904520452547</v>
      </c>
    </row>
    <row r="39" spans="1:17" x14ac:dyDescent="0.25">
      <c r="A39" s="45" t="s">
        <v>6</v>
      </c>
      <c r="B39" s="68"/>
      <c r="C39" s="182">
        <f>D39/($B$54+$B$61+$B$79+$B$86+$B$93+$B$100)*100</f>
        <v>0.12615007402353623</v>
      </c>
      <c r="D39" s="202">
        <v>3.8328060177423091</v>
      </c>
      <c r="E39" s="226">
        <f>F39-D39</f>
        <v>0</v>
      </c>
      <c r="F39" s="226">
        <v>3.8328060177423091</v>
      </c>
      <c r="G39" s="182">
        <f>F39/($B$54+$B$61+$B$79+$B$86+$B$93+$B$100)*100</f>
        <v>0.12615007402353623</v>
      </c>
      <c r="H39" s="132"/>
      <c r="K39" s="44" t="s">
        <v>78</v>
      </c>
      <c r="L39" s="114">
        <f>SUM(B79:B83)+SUM(B100:B104)+SUM(B145:B147)+SUM(B281:B284)+SUM(B299:B302)+SUM(B339:B341)+SUM(B354:B356)+SUM(B389:B391)</f>
        <v>2445.328164317526</v>
      </c>
      <c r="N39" s="142">
        <f>0.095*P46</f>
        <v>7.6580354190497163E-2</v>
      </c>
      <c r="P39" s="114">
        <f>N39*L39</f>
        <v>187.2640969354344</v>
      </c>
    </row>
    <row r="40" spans="1:17" x14ac:dyDescent="0.25">
      <c r="A40" s="45" t="s">
        <v>7</v>
      </c>
      <c r="B40" s="68"/>
      <c r="C40" s="182">
        <f>D40/(B55+B62+B80+B87+B94+B101)*100</f>
        <v>2.9688934006572368E-2</v>
      </c>
      <c r="D40" s="202">
        <v>0.13977649592311983</v>
      </c>
      <c r="E40" s="226">
        <f t="shared" ref="E40:E50" si="0">F40-D40</f>
        <v>0</v>
      </c>
      <c r="F40" s="226">
        <v>0.13977649592311983</v>
      </c>
      <c r="G40" s="182">
        <f>F40/($B$54+$B$61+$B$79+$B$86+$B$93+$B$100)*100</f>
        <v>4.6004977099880938E-3</v>
      </c>
      <c r="H40" s="125"/>
      <c r="K40" s="44"/>
      <c r="L40" s="113">
        <f>SUM(L37:L39)</f>
        <v>5269.1833366055953</v>
      </c>
      <c r="P40" s="82">
        <f>SUM(P37:P39)</f>
        <v>529.99959325789905</v>
      </c>
    </row>
    <row r="41" spans="1:17" x14ac:dyDescent="0.25">
      <c r="A41" s="45" t="s">
        <v>25</v>
      </c>
      <c r="B41" s="68"/>
      <c r="C41" s="182">
        <f>D41/(B56+B63+B81+B88+B95+B102)*100</f>
        <v>1.767128593350384</v>
      </c>
      <c r="D41" s="202">
        <v>2.57704541673984</v>
      </c>
      <c r="E41" s="226">
        <f t="shared" si="0"/>
        <v>0</v>
      </c>
      <c r="F41" s="226">
        <v>2.57704541673984</v>
      </c>
      <c r="G41" s="182">
        <f>F41/($B$54+$B$61+$B$79+$B$86+$B$93+$B$100)*100</f>
        <v>8.481892080602621E-2</v>
      </c>
      <c r="H41" s="125"/>
      <c r="K41" s="44"/>
    </row>
    <row r="42" spans="1:17" x14ac:dyDescent="0.25">
      <c r="A42" s="45" t="s">
        <v>26</v>
      </c>
      <c r="B42" s="68"/>
      <c r="C42" s="182">
        <f>D42/(B57+B64+B82+B89+B96+B103)*100</f>
        <v>0.87272444201889465</v>
      </c>
      <c r="D42" s="202">
        <v>5.2182405051343261</v>
      </c>
      <c r="E42" s="226">
        <f t="shared" si="0"/>
        <v>0</v>
      </c>
      <c r="F42" s="226">
        <v>5.2182405051343261</v>
      </c>
      <c r="G42" s="182">
        <f>F42/($B$54+$B$61+$B$79+$B$86+$B$93+$B$100)*100</f>
        <v>0.17174921531329337</v>
      </c>
      <c r="H42" s="125"/>
      <c r="K42" s="21" t="s">
        <v>70</v>
      </c>
      <c r="L42" s="125">
        <f>L40</f>
        <v>5269.1833366055953</v>
      </c>
      <c r="M42" s="94"/>
      <c r="N42" s="152">
        <f>0.065+L52</f>
        <v>0.10058476985910389</v>
      </c>
      <c r="O42" s="95"/>
      <c r="P42" s="150">
        <f>L42*N42</f>
        <v>529.99959325789894</v>
      </c>
      <c r="Q42" s="82"/>
    </row>
    <row r="43" spans="1:17" x14ac:dyDescent="0.25">
      <c r="A43" s="45" t="s">
        <v>27</v>
      </c>
      <c r="B43" s="68"/>
      <c r="C43" s="182">
        <f>D43/(B58+B65+B83+B90+B97+B104)*100</f>
        <v>1.1869675575358292E-2</v>
      </c>
      <c r="D43" s="202">
        <v>1.8960105301641335E-2</v>
      </c>
      <c r="E43" s="226">
        <f t="shared" si="0"/>
        <v>0</v>
      </c>
      <c r="F43" s="226">
        <v>1.8960105301641335E-2</v>
      </c>
      <c r="G43" s="182">
        <f>F43/($B$54+$B$61+$B$79+$B$86+$B$93+$B$100)*100</f>
        <v>6.2403854414343218E-4</v>
      </c>
      <c r="H43" s="125"/>
      <c r="K43" s="21"/>
      <c r="L43" s="94"/>
      <c r="M43" s="94"/>
      <c r="N43" s="17"/>
      <c r="O43" s="95"/>
      <c r="Q43" s="82"/>
    </row>
    <row r="44" spans="1:17" x14ac:dyDescent="0.25">
      <c r="B44" s="68"/>
      <c r="C44" s="76"/>
      <c r="D44" s="201"/>
      <c r="E44" s="107"/>
      <c r="F44" s="107"/>
      <c r="G44" s="166"/>
      <c r="H44" s="125"/>
      <c r="K44" s="96" t="s">
        <v>71</v>
      </c>
      <c r="L44" s="97"/>
      <c r="M44" s="97"/>
      <c r="N44" s="97"/>
      <c r="O44" s="97"/>
      <c r="P44" s="98">
        <f>P42</f>
        <v>529.99959325789894</v>
      </c>
    </row>
    <row r="45" spans="1:17" x14ac:dyDescent="0.25">
      <c r="A45" s="12" t="s">
        <v>46</v>
      </c>
      <c r="B45" s="68"/>
      <c r="C45" s="76"/>
      <c r="D45" s="201"/>
      <c r="E45" s="107"/>
      <c r="F45" s="107"/>
      <c r="G45" s="166"/>
      <c r="H45" s="125"/>
      <c r="K45" s="99" t="s">
        <v>72</v>
      </c>
      <c r="L45" s="28"/>
      <c r="M45" s="28"/>
      <c r="N45" s="28"/>
      <c r="O45" s="28"/>
      <c r="P45" s="100">
        <f>P40-P44</f>
        <v>0</v>
      </c>
    </row>
    <row r="46" spans="1:17" x14ac:dyDescent="0.25">
      <c r="A46" s="45" t="s">
        <v>6</v>
      </c>
      <c r="B46" s="68"/>
      <c r="C46" s="76">
        <f>D46/(B54+B61+B79+B86+B93+B100)*100</f>
        <v>2.8555312400000039</v>
      </c>
      <c r="D46" s="202">
        <v>86.75934124684845</v>
      </c>
      <c r="E46" s="107">
        <f t="shared" si="0"/>
        <v>-9.7114588370047699</v>
      </c>
      <c r="F46" s="107">
        <v>77.04788240984368</v>
      </c>
      <c r="G46" s="76">
        <f>F46/($B$54+$B$61+$B$79+$B$86+$B$93+$B$100)</f>
        <v>2.5358956400000032E-2</v>
      </c>
      <c r="H46" s="125"/>
      <c r="K46" s="99" t="s">
        <v>73</v>
      </c>
      <c r="L46" s="28"/>
      <c r="M46" s="28"/>
      <c r="N46" s="28"/>
      <c r="O46" s="28"/>
      <c r="P46" s="101">
        <v>0.80610899147891746</v>
      </c>
    </row>
    <row r="47" spans="1:17" x14ac:dyDescent="0.25">
      <c r="A47" s="45" t="s">
        <v>7</v>
      </c>
      <c r="B47" s="68"/>
      <c r="C47" s="76">
        <f>D47/(B55+B62+B80+B87+B94+B101)</f>
        <v>2.386758960000002E-2</v>
      </c>
      <c r="D47" s="202">
        <v>11.236941143392238</v>
      </c>
      <c r="E47" s="107">
        <f t="shared" si="0"/>
        <v>-1.2477550531627983</v>
      </c>
      <c r="F47" s="107">
        <v>9.98918609022944</v>
      </c>
      <c r="G47" s="76">
        <f>F47/($B$54+$B$61+$B$79+$B$86+$B$93+$B$100)</f>
        <v>3.2877650444193317E-3</v>
      </c>
      <c r="H47" s="125"/>
      <c r="K47" s="102" t="s">
        <v>74</v>
      </c>
      <c r="L47" s="103"/>
      <c r="M47" s="103"/>
      <c r="N47" s="103"/>
      <c r="O47" s="103"/>
      <c r="P47" s="104"/>
    </row>
    <row r="48" spans="1:17" x14ac:dyDescent="0.25">
      <c r="A48" s="45" t="s">
        <v>25</v>
      </c>
      <c r="B48" s="68"/>
      <c r="C48" s="76">
        <f>D48/(B56+B63+B81+B88+B95+B102)</f>
        <v>9.2892044000000007E-3</v>
      </c>
      <c r="D48" s="202">
        <v>1.354666644762565</v>
      </c>
      <c r="E48" s="107">
        <f t="shared" si="0"/>
        <v>-0.46613215422266874</v>
      </c>
      <c r="F48" s="107">
        <v>0.8885344905398963</v>
      </c>
      <c r="G48" s="76">
        <f>F48/($B$54+$B$61+$B$79+$B$86+$B$93+$B$100)</f>
        <v>2.9244551181355677E-4</v>
      </c>
      <c r="H48" s="125"/>
    </row>
    <row r="49" spans="1:12" x14ac:dyDescent="0.25">
      <c r="A49" s="45" t="s">
        <v>26</v>
      </c>
      <c r="B49" s="68"/>
      <c r="C49" s="76">
        <f>D49/(B57+B64+B82+B89+B96+B103)</f>
        <v>6.2387170402777841E-3</v>
      </c>
      <c r="D49" s="202">
        <v>3.7302869488035317</v>
      </c>
      <c r="E49" s="107">
        <f t="shared" si="0"/>
        <v>-0.82589005671368199</v>
      </c>
      <c r="F49" s="107">
        <v>2.9043968920898497</v>
      </c>
      <c r="G49" s="76">
        <f>F49/($B$54+$B$61+$B$79+$B$86+$B$93+$B$100)</f>
        <v>9.5593119306017704E-4</v>
      </c>
      <c r="H49" s="125"/>
    </row>
    <row r="50" spans="1:12" x14ac:dyDescent="0.25">
      <c r="A50" s="45" t="s">
        <v>27</v>
      </c>
      <c r="B50" s="68"/>
      <c r="C50" s="76">
        <f>D50/(B58+B65+B83+B90+B97+B104)</f>
        <v>5.9140680000000015E-3</v>
      </c>
      <c r="D50" s="202">
        <v>0.9446875892198312</v>
      </c>
      <c r="E50" s="107">
        <f t="shared" si="0"/>
        <v>-0.21005687304856424</v>
      </c>
      <c r="F50" s="107">
        <v>0.73463071617126696</v>
      </c>
      <c r="G50" s="76">
        <f>F50/($B$54+$B$61+$B$79+$B$86+$B$93+$B$100)</f>
        <v>2.417907892963434E-4</v>
      </c>
      <c r="H50" s="125"/>
    </row>
    <row r="51" spans="1:12" x14ac:dyDescent="0.25">
      <c r="A51" s="46"/>
      <c r="B51" s="68"/>
      <c r="C51" s="76"/>
      <c r="D51" s="143"/>
      <c r="E51" s="107"/>
      <c r="F51" s="107"/>
      <c r="G51" s="166"/>
      <c r="H51" s="125"/>
    </row>
    <row r="52" spans="1:12" x14ac:dyDescent="0.25">
      <c r="A52" s="52" t="s">
        <v>3</v>
      </c>
      <c r="B52" s="68"/>
      <c r="C52" s="76"/>
      <c r="D52" s="143"/>
      <c r="E52" s="107"/>
      <c r="F52" s="107"/>
      <c r="G52" s="166"/>
      <c r="H52" s="125"/>
      <c r="K52" s="6" t="s">
        <v>120</v>
      </c>
      <c r="L52" s="142">
        <f>0.0352+[1]Residential!$N$56</f>
        <v>3.5584769859103894E-2</v>
      </c>
    </row>
    <row r="53" spans="1:12" x14ac:dyDescent="0.25">
      <c r="A53" s="44" t="s">
        <v>8</v>
      </c>
      <c r="B53" s="68"/>
      <c r="C53" s="76"/>
      <c r="D53" s="143"/>
      <c r="E53" s="107"/>
      <c r="F53" s="107"/>
      <c r="G53" s="76"/>
      <c r="H53" s="67"/>
    </row>
    <row r="54" spans="1:12" x14ac:dyDescent="0.25">
      <c r="A54" s="45" t="s">
        <v>6</v>
      </c>
      <c r="B54" s="68">
        <f>642.584335264508*0.68*0.808</f>
        <v>353.06153716773133</v>
      </c>
      <c r="C54" s="76">
        <f>1.542+6.5</f>
        <v>8.0419999999999998</v>
      </c>
      <c r="D54" s="143">
        <f>C54*B54/100</f>
        <v>28.393208819028956</v>
      </c>
      <c r="E54" s="107">
        <f>(($N$37-0.065)-0.0066)*B54</f>
        <v>28.795949073482927</v>
      </c>
      <c r="F54" s="107">
        <f>D54+E54</f>
        <v>57.189157892511886</v>
      </c>
      <c r="G54" s="76">
        <f>F54/B54*100</f>
        <v>16.198070838099436</v>
      </c>
      <c r="H54" s="67"/>
    </row>
    <row r="55" spans="1:12" x14ac:dyDescent="0.25">
      <c r="A55" s="45" t="s">
        <v>7</v>
      </c>
      <c r="B55" s="68">
        <f>90.8256987135955*0.68*0.808</f>
        <v>49.903271901197918</v>
      </c>
      <c r="C55" s="76">
        <f>1.503+6.5</f>
        <v>8.0030000000000001</v>
      </c>
      <c r="D55" s="143">
        <f>C55*B55/100</f>
        <v>3.9937588502528696</v>
      </c>
      <c r="E55" s="107">
        <f>(($N$37-0.065)-0.00643)*B55</f>
        <v>4.0786297630142752</v>
      </c>
      <c r="F55" s="107">
        <f t="shared" ref="F55:F65" si="1">D55+E55</f>
        <v>8.0723886132671439</v>
      </c>
      <c r="G55" s="76">
        <f t="shared" ref="G55:G65" si="2">F55/B55*100</f>
        <v>16.176070838099431</v>
      </c>
      <c r="H55" s="67"/>
      <c r="L55" s="142"/>
    </row>
    <row r="56" spans="1:12" x14ac:dyDescent="0.25">
      <c r="A56" s="45" t="s">
        <v>25</v>
      </c>
      <c r="B56" s="68">
        <f>30.84286568*0.68*0.808</f>
        <v>16.946304119219199</v>
      </c>
      <c r="C56" s="76">
        <f>1.069+6.5</f>
        <v>7.569</v>
      </c>
      <c r="D56" s="143">
        <f>C56*B56/100</f>
        <v>1.2826657587837014</v>
      </c>
      <c r="E56" s="107">
        <f>(($N$37-0.065)-0.0066)*B56</f>
        <v>1.38215256840328</v>
      </c>
      <c r="F56" s="107">
        <f t="shared" si="1"/>
        <v>2.6648183271869814</v>
      </c>
      <c r="G56" s="76">
        <f t="shared" si="2"/>
        <v>15.725070838099434</v>
      </c>
      <c r="H56" s="67"/>
    </row>
    <row r="57" spans="1:12" x14ac:dyDescent="0.25">
      <c r="A57" s="45" t="s">
        <v>26</v>
      </c>
      <c r="B57" s="68">
        <f>114.38365314383*0.68*0.808</f>
        <v>62.846954383345967</v>
      </c>
      <c r="C57" s="76">
        <f>1.025+6.5</f>
        <v>7.5250000000000004</v>
      </c>
      <c r="D57" s="143">
        <f>C57*B57/100</f>
        <v>4.7292333173467842</v>
      </c>
      <c r="E57" s="107">
        <f>(($N$37-0.065)-0.00621)*B57</f>
        <v>5.1503524313032383</v>
      </c>
      <c r="F57" s="107">
        <f t="shared" si="1"/>
        <v>9.8795857486500225</v>
      </c>
      <c r="G57" s="76">
        <f t="shared" si="2"/>
        <v>15.720070838099431</v>
      </c>
      <c r="H57" s="67"/>
    </row>
    <row r="58" spans="1:12" x14ac:dyDescent="0.25">
      <c r="A58" s="45" t="s">
        <v>27</v>
      </c>
      <c r="B58" s="68">
        <f>28.5130954303513*0.68*0.808</f>
        <v>15.666235153252218</v>
      </c>
      <c r="C58" s="76">
        <f>1.021+6.5</f>
        <v>7.5209999999999999</v>
      </c>
      <c r="D58" s="143">
        <f>C58*B58/100</f>
        <v>1.1782575458760993</v>
      </c>
      <c r="E58" s="107">
        <f>(($N$37-0.065)-0.00617)*B58</f>
        <v>1.2844857178783846</v>
      </c>
      <c r="F58" s="107">
        <f t="shared" si="1"/>
        <v>2.4627432637544837</v>
      </c>
      <c r="G58" s="76">
        <f t="shared" si="2"/>
        <v>15.720070838099431</v>
      </c>
      <c r="H58" s="67"/>
    </row>
    <row r="59" spans="1:12" x14ac:dyDescent="0.25">
      <c r="A59" s="45"/>
      <c r="B59" s="68"/>
      <c r="C59" s="76"/>
      <c r="D59" s="143"/>
      <c r="E59" s="107"/>
      <c r="F59" s="107"/>
      <c r="G59" s="76"/>
      <c r="H59" s="67"/>
    </row>
    <row r="60" spans="1:12" x14ac:dyDescent="0.25">
      <c r="A60" s="25" t="s">
        <v>9</v>
      </c>
      <c r="B60" s="68"/>
      <c r="C60" s="76"/>
      <c r="D60" s="143"/>
      <c r="E60" s="107"/>
      <c r="F60" s="107"/>
      <c r="G60" s="76"/>
      <c r="H60" s="67"/>
    </row>
    <row r="61" spans="1:12" x14ac:dyDescent="0.25">
      <c r="A61" s="45" t="s">
        <v>6</v>
      </c>
      <c r="B61" s="68">
        <f>700.97897383455*0.68*0.808</f>
        <v>385.14588738365518</v>
      </c>
      <c r="C61" s="76">
        <f>1.266+6.5</f>
        <v>7.766</v>
      </c>
      <c r="D61" s="143">
        <f>C61*B61/100</f>
        <v>29.910429614214664</v>
      </c>
      <c r="E61" s="107">
        <f>(($N$38-0.065)-0.00385)*B61</f>
        <v>14.775157512830445</v>
      </c>
      <c r="F61" s="107">
        <f t="shared" si="1"/>
        <v>44.68558712704511</v>
      </c>
      <c r="G61" s="76">
        <f t="shared" si="2"/>
        <v>11.602249586669604</v>
      </c>
      <c r="H61" s="67"/>
    </row>
    <row r="62" spans="1:12" x14ac:dyDescent="0.25">
      <c r="A62" s="45" t="s">
        <v>7</v>
      </c>
      <c r="B62" s="68">
        <f>109.865540079459*0.68*0.808</f>
        <v>60.364522341257953</v>
      </c>
      <c r="C62" s="168">
        <f>1.237+6.5</f>
        <v>7.7370000000000001</v>
      </c>
      <c r="D62" s="143">
        <f>C62*B62/100</f>
        <v>4.6704030935431282</v>
      </c>
      <c r="E62" s="107">
        <f>(($N$38-0.065)-0.00377)*B62</f>
        <v>2.3205629005988886</v>
      </c>
      <c r="F62" s="107">
        <f t="shared" si="1"/>
        <v>6.9909659941420168</v>
      </c>
      <c r="G62" s="76">
        <f t="shared" si="2"/>
        <v>11.581249586669603</v>
      </c>
      <c r="H62" s="127"/>
    </row>
    <row r="63" spans="1:12" x14ac:dyDescent="0.25">
      <c r="A63" s="45" t="s">
        <v>25</v>
      </c>
      <c r="B63" s="67">
        <f>33.64570088*0.68*0.808</f>
        <v>18.486293891507202</v>
      </c>
      <c r="C63" s="168">
        <f>0.793+6.5</f>
        <v>7.2930000000000001</v>
      </c>
      <c r="D63" s="143">
        <f>C63*B63/100</f>
        <v>1.3482054135076202</v>
      </c>
      <c r="E63" s="107">
        <f>(($N$38-0.065)-0.00385)*B63</f>
        <v>0.70918037300347303</v>
      </c>
      <c r="F63" s="107">
        <f t="shared" si="1"/>
        <v>2.0573857865110932</v>
      </c>
      <c r="G63" s="76">
        <f t="shared" si="2"/>
        <v>11.129249586669603</v>
      </c>
      <c r="H63" s="127"/>
    </row>
    <row r="64" spans="1:12" x14ac:dyDescent="0.25">
      <c r="A64" s="45" t="s">
        <v>26</v>
      </c>
      <c r="B64" s="67">
        <f>138.659159253819*0.68*0.808</f>
        <v>76.184888460418335</v>
      </c>
      <c r="C64" s="168">
        <f>0.77+6.5</f>
        <v>7.27</v>
      </c>
      <c r="D64" s="143">
        <f>C64*B64/100</f>
        <v>5.5386413910724128</v>
      </c>
      <c r="E64" s="107">
        <f>(($N$38-0.065)-0.00366)*B64</f>
        <v>2.9371175974749755</v>
      </c>
      <c r="F64" s="107">
        <f t="shared" si="1"/>
        <v>8.4757589885473887</v>
      </c>
      <c r="G64" s="76">
        <f t="shared" si="2"/>
        <v>11.125249586669602</v>
      </c>
      <c r="H64" s="127"/>
    </row>
    <row r="65" spans="1:8" x14ac:dyDescent="0.25">
      <c r="A65" s="45" t="s">
        <v>27</v>
      </c>
      <c r="B65" s="67">
        <f>35.2288312315781*0.68*0.808</f>
        <v>19.356129031878272</v>
      </c>
      <c r="C65" s="168">
        <f>0.767+6.5</f>
        <v>7.2670000000000003</v>
      </c>
      <c r="D65" s="143">
        <f>C65*B65/100</f>
        <v>1.4066098967465941</v>
      </c>
      <c r="E65" s="107">
        <f>(($N$38-0.065)-0.00363)*B65</f>
        <v>0.74680776836767826</v>
      </c>
      <c r="F65" s="107">
        <f t="shared" si="1"/>
        <v>2.1534176651142722</v>
      </c>
      <c r="G65" s="76">
        <f t="shared" si="2"/>
        <v>11.125249586669602</v>
      </c>
      <c r="H65" s="127"/>
    </row>
    <row r="66" spans="1:8" x14ac:dyDescent="0.25">
      <c r="A66" s="45"/>
      <c r="B66" s="67"/>
      <c r="C66" s="127"/>
      <c r="D66" s="134"/>
      <c r="E66" s="136"/>
      <c r="F66" s="119"/>
      <c r="G66" s="68"/>
      <c r="H66" s="127"/>
    </row>
    <row r="67" spans="1:8" x14ac:dyDescent="0.25">
      <c r="D67" s="116"/>
      <c r="E67" s="116"/>
      <c r="F67" s="116"/>
      <c r="H67" s="127"/>
    </row>
    <row r="68" spans="1:8" x14ac:dyDescent="0.25">
      <c r="A68" s="12"/>
      <c r="B68" s="23"/>
      <c r="C68" s="24"/>
      <c r="D68" s="134"/>
      <c r="E68" s="121"/>
      <c r="F68" s="119"/>
      <c r="G68" s="24"/>
      <c r="H68" s="23"/>
    </row>
    <row r="69" spans="1:8" x14ac:dyDescent="0.25">
      <c r="H69" s="37" t="s">
        <v>88</v>
      </c>
    </row>
    <row r="70" spans="1:8" ht="21" x14ac:dyDescent="0.4">
      <c r="A70" s="229" t="s">
        <v>2</v>
      </c>
      <c r="B70" s="229"/>
      <c r="C70" s="229"/>
      <c r="D70" s="229"/>
      <c r="E70" s="229"/>
      <c r="F70" s="229"/>
      <c r="G70" s="229"/>
      <c r="H70" s="229"/>
    </row>
    <row r="71" spans="1:8" ht="21" x14ac:dyDescent="0.4">
      <c r="A71" s="229" t="s">
        <v>100</v>
      </c>
      <c r="B71" s="229"/>
      <c r="C71" s="229"/>
      <c r="D71" s="229"/>
      <c r="E71" s="229"/>
      <c r="F71" s="229"/>
      <c r="G71" s="229"/>
      <c r="H71" s="229"/>
    </row>
    <row r="72" spans="1:8" ht="13.8" thickBot="1" x14ac:dyDescent="0.3">
      <c r="A72" s="52"/>
      <c r="B72" s="52"/>
      <c r="C72" s="52"/>
      <c r="D72" s="52"/>
      <c r="E72" s="52"/>
      <c r="F72" s="52"/>
      <c r="G72" s="52"/>
      <c r="H72" s="52"/>
    </row>
    <row r="73" spans="1:8" ht="53.4" thickBot="1" x14ac:dyDescent="0.3">
      <c r="A73" s="2" t="s">
        <v>0</v>
      </c>
      <c r="B73" s="3" t="s">
        <v>30</v>
      </c>
      <c r="C73" s="3" t="s">
        <v>121</v>
      </c>
      <c r="D73" s="3" t="s">
        <v>35</v>
      </c>
      <c r="E73" s="3" t="s">
        <v>122</v>
      </c>
      <c r="F73" s="3" t="s">
        <v>1</v>
      </c>
      <c r="G73" s="3" t="s">
        <v>31</v>
      </c>
      <c r="H73" s="3" t="s">
        <v>32</v>
      </c>
    </row>
    <row r="74" spans="1:8" x14ac:dyDescent="0.25">
      <c r="A74" s="59"/>
      <c r="B74" s="60"/>
      <c r="C74" s="60"/>
      <c r="D74" s="60"/>
      <c r="E74" s="60"/>
      <c r="F74" s="60"/>
      <c r="G74" s="60"/>
      <c r="H74" s="60"/>
    </row>
    <row r="75" spans="1:8" x14ac:dyDescent="0.25">
      <c r="A75" s="36" t="s">
        <v>80</v>
      </c>
      <c r="B75" s="60"/>
      <c r="C75" s="60"/>
      <c r="D75" s="60"/>
      <c r="E75" s="60"/>
      <c r="F75" s="60"/>
      <c r="G75" s="60"/>
      <c r="H75" s="60"/>
    </row>
    <row r="76" spans="1:8" x14ac:dyDescent="0.25">
      <c r="A76" s="59"/>
      <c r="B76" s="60"/>
      <c r="C76" s="60"/>
      <c r="D76" s="60"/>
      <c r="E76" s="60"/>
      <c r="F76" s="60"/>
      <c r="G76" s="60"/>
      <c r="H76" s="60"/>
    </row>
    <row r="77" spans="1:8" x14ac:dyDescent="0.25">
      <c r="A77" s="60" t="s">
        <v>3</v>
      </c>
      <c r="B77" s="60"/>
      <c r="C77" s="60"/>
      <c r="D77" s="60"/>
      <c r="E77" s="60"/>
      <c r="F77" s="60"/>
      <c r="G77" s="60"/>
      <c r="H77" s="60"/>
    </row>
    <row r="78" spans="1:8" x14ac:dyDescent="0.25">
      <c r="A78" s="25" t="s">
        <v>10</v>
      </c>
      <c r="B78" s="68"/>
      <c r="C78" s="127"/>
      <c r="D78" s="15"/>
      <c r="E78" s="20"/>
      <c r="F78" s="16"/>
      <c r="G78" s="68"/>
      <c r="H78" s="60"/>
    </row>
    <row r="79" spans="1:8" x14ac:dyDescent="0.25">
      <c r="A79" s="45" t="s">
        <v>6</v>
      </c>
      <c r="B79" s="67">
        <f>1089.54663131937*0.68*0.808</f>
        <v>598.64050111211463</v>
      </c>
      <c r="C79" s="168">
        <f>0.988+6.5</f>
        <v>7.4879999999999995</v>
      </c>
      <c r="D79" s="143">
        <f>C79*B79/100</f>
        <v>44.826200723275143</v>
      </c>
      <c r="E79" s="107">
        <f>(($N$39-0.065)-0.00303)*B79</f>
        <v>5.1185883172852895</v>
      </c>
      <c r="F79" s="107">
        <f>D79+E79</f>
        <v>49.94478904056043</v>
      </c>
      <c r="G79" s="76">
        <f>F79/B79*100</f>
        <v>8.3430354190497162</v>
      </c>
      <c r="H79" s="60"/>
    </row>
    <row r="80" spans="1:8" x14ac:dyDescent="0.25">
      <c r="A80" s="45" t="s">
        <v>7</v>
      </c>
      <c r="B80" s="67">
        <f>176.335322907217*0.68*0.808</f>
        <v>96.885679818141327</v>
      </c>
      <c r="C80" s="168">
        <f>0.976+6.5</f>
        <v>7.476</v>
      </c>
      <c r="D80" s="143">
        <f>C80*B80/100</f>
        <v>7.2431734232042455</v>
      </c>
      <c r="E80" s="107">
        <f>(($N$39-0.065)-0.00298)*B80</f>
        <v>0.83325116242311792</v>
      </c>
      <c r="F80" s="107">
        <f>D80+E80</f>
        <v>8.0764245856273629</v>
      </c>
      <c r="G80" s="76">
        <f>F80/B80*100</f>
        <v>8.3360354190497166</v>
      </c>
      <c r="H80" s="60"/>
    </row>
    <row r="81" spans="1:8" x14ac:dyDescent="0.25">
      <c r="A81" s="45" t="s">
        <v>25</v>
      </c>
      <c r="B81" s="69">
        <f>52.29623344*0.68*0.808</f>
        <v>28.733642501273607</v>
      </c>
      <c r="C81" s="168">
        <f>0.711+6.5</f>
        <v>7.2110000000000003</v>
      </c>
      <c r="D81" s="143">
        <f>C81*B81/100</f>
        <v>2.0719829607668401</v>
      </c>
      <c r="E81" s="107">
        <f>(($N$39-0.065)-0.00303)*B81</f>
        <v>0.24568282056901211</v>
      </c>
      <c r="F81" s="107">
        <f>D81+E81</f>
        <v>2.3176657813358523</v>
      </c>
      <c r="G81" s="76">
        <f>F81/B81*100</f>
        <v>8.066035419049717</v>
      </c>
      <c r="H81" s="60"/>
    </row>
    <row r="82" spans="1:8" x14ac:dyDescent="0.25">
      <c r="A82" s="45" t="s">
        <v>26</v>
      </c>
      <c r="B82" s="69">
        <f>225.784985837423*0.68*0.808</f>
        <v>124.05530261851371</v>
      </c>
      <c r="C82" s="168">
        <f>0.697+6.5</f>
        <v>7.1970000000000001</v>
      </c>
      <c r="D82" s="143">
        <f>C82*B82/100</f>
        <v>8.928260129454431</v>
      </c>
      <c r="E82" s="107">
        <f>(($N$39-0.065)-0.00293)*B82</f>
        <v>1.0731223068594533</v>
      </c>
      <c r="F82" s="107">
        <f>D82+E82</f>
        <v>10.001382436313884</v>
      </c>
      <c r="G82" s="76">
        <f>F82/B82*100</f>
        <v>8.0620354190497157</v>
      </c>
      <c r="H82" s="60"/>
    </row>
    <row r="83" spans="1:8" x14ac:dyDescent="0.25">
      <c r="A83" s="45" t="s">
        <v>27</v>
      </c>
      <c r="B83" s="69">
        <f>64.1768505042946*0.68*0.808</f>
        <v>35.26132874107963</v>
      </c>
      <c r="C83" s="168">
        <f>0.695+6.5</f>
        <v>7.1950000000000003</v>
      </c>
      <c r="D83" s="143">
        <f>C83*B83/100</f>
        <v>2.5370526029206797</v>
      </c>
      <c r="E83" s="107">
        <f>(($N$39-0.065)-0.00291)*B83</f>
        <v>0.30572820941271778</v>
      </c>
      <c r="F83" s="107">
        <f>D83+E83</f>
        <v>2.8427808123333973</v>
      </c>
      <c r="G83" s="76">
        <f>F83/B83*100</f>
        <v>8.0620354190497157</v>
      </c>
      <c r="H83" s="60"/>
    </row>
    <row r="84" spans="1:8" x14ac:dyDescent="0.25">
      <c r="A84" s="60"/>
      <c r="B84" s="60"/>
      <c r="C84" s="177"/>
      <c r="D84" s="156"/>
      <c r="E84" s="156"/>
      <c r="F84" s="156"/>
      <c r="G84" s="177"/>
      <c r="H84" s="60"/>
    </row>
    <row r="85" spans="1:8" x14ac:dyDescent="0.25">
      <c r="A85" s="26" t="s">
        <v>13</v>
      </c>
      <c r="B85" s="68"/>
      <c r="C85" s="174"/>
      <c r="D85" s="143"/>
      <c r="E85" s="22"/>
      <c r="F85" s="22"/>
      <c r="G85" s="174"/>
      <c r="H85" s="22"/>
    </row>
    <row r="86" spans="1:8" x14ac:dyDescent="0.25">
      <c r="A86" s="45" t="s">
        <v>6</v>
      </c>
      <c r="B86" s="67">
        <f>315.552240090994*0.68*0.808</f>
        <v>173.37702279559579</v>
      </c>
      <c r="C86" s="168">
        <f>1.344+6.5</f>
        <v>7.8440000000000003</v>
      </c>
      <c r="D86" s="143">
        <f>C86*B86/100</f>
        <v>13.599693668086534</v>
      </c>
      <c r="E86" s="107">
        <f>(($N$37-0.065)-0.00552)*B86</f>
        <v>14.327999980815838</v>
      </c>
      <c r="F86" s="107">
        <f>D86+E86</f>
        <v>27.92769364890237</v>
      </c>
      <c r="G86" s="168">
        <f>F86/B86*100</f>
        <v>16.10807083809943</v>
      </c>
      <c r="H86" s="23"/>
    </row>
    <row r="87" spans="1:8" x14ac:dyDescent="0.25">
      <c r="A87" s="45" t="s">
        <v>7</v>
      </c>
      <c r="B87" s="67">
        <f>45.1540720349035*0.68*0.808</f>
        <v>24.809453338857384</v>
      </c>
      <c r="C87" s="168">
        <f>1.315+6.5</f>
        <v>7.8149999999999995</v>
      </c>
      <c r="D87" s="143">
        <f>C87*B87/100</f>
        <v>1.9388587784317044</v>
      </c>
      <c r="E87" s="107">
        <f>(($N$37-0.065)-0.00538)*B87</f>
        <v>2.0537441219358392</v>
      </c>
      <c r="F87" s="107">
        <f t="shared" ref="F87:F104" si="3">D87+E87</f>
        <v>3.9926029003675438</v>
      </c>
      <c r="G87" s="168">
        <f t="shared" ref="G87:G104" si="4">F87/B87*100</f>
        <v>16.093070838099433</v>
      </c>
      <c r="H87" s="23"/>
    </row>
    <row r="88" spans="1:8" x14ac:dyDescent="0.25">
      <c r="A88" s="45" t="s">
        <v>25</v>
      </c>
      <c r="B88" s="67">
        <f>15.14592688*0.68*0.808</f>
        <v>8.3217780649471997</v>
      </c>
      <c r="C88" s="168">
        <f>0.961+6.5</f>
        <v>7.4610000000000003</v>
      </c>
      <c r="D88" s="143">
        <f>C88*B88/100</f>
        <v>0.62088786142571062</v>
      </c>
      <c r="E88" s="107">
        <f>(($N$37-0.065)-0.00552)*B88</f>
        <v>0.68771763427665678</v>
      </c>
      <c r="F88" s="107">
        <f t="shared" si="3"/>
        <v>1.3086054957023674</v>
      </c>
      <c r="G88" s="168">
        <f t="shared" si="4"/>
        <v>15.725070838099434</v>
      </c>
      <c r="H88" s="23"/>
    </row>
    <row r="89" spans="1:8" x14ac:dyDescent="0.25">
      <c r="A89" s="45" t="s">
        <v>26</v>
      </c>
      <c r="B89" s="67">
        <f>57.2979462290751*0.68*0.808</f>
        <v>31.481783576103027</v>
      </c>
      <c r="C89" s="168">
        <f>0.924+6.5</f>
        <v>7.4240000000000004</v>
      </c>
      <c r="D89" s="143">
        <f>C89*B89/100</f>
        <v>2.3372076126898889</v>
      </c>
      <c r="E89" s="107">
        <f>(($N$37-0.065)-0.0052)*B89</f>
        <v>2.61175106657066</v>
      </c>
      <c r="F89" s="107">
        <f t="shared" si="3"/>
        <v>4.9489586792605493</v>
      </c>
      <c r="G89" s="168">
        <f t="shared" si="4"/>
        <v>15.720070838099435</v>
      </c>
      <c r="H89" s="23"/>
    </row>
    <row r="90" spans="1:8" x14ac:dyDescent="0.25">
      <c r="A90" s="45" t="s">
        <v>27</v>
      </c>
      <c r="B90" s="67">
        <f>14.9455647649119*0.68*0.808</f>
        <v>8.2116911044331946</v>
      </c>
      <c r="C90" s="168">
        <f>0.921+6.5</f>
        <v>7.4210000000000003</v>
      </c>
      <c r="D90" s="143">
        <f>C90*B90/100</f>
        <v>0.60938959685998739</v>
      </c>
      <c r="E90" s="107">
        <f>(($N$37-0.065)-0.00517)*B90</f>
        <v>0.68149406176282046</v>
      </c>
      <c r="F90" s="107">
        <f t="shared" si="3"/>
        <v>1.2908836586228079</v>
      </c>
      <c r="G90" s="168">
        <f t="shared" si="4"/>
        <v>15.720070838099431</v>
      </c>
      <c r="H90" s="23"/>
    </row>
    <row r="91" spans="1:8" x14ac:dyDescent="0.25">
      <c r="A91" s="45"/>
      <c r="B91" s="67"/>
      <c r="C91" s="172"/>
      <c r="D91" s="143"/>
      <c r="E91" s="155"/>
      <c r="F91" s="107"/>
      <c r="G91" s="168"/>
      <c r="H91" s="23"/>
    </row>
    <row r="92" spans="1:8" x14ac:dyDescent="0.25">
      <c r="A92" s="25" t="s">
        <v>14</v>
      </c>
      <c r="B92" s="71"/>
      <c r="C92" s="172"/>
      <c r="D92" s="143"/>
      <c r="E92" s="155"/>
      <c r="F92" s="107"/>
      <c r="G92" s="168"/>
      <c r="H92" s="23"/>
    </row>
    <row r="93" spans="1:8" x14ac:dyDescent="0.25">
      <c r="A93" s="45" t="s">
        <v>6</v>
      </c>
      <c r="B93" s="67">
        <f>1360.99322394496*0.68*0.808</f>
        <v>747.78411696431886</v>
      </c>
      <c r="C93" s="76">
        <f>1.178+6.5</f>
        <v>7.6779999999999999</v>
      </c>
      <c r="D93" s="143">
        <f>C93*B93/100</f>
        <v>57.414864500520395</v>
      </c>
      <c r="E93" s="107">
        <f>(($N$38-0.065)-0.00387)*B93</f>
        <v>28.671909413885331</v>
      </c>
      <c r="F93" s="107">
        <f t="shared" si="3"/>
        <v>86.086773914405725</v>
      </c>
      <c r="G93" s="168">
        <f t="shared" si="4"/>
        <v>11.512249586669601</v>
      </c>
    </row>
    <row r="94" spans="1:8" x14ac:dyDescent="0.25">
      <c r="A94" s="45" t="s">
        <v>7</v>
      </c>
      <c r="B94" s="67">
        <f>205.328665501968*0.68*0.808</f>
        <v>112.81578197340133</v>
      </c>
      <c r="C94" s="168">
        <f>1.155+6.5</f>
        <v>7.6550000000000002</v>
      </c>
      <c r="D94" s="143">
        <f>C94*B94/100</f>
        <v>8.6360481100638715</v>
      </c>
      <c r="E94" s="107">
        <f>(($N$38-0.065)-0.00378)*B94</f>
        <v>4.3357920743908265</v>
      </c>
      <c r="F94" s="107">
        <f t="shared" si="3"/>
        <v>12.971840184454699</v>
      </c>
      <c r="G94" s="168">
        <f t="shared" si="4"/>
        <v>11.498249586669603</v>
      </c>
      <c r="H94" s="23"/>
    </row>
    <row r="95" spans="1:8" x14ac:dyDescent="0.25">
      <c r="A95" s="45" t="s">
        <v>25</v>
      </c>
      <c r="B95" s="67">
        <f>65.3251704*0.68*0.808</f>
        <v>35.892261624576008</v>
      </c>
      <c r="C95" s="168">
        <f>0.795+6.5</f>
        <v>7.2949999999999999</v>
      </c>
      <c r="D95" s="143">
        <f>C95*B95/100</f>
        <v>2.6183404855128196</v>
      </c>
      <c r="E95" s="107">
        <f>(($N$38-0.065)-0.00387)*B95</f>
        <v>1.376198892986678</v>
      </c>
      <c r="F95" s="107">
        <f t="shared" si="3"/>
        <v>3.9945393784994976</v>
      </c>
      <c r="G95" s="168">
        <f t="shared" si="4"/>
        <v>11.129249586669603</v>
      </c>
      <c r="H95" s="23"/>
    </row>
    <row r="96" spans="1:8" x14ac:dyDescent="0.25">
      <c r="A96" s="45" t="s">
        <v>26</v>
      </c>
      <c r="B96" s="67">
        <f>259.491998810725*0.68*0.808</f>
        <v>142.57528382656477</v>
      </c>
      <c r="C96" s="168">
        <f>0.772+6.5</f>
        <v>7.2720000000000002</v>
      </c>
      <c r="D96" s="143">
        <f>C96*B96/100</f>
        <v>10.368074639867791</v>
      </c>
      <c r="E96" s="107">
        <f>(($N$38-0.065)-0.00368)*B96</f>
        <v>5.4937815347401191</v>
      </c>
      <c r="F96" s="107">
        <f t="shared" si="3"/>
        <v>15.86185617460791</v>
      </c>
      <c r="G96" s="168">
        <f t="shared" si="4"/>
        <v>11.125249586669602</v>
      </c>
      <c r="H96" s="23"/>
    </row>
    <row r="97" spans="1:8" x14ac:dyDescent="0.25">
      <c r="A97" s="45" t="s">
        <v>27</v>
      </c>
      <c r="B97" s="71">
        <f>64.715272266367*0.68*0.808</f>
        <v>35.557159194032693</v>
      </c>
      <c r="C97" s="168">
        <f>0.769+6.5</f>
        <v>7.2690000000000001</v>
      </c>
      <c r="D97" s="143">
        <f>C97*B97/100</f>
        <v>2.5846499018142368</v>
      </c>
      <c r="E97" s="107">
        <f>(($N$38-0.065)-0.00365)*B97</f>
        <v>1.3711728044513383</v>
      </c>
      <c r="F97" s="107">
        <f t="shared" si="3"/>
        <v>3.9558227062655753</v>
      </c>
      <c r="G97" s="168">
        <f t="shared" si="4"/>
        <v>11.125249586669604</v>
      </c>
      <c r="H97" s="23"/>
    </row>
    <row r="98" spans="1:8" x14ac:dyDescent="0.25">
      <c r="A98" s="45"/>
      <c r="B98" s="67"/>
      <c r="C98" s="172"/>
      <c r="D98" s="143"/>
      <c r="E98" s="155"/>
      <c r="F98" s="107"/>
      <c r="G98" s="168"/>
      <c r="H98" s="23"/>
    </row>
    <row r="99" spans="1:8" x14ac:dyDescent="0.25">
      <c r="A99" s="25" t="s">
        <v>15</v>
      </c>
      <c r="B99" s="71"/>
      <c r="C99" s="172"/>
      <c r="D99" s="143"/>
      <c r="E99" s="155"/>
      <c r="F99" s="107"/>
      <c r="G99" s="168"/>
      <c r="H99" s="23"/>
    </row>
    <row r="100" spans="1:8" x14ac:dyDescent="0.25">
      <c r="A100" s="45" t="s">
        <v>6</v>
      </c>
      <c r="B100" s="67">
        <f>1420.13991467841*0.68*0.808</f>
        <v>780.28167472090558</v>
      </c>
      <c r="C100" s="168">
        <f>0.993+6.5</f>
        <v>7.4930000000000003</v>
      </c>
      <c r="D100" s="143">
        <f>C100*B100/100</f>
        <v>58.46650588683746</v>
      </c>
      <c r="E100" s="107">
        <f>(($N$39-0.065)-0.00306)*B100</f>
        <v>6.6482762369764101</v>
      </c>
      <c r="F100" s="107">
        <f t="shared" si="3"/>
        <v>65.114782123813868</v>
      </c>
      <c r="G100" s="168">
        <f t="shared" si="4"/>
        <v>8.3450354190497169</v>
      </c>
      <c r="H100" s="23"/>
    </row>
    <row r="101" spans="1:8" x14ac:dyDescent="0.25">
      <c r="A101" s="45" t="s">
        <v>7</v>
      </c>
      <c r="B101" s="67">
        <f>229.369250081656*0.68*0.808</f>
        <v>126.02464076486508</v>
      </c>
      <c r="C101" s="168">
        <f>0.981+6.5</f>
        <v>7.4809999999999999</v>
      </c>
      <c r="D101" s="143">
        <f>C101*B101/100</f>
        <v>9.4279033756195574</v>
      </c>
      <c r="E101" s="107">
        <f>(($N$39-0.065)-0.00301)*B101</f>
        <v>1.0800758080850608</v>
      </c>
      <c r="F101" s="107">
        <f t="shared" si="3"/>
        <v>10.507979183704618</v>
      </c>
      <c r="G101" s="168">
        <f t="shared" si="4"/>
        <v>8.3380354190497172</v>
      </c>
      <c r="H101" s="23"/>
    </row>
    <row r="102" spans="1:8" x14ac:dyDescent="0.25">
      <c r="A102" s="45" t="s">
        <v>25</v>
      </c>
      <c r="B102" s="67">
        <f>68.16410272*0.68*0.808</f>
        <v>37.452084598476802</v>
      </c>
      <c r="C102" s="168">
        <f>0.714+6.5</f>
        <v>7.2140000000000004</v>
      </c>
      <c r="D102" s="143">
        <f>C102*B102/100</f>
        <v>2.7017933829341167</v>
      </c>
      <c r="E102" s="107">
        <f>(($N$39-0.065)-0.00306)*B102</f>
        <v>0.31910502595148599</v>
      </c>
      <c r="F102" s="107">
        <f t="shared" si="3"/>
        <v>3.0208984088856026</v>
      </c>
      <c r="G102" s="168">
        <f t="shared" si="4"/>
        <v>8.066035419049717</v>
      </c>
      <c r="H102" s="23"/>
    </row>
    <row r="103" spans="1:8" x14ac:dyDescent="0.25">
      <c r="A103" s="45" t="s">
        <v>26</v>
      </c>
      <c r="B103" s="67">
        <f>292.627252713928*0.68*0.808</f>
        <v>160.7811177311406</v>
      </c>
      <c r="C103" s="168">
        <f>0.7+6.5</f>
        <v>7.2</v>
      </c>
      <c r="D103" s="143">
        <f>C103*B103/100</f>
        <v>11.576240476642123</v>
      </c>
      <c r="E103" s="107">
        <f>(($N$39-0.065)-0.00296)*B103</f>
        <v>1.3859901819864551</v>
      </c>
      <c r="F103" s="107">
        <f t="shared" si="3"/>
        <v>12.962230658628579</v>
      </c>
      <c r="G103" s="168">
        <f t="shared" si="4"/>
        <v>8.0620354190497157</v>
      </c>
      <c r="H103" s="23"/>
    </row>
    <row r="104" spans="1:8" x14ac:dyDescent="0.25">
      <c r="A104" s="45" t="s">
        <v>27</v>
      </c>
      <c r="B104" s="67">
        <f>83.1448793620971*0.68*0.808</f>
        <v>45.68312251671064</v>
      </c>
      <c r="C104" s="168">
        <f>0.698+6.5</f>
        <v>7.1980000000000004</v>
      </c>
      <c r="D104" s="143">
        <f>C104*B104/100</f>
        <v>3.2882711587528322</v>
      </c>
      <c r="E104" s="107">
        <f>(($N$39-0.065)-0.00294)*B104</f>
        <v>0.394718359072256</v>
      </c>
      <c r="F104" s="107">
        <f t="shared" si="3"/>
        <v>3.6829895178250882</v>
      </c>
      <c r="G104" s="168">
        <f t="shared" si="4"/>
        <v>8.0620354190497157</v>
      </c>
      <c r="H104" s="23"/>
    </row>
    <row r="105" spans="1:8" x14ac:dyDescent="0.25">
      <c r="A105" s="45"/>
      <c r="B105" s="70"/>
      <c r="C105" s="172"/>
      <c r="D105" s="143"/>
      <c r="E105" s="155"/>
      <c r="F105" s="107"/>
      <c r="G105" s="172"/>
      <c r="H105" s="23"/>
    </row>
    <row r="106" spans="1:8" ht="13.8" thickBot="1" x14ac:dyDescent="0.3">
      <c r="A106" s="105" t="s">
        <v>34</v>
      </c>
      <c r="B106" s="129">
        <f>SUM(B54:B104)</f>
        <v>4412.5874514195148</v>
      </c>
      <c r="C106" s="186">
        <f>D106/B106*100</f>
        <v>10.199448057287535</v>
      </c>
      <c r="D106" s="157">
        <f>SUM(D39:D104)</f>
        <v>450.05956508992125</v>
      </c>
      <c r="E106" s="157">
        <f>SUM(E39:E104)</f>
        <v>128.73520274664241</v>
      </c>
      <c r="F106" s="157">
        <f>SUM(F39:F104)</f>
        <v>578.79476783656344</v>
      </c>
      <c r="G106" s="165">
        <f>F106/B106*100</f>
        <v>13.116901913193066</v>
      </c>
      <c r="H106" s="106">
        <f>(G106-C106)/C106</f>
        <v>0.2860403660589263</v>
      </c>
    </row>
    <row r="107" spans="1:8" ht="13.8" thickTop="1" x14ac:dyDescent="0.25">
      <c r="A107" s="59"/>
      <c r="B107" s="133"/>
      <c r="C107" s="180"/>
      <c r="D107" s="135"/>
      <c r="E107" s="156"/>
      <c r="F107" s="156"/>
      <c r="G107" s="180"/>
      <c r="H107" s="60"/>
    </row>
    <row r="108" spans="1:8" x14ac:dyDescent="0.25">
      <c r="A108" s="12"/>
      <c r="B108" s="70"/>
      <c r="D108" s="116"/>
      <c r="E108" s="155"/>
      <c r="F108" s="107"/>
      <c r="G108" s="172"/>
      <c r="H108" s="23"/>
    </row>
    <row r="109" spans="1:8" x14ac:dyDescent="0.25">
      <c r="A109" s="53" t="s">
        <v>16</v>
      </c>
      <c r="B109" s="68"/>
      <c r="C109" s="76"/>
      <c r="D109" s="134"/>
      <c r="E109" s="107"/>
      <c r="F109" s="107"/>
      <c r="G109" s="181"/>
      <c r="H109" s="12"/>
    </row>
    <row r="110" spans="1:8" x14ac:dyDescent="0.25">
      <c r="A110" s="53"/>
      <c r="B110" s="68"/>
      <c r="C110" s="76"/>
      <c r="D110" s="134"/>
      <c r="E110" s="107"/>
      <c r="F110" s="107"/>
      <c r="G110" s="181"/>
      <c r="H110" s="12"/>
    </row>
    <row r="111" spans="1:8" x14ac:dyDescent="0.25">
      <c r="A111" s="63" t="s">
        <v>4</v>
      </c>
      <c r="B111" s="68"/>
      <c r="C111" s="76"/>
      <c r="D111" s="134"/>
      <c r="E111" s="107"/>
      <c r="F111" s="107"/>
      <c r="G111" s="181"/>
      <c r="H111" s="12"/>
    </row>
    <row r="112" spans="1:8" x14ac:dyDescent="0.25">
      <c r="A112" s="12" t="s">
        <v>43</v>
      </c>
      <c r="B112" s="68"/>
      <c r="C112" s="76"/>
      <c r="D112" s="134"/>
      <c r="E112" s="107"/>
      <c r="F112" s="107"/>
      <c r="G112" s="181"/>
      <c r="H112" s="12"/>
    </row>
    <row r="113" spans="1:8" x14ac:dyDescent="0.25">
      <c r="A113" s="47" t="s">
        <v>18</v>
      </c>
      <c r="B113" s="68"/>
      <c r="C113" s="76">
        <f>D113/(B124+B129+B145)*100</f>
        <v>0.16553950905565487</v>
      </c>
      <c r="D113" s="107">
        <v>0.32323393301873565</v>
      </c>
      <c r="E113" s="107">
        <f>F113-D113</f>
        <v>0</v>
      </c>
      <c r="F113" s="107">
        <v>0.32323393301873565</v>
      </c>
      <c r="G113" s="169">
        <f>F113/(B124+B129+B145)*100</f>
        <v>0.16553950905565487</v>
      </c>
      <c r="H113" s="12"/>
    </row>
    <row r="114" spans="1:8" x14ac:dyDescent="0.25">
      <c r="A114" s="41" t="s">
        <v>19</v>
      </c>
      <c r="B114" s="68"/>
      <c r="C114" s="76">
        <f>D114/(B125+B130+B146)*100</f>
        <v>6.1909990041723643E-2</v>
      </c>
      <c r="D114" s="107">
        <v>5.5627835723183619E-3</v>
      </c>
      <c r="E114" s="107">
        <f t="shared" ref="E114:E120" si="5">F114-D114</f>
        <v>0</v>
      </c>
      <c r="F114" s="107">
        <v>5.5627835723183619E-3</v>
      </c>
      <c r="G114" s="169">
        <f>F114/(B125+B130+B146)*100</f>
        <v>6.1909990041723643E-2</v>
      </c>
      <c r="H114" s="12"/>
    </row>
    <row r="115" spans="1:8" x14ac:dyDescent="0.25">
      <c r="A115" s="41" t="s">
        <v>20</v>
      </c>
      <c r="B115" s="68"/>
      <c r="C115" s="76">
        <f>D115/(B126+B131+B147)*100</f>
        <v>8.423875511735246E-2</v>
      </c>
      <c r="D115" s="107">
        <v>3.6207467038758582E-4</v>
      </c>
      <c r="E115" s="107">
        <f t="shared" si="5"/>
        <v>0</v>
      </c>
      <c r="F115" s="107">
        <v>3.6207467038758582E-4</v>
      </c>
      <c r="G115" s="169">
        <f>F115/(B126+B131+B147)*100</f>
        <v>8.423875511735246E-2</v>
      </c>
      <c r="H115" s="12"/>
    </row>
    <row r="116" spans="1:8" x14ac:dyDescent="0.25">
      <c r="A116" s="41"/>
      <c r="B116" s="68"/>
      <c r="C116" s="76"/>
      <c r="D116" s="134"/>
      <c r="E116" s="107"/>
      <c r="F116" s="107"/>
      <c r="G116" s="181"/>
      <c r="H116" s="12"/>
    </row>
    <row r="117" spans="1:8" x14ac:dyDescent="0.25">
      <c r="A117" s="12" t="s">
        <v>46</v>
      </c>
      <c r="B117" s="68"/>
      <c r="E117" s="107"/>
      <c r="G117" s="181"/>
      <c r="H117" s="12"/>
    </row>
    <row r="118" spans="1:8" x14ac:dyDescent="0.25">
      <c r="A118" s="47" t="s">
        <v>18</v>
      </c>
      <c r="B118" s="68"/>
      <c r="C118" s="76">
        <f>D118/(B124+B129+B145)*100</f>
        <v>3.7987560000000009</v>
      </c>
      <c r="D118" s="134">
        <v>7.4174851034848803</v>
      </c>
      <c r="E118" s="107">
        <f t="shared" si="5"/>
        <v>-0.83712642995134345</v>
      </c>
      <c r="F118" s="107">
        <v>6.5803586735335369</v>
      </c>
      <c r="G118" s="169">
        <f>F118/(B124+B129+B145)*100</f>
        <v>3.3700340000000009</v>
      </c>
      <c r="H118" s="12"/>
    </row>
    <row r="119" spans="1:8" x14ac:dyDescent="0.25">
      <c r="A119" s="41" t="s">
        <v>19</v>
      </c>
      <c r="B119" s="68"/>
      <c r="C119" s="76">
        <f>D119/(B125+B130+B146)*100</f>
        <v>3.1100447999999967</v>
      </c>
      <c r="D119" s="134">
        <v>0.27944611380093287</v>
      </c>
      <c r="E119" s="107">
        <f t="shared" si="5"/>
        <v>-3.0712392717323317E-2</v>
      </c>
      <c r="F119" s="107">
        <v>0.24873372108360955</v>
      </c>
      <c r="G119" s="169">
        <f>F119/(B125+B130+B146)*100</f>
        <v>2.7682367999999973</v>
      </c>
      <c r="H119" s="12"/>
    </row>
    <row r="120" spans="1:8" x14ac:dyDescent="0.25">
      <c r="A120" s="41" t="s">
        <v>20</v>
      </c>
      <c r="B120" s="68"/>
      <c r="C120" s="76">
        <f>D120/(B126+B131+B147)*100</f>
        <v>0.58244119999999999</v>
      </c>
      <c r="D120" s="134">
        <v>2.5034463676055561E-3</v>
      </c>
      <c r="E120" s="107">
        <f t="shared" si="5"/>
        <v>-6.5841827661295891E-4</v>
      </c>
      <c r="F120" s="107">
        <v>1.8450280909925972E-3</v>
      </c>
      <c r="G120" s="169">
        <f>F120/(B126+B131+B147)*100</f>
        <v>0.42925639999999998</v>
      </c>
      <c r="H120" s="12"/>
    </row>
    <row r="121" spans="1:8" x14ac:dyDescent="0.25">
      <c r="A121" s="41"/>
      <c r="B121" s="68"/>
      <c r="C121" s="76"/>
      <c r="D121" s="134"/>
      <c r="E121" s="107"/>
      <c r="F121" s="107"/>
      <c r="G121" s="181"/>
      <c r="H121" s="12"/>
    </row>
    <row r="122" spans="1:8" x14ac:dyDescent="0.25">
      <c r="A122" s="52" t="s">
        <v>3</v>
      </c>
      <c r="B122" s="68"/>
      <c r="C122" s="76"/>
      <c r="D122" s="134"/>
      <c r="E122" s="107"/>
      <c r="F122" s="107"/>
      <c r="G122" s="181"/>
      <c r="H122" s="12"/>
    </row>
    <row r="123" spans="1:8" x14ac:dyDescent="0.25">
      <c r="A123" s="12" t="s">
        <v>17</v>
      </c>
      <c r="B123" s="68"/>
      <c r="C123" s="171"/>
      <c r="D123" s="136"/>
      <c r="E123" s="22"/>
      <c r="F123" s="22"/>
      <c r="G123" s="171"/>
      <c r="H123" s="21"/>
    </row>
    <row r="124" spans="1:8" x14ac:dyDescent="0.25">
      <c r="A124" s="47" t="s">
        <v>18</v>
      </c>
      <c r="B124" s="69">
        <f>112.939299431931*0.43*0.808</f>
        <v>39.239630194630109</v>
      </c>
      <c r="C124" s="168">
        <f>2.18+6.5</f>
        <v>8.68</v>
      </c>
      <c r="D124" s="119">
        <f>B124*C124/100</f>
        <v>3.4059999008938933</v>
      </c>
      <c r="E124" s="107">
        <f>(($N$37-0.065)-0.00634)*B124</f>
        <v>3.2106143391328898</v>
      </c>
      <c r="F124" s="107">
        <f>D124+E124</f>
        <v>6.6166142400267827</v>
      </c>
      <c r="G124" s="168">
        <f>F124/B124*100</f>
        <v>16.862070838099431</v>
      </c>
      <c r="H124" s="21"/>
    </row>
    <row r="125" spans="1:8" x14ac:dyDescent="0.25">
      <c r="A125" s="41" t="s">
        <v>19</v>
      </c>
      <c r="B125" s="69">
        <f>4.68908108215586*0.43*0.808</f>
        <v>1.6291743311842319</v>
      </c>
      <c r="C125" s="169">
        <f>2.129+6.5</f>
        <v>8.6289999999999996</v>
      </c>
      <c r="D125" s="119">
        <f t="shared" ref="D125:D131" si="6">B125*C125/100</f>
        <v>0.14058145303788736</v>
      </c>
      <c r="E125" s="107">
        <f>(($N$37-0.065)-0.00617)*B125</f>
        <v>0.13357715748992782</v>
      </c>
      <c r="F125" s="107">
        <f t="shared" ref="F125:F131" si="7">D125+E125</f>
        <v>0.27415861052781521</v>
      </c>
      <c r="G125" s="168">
        <f t="shared" ref="G125:G131" si="8">F125/B125*100</f>
        <v>16.828070838099432</v>
      </c>
      <c r="H125" s="28"/>
    </row>
    <row r="126" spans="1:8" x14ac:dyDescent="0.25">
      <c r="A126" s="41" t="s">
        <v>20</v>
      </c>
      <c r="B126" s="69">
        <f>0.184125685689439*0.43*0.808</f>
        <v>6.3972628235938689E-2</v>
      </c>
      <c r="C126" s="169">
        <f>0.996+6.5</f>
        <v>7.4960000000000004</v>
      </c>
      <c r="D126" s="119">
        <f t="shared" si="6"/>
        <v>4.7953882125659642E-3</v>
      </c>
      <c r="E126" s="107">
        <f>(($N$37-0.065)-0.00588)*B126</f>
        <v>5.263713168247035E-3</v>
      </c>
      <c r="F126" s="107">
        <f t="shared" si="7"/>
        <v>1.0059101380813E-2</v>
      </c>
      <c r="G126" s="168">
        <f t="shared" si="8"/>
        <v>15.724070838099436</v>
      </c>
      <c r="H126" s="28"/>
    </row>
    <row r="127" spans="1:8" x14ac:dyDescent="0.25">
      <c r="A127" s="41"/>
      <c r="B127" s="68"/>
      <c r="C127" s="169"/>
      <c r="D127" s="119"/>
      <c r="E127" s="108"/>
      <c r="F127" s="107"/>
      <c r="G127" s="168"/>
      <c r="H127" s="28"/>
    </row>
    <row r="128" spans="1:8" x14ac:dyDescent="0.25">
      <c r="A128" s="25" t="s">
        <v>21</v>
      </c>
      <c r="B128" s="68"/>
      <c r="C128" s="169"/>
      <c r="D128" s="119"/>
      <c r="E128" s="108"/>
      <c r="F128" s="107"/>
      <c r="G128" s="168"/>
      <c r="H128" s="28"/>
    </row>
    <row r="129" spans="1:8" x14ac:dyDescent="0.25">
      <c r="A129" s="41" t="s">
        <v>18</v>
      </c>
      <c r="B129" s="69">
        <f>249.756808230223*0.43*0.808</f>
        <v>86.775505451508678</v>
      </c>
      <c r="C129" s="169">
        <f>1.54+6.5</f>
        <v>8.0399999999999991</v>
      </c>
      <c r="D129" s="119">
        <f t="shared" si="6"/>
        <v>6.9767506383012972</v>
      </c>
      <c r="E129" s="107">
        <f>(($N$38-0.065)-0.00395)*B129</f>
        <v>3.3202474186688087</v>
      </c>
      <c r="F129" s="107">
        <f t="shared" si="7"/>
        <v>10.296998056970105</v>
      </c>
      <c r="G129" s="168">
        <f t="shared" si="8"/>
        <v>11.866249586669602</v>
      </c>
      <c r="H129" s="28"/>
    </row>
    <row r="130" spans="1:8" x14ac:dyDescent="0.25">
      <c r="A130" s="41" t="s">
        <v>19</v>
      </c>
      <c r="B130" s="69">
        <f>11.4248313873357*0.43*0.808</f>
        <v>3.9694434172159156</v>
      </c>
      <c r="C130" s="169">
        <f>1.513+6.5</f>
        <v>8.0129999999999999</v>
      </c>
      <c r="D130" s="119">
        <f t="shared" si="6"/>
        <v>0.31807150102151133</v>
      </c>
      <c r="E130" s="107">
        <f>(($N$38-0.065)-0.00386)*B130</f>
        <v>0.15223806225185713</v>
      </c>
      <c r="F130" s="107">
        <f t="shared" si="7"/>
        <v>0.47030956327336848</v>
      </c>
      <c r="G130" s="168">
        <f t="shared" si="8"/>
        <v>11.848249586669603</v>
      </c>
      <c r="H130" s="28"/>
    </row>
    <row r="131" spans="1:8" x14ac:dyDescent="0.25">
      <c r="A131" s="41" t="s">
        <v>20</v>
      </c>
      <c r="B131" s="69">
        <f>0.41777019039294*0.43*0.808</f>
        <v>0.14515007495012308</v>
      </c>
      <c r="C131" s="169">
        <f>0.78+6.5</f>
        <v>7.28</v>
      </c>
      <c r="D131" s="119">
        <f t="shared" si="6"/>
        <v>1.0566925456368961E-2</v>
      </c>
      <c r="E131" s="107">
        <f>(($N$38-0.065)-0.00372)*B131</f>
        <v>5.5871886600682309E-3</v>
      </c>
      <c r="F131" s="107">
        <f t="shared" si="7"/>
        <v>1.615411411643719E-2</v>
      </c>
      <c r="G131" s="168">
        <f t="shared" si="8"/>
        <v>11.129249586669603</v>
      </c>
      <c r="H131" s="28"/>
    </row>
    <row r="132" spans="1:8" x14ac:dyDescent="0.25">
      <c r="A132" s="37"/>
      <c r="B132" s="68"/>
      <c r="C132" s="68"/>
      <c r="D132" s="119"/>
      <c r="E132" s="118"/>
      <c r="F132" s="119"/>
      <c r="G132" s="67"/>
    </row>
    <row r="135" spans="1:8" x14ac:dyDescent="0.25">
      <c r="F135" s="83"/>
      <c r="H135" s="37" t="s">
        <v>89</v>
      </c>
    </row>
    <row r="136" spans="1:8" ht="21" x14ac:dyDescent="0.4">
      <c r="A136" s="229" t="s">
        <v>2</v>
      </c>
      <c r="B136" s="229"/>
      <c r="C136" s="229"/>
      <c r="D136" s="229"/>
      <c r="E136" s="229"/>
      <c r="F136" s="229"/>
      <c r="G136" s="229"/>
      <c r="H136" s="229"/>
    </row>
    <row r="137" spans="1:8" ht="21" x14ac:dyDescent="0.4">
      <c r="A137" s="229" t="s">
        <v>100</v>
      </c>
      <c r="B137" s="229"/>
      <c r="C137" s="229"/>
      <c r="D137" s="229"/>
      <c r="E137" s="229"/>
      <c r="F137" s="229"/>
      <c r="G137" s="229"/>
      <c r="H137" s="229"/>
    </row>
    <row r="138" spans="1:8" ht="13.8" thickBot="1" x14ac:dyDescent="0.3">
      <c r="A138" s="52"/>
      <c r="B138" s="52"/>
      <c r="C138" s="52"/>
      <c r="D138" s="52"/>
      <c r="E138" s="52"/>
      <c r="F138" s="52"/>
      <c r="G138" s="52"/>
      <c r="H138" s="52"/>
    </row>
    <row r="139" spans="1:8" ht="53.4" thickBot="1" x14ac:dyDescent="0.3">
      <c r="A139" s="2" t="s">
        <v>0</v>
      </c>
      <c r="B139" s="3" t="s">
        <v>30</v>
      </c>
      <c r="C139" s="3" t="s">
        <v>121</v>
      </c>
      <c r="D139" s="3" t="s">
        <v>35</v>
      </c>
      <c r="E139" s="3" t="s">
        <v>122</v>
      </c>
      <c r="F139" s="3" t="s">
        <v>1</v>
      </c>
      <c r="G139" s="3" t="s">
        <v>31</v>
      </c>
      <c r="H139" s="3" t="s">
        <v>32</v>
      </c>
    </row>
    <row r="140" spans="1:8" x14ac:dyDescent="0.25">
      <c r="A140" s="25"/>
      <c r="B140" s="28"/>
      <c r="C140" s="28"/>
      <c r="D140" s="28"/>
      <c r="E140" s="38"/>
      <c r="F140" s="28"/>
      <c r="G140" s="28"/>
      <c r="H140" s="28"/>
    </row>
    <row r="141" spans="1:8" x14ac:dyDescent="0.25">
      <c r="A141" s="53" t="s">
        <v>86</v>
      </c>
    </row>
    <row r="143" spans="1:8" x14ac:dyDescent="0.25">
      <c r="A143" s="52" t="s">
        <v>3</v>
      </c>
    </row>
    <row r="144" spans="1:8" x14ac:dyDescent="0.25">
      <c r="A144" s="43" t="s">
        <v>22</v>
      </c>
      <c r="B144" s="68"/>
      <c r="C144" s="68"/>
      <c r="D144" s="119"/>
      <c r="E144" s="118"/>
      <c r="F144" s="119"/>
      <c r="G144" s="67"/>
    </row>
    <row r="145" spans="1:8" x14ac:dyDescent="0.25">
      <c r="A145" s="37" t="s">
        <v>18</v>
      </c>
      <c r="B145" s="69">
        <f>199.302794765846*0.43*0.808</f>
        <v>69.24576301344554</v>
      </c>
      <c r="C145" s="76">
        <f>1.303+6.5</f>
        <v>7.8029999999999999</v>
      </c>
      <c r="D145" s="107">
        <f>B145*C145/100</f>
        <v>5.4032468879391562</v>
      </c>
      <c r="E145" s="107">
        <f>(($N$39-0.065)-0.00311)*B145</f>
        <v>0.58653613891511169</v>
      </c>
      <c r="F145" s="107">
        <f>D145+E145</f>
        <v>5.9897830268542682</v>
      </c>
      <c r="G145" s="168">
        <f>F145/B145*100</f>
        <v>8.6500354190497184</v>
      </c>
    </row>
    <row r="146" spans="1:8" x14ac:dyDescent="0.25">
      <c r="A146" s="37" t="s">
        <v>19</v>
      </c>
      <c r="B146" s="69">
        <f>9.74746260030846*0.43*0.808</f>
        <v>3.3866584058511715</v>
      </c>
      <c r="C146" s="76">
        <f>1.284+6.5</f>
        <v>7.7839999999999998</v>
      </c>
      <c r="D146" s="107">
        <f>B146*C146/100</f>
        <v>0.2636174903114552</v>
      </c>
      <c r="E146" s="107">
        <f>(($N$39-0.065)-0.00306)*B146</f>
        <v>2.8855529140076462E-2</v>
      </c>
      <c r="F146" s="107">
        <f>D146+E146</f>
        <v>0.29247301945153165</v>
      </c>
      <c r="G146" s="168">
        <f>F146/B146*100</f>
        <v>8.6360354190497155</v>
      </c>
    </row>
    <row r="147" spans="1:8" x14ac:dyDescent="0.25">
      <c r="A147" s="37" t="s">
        <v>20</v>
      </c>
      <c r="B147" s="69">
        <f>0.635208626117621*0.43*0.808</f>
        <v>0.22069688505830623</v>
      </c>
      <c r="C147" s="76">
        <f>0.707+6.5</f>
        <v>7.2069999999999999</v>
      </c>
      <c r="D147" s="107">
        <f>B147*C147/100</f>
        <v>1.5905624506152131E-2</v>
      </c>
      <c r="E147" s="107">
        <f>(($N$39-0.065)-0.00299)*B147</f>
        <v>1.8958644113902913E-3</v>
      </c>
      <c r="F147" s="107">
        <f>D147+E147</f>
        <v>1.7801488917542421E-2</v>
      </c>
      <c r="G147" s="168">
        <f>F147/B147*100</f>
        <v>8.066035419049717</v>
      </c>
    </row>
    <row r="148" spans="1:8" x14ac:dyDescent="0.25">
      <c r="A148" s="37"/>
      <c r="B148" s="68"/>
      <c r="C148" s="76"/>
      <c r="D148" s="116"/>
      <c r="E148" s="118"/>
      <c r="F148" s="116"/>
      <c r="G148" s="168"/>
    </row>
    <row r="149" spans="1:8" ht="13.8" thickBot="1" x14ac:dyDescent="0.3">
      <c r="A149" s="115" t="s">
        <v>37</v>
      </c>
      <c r="B149" s="111">
        <f>SUM(B124:B147)</f>
        <v>204.67599440208005</v>
      </c>
      <c r="C149" s="167">
        <f>D149/B149*100</f>
        <v>12.003424894241272</v>
      </c>
      <c r="D149" s="203">
        <f>SUM(D113:D147)</f>
        <v>24.56812926459515</v>
      </c>
      <c r="E149" s="203">
        <f>SUM(E113:E147)</f>
        <v>6.5763181708930984</v>
      </c>
      <c r="F149" s="203">
        <f>SUM(F113:F147)</f>
        <v>31.144447435488242</v>
      </c>
      <c r="G149" s="167">
        <f>F149/B149*100</f>
        <v>15.216463233253371</v>
      </c>
      <c r="H149" s="106">
        <f>(G149-C149)/C149</f>
        <v>0.26767679785738296</v>
      </c>
    </row>
    <row r="150" spans="1:8" ht="13.8" thickTop="1" x14ac:dyDescent="0.25">
      <c r="C150" s="82"/>
      <c r="D150" s="83"/>
      <c r="E150" s="83"/>
      <c r="F150" s="83"/>
      <c r="G150" s="82"/>
    </row>
    <row r="151" spans="1:8" x14ac:dyDescent="0.25">
      <c r="C151" s="82"/>
      <c r="D151" s="83"/>
      <c r="E151" s="83"/>
      <c r="F151" s="83"/>
      <c r="G151" s="82"/>
    </row>
    <row r="152" spans="1:8" x14ac:dyDescent="0.25">
      <c r="A152" s="53" t="s">
        <v>38</v>
      </c>
      <c r="B152" s="68"/>
      <c r="C152" s="76"/>
      <c r="D152" s="83"/>
      <c r="E152" s="204"/>
      <c r="F152" s="83"/>
      <c r="G152" s="76"/>
    </row>
    <row r="153" spans="1:8" x14ac:dyDescent="0.25">
      <c r="A153" s="53"/>
      <c r="B153" s="68"/>
      <c r="C153" s="76"/>
      <c r="D153" s="83"/>
      <c r="E153" s="204"/>
      <c r="F153" s="83"/>
      <c r="G153" s="76"/>
    </row>
    <row r="154" spans="1:8" x14ac:dyDescent="0.25">
      <c r="A154" s="63" t="s">
        <v>4</v>
      </c>
      <c r="B154" s="68"/>
      <c r="C154" s="76"/>
      <c r="D154" s="83"/>
      <c r="E154" s="204"/>
      <c r="F154" s="83"/>
      <c r="G154" s="76"/>
    </row>
    <row r="155" spans="1:8" x14ac:dyDescent="0.25">
      <c r="A155" s="12" t="s">
        <v>43</v>
      </c>
      <c r="B155" s="68"/>
      <c r="C155" s="76"/>
      <c r="D155" s="83"/>
      <c r="E155" s="204"/>
      <c r="F155" s="83"/>
      <c r="G155" s="76"/>
    </row>
    <row r="156" spans="1:8" x14ac:dyDescent="0.25">
      <c r="A156" s="47" t="s">
        <v>18</v>
      </c>
      <c r="B156" s="68"/>
      <c r="C156" s="76">
        <f>D156/(B169+B175+B181)*100</f>
        <v>8.6519330659382748E-2</v>
      </c>
      <c r="D156" s="83">
        <v>2.9813502919341834E-2</v>
      </c>
      <c r="E156" s="204">
        <f>F156-D156</f>
        <v>0</v>
      </c>
      <c r="F156" s="83">
        <v>2.9813502919341834E-2</v>
      </c>
      <c r="G156" s="76">
        <f>F156/(B169+B175+B181)*100</f>
        <v>8.6519330659382748E-2</v>
      </c>
    </row>
    <row r="157" spans="1:8" x14ac:dyDescent="0.25">
      <c r="A157" s="41" t="s">
        <v>19</v>
      </c>
      <c r="B157" s="68"/>
      <c r="C157" s="76">
        <f>D157/(B170+B176+B182)*100</f>
        <v>3.7032950575213143E-2</v>
      </c>
      <c r="D157" s="83">
        <v>6.6435943697761906E-3</v>
      </c>
      <c r="E157" s="204">
        <f t="shared" ref="E157:E165" si="9">F157-D157</f>
        <v>0</v>
      </c>
      <c r="F157" s="83">
        <v>6.6435943697761906E-3</v>
      </c>
      <c r="G157" s="76">
        <f>F157/(B170+B176+B182)*100</f>
        <v>3.7032950575213143E-2</v>
      </c>
    </row>
    <row r="158" spans="1:8" x14ac:dyDescent="0.25">
      <c r="A158" s="41" t="s">
        <v>26</v>
      </c>
      <c r="B158" s="68"/>
      <c r="C158" s="76">
        <v>0</v>
      </c>
      <c r="D158" s="83">
        <v>0</v>
      </c>
      <c r="E158" s="204">
        <f t="shared" si="9"/>
        <v>0</v>
      </c>
      <c r="F158" s="83">
        <v>0</v>
      </c>
      <c r="G158" s="76">
        <v>0</v>
      </c>
    </row>
    <row r="159" spans="1:8" x14ac:dyDescent="0.25">
      <c r="A159" s="41" t="s">
        <v>20</v>
      </c>
      <c r="B159" s="68"/>
      <c r="C159" s="76">
        <f>D159/(B172+B178+B184)*100</f>
        <v>0.11921304392755791</v>
      </c>
      <c r="D159" s="83">
        <v>1.246918082989152E-2</v>
      </c>
      <c r="E159" s="204">
        <f t="shared" si="9"/>
        <v>0</v>
      </c>
      <c r="F159" s="83">
        <v>1.246918082989152E-2</v>
      </c>
      <c r="G159" s="76">
        <f>F159/(B172+B178+B184)*100</f>
        <v>0.11921304392755791</v>
      </c>
    </row>
    <row r="160" spans="1:8" x14ac:dyDescent="0.25">
      <c r="A160" s="41"/>
      <c r="B160" s="68"/>
      <c r="C160" s="76"/>
      <c r="D160" s="83"/>
      <c r="E160" s="204"/>
      <c r="F160" s="83"/>
      <c r="G160" s="76"/>
    </row>
    <row r="161" spans="1:7" x14ac:dyDescent="0.25">
      <c r="A161" s="12" t="s">
        <v>46</v>
      </c>
      <c r="B161" s="68"/>
      <c r="C161" s="76"/>
      <c r="D161" s="83"/>
      <c r="E161" s="204"/>
      <c r="F161" s="83"/>
      <c r="G161" s="76"/>
    </row>
    <row r="162" spans="1:7" x14ac:dyDescent="0.25">
      <c r="A162" s="47" t="s">
        <v>18</v>
      </c>
      <c r="B162" s="68"/>
      <c r="C162" s="76">
        <f>D162/(B169+B175+B181)*100</f>
        <v>0.45779520999999995</v>
      </c>
      <c r="D162" s="83">
        <v>0.15775062897248121</v>
      </c>
      <c r="E162" s="204">
        <f t="shared" si="9"/>
        <v>-6.852434421883935E-3</v>
      </c>
      <c r="F162" s="83">
        <v>0.15089819455059728</v>
      </c>
      <c r="G162" s="76">
        <f>F162/(B169+B175+B181)*100</f>
        <v>0.43790931999999988</v>
      </c>
    </row>
    <row r="163" spans="1:7" x14ac:dyDescent="0.25">
      <c r="A163" s="41" t="s">
        <v>19</v>
      </c>
      <c r="B163" s="68"/>
      <c r="C163" s="76">
        <f>D163/(B170+B176+B182)*100</f>
        <v>0.61720592000000107</v>
      </c>
      <c r="D163" s="83">
        <v>0.11072479268905623</v>
      </c>
      <c r="E163" s="204">
        <f t="shared" si="9"/>
        <v>-4.9349200785495095E-3</v>
      </c>
      <c r="F163" s="83">
        <v>0.10578987261050672</v>
      </c>
      <c r="G163" s="76">
        <f>F163/(B170+B176+B182)*100</f>
        <v>0.5896975200000012</v>
      </c>
    </row>
    <row r="164" spans="1:7" x14ac:dyDescent="0.25">
      <c r="A164" s="41" t="s">
        <v>26</v>
      </c>
      <c r="B164" s="68"/>
      <c r="C164" s="76">
        <v>0</v>
      </c>
      <c r="D164" s="83">
        <v>0</v>
      </c>
      <c r="E164" s="204">
        <f t="shared" si="9"/>
        <v>0</v>
      </c>
      <c r="F164" s="83">
        <v>0</v>
      </c>
      <c r="G164" s="76">
        <v>0</v>
      </c>
    </row>
    <row r="165" spans="1:7" x14ac:dyDescent="0.25">
      <c r="A165" s="41" t="s">
        <v>20</v>
      </c>
      <c r="B165" s="68"/>
      <c r="C165" s="76">
        <f>D165/(B172+B178+B184)*100</f>
        <v>1.2547689500000001</v>
      </c>
      <c r="D165" s="83">
        <v>0.13124353193087385</v>
      </c>
      <c r="E165" s="204">
        <f t="shared" si="9"/>
        <v>-6.0247072796154877E-3</v>
      </c>
      <c r="F165" s="83">
        <v>0.12521882465125836</v>
      </c>
      <c r="G165" s="76">
        <f>F165/(B172+B178+B184)*100</f>
        <v>1.1971690400000001</v>
      </c>
    </row>
    <row r="166" spans="1:7" x14ac:dyDescent="0.25">
      <c r="A166" s="41"/>
      <c r="B166" s="68"/>
      <c r="C166" s="76"/>
      <c r="D166" s="83"/>
      <c r="E166" s="204"/>
      <c r="F166" s="83"/>
      <c r="G166" s="76"/>
    </row>
    <row r="167" spans="1:7" x14ac:dyDescent="0.25">
      <c r="A167" s="52" t="s">
        <v>3</v>
      </c>
      <c r="B167" s="68"/>
      <c r="C167" s="76"/>
      <c r="D167" s="83"/>
      <c r="E167" s="204"/>
      <c r="F167" s="83"/>
      <c r="G167" s="76"/>
    </row>
    <row r="168" spans="1:7" x14ac:dyDescent="0.25">
      <c r="A168" s="12" t="s">
        <v>47</v>
      </c>
      <c r="B168" s="68"/>
      <c r="C168" s="76"/>
      <c r="D168" s="83"/>
      <c r="E168" s="204"/>
      <c r="F168" s="83"/>
      <c r="G168" s="76"/>
    </row>
    <row r="169" spans="1:7" x14ac:dyDescent="0.25">
      <c r="A169" s="47" t="s">
        <v>18</v>
      </c>
      <c r="B169" s="161">
        <f>0.0262705525029024*0.808</f>
        <v>2.122660642234514E-2</v>
      </c>
      <c r="C169" s="182">
        <f>153.827+6.5</f>
        <v>160.327</v>
      </c>
      <c r="D169" s="83">
        <f>C169*B169/100</f>
        <v>3.4031981278753294E-2</v>
      </c>
      <c r="E169" s="204">
        <f>B169*(($Q$37-0.065)-0.3855)</f>
        <v>-6.9862814454881806E-3</v>
      </c>
      <c r="F169" s="83">
        <f>D169+E169</f>
        <v>2.7045699833265113E-2</v>
      </c>
      <c r="G169" s="76">
        <f t="shared" ref="G169:G182" si="10">F169/B169*100</f>
        <v>127.41414852255537</v>
      </c>
    </row>
    <row r="170" spans="1:7" x14ac:dyDescent="0.25">
      <c r="A170" s="41" t="s">
        <v>19</v>
      </c>
      <c r="B170" s="161">
        <f>0.0029307404822256*0.808</f>
        <v>2.3680383096382849E-3</v>
      </c>
      <c r="C170" s="182">
        <f>144.878+6.5</f>
        <v>151.37799999999999</v>
      </c>
      <c r="D170" s="83">
        <f>C170*B170/100</f>
        <v>3.5846890323642426E-3</v>
      </c>
      <c r="E170" s="83">
        <f>B170*(($Q$37-0.065)-0.32704)</f>
        <v>-6.4095341219878507E-4</v>
      </c>
      <c r="F170" s="83">
        <f>D170+E170</f>
        <v>2.9437356201654575E-3</v>
      </c>
      <c r="G170" s="76">
        <f t="shared" si="10"/>
        <v>124.31114852255536</v>
      </c>
    </row>
    <row r="171" spans="1:7" x14ac:dyDescent="0.25">
      <c r="A171" s="41" t="s">
        <v>26</v>
      </c>
      <c r="B171" s="161">
        <v>0</v>
      </c>
      <c r="C171" s="182">
        <f>74.216+6.5</f>
        <v>80.715999999999994</v>
      </c>
      <c r="D171" s="83">
        <f>C171*B171/100</f>
        <v>0</v>
      </c>
      <c r="E171" s="83">
        <f>B171*(($Q$37-0.065)-0.26093)</f>
        <v>0</v>
      </c>
      <c r="F171" s="83">
        <f>D171+E171</f>
        <v>0</v>
      </c>
      <c r="G171" s="76">
        <f>C171+(Q37-0.065)*100</f>
        <v>86.353148522555358</v>
      </c>
    </row>
    <row r="172" spans="1:7" x14ac:dyDescent="0.25">
      <c r="A172" s="41" t="s">
        <v>20</v>
      </c>
      <c r="B172" s="161">
        <v>0</v>
      </c>
      <c r="C172" s="182">
        <f>73.732+6.5</f>
        <v>80.231999999999999</v>
      </c>
      <c r="D172" s="83">
        <f>C172*B172/100</f>
        <v>0</v>
      </c>
      <c r="E172" s="83">
        <f>B172*(($Q$37-0.065)-0.25922)</f>
        <v>0</v>
      </c>
      <c r="F172" s="83">
        <f>D172+E172</f>
        <v>0</v>
      </c>
      <c r="G172" s="76">
        <f>C172+(Q37-0.065)*100</f>
        <v>85.869148522555363</v>
      </c>
    </row>
    <row r="173" spans="1:7" x14ac:dyDescent="0.25">
      <c r="A173" s="41"/>
      <c r="B173" s="139"/>
      <c r="C173" s="76"/>
      <c r="D173" s="83"/>
      <c r="E173" s="83"/>
      <c r="F173" s="83"/>
      <c r="G173" s="76"/>
    </row>
    <row r="174" spans="1:7" x14ac:dyDescent="0.25">
      <c r="A174" s="25" t="s">
        <v>21</v>
      </c>
      <c r="B174" s="138"/>
      <c r="C174" s="76"/>
      <c r="D174" s="83"/>
      <c r="E174" s="83"/>
      <c r="F174" s="83"/>
      <c r="G174" s="76"/>
    </row>
    <row r="175" spans="1:7" x14ac:dyDescent="0.25">
      <c r="A175" s="47" t="s">
        <v>18</v>
      </c>
      <c r="B175" s="68">
        <f>27.7962916041099*0.808</f>
        <v>22.459403616120799</v>
      </c>
      <c r="C175" s="76">
        <f>2.405+6.5</f>
        <v>8.9049999999999994</v>
      </c>
      <c r="D175" s="83">
        <f>C175*B175/100</f>
        <v>2.0000098920155569</v>
      </c>
      <c r="E175" s="83">
        <f>B175*(($Q$37-0.065)-0.00546)</f>
        <v>1.1434415953768797</v>
      </c>
      <c r="F175" s="83">
        <f>D175+E175</f>
        <v>3.1434514873924364</v>
      </c>
      <c r="G175" s="76">
        <f t="shared" si="10"/>
        <v>13.996148522555361</v>
      </c>
    </row>
    <row r="176" spans="1:7" x14ac:dyDescent="0.25">
      <c r="A176" s="41" t="s">
        <v>19</v>
      </c>
      <c r="B176" s="71">
        <f>15.7339023046222*0.808</f>
        <v>12.712993062134739</v>
      </c>
      <c r="C176" s="76">
        <f>2.132+6.5</f>
        <v>8.6319999999999997</v>
      </c>
      <c r="D176" s="83">
        <f>C176*B176/100</f>
        <v>1.0973855611234706</v>
      </c>
      <c r="E176" s="83">
        <f>B176*(($Q$37-0.065)-0.00514)</f>
        <v>0.65130551623532174</v>
      </c>
      <c r="F176" s="83">
        <f>D176+E176</f>
        <v>1.7486910773587923</v>
      </c>
      <c r="G176" s="76">
        <f t="shared" si="10"/>
        <v>13.755148522555363</v>
      </c>
    </row>
    <row r="177" spans="1:8" x14ac:dyDescent="0.25">
      <c r="A177" s="41" t="s">
        <v>26</v>
      </c>
      <c r="B177" s="71">
        <v>0</v>
      </c>
      <c r="C177" s="76">
        <f>0.894+6.5</f>
        <v>7.3940000000000001</v>
      </c>
      <c r="D177" s="83">
        <f>C177*B177/100</f>
        <v>0</v>
      </c>
      <c r="E177" s="83">
        <f>B177*(($Q$37-0.065)-0.00453)</f>
        <v>0</v>
      </c>
      <c r="F177" s="83">
        <f>D177+E177</f>
        <v>0</v>
      </c>
      <c r="G177" s="76">
        <f>C177+(Q37-0.065)*100</f>
        <v>13.031148522555362</v>
      </c>
    </row>
    <row r="178" spans="1:8" x14ac:dyDescent="0.25">
      <c r="A178" s="41" t="s">
        <v>20</v>
      </c>
      <c r="B178" s="71">
        <f>8.45113157432893*0.808</f>
        <v>6.8285143120577754</v>
      </c>
      <c r="C178" s="76">
        <f>0.89+6.5</f>
        <v>7.39</v>
      </c>
      <c r="D178" s="83">
        <f>C178*B178/100</f>
        <v>0.5046272076610695</v>
      </c>
      <c r="E178" s="83">
        <f>B178*(($Q$37-0.065)-0.0045)</f>
        <v>0.35420517925038641</v>
      </c>
      <c r="F178" s="83">
        <f>D178+E178</f>
        <v>0.85883238691145591</v>
      </c>
      <c r="G178" s="76">
        <f t="shared" si="10"/>
        <v>12.577148522555362</v>
      </c>
    </row>
    <row r="179" spans="1:8" x14ac:dyDescent="0.25">
      <c r="A179" s="37"/>
      <c r="B179" s="68"/>
      <c r="C179" s="76"/>
      <c r="D179" s="83"/>
      <c r="E179" s="204"/>
      <c r="F179" s="83"/>
      <c r="G179" s="76"/>
    </row>
    <row r="180" spans="1:8" x14ac:dyDescent="0.25">
      <c r="A180" s="43" t="s">
        <v>22</v>
      </c>
      <c r="B180" s="68"/>
      <c r="C180" s="76"/>
      <c r="D180" s="83"/>
      <c r="E180" s="204"/>
      <c r="F180" s="83"/>
      <c r="G180" s="76"/>
    </row>
    <row r="181" spans="1:8" x14ac:dyDescent="0.25">
      <c r="A181" s="47" t="s">
        <v>18</v>
      </c>
      <c r="B181" s="71">
        <f>14.8244386597872*0.808</f>
        <v>11.978146437108059</v>
      </c>
      <c r="C181" s="76">
        <f>1.624+6.5</f>
        <v>8.1240000000000006</v>
      </c>
      <c r="D181" s="83">
        <f>C181*B181/100</f>
        <v>0.97310461655065883</v>
      </c>
      <c r="E181" s="107">
        <f>(($N$39-0.065)-0.00328)*B181</f>
        <v>9.9422857973638507E-2</v>
      </c>
      <c r="F181" s="83">
        <f>D181+E181</f>
        <v>1.0725274745242974</v>
      </c>
      <c r="G181" s="76">
        <f t="shared" si="10"/>
        <v>8.9540354190497169</v>
      </c>
    </row>
    <row r="182" spans="1:8" x14ac:dyDescent="0.25">
      <c r="A182" s="41" t="s">
        <v>19</v>
      </c>
      <c r="B182" s="68">
        <f>6.46574636569553*0.808</f>
        <v>5.2243230634819886</v>
      </c>
      <c r="C182" s="76">
        <f>1.482+6.5</f>
        <v>7.9820000000000002</v>
      </c>
      <c r="D182" s="83">
        <f>C182*B182/100</f>
        <v>0.41700546692713231</v>
      </c>
      <c r="E182" s="107">
        <f>(($N$39-0.065)-0.00317)*B182</f>
        <v>4.3938407369466713E-2</v>
      </c>
      <c r="F182" s="83">
        <f>D182+E182</f>
        <v>0.460943874296599</v>
      </c>
      <c r="G182" s="76">
        <f t="shared" si="10"/>
        <v>8.8230354190497149</v>
      </c>
    </row>
    <row r="183" spans="1:8" x14ac:dyDescent="0.25">
      <c r="A183" s="41" t="s">
        <v>26</v>
      </c>
      <c r="B183" s="71">
        <v>0</v>
      </c>
      <c r="C183" s="76">
        <f>0.727+6.5</f>
        <v>7.2270000000000003</v>
      </c>
      <c r="D183" s="83">
        <f>C183*B183/100</f>
        <v>0</v>
      </c>
      <c r="E183" s="107">
        <f>(($N$39-0.065)-0.00286)*B183</f>
        <v>0</v>
      </c>
      <c r="F183" s="83">
        <f>D183+E183</f>
        <v>0</v>
      </c>
      <c r="G183" s="76">
        <f>C183+(N39-0.065)*100</f>
        <v>8.3850354190497161</v>
      </c>
    </row>
    <row r="184" spans="1:8" x14ac:dyDescent="0.25">
      <c r="A184" s="41" t="s">
        <v>20</v>
      </c>
      <c r="B184" s="71">
        <f>4.49389019847107*0.808</f>
        <v>3.631063280364625</v>
      </c>
      <c r="C184" s="76">
        <f>0.724+6.5</f>
        <v>7.2240000000000002</v>
      </c>
      <c r="D184" s="83">
        <f>C184*B184/100</f>
        <v>0.26230801137354054</v>
      </c>
      <c r="E184" s="107">
        <f>(($N$39-0.065)-0.00284)*B184</f>
        <v>3.1736779158495314E-2</v>
      </c>
      <c r="F184" s="83">
        <f>D184+E184</f>
        <v>0.29404479053203586</v>
      </c>
      <c r="G184" s="76">
        <f>F184/B184*100</f>
        <v>8.098035419049717</v>
      </c>
    </row>
    <row r="185" spans="1:8" x14ac:dyDescent="0.25">
      <c r="A185" s="41"/>
      <c r="B185" s="138"/>
      <c r="C185" s="76"/>
      <c r="D185" s="83"/>
      <c r="E185" s="204"/>
      <c r="F185" s="83"/>
      <c r="G185" s="76"/>
    </row>
    <row r="186" spans="1:8" ht="13.8" thickBot="1" x14ac:dyDescent="0.3">
      <c r="A186" s="115" t="s">
        <v>39</v>
      </c>
      <c r="B186" s="111">
        <f>SUM(B169:B184)</f>
        <v>62.858038415999971</v>
      </c>
      <c r="C186" s="167">
        <f>D186/B186*100</f>
        <v>9.1328059263979835</v>
      </c>
      <c r="D186" s="203">
        <f>SUM(D156:D184)</f>
        <v>5.7407026576739666</v>
      </c>
      <c r="E186" s="203">
        <f>SUM(E156:E184)</f>
        <v>2.2986110387264529</v>
      </c>
      <c r="F186" s="203">
        <f>SUM(F156:F184)</f>
        <v>8.0393136964004199</v>
      </c>
      <c r="G186" s="167">
        <f>F186/B186*100</f>
        <v>12.789635023599594</v>
      </c>
      <c r="H186" s="106">
        <f>(G186-C186)/C186</f>
        <v>0.40040586941979167</v>
      </c>
    </row>
    <row r="187" spans="1:8" ht="13.8" thickTop="1" x14ac:dyDescent="0.25">
      <c r="A187" s="25"/>
      <c r="B187" s="144"/>
      <c r="C187" s="145"/>
      <c r="D187" s="146"/>
      <c r="E187" s="146"/>
      <c r="F187" s="146"/>
      <c r="G187" s="145"/>
      <c r="H187" s="110"/>
    </row>
    <row r="188" spans="1:8" x14ac:dyDescent="0.25">
      <c r="A188" s="25"/>
      <c r="B188" s="144"/>
      <c r="C188" s="145"/>
      <c r="D188" s="146"/>
      <c r="E188" s="146"/>
      <c r="F188" s="146"/>
      <c r="G188" s="145"/>
      <c r="H188" s="110"/>
    </row>
    <row r="189" spans="1:8" x14ac:dyDescent="0.25">
      <c r="A189" s="25"/>
      <c r="B189" s="72"/>
      <c r="C189" s="28"/>
      <c r="D189" s="28"/>
      <c r="E189" s="117"/>
      <c r="F189" s="28"/>
      <c r="G189" s="28"/>
      <c r="H189" s="28"/>
    </row>
    <row r="190" spans="1:8" x14ac:dyDescent="0.25">
      <c r="A190" s="37"/>
      <c r="E190" s="31"/>
      <c r="H190" s="37" t="s">
        <v>90</v>
      </c>
    </row>
    <row r="191" spans="1:8" ht="21" x14ac:dyDescent="0.4">
      <c r="A191" s="229" t="s">
        <v>2</v>
      </c>
      <c r="B191" s="229"/>
      <c r="C191" s="229"/>
      <c r="D191" s="229"/>
      <c r="E191" s="229"/>
      <c r="F191" s="229"/>
      <c r="G191" s="229"/>
      <c r="H191" s="229"/>
    </row>
    <row r="192" spans="1:8" ht="21" x14ac:dyDescent="0.4">
      <c r="A192" s="229" t="s">
        <v>100</v>
      </c>
      <c r="B192" s="229"/>
      <c r="C192" s="229"/>
      <c r="D192" s="229"/>
      <c r="E192" s="229"/>
      <c r="F192" s="229"/>
      <c r="G192" s="229"/>
      <c r="H192" s="229"/>
    </row>
    <row r="193" spans="1:8" ht="13.8" thickBot="1" x14ac:dyDescent="0.3">
      <c r="A193" s="37"/>
      <c r="E193" s="31"/>
    </row>
    <row r="194" spans="1:8" ht="53.4" thickBot="1" x14ac:dyDescent="0.3">
      <c r="A194" s="2" t="s">
        <v>0</v>
      </c>
      <c r="B194" s="3" t="s">
        <v>30</v>
      </c>
      <c r="C194" s="3" t="s">
        <v>121</v>
      </c>
      <c r="D194" s="3" t="s">
        <v>35</v>
      </c>
      <c r="E194" s="3" t="s">
        <v>122</v>
      </c>
      <c r="F194" s="3" t="s">
        <v>1</v>
      </c>
      <c r="G194" s="3" t="s">
        <v>31</v>
      </c>
      <c r="H194" s="3" t="s">
        <v>32</v>
      </c>
    </row>
    <row r="195" spans="1:8" x14ac:dyDescent="0.25">
      <c r="A195" s="25"/>
      <c r="B195" s="72"/>
      <c r="C195" s="28"/>
      <c r="D195" s="28"/>
      <c r="E195" s="38"/>
      <c r="F195" s="28"/>
      <c r="G195" s="28"/>
      <c r="H195" s="28"/>
    </row>
    <row r="196" spans="1:8" x14ac:dyDescent="0.25">
      <c r="A196" s="53" t="s">
        <v>40</v>
      </c>
      <c r="E196" s="31"/>
    </row>
    <row r="197" spans="1:8" x14ac:dyDescent="0.25">
      <c r="A197" s="53"/>
      <c r="E197" s="31"/>
    </row>
    <row r="198" spans="1:8" x14ac:dyDescent="0.25">
      <c r="A198" s="63" t="s">
        <v>4</v>
      </c>
      <c r="E198" s="31"/>
    </row>
    <row r="199" spans="1:8" x14ac:dyDescent="0.25">
      <c r="A199" s="12" t="s">
        <v>43</v>
      </c>
      <c r="B199" s="137"/>
      <c r="C199" s="137"/>
      <c r="E199" s="31"/>
    </row>
    <row r="200" spans="1:8" x14ac:dyDescent="0.25">
      <c r="A200" s="47" t="s">
        <v>18</v>
      </c>
      <c r="B200" s="137"/>
      <c r="C200" s="159">
        <f>D200/(B213+B219+B225+B231)*100</f>
        <v>0.16637790868779403</v>
      </c>
      <c r="D200" s="83">
        <v>2.3700855700185598E-3</v>
      </c>
      <c r="E200" s="204">
        <f>F200-D200</f>
        <v>0</v>
      </c>
      <c r="F200" s="83">
        <v>2.3700855700185598E-3</v>
      </c>
      <c r="G200" s="159">
        <f>F200/(B213+B219+B225+B231)*100</f>
        <v>0.16637790868779403</v>
      </c>
    </row>
    <row r="201" spans="1:8" x14ac:dyDescent="0.25">
      <c r="A201" s="41" t="s">
        <v>19</v>
      </c>
      <c r="B201" s="138"/>
      <c r="C201" s="159">
        <f>D201/(B214+B220+B226+B232)*100</f>
        <v>6.1440305535138007E-3</v>
      </c>
      <c r="D201" s="83">
        <v>1.6706384143999999E-3</v>
      </c>
      <c r="E201" s="204">
        <f t="shared" ref="E201:E209" si="11">F201-D201</f>
        <v>0</v>
      </c>
      <c r="F201" s="83">
        <v>1.6706384143999999E-3</v>
      </c>
      <c r="G201" s="159">
        <f>F201/(B214+B220+B226+B232)*100</f>
        <v>6.1440305535138007E-3</v>
      </c>
    </row>
    <row r="202" spans="1:8" x14ac:dyDescent="0.25">
      <c r="A202" s="41" t="s">
        <v>26</v>
      </c>
      <c r="B202" s="138"/>
      <c r="C202" s="159">
        <v>0</v>
      </c>
      <c r="D202" s="83">
        <v>0</v>
      </c>
      <c r="E202" s="204">
        <f t="shared" si="11"/>
        <v>0</v>
      </c>
      <c r="F202" s="83">
        <v>0</v>
      </c>
      <c r="G202" s="159">
        <v>0</v>
      </c>
    </row>
    <row r="203" spans="1:8" x14ac:dyDescent="0.25">
      <c r="A203" s="41" t="s">
        <v>20</v>
      </c>
      <c r="B203" s="138"/>
      <c r="C203" s="159">
        <v>0</v>
      </c>
      <c r="D203" s="83">
        <v>0</v>
      </c>
      <c r="E203" s="204">
        <f t="shared" si="11"/>
        <v>0</v>
      </c>
      <c r="F203" s="83">
        <v>0</v>
      </c>
      <c r="G203" s="159">
        <v>0</v>
      </c>
    </row>
    <row r="204" spans="1:8" x14ac:dyDescent="0.25">
      <c r="A204" s="41"/>
      <c r="B204" s="138"/>
      <c r="C204" s="138"/>
      <c r="D204" s="83"/>
      <c r="E204" s="204"/>
      <c r="F204" s="83"/>
      <c r="G204" s="78"/>
    </row>
    <row r="205" spans="1:8" x14ac:dyDescent="0.25">
      <c r="A205" s="12" t="s">
        <v>46</v>
      </c>
      <c r="B205" s="138"/>
      <c r="C205" s="138"/>
      <c r="D205" s="83"/>
      <c r="E205" s="204"/>
      <c r="F205" s="83"/>
      <c r="G205" s="78"/>
    </row>
    <row r="206" spans="1:8" x14ac:dyDescent="0.25">
      <c r="A206" s="47" t="s">
        <v>18</v>
      </c>
      <c r="B206" s="138"/>
      <c r="C206" s="159">
        <f>D206/(B213+B219+B225+B231)*100</f>
        <v>6.0036695314361035</v>
      </c>
      <c r="D206" s="83">
        <v>8.5523436589876392E-2</v>
      </c>
      <c r="E206" s="204">
        <f t="shared" si="11"/>
        <v>-5.7784386117188391E-3</v>
      </c>
      <c r="F206" s="83">
        <v>7.9744997978157553E-2</v>
      </c>
      <c r="G206" s="159">
        <f>F206/(B213+B219+B225+B231)*100</f>
        <v>5.5980282567664092</v>
      </c>
    </row>
    <row r="207" spans="1:8" x14ac:dyDescent="0.25">
      <c r="A207" s="41" t="s">
        <v>19</v>
      </c>
      <c r="B207" s="138"/>
      <c r="C207" s="159">
        <f>D207/(B214+B220+B226+B232)*100</f>
        <v>4.6690738739398832</v>
      </c>
      <c r="D207" s="83">
        <v>1.269579326719712</v>
      </c>
      <c r="E207" s="204">
        <f t="shared" si="11"/>
        <v>-7.7602732054874002E-2</v>
      </c>
      <c r="F207" s="83">
        <v>1.191976594664838</v>
      </c>
      <c r="G207" s="159">
        <f>F207/(B214+B220+B226+B232)*100</f>
        <v>4.38367785247193</v>
      </c>
    </row>
    <row r="208" spans="1:8" x14ac:dyDescent="0.25">
      <c r="A208" s="41" t="s">
        <v>26</v>
      </c>
      <c r="B208" s="138"/>
      <c r="C208" s="159">
        <v>0</v>
      </c>
      <c r="D208" s="83">
        <v>0</v>
      </c>
      <c r="E208" s="204">
        <f t="shared" si="11"/>
        <v>0</v>
      </c>
      <c r="F208" s="83">
        <v>0</v>
      </c>
      <c r="G208" s="159">
        <v>0</v>
      </c>
    </row>
    <row r="209" spans="1:7" x14ac:dyDescent="0.25">
      <c r="A209" s="41" t="s">
        <v>20</v>
      </c>
      <c r="B209" s="138"/>
      <c r="C209" s="159">
        <v>0</v>
      </c>
      <c r="D209" s="83">
        <v>0</v>
      </c>
      <c r="E209" s="204">
        <f t="shared" si="11"/>
        <v>0</v>
      </c>
      <c r="F209" s="83">
        <v>0</v>
      </c>
      <c r="G209" s="159">
        <v>0</v>
      </c>
    </row>
    <row r="210" spans="1:7" x14ac:dyDescent="0.25">
      <c r="A210" s="41"/>
      <c r="B210" s="138"/>
      <c r="C210" s="138"/>
      <c r="D210" s="83"/>
      <c r="E210" s="204"/>
      <c r="F210" s="83"/>
      <c r="G210" s="78"/>
    </row>
    <row r="211" spans="1:7" x14ac:dyDescent="0.25">
      <c r="A211" s="52" t="s">
        <v>3</v>
      </c>
      <c r="B211" s="138"/>
      <c r="C211" s="138"/>
      <c r="D211" s="83"/>
      <c r="E211" s="204"/>
      <c r="F211" s="83"/>
      <c r="G211" s="78"/>
    </row>
    <row r="212" spans="1:7" x14ac:dyDescent="0.25">
      <c r="A212" s="12" t="s">
        <v>47</v>
      </c>
      <c r="B212" s="138"/>
      <c r="C212" s="138"/>
      <c r="D212" s="83"/>
      <c r="E212" s="204"/>
      <c r="F212" s="83"/>
      <c r="G212" s="78"/>
    </row>
    <row r="213" spans="1:7" x14ac:dyDescent="0.25">
      <c r="A213" s="47" t="s">
        <v>18</v>
      </c>
      <c r="B213" s="161">
        <f>0.001510346895816*0.808</f>
        <v>1.220360291819328E-3</v>
      </c>
      <c r="C213" s="182">
        <f>138.018+6.5</f>
        <v>144.518</v>
      </c>
      <c r="D213" s="83">
        <f>C213*B213/100</f>
        <v>1.7636402865314565E-3</v>
      </c>
      <c r="E213" s="83">
        <f>B213*(($Q$37-0.065)-0.3855)</f>
        <v>-4.0165537033620539E-4</v>
      </c>
      <c r="F213" s="83">
        <f>D213+E213</f>
        <v>1.3619849161952511E-3</v>
      </c>
      <c r="G213" s="76">
        <f>F213/B213*100</f>
        <v>111.60514852255537</v>
      </c>
    </row>
    <row r="214" spans="1:7" x14ac:dyDescent="0.25">
      <c r="A214" s="41" t="s">
        <v>19</v>
      </c>
      <c r="B214" s="161">
        <f>0.086453712072552*0.808</f>
        <v>6.9854599354622016E-2</v>
      </c>
      <c r="C214" s="182">
        <f>129.72+6.5</f>
        <v>136.22</v>
      </c>
      <c r="D214" s="83">
        <f t="shared" ref="D214:D234" si="12">C214*B214/100</f>
        <v>9.5155935240866116E-2</v>
      </c>
      <c r="E214" s="204">
        <f>B214*(($Q$37-0.065)-0.32704)</f>
        <v>-1.8907440657479541E-2</v>
      </c>
      <c r="F214" s="83">
        <f t="shared" ref="F214:F234" si="13">D214+E214</f>
        <v>7.6248494583386575E-2</v>
      </c>
      <c r="G214" s="76">
        <f>F214/B214*100</f>
        <v>109.15314852255537</v>
      </c>
    </row>
    <row r="215" spans="1:7" x14ac:dyDescent="0.25">
      <c r="A215" s="41" t="s">
        <v>26</v>
      </c>
      <c r="B215" s="161">
        <v>0</v>
      </c>
      <c r="C215" s="182">
        <f>59.358+6.5</f>
        <v>65.858000000000004</v>
      </c>
      <c r="D215" s="83">
        <f t="shared" si="12"/>
        <v>0</v>
      </c>
      <c r="E215" s="83">
        <f>B215*(($Q$37-0.065)-0.26093)</f>
        <v>0</v>
      </c>
      <c r="F215" s="83">
        <f t="shared" si="13"/>
        <v>0</v>
      </c>
      <c r="G215" s="76">
        <f>C215+(Q37-0.065)*100</f>
        <v>71.495148522555368</v>
      </c>
    </row>
    <row r="216" spans="1:7" x14ac:dyDescent="0.25">
      <c r="A216" s="41" t="s">
        <v>20</v>
      </c>
      <c r="B216" s="161">
        <v>0</v>
      </c>
      <c r="C216" s="182">
        <f>58.971+6.5</f>
        <v>65.471000000000004</v>
      </c>
      <c r="D216" s="83">
        <f t="shared" si="12"/>
        <v>0</v>
      </c>
      <c r="E216" s="83">
        <f>B216*(($Q$37-0.065)-0.25922)</f>
        <v>0</v>
      </c>
      <c r="F216" s="83">
        <f t="shared" si="13"/>
        <v>0</v>
      </c>
      <c r="G216" s="76">
        <f>C216+(Q37-0.065)*100</f>
        <v>71.108148522555368</v>
      </c>
    </row>
    <row r="217" spans="1:7" x14ac:dyDescent="0.25">
      <c r="A217" s="41"/>
      <c r="B217" s="161"/>
      <c r="C217" s="182"/>
      <c r="D217" s="83"/>
      <c r="E217" s="204"/>
      <c r="F217" s="83"/>
      <c r="G217" s="76"/>
    </row>
    <row r="218" spans="1:7" x14ac:dyDescent="0.25">
      <c r="A218" s="12" t="s">
        <v>48</v>
      </c>
      <c r="B218" s="159"/>
      <c r="C218" s="182"/>
      <c r="D218" s="83"/>
      <c r="E218" s="204"/>
      <c r="F218" s="83"/>
      <c r="G218" s="76"/>
    </row>
    <row r="219" spans="1:7" x14ac:dyDescent="0.25">
      <c r="A219" s="47" t="s">
        <v>18</v>
      </c>
      <c r="B219" s="161">
        <f>0.012349306971672*0.808</f>
        <v>9.9782400331109768E-3</v>
      </c>
      <c r="C219" s="182">
        <f>17.154+6.5</f>
        <v>23.654</v>
      </c>
      <c r="D219" s="83">
        <f t="shared" si="12"/>
        <v>2.3602528974320707E-3</v>
      </c>
      <c r="E219" s="83">
        <f>B219*(($Q$37-0.065)-0.0487)</f>
        <v>7.6547920991038625E-5</v>
      </c>
      <c r="F219" s="83">
        <f t="shared" si="13"/>
        <v>2.4368008184231095E-3</v>
      </c>
      <c r="G219" s="76">
        <f>F219/B219*100</f>
        <v>24.421148522555367</v>
      </c>
    </row>
    <row r="220" spans="1:7" x14ac:dyDescent="0.25">
      <c r="A220" s="41" t="s">
        <v>19</v>
      </c>
      <c r="B220" s="161">
        <f>0.164431570020344*0.808</f>
        <v>0.13286070857643797</v>
      </c>
      <c r="C220" s="182">
        <f>16.148+6.5</f>
        <v>22.648</v>
      </c>
      <c r="D220" s="83">
        <f t="shared" si="12"/>
        <v>3.0090293278391675E-2</v>
      </c>
      <c r="E220" s="83">
        <f>B220*(($Q$37-0.065)-0.04174)</f>
        <v>1.9439494945927389E-3</v>
      </c>
      <c r="F220" s="83">
        <f t="shared" si="13"/>
        <v>3.2034242772984417E-2</v>
      </c>
      <c r="G220" s="76">
        <f>F220/B220*100</f>
        <v>24.111148522555368</v>
      </c>
    </row>
    <row r="221" spans="1:7" x14ac:dyDescent="0.25">
      <c r="A221" s="41" t="s">
        <v>26</v>
      </c>
      <c r="B221" s="161">
        <v>0</v>
      </c>
      <c r="C221" s="182">
        <f>8.175+6.5</f>
        <v>14.675000000000001</v>
      </c>
      <c r="D221" s="83">
        <f t="shared" si="12"/>
        <v>0</v>
      </c>
      <c r="E221" s="83">
        <f>B221*(($Q$37-0.065)-0.03364)</f>
        <v>0</v>
      </c>
      <c r="F221" s="83">
        <f t="shared" si="13"/>
        <v>0</v>
      </c>
      <c r="G221" s="76">
        <f>C221+(Q37-0.065)*100</f>
        <v>20.312148522555365</v>
      </c>
    </row>
    <row r="222" spans="1:7" x14ac:dyDescent="0.25">
      <c r="A222" s="41" t="s">
        <v>20</v>
      </c>
      <c r="B222" s="161">
        <v>0</v>
      </c>
      <c r="C222" s="182">
        <f>8.124+6.5</f>
        <v>14.624000000000001</v>
      </c>
      <c r="D222" s="83">
        <f t="shared" si="12"/>
        <v>0</v>
      </c>
      <c r="E222" s="83">
        <f>B222*(($Q$37-0.065)-0.03342)</f>
        <v>0</v>
      </c>
      <c r="F222" s="83">
        <f t="shared" si="13"/>
        <v>0</v>
      </c>
      <c r="G222" s="76">
        <f>C222+(Q37-0.065)*100</f>
        <v>20.261148522555363</v>
      </c>
    </row>
    <row r="223" spans="1:7" x14ac:dyDescent="0.25">
      <c r="A223" s="41"/>
      <c r="B223" s="161"/>
      <c r="C223" s="76"/>
      <c r="D223" s="83"/>
      <c r="E223" s="83"/>
      <c r="F223" s="83"/>
      <c r="G223" s="76"/>
    </row>
    <row r="224" spans="1:7" x14ac:dyDescent="0.25">
      <c r="A224" s="25" t="s">
        <v>21</v>
      </c>
      <c r="B224" s="159"/>
      <c r="C224" s="76"/>
      <c r="D224" s="83"/>
      <c r="E224" s="83"/>
      <c r="F224" s="83"/>
      <c r="G224" s="76"/>
    </row>
    <row r="225" spans="1:8" x14ac:dyDescent="0.25">
      <c r="A225" s="47" t="s">
        <v>18</v>
      </c>
      <c r="B225" s="159">
        <f>1.44247012943933*0.808</f>
        <v>1.1655158645869788</v>
      </c>
      <c r="C225" s="76">
        <f>2.053+6.5</f>
        <v>8.5530000000000008</v>
      </c>
      <c r="D225" s="83">
        <f t="shared" si="12"/>
        <v>9.9686571898124313E-2</v>
      </c>
      <c r="E225" s="83">
        <f>B225*(($Q$37-0.065)-0.0043)</f>
        <v>6.0690142122989232E-2</v>
      </c>
      <c r="F225" s="83">
        <f t="shared" si="13"/>
        <v>0.16037671402111353</v>
      </c>
      <c r="G225" s="76">
        <f>F225/B225*100</f>
        <v>13.760148522555363</v>
      </c>
    </row>
    <row r="226" spans="1:8" x14ac:dyDescent="0.25">
      <c r="A226" s="41" t="s">
        <v>19</v>
      </c>
      <c r="B226" s="161">
        <f>16.351617777487*0.808</f>
        <v>13.212107164209497</v>
      </c>
      <c r="C226" s="76">
        <f>1.843+6.5</f>
        <v>8.343</v>
      </c>
      <c r="D226" s="83">
        <f t="shared" si="12"/>
        <v>1.1022861007099984</v>
      </c>
      <c r="E226" s="83">
        <f>B226*(($Q$37-0.065)-0.00412)</f>
        <v>0.69035222228912385</v>
      </c>
      <c r="F226" s="83">
        <f t="shared" si="13"/>
        <v>1.7926383229991223</v>
      </c>
      <c r="G226" s="76">
        <f>F226/B226*100</f>
        <v>13.568148522555365</v>
      </c>
    </row>
    <row r="227" spans="1:8" x14ac:dyDescent="0.25">
      <c r="A227" s="41" t="s">
        <v>26</v>
      </c>
      <c r="B227" s="161">
        <v>0</v>
      </c>
      <c r="C227" s="76">
        <f>0.809+6.5</f>
        <v>7.3090000000000002</v>
      </c>
      <c r="D227" s="83">
        <f t="shared" si="12"/>
        <v>0</v>
      </c>
      <c r="E227" s="83">
        <f>B227*(($Q$37-0.065)-0.00368)</f>
        <v>0</v>
      </c>
      <c r="F227" s="83">
        <f t="shared" si="13"/>
        <v>0</v>
      </c>
      <c r="G227" s="76">
        <f>C227+(Q37-0.065)*100</f>
        <v>12.946148522555363</v>
      </c>
    </row>
    <row r="228" spans="1:8" x14ac:dyDescent="0.25">
      <c r="A228" s="41" t="s">
        <v>20</v>
      </c>
      <c r="B228" s="161">
        <v>0</v>
      </c>
      <c r="C228" s="76">
        <f>0.806+6.5</f>
        <v>7.306</v>
      </c>
      <c r="D228" s="83">
        <f t="shared" si="12"/>
        <v>0</v>
      </c>
      <c r="E228" s="83">
        <f>B228*(($Q$37-0.065)-0.00366)</f>
        <v>0</v>
      </c>
      <c r="F228" s="83">
        <f t="shared" si="13"/>
        <v>0</v>
      </c>
      <c r="G228" s="76">
        <f>C228+(Q37-0.065)*100</f>
        <v>12.943148522555363</v>
      </c>
    </row>
    <row r="229" spans="1:8" x14ac:dyDescent="0.25">
      <c r="A229" s="37"/>
      <c r="B229" s="161"/>
      <c r="C229" s="76"/>
      <c r="D229" s="83"/>
      <c r="E229" s="204"/>
      <c r="F229" s="83"/>
      <c r="G229" s="76"/>
    </row>
    <row r="230" spans="1:8" x14ac:dyDescent="0.25">
      <c r="A230" s="43" t="s">
        <v>22</v>
      </c>
      <c r="B230" s="159"/>
      <c r="C230" s="76"/>
      <c r="D230" s="83"/>
      <c r="E230" s="204"/>
      <c r="F230" s="83"/>
      <c r="G230" s="76"/>
    </row>
    <row r="231" spans="1:8" x14ac:dyDescent="0.25">
      <c r="A231" s="47" t="s">
        <v>18</v>
      </c>
      <c r="B231" s="161">
        <f>0.306689263785696*0.808</f>
        <v>0.24780492513884239</v>
      </c>
      <c r="C231" s="76">
        <f>1.673+6.5</f>
        <v>8.173</v>
      </c>
      <c r="D231" s="83">
        <f t="shared" si="12"/>
        <v>2.0253096531597587E-2</v>
      </c>
      <c r="E231" s="107">
        <f>(($N$39-0.065)-0.00328)*B231</f>
        <v>2.0568686488020259E-3</v>
      </c>
      <c r="F231" s="83">
        <f t="shared" si="13"/>
        <v>2.2309965180399613E-2</v>
      </c>
      <c r="G231" s="76">
        <f>F231/B231*100</f>
        <v>9.0030354190497146</v>
      </c>
    </row>
    <row r="232" spans="1:8" x14ac:dyDescent="0.25">
      <c r="A232" s="41" t="s">
        <v>19</v>
      </c>
      <c r="B232" s="159">
        <f>17.0500281573672*0.808</f>
        <v>13.776422751152699</v>
      </c>
      <c r="C232" s="76">
        <f>1.519+6.5</f>
        <v>8.0190000000000001</v>
      </c>
      <c r="D232" s="83">
        <f t="shared" si="12"/>
        <v>1.104731340414935</v>
      </c>
      <c r="E232" s="107">
        <f>(($N$39-0.065)-0.00317)*B232</f>
        <v>0.11586459481521753</v>
      </c>
      <c r="F232" s="83">
        <f t="shared" si="13"/>
        <v>1.2205959352301525</v>
      </c>
      <c r="G232" s="76">
        <f>F232/B232*100</f>
        <v>8.8600354190497157</v>
      </c>
    </row>
    <row r="233" spans="1:8" x14ac:dyDescent="0.25">
      <c r="A233" s="41" t="s">
        <v>26</v>
      </c>
      <c r="B233" s="161">
        <v>0</v>
      </c>
      <c r="C233" s="76">
        <f>0.727+6.5</f>
        <v>7.2270000000000003</v>
      </c>
      <c r="D233" s="83">
        <f t="shared" si="12"/>
        <v>0</v>
      </c>
      <c r="E233" s="107">
        <f>(($N$39-0.065)-0.00286)*B233</f>
        <v>0</v>
      </c>
      <c r="F233" s="83">
        <f t="shared" si="13"/>
        <v>0</v>
      </c>
      <c r="G233" s="76">
        <f>C233+(N39-0.065)*100</f>
        <v>8.3850354190497161</v>
      </c>
    </row>
    <row r="234" spans="1:8" x14ac:dyDescent="0.25">
      <c r="A234" s="41" t="s">
        <v>20</v>
      </c>
      <c r="B234" s="161">
        <v>0</v>
      </c>
      <c r="C234" s="76">
        <f>0.724+6.5</f>
        <v>7.2240000000000002</v>
      </c>
      <c r="D234" s="83">
        <f t="shared" si="12"/>
        <v>0</v>
      </c>
      <c r="E234" s="107">
        <f>(($N$39-0.065)-0.00284)*B234</f>
        <v>0</v>
      </c>
      <c r="F234" s="83">
        <f t="shared" si="13"/>
        <v>0</v>
      </c>
      <c r="G234" s="76">
        <f>C234+(N39-0.065)*100</f>
        <v>8.3820354190497159</v>
      </c>
    </row>
    <row r="235" spans="1:8" x14ac:dyDescent="0.25">
      <c r="A235" s="41"/>
      <c r="B235" s="139"/>
      <c r="C235" s="76"/>
      <c r="D235" s="83"/>
      <c r="E235" s="204"/>
      <c r="F235" s="83"/>
      <c r="G235" s="76"/>
    </row>
    <row r="236" spans="1:8" ht="13.8" thickBot="1" x14ac:dyDescent="0.3">
      <c r="A236" s="115" t="s">
        <v>41</v>
      </c>
      <c r="B236" s="111">
        <f>SUM(B213:B234)</f>
        <v>28.615764613344005</v>
      </c>
      <c r="C236" s="167">
        <f>D236/B236*100</f>
        <v>13.333457169872956</v>
      </c>
      <c r="D236" s="203">
        <f>SUM(D200:D234)</f>
        <v>3.8154707185518841</v>
      </c>
      <c r="E236" s="203">
        <f>SUM(E200:E234)</f>
        <v>0.76829405859730782</v>
      </c>
      <c r="F236" s="203">
        <f>SUM(F200:F234)</f>
        <v>4.5837647771491916</v>
      </c>
      <c r="G236" s="167">
        <f>F236/B236*100</f>
        <v>16.018320108111688</v>
      </c>
      <c r="H236" s="106">
        <f>(G236-C236)/C236</f>
        <v>0.20136285016201194</v>
      </c>
    </row>
    <row r="237" spans="1:8" ht="13.8" thickTop="1" x14ac:dyDescent="0.25">
      <c r="A237" s="25"/>
      <c r="B237" s="72"/>
      <c r="C237" s="28"/>
      <c r="D237" s="28"/>
      <c r="E237" s="38"/>
      <c r="F237" s="28"/>
      <c r="G237" s="28"/>
      <c r="H237" s="28"/>
    </row>
    <row r="238" spans="1:8" x14ac:dyDescent="0.25">
      <c r="A238" s="25"/>
      <c r="B238" s="72"/>
      <c r="C238" s="28"/>
      <c r="D238" s="28"/>
      <c r="E238" s="38"/>
      <c r="F238" s="28"/>
      <c r="G238" s="28"/>
      <c r="H238" s="28"/>
    </row>
    <row r="240" spans="1:8" x14ac:dyDescent="0.25">
      <c r="A240" s="37"/>
      <c r="E240" s="31"/>
      <c r="H240" s="37" t="s">
        <v>91</v>
      </c>
    </row>
    <row r="241" spans="1:8" ht="21" x14ac:dyDescent="0.4">
      <c r="A241" s="229" t="s">
        <v>2</v>
      </c>
      <c r="B241" s="229"/>
      <c r="C241" s="229"/>
      <c r="D241" s="229"/>
      <c r="E241" s="229"/>
      <c r="F241" s="229"/>
      <c r="G241" s="229"/>
      <c r="H241" s="229"/>
    </row>
    <row r="242" spans="1:8" ht="21" x14ac:dyDescent="0.4">
      <c r="A242" s="229" t="s">
        <v>100</v>
      </c>
      <c r="B242" s="229"/>
      <c r="C242" s="229"/>
      <c r="D242" s="229"/>
      <c r="E242" s="229"/>
      <c r="F242" s="229"/>
      <c r="G242" s="229"/>
      <c r="H242" s="229"/>
    </row>
    <row r="243" spans="1:8" ht="13.8" thickBot="1" x14ac:dyDescent="0.3">
      <c r="A243" s="37"/>
      <c r="E243" s="31"/>
    </row>
    <row r="244" spans="1:8" ht="53.4" thickBot="1" x14ac:dyDescent="0.3">
      <c r="A244" s="2" t="s">
        <v>0</v>
      </c>
      <c r="B244" s="3" t="s">
        <v>30</v>
      </c>
      <c r="C244" s="3" t="s">
        <v>121</v>
      </c>
      <c r="D244" s="3" t="s">
        <v>35</v>
      </c>
      <c r="E244" s="3" t="s">
        <v>122</v>
      </c>
      <c r="F244" s="3" t="s">
        <v>1</v>
      </c>
      <c r="G244" s="3" t="s">
        <v>31</v>
      </c>
      <c r="H244" s="3" t="s">
        <v>32</v>
      </c>
    </row>
    <row r="245" spans="1:8" x14ac:dyDescent="0.25">
      <c r="E245" s="31"/>
    </row>
    <row r="246" spans="1:8" x14ac:dyDescent="0.25">
      <c r="A246" s="53" t="s">
        <v>23</v>
      </c>
      <c r="E246" s="31"/>
    </row>
    <row r="247" spans="1:8" x14ac:dyDescent="0.25">
      <c r="A247" s="53"/>
      <c r="E247" s="31"/>
    </row>
    <row r="248" spans="1:8" x14ac:dyDescent="0.25">
      <c r="A248" s="63" t="s">
        <v>4</v>
      </c>
      <c r="E248" s="31"/>
    </row>
    <row r="249" spans="1:8" x14ac:dyDescent="0.25">
      <c r="A249" s="12" t="s">
        <v>43</v>
      </c>
      <c r="E249" s="31"/>
    </row>
    <row r="250" spans="1:8" x14ac:dyDescent="0.25">
      <c r="A250" s="47" t="s">
        <v>18</v>
      </c>
      <c r="C250" s="82">
        <f>D250/(B263+B269+B275+B281+B287+B293+B299)*100</f>
        <v>0.10799943414852305</v>
      </c>
      <c r="D250" s="116">
        <v>1.111734742736795E-2</v>
      </c>
      <c r="E250" s="118">
        <f>F250-D250</f>
        <v>0</v>
      </c>
      <c r="F250" s="116">
        <v>1.111734742736795E-2</v>
      </c>
      <c r="G250" s="159">
        <f>F250/(B263+B269+B275+B281+B287+B293+B299)*100</f>
        <v>0.10799943414852305</v>
      </c>
    </row>
    <row r="251" spans="1:8" x14ac:dyDescent="0.25">
      <c r="A251" s="41" t="s">
        <v>19</v>
      </c>
      <c r="C251" s="82">
        <f>D251/(B264+B270+B276+B282+B288+B294+B300)*100</f>
        <v>5.0133654627863761E-2</v>
      </c>
      <c r="D251" s="116">
        <v>8.2786314795653265E-3</v>
      </c>
      <c r="E251" s="118">
        <f t="shared" ref="E251:E259" si="14">F251-D251</f>
        <v>0</v>
      </c>
      <c r="F251" s="116">
        <v>8.2786314795653265E-3</v>
      </c>
      <c r="G251" s="159">
        <f>F251/(B264+B270+B276+B282+B288+B294+B300)*100</f>
        <v>5.0133654627863761E-2</v>
      </c>
    </row>
    <row r="252" spans="1:8" x14ac:dyDescent="0.25">
      <c r="A252" s="41" t="s">
        <v>26</v>
      </c>
      <c r="C252" s="82">
        <v>0</v>
      </c>
      <c r="D252" s="116">
        <v>0</v>
      </c>
      <c r="E252" s="118">
        <f t="shared" si="14"/>
        <v>0</v>
      </c>
      <c r="F252" s="116">
        <v>0</v>
      </c>
      <c r="G252" s="159">
        <v>0</v>
      </c>
    </row>
    <row r="253" spans="1:8" x14ac:dyDescent="0.25">
      <c r="A253" s="41" t="s">
        <v>20</v>
      </c>
      <c r="C253" s="82">
        <v>0</v>
      </c>
      <c r="D253" s="116">
        <v>0</v>
      </c>
      <c r="E253" s="118">
        <f t="shared" si="14"/>
        <v>0</v>
      </c>
      <c r="F253" s="116">
        <v>0</v>
      </c>
      <c r="G253" s="159">
        <v>0</v>
      </c>
    </row>
    <row r="254" spans="1:8" x14ac:dyDescent="0.25">
      <c r="A254" s="41"/>
      <c r="D254" s="116"/>
      <c r="E254" s="118"/>
      <c r="F254" s="116"/>
      <c r="G254" s="159"/>
    </row>
    <row r="255" spans="1:8" x14ac:dyDescent="0.25">
      <c r="A255" s="12" t="s">
        <v>46</v>
      </c>
      <c r="D255" s="116"/>
      <c r="E255" s="118"/>
      <c r="F255" s="116"/>
      <c r="G255" s="159"/>
    </row>
    <row r="256" spans="1:8" x14ac:dyDescent="0.25">
      <c r="A256" s="47" t="s">
        <v>18</v>
      </c>
      <c r="C256" s="82">
        <f>D256/(B263+B269+B275+B281+B287+B293+B299)*100</f>
        <v>6.3727702048000001</v>
      </c>
      <c r="D256" s="116">
        <v>0.65600621892248401</v>
      </c>
      <c r="E256" s="118">
        <f t="shared" si="14"/>
        <v>-3.9663306763641493E-2</v>
      </c>
      <c r="F256" s="116">
        <v>0.61634291215884252</v>
      </c>
      <c r="G256" s="159">
        <f>F256/(B263+B269+B275+B281+B287+B293+B299)*100</f>
        <v>5.9874611448000001</v>
      </c>
    </row>
    <row r="257" spans="1:7" x14ac:dyDescent="0.25">
      <c r="A257" s="41" t="s">
        <v>19</v>
      </c>
      <c r="C257" s="82">
        <f>D257/(B264+B270+B276+B282+B288+B294+B300)*100</f>
        <v>2.9119067216999999</v>
      </c>
      <c r="D257" s="116">
        <v>0.48084670528737583</v>
      </c>
      <c r="E257" s="118">
        <f t="shared" si="14"/>
        <v>-2.9325497880724971E-2</v>
      </c>
      <c r="F257" s="116">
        <v>0.45152120740665086</v>
      </c>
      <c r="G257" s="159">
        <f>F257/(B264+B270+B276+B282+B288+B294+B300)*100</f>
        <v>2.7343176617</v>
      </c>
    </row>
    <row r="258" spans="1:7" x14ac:dyDescent="0.25">
      <c r="A258" s="41" t="s">
        <v>26</v>
      </c>
      <c r="C258" s="82">
        <v>0</v>
      </c>
      <c r="D258" s="116">
        <v>0</v>
      </c>
      <c r="E258" s="118">
        <f t="shared" si="14"/>
        <v>0</v>
      </c>
      <c r="F258" s="116">
        <v>0</v>
      </c>
      <c r="G258" s="159">
        <v>0</v>
      </c>
    </row>
    <row r="259" spans="1:7" x14ac:dyDescent="0.25">
      <c r="A259" s="41" t="s">
        <v>20</v>
      </c>
      <c r="C259" s="82">
        <v>0</v>
      </c>
      <c r="D259" s="116">
        <v>0</v>
      </c>
      <c r="E259" s="118">
        <f t="shared" si="14"/>
        <v>0</v>
      </c>
      <c r="F259" s="116">
        <v>0</v>
      </c>
      <c r="G259" s="159">
        <v>0</v>
      </c>
    </row>
    <row r="260" spans="1:7" x14ac:dyDescent="0.25">
      <c r="A260" s="63"/>
      <c r="D260" s="116"/>
      <c r="E260" s="118"/>
      <c r="F260" s="116"/>
      <c r="G260" s="78"/>
    </row>
    <row r="261" spans="1:7" x14ac:dyDescent="0.25">
      <c r="A261" s="52" t="s">
        <v>3</v>
      </c>
      <c r="D261" s="116"/>
      <c r="E261" s="118"/>
      <c r="F261" s="116"/>
      <c r="G261" s="78"/>
    </row>
    <row r="262" spans="1:7" x14ac:dyDescent="0.25">
      <c r="A262" s="44" t="s">
        <v>49</v>
      </c>
      <c r="D262" s="116"/>
      <c r="E262" s="118"/>
      <c r="F262" s="116"/>
      <c r="G262" s="78"/>
    </row>
    <row r="263" spans="1:7" x14ac:dyDescent="0.25">
      <c r="A263" s="45" t="s">
        <v>6</v>
      </c>
      <c r="B263" s="159">
        <f>0.09325656576*0.808</f>
        <v>7.5351305134080004E-2</v>
      </c>
      <c r="C263" s="228">
        <f>21.771+6.5</f>
        <v>28.271000000000001</v>
      </c>
      <c r="D263" s="116">
        <f>C263*B263/100</f>
        <v>2.1302567474455757E-2</v>
      </c>
      <c r="E263" s="116">
        <f>B263*(($N$37-0.065)-0.11074)</f>
        <v>-1.7013790924950724E-3</v>
      </c>
      <c r="F263" s="116">
        <f>E263+D263</f>
        <v>1.9601188381960684E-2</v>
      </c>
      <c r="G263" s="76">
        <f>F263/B263*100</f>
        <v>26.013070838099427</v>
      </c>
    </row>
    <row r="264" spans="1:7" x14ac:dyDescent="0.25">
      <c r="A264" s="45" t="s">
        <v>7</v>
      </c>
      <c r="B264" s="159">
        <f>0.104392359456*0.808</f>
        <v>8.4349026440448005E-2</v>
      </c>
      <c r="C264" s="228">
        <f>19.709+6.5</f>
        <v>26.209</v>
      </c>
      <c r="D264" s="116">
        <f t="shared" ref="D264:D302" si="15">C264*B264/100</f>
        <v>2.2107036339777016E-2</v>
      </c>
      <c r="E264" s="116">
        <f>B264*(($N$37-0.065)-0.09429)</f>
        <v>-5.1699978083272603E-4</v>
      </c>
      <c r="F264" s="116">
        <f t="shared" ref="F264:F302" si="16">E264+D264</f>
        <v>2.159003655894429E-2</v>
      </c>
      <c r="G264" s="76">
        <f>F264/B264*100</f>
        <v>25.596070838099433</v>
      </c>
    </row>
    <row r="265" spans="1:7" x14ac:dyDescent="0.25">
      <c r="A265" s="45" t="s">
        <v>26</v>
      </c>
      <c r="B265" s="159">
        <v>0</v>
      </c>
      <c r="C265" s="228">
        <f>17.005+6.5</f>
        <v>23.504999999999999</v>
      </c>
      <c r="D265" s="116">
        <f t="shared" si="15"/>
        <v>0</v>
      </c>
      <c r="E265" s="116">
        <f>B265*(($N$37-0.065)-0.07551)</f>
        <v>0</v>
      </c>
      <c r="F265" s="116">
        <f t="shared" si="16"/>
        <v>0</v>
      </c>
      <c r="G265" s="76">
        <f>C265+($N$37-0.065)*100</f>
        <v>32.32107083809943</v>
      </c>
    </row>
    <row r="266" spans="1:7" x14ac:dyDescent="0.25">
      <c r="A266" s="45" t="s">
        <v>27</v>
      </c>
      <c r="B266" s="159">
        <v>0</v>
      </c>
      <c r="C266" s="228">
        <f>16.897+6.5</f>
        <v>23.396999999999998</v>
      </c>
      <c r="D266" s="116">
        <f t="shared" si="15"/>
        <v>0</v>
      </c>
      <c r="E266" s="116">
        <f>B266*(($N$37-0.065)-0.07502)</f>
        <v>0</v>
      </c>
      <c r="F266" s="116">
        <f t="shared" si="16"/>
        <v>0</v>
      </c>
      <c r="G266" s="76">
        <f>C266+($N$37-0.065)*100</f>
        <v>32.213070838099426</v>
      </c>
    </row>
    <row r="267" spans="1:7" x14ac:dyDescent="0.25">
      <c r="A267" s="45"/>
      <c r="B267" s="159"/>
      <c r="C267" s="82"/>
      <c r="D267" s="116"/>
      <c r="E267" s="118"/>
      <c r="F267" s="116"/>
      <c r="G267" s="76"/>
    </row>
    <row r="268" spans="1:7" x14ac:dyDescent="0.25">
      <c r="A268" s="44" t="s">
        <v>8</v>
      </c>
      <c r="B268" s="159"/>
      <c r="C268" s="82"/>
      <c r="D268" s="116"/>
      <c r="E268" s="118"/>
      <c r="F268" s="116"/>
      <c r="G268" s="76"/>
    </row>
    <row r="269" spans="1:7" x14ac:dyDescent="0.25">
      <c r="A269" s="45" t="s">
        <v>6</v>
      </c>
      <c r="B269" s="159">
        <f>1.845358884864*0.808</f>
        <v>1.4910499789701119</v>
      </c>
      <c r="C269" s="76">
        <f>1.68+6.5</f>
        <v>8.18</v>
      </c>
      <c r="D269" s="116">
        <f t="shared" si="15"/>
        <v>0.12196788827975516</v>
      </c>
      <c r="E269" s="116">
        <f>B269*(($N$37-0.065)-0.0076)</f>
        <v>0.12012004253729891</v>
      </c>
      <c r="F269" s="116">
        <f t="shared" si="16"/>
        <v>0.24208793081705407</v>
      </c>
      <c r="G269" s="76">
        <f>F269/B269*100</f>
        <v>16.236070838099433</v>
      </c>
    </row>
    <row r="270" spans="1:7" x14ac:dyDescent="0.25">
      <c r="A270" s="45" t="s">
        <v>7</v>
      </c>
      <c r="B270" s="159">
        <f>2.368570260672*0.808</f>
        <v>1.9138047706229762</v>
      </c>
      <c r="C270" s="76">
        <f>1.645+6.5</f>
        <v>8.1449999999999996</v>
      </c>
      <c r="D270" s="116">
        <f t="shared" si="15"/>
        <v>0.1558793985672414</v>
      </c>
      <c r="E270" s="116">
        <f>B270*(($N$37-0.065)-0.00748)</f>
        <v>0.15440712459678807</v>
      </c>
      <c r="F270" s="116">
        <f t="shared" si="16"/>
        <v>0.31028652316402949</v>
      </c>
      <c r="G270" s="76">
        <f>F270/B270*100</f>
        <v>16.213070838099434</v>
      </c>
    </row>
    <row r="271" spans="1:7" x14ac:dyDescent="0.25">
      <c r="A271" s="45" t="s">
        <v>26</v>
      </c>
      <c r="B271" s="159">
        <v>0</v>
      </c>
      <c r="C271" s="76">
        <f>1.176+6.5</f>
        <v>7.6760000000000002</v>
      </c>
      <c r="D271" s="116">
        <f t="shared" si="15"/>
        <v>0</v>
      </c>
      <c r="E271" s="116">
        <f>B271*(($N$37-0.065)-0.00735)</f>
        <v>0</v>
      </c>
      <c r="F271" s="116">
        <f t="shared" si="16"/>
        <v>0</v>
      </c>
      <c r="G271" s="76">
        <f>C271+($N$37-0.065)*100</f>
        <v>16.49207083809943</v>
      </c>
    </row>
    <row r="272" spans="1:7" x14ac:dyDescent="0.25">
      <c r="A272" s="45" t="s">
        <v>27</v>
      </c>
      <c r="B272" s="159">
        <v>0</v>
      </c>
      <c r="C272" s="76">
        <f>1.175+6.5</f>
        <v>7.6749999999999998</v>
      </c>
      <c r="D272" s="116">
        <f t="shared" si="15"/>
        <v>0</v>
      </c>
      <c r="E272" s="116">
        <f>B272*(($N$37-0.065)-0.00735)</f>
        <v>0</v>
      </c>
      <c r="F272" s="116">
        <f t="shared" si="16"/>
        <v>0</v>
      </c>
      <c r="G272" s="76">
        <f>C272+($N$37-0.065)*100</f>
        <v>16.491070838099432</v>
      </c>
    </row>
    <row r="273" spans="1:8" x14ac:dyDescent="0.25">
      <c r="A273" s="45"/>
      <c r="B273" s="159"/>
      <c r="C273" s="76"/>
      <c r="D273" s="116"/>
      <c r="E273" s="116"/>
      <c r="F273" s="116"/>
      <c r="G273" s="76"/>
    </row>
    <row r="274" spans="1:8" x14ac:dyDescent="0.25">
      <c r="A274" s="25" t="s">
        <v>9</v>
      </c>
      <c r="B274" s="159"/>
      <c r="C274" s="76"/>
      <c r="D274" s="116"/>
      <c r="E274" s="116"/>
      <c r="F274" s="116"/>
      <c r="G274" s="76"/>
    </row>
    <row r="275" spans="1:8" x14ac:dyDescent="0.25">
      <c r="A275" s="45" t="s">
        <v>6</v>
      </c>
      <c r="B275" s="159">
        <f>2.087520196608*0.808</f>
        <v>1.6867163188592642</v>
      </c>
      <c r="C275" s="76">
        <f>1.308+6.5</f>
        <v>7.8079999999999998</v>
      </c>
      <c r="D275" s="83">
        <f t="shared" si="15"/>
        <v>0.13169881017653134</v>
      </c>
      <c r="E275" s="83">
        <f>B275*(($N$38-0.065)-0.00389)</f>
        <v>6.4639179157772883E-2</v>
      </c>
      <c r="F275" s="83">
        <f t="shared" si="16"/>
        <v>0.19633798933430424</v>
      </c>
      <c r="G275" s="76">
        <f>F275/B275*100</f>
        <v>11.640249586669603</v>
      </c>
    </row>
    <row r="276" spans="1:8" x14ac:dyDescent="0.25">
      <c r="A276" s="45" t="s">
        <v>7</v>
      </c>
      <c r="B276" s="159">
        <f>3.44854477968*0.808</f>
        <v>2.7864241819814404</v>
      </c>
      <c r="C276" s="169">
        <f>1.278+6.5</f>
        <v>7.7780000000000005</v>
      </c>
      <c r="D276" s="83">
        <f t="shared" si="15"/>
        <v>0.21672807287451643</v>
      </c>
      <c r="E276" s="83">
        <f>B276*(($N$38-0.065)-0.00381)</f>
        <v>0.10700564313140411</v>
      </c>
      <c r="F276" s="83">
        <f t="shared" si="16"/>
        <v>0.32373371600592055</v>
      </c>
      <c r="G276" s="76">
        <f>F276/B276*100</f>
        <v>11.618249586669602</v>
      </c>
    </row>
    <row r="277" spans="1:8" x14ac:dyDescent="0.25">
      <c r="A277" s="45" t="s">
        <v>26</v>
      </c>
      <c r="B277" s="159">
        <v>0</v>
      </c>
      <c r="C277" s="169">
        <f>0.811+6.5</f>
        <v>7.3109999999999999</v>
      </c>
      <c r="D277" s="83">
        <f t="shared" si="15"/>
        <v>0</v>
      </c>
      <c r="E277" s="83">
        <f>B277*(($N$38-0.065)-0.0037)</f>
        <v>0</v>
      </c>
      <c r="F277" s="83">
        <f t="shared" si="16"/>
        <v>0</v>
      </c>
      <c r="G277" s="76">
        <f>C277+($N$38-0.065)*100</f>
        <v>11.532249586669602</v>
      </c>
    </row>
    <row r="278" spans="1:8" x14ac:dyDescent="0.25">
      <c r="A278" s="45" t="s">
        <v>27</v>
      </c>
      <c r="B278" s="159">
        <v>0</v>
      </c>
      <c r="C278" s="169">
        <f>0.807+6.5</f>
        <v>7.3070000000000004</v>
      </c>
      <c r="D278" s="83">
        <f t="shared" si="15"/>
        <v>0</v>
      </c>
      <c r="E278" s="83">
        <f>B278*(($N$38-0.065)-0.00367)</f>
        <v>0</v>
      </c>
      <c r="F278" s="83">
        <f t="shared" si="16"/>
        <v>0</v>
      </c>
      <c r="G278" s="76">
        <f>C278+($N$38-0.065)*100</f>
        <v>11.528249586669602</v>
      </c>
    </row>
    <row r="279" spans="1:8" x14ac:dyDescent="0.25">
      <c r="A279" s="45"/>
      <c r="B279" s="159"/>
      <c r="C279" s="169"/>
      <c r="D279" s="83"/>
      <c r="E279" s="204"/>
      <c r="F279" s="83"/>
      <c r="G279" s="76"/>
    </row>
    <row r="280" spans="1:8" x14ac:dyDescent="0.25">
      <c r="A280" s="25" t="s">
        <v>10</v>
      </c>
      <c r="B280" s="159"/>
      <c r="C280" s="169"/>
      <c r="D280" s="83"/>
      <c r="E280" s="204"/>
      <c r="F280" s="83"/>
      <c r="G280" s="76"/>
    </row>
    <row r="281" spans="1:8" x14ac:dyDescent="0.25">
      <c r="A281" s="45" t="s">
        <v>6</v>
      </c>
      <c r="B281" s="159">
        <f>1.598713104384*0.808</f>
        <v>1.291760188342272</v>
      </c>
      <c r="C281" s="169">
        <f>1.03+6.5</f>
        <v>7.53</v>
      </c>
      <c r="D281" s="83">
        <f t="shared" si="15"/>
        <v>9.7269542182173083E-2</v>
      </c>
      <c r="E281" s="107">
        <f>(($N$39-0.065)-0.00307)*B281</f>
        <v>1.0993336731976057E-2</v>
      </c>
      <c r="F281" s="83">
        <f t="shared" si="16"/>
        <v>0.10826287891414914</v>
      </c>
      <c r="G281" s="76">
        <f>F281/B281*100</f>
        <v>8.3810354190497165</v>
      </c>
    </row>
    <row r="282" spans="1:8" x14ac:dyDescent="0.25">
      <c r="A282" s="45" t="s">
        <v>7</v>
      </c>
      <c r="B282" s="159">
        <f>3.07536457536*0.808</f>
        <v>2.4848945768908801</v>
      </c>
      <c r="C282" s="169">
        <f>1.017+6.5</f>
        <v>7.5169999999999995</v>
      </c>
      <c r="D282" s="83">
        <f t="shared" si="15"/>
        <v>0.18678952534488744</v>
      </c>
      <c r="E282" s="107">
        <f>(($N$39-0.065)-0.00302)*B282</f>
        <v>2.1271577704231513E-2</v>
      </c>
      <c r="F282" s="83">
        <f t="shared" si="16"/>
        <v>0.20806110304911896</v>
      </c>
      <c r="G282" s="76">
        <f>F282/B282*100</f>
        <v>8.3730354190497156</v>
      </c>
      <c r="H282" s="28"/>
    </row>
    <row r="283" spans="1:8" x14ac:dyDescent="0.25">
      <c r="A283" s="45" t="s">
        <v>26</v>
      </c>
      <c r="B283" s="159">
        <v>0</v>
      </c>
      <c r="C283" s="169">
        <f>0.738+6.5</f>
        <v>7.2379999999999995</v>
      </c>
      <c r="D283" s="83">
        <f t="shared" si="15"/>
        <v>0</v>
      </c>
      <c r="E283" s="107">
        <f>(($N$39-0.065)-0.00297)*B283</f>
        <v>0</v>
      </c>
      <c r="F283" s="83">
        <f t="shared" si="16"/>
        <v>0</v>
      </c>
      <c r="G283" s="76">
        <f>C283+($N$39-0.065)*100</f>
        <v>8.3960354190497153</v>
      </c>
      <c r="H283" s="28"/>
    </row>
    <row r="284" spans="1:8" x14ac:dyDescent="0.25">
      <c r="A284" s="45" t="s">
        <v>27</v>
      </c>
      <c r="B284" s="162">
        <v>0</v>
      </c>
      <c r="C284" s="169">
        <f>0.735+6.5</f>
        <v>7.2350000000000003</v>
      </c>
      <c r="D284" s="83">
        <f t="shared" si="15"/>
        <v>0</v>
      </c>
      <c r="E284" s="107">
        <f>(($N$39-0.065)-0.00295)*B284</f>
        <v>0</v>
      </c>
      <c r="F284" s="83">
        <f t="shared" si="16"/>
        <v>0</v>
      </c>
      <c r="G284" s="76">
        <f>C284+($N$39-0.065)*100</f>
        <v>8.3930354190497169</v>
      </c>
      <c r="H284" s="28"/>
    </row>
    <row r="285" spans="1:8" x14ac:dyDescent="0.25">
      <c r="A285" s="45"/>
      <c r="B285" s="162"/>
      <c r="C285" s="76"/>
      <c r="D285" s="83"/>
      <c r="E285" s="108"/>
      <c r="F285" s="83"/>
      <c r="G285" s="169"/>
      <c r="H285" s="28"/>
    </row>
    <row r="286" spans="1:8" x14ac:dyDescent="0.25">
      <c r="A286" s="26" t="s">
        <v>13</v>
      </c>
      <c r="B286" s="159"/>
      <c r="C286" s="76"/>
      <c r="D286" s="83"/>
      <c r="E286" s="108"/>
      <c r="F286" s="83"/>
      <c r="G286" s="169"/>
      <c r="H286" s="28"/>
    </row>
    <row r="287" spans="1:8" x14ac:dyDescent="0.25">
      <c r="A287" s="45" t="s">
        <v>6</v>
      </c>
      <c r="B287" s="162">
        <f>0.65636315136*0.808</f>
        <v>0.53034142629888004</v>
      </c>
      <c r="C287" s="76">
        <f>1.824+6.5</f>
        <v>8.3239999999999998</v>
      </c>
      <c r="D287" s="83">
        <f t="shared" si="15"/>
        <v>4.4145620325118776E-2</v>
      </c>
      <c r="E287" s="83">
        <f>B287*(($N$37-0.065)-0.00994)</f>
        <v>4.1483682048885286E-2</v>
      </c>
      <c r="F287" s="83">
        <f t="shared" si="16"/>
        <v>8.5629302374004068E-2</v>
      </c>
      <c r="G287" s="76">
        <f>F287/B287*100</f>
        <v>16.146070838099433</v>
      </c>
      <c r="H287" s="28"/>
    </row>
    <row r="288" spans="1:8" x14ac:dyDescent="0.25">
      <c r="A288" s="45" t="s">
        <v>7</v>
      </c>
      <c r="B288" s="162">
        <f>0.929312719104*0.808</f>
        <v>0.75088467703603212</v>
      </c>
      <c r="C288" s="76">
        <f>1.766+6.5</f>
        <v>8.266</v>
      </c>
      <c r="D288" s="83">
        <f t="shared" si="15"/>
        <v>6.2068127403798412E-2</v>
      </c>
      <c r="E288" s="83">
        <f>B288*(($N$37-0.065)-0.00952)</f>
        <v>5.9050102914547709E-2</v>
      </c>
      <c r="F288" s="83">
        <f t="shared" si="16"/>
        <v>0.12111823031834612</v>
      </c>
      <c r="G288" s="76">
        <f>F288/B288*100</f>
        <v>16.130070838099435</v>
      </c>
      <c r="H288" s="28"/>
    </row>
    <row r="289" spans="1:8" x14ac:dyDescent="0.25">
      <c r="A289" s="45" t="s">
        <v>26</v>
      </c>
      <c r="B289" s="162">
        <v>0</v>
      </c>
      <c r="C289" s="76">
        <f>1.373+6.5</f>
        <v>7.8730000000000002</v>
      </c>
      <c r="D289" s="83">
        <f t="shared" si="15"/>
        <v>0</v>
      </c>
      <c r="E289" s="83">
        <f>B289*(($N$37-0.065)-0.00932)</f>
        <v>0</v>
      </c>
      <c r="F289" s="83">
        <f t="shared" si="16"/>
        <v>0</v>
      </c>
      <c r="G289" s="76">
        <f>C289+($N$37-0.065)*100</f>
        <v>16.689070838099433</v>
      </c>
      <c r="H289" s="28"/>
    </row>
    <row r="290" spans="1:8" x14ac:dyDescent="0.25">
      <c r="A290" s="45" t="s">
        <v>27</v>
      </c>
      <c r="B290" s="162">
        <v>0</v>
      </c>
      <c r="C290" s="76">
        <f>1.366+6.5</f>
        <v>7.8659999999999997</v>
      </c>
      <c r="D290" s="83">
        <f t="shared" si="15"/>
        <v>0</v>
      </c>
      <c r="E290" s="83">
        <f>B290*(($N$37-0.065)-0.00926)</f>
        <v>0</v>
      </c>
      <c r="F290" s="83">
        <f t="shared" si="16"/>
        <v>0</v>
      </c>
      <c r="G290" s="76">
        <f>C290+($N$37-0.065)*100</f>
        <v>16.682070838099431</v>
      </c>
      <c r="H290" s="28"/>
    </row>
    <row r="291" spans="1:8" x14ac:dyDescent="0.25">
      <c r="A291" s="45"/>
      <c r="B291" s="162"/>
      <c r="C291" s="169"/>
      <c r="D291" s="83"/>
      <c r="E291" s="83"/>
      <c r="F291" s="83"/>
      <c r="G291" s="169"/>
      <c r="H291" s="28"/>
    </row>
    <row r="292" spans="1:8" x14ac:dyDescent="0.25">
      <c r="A292" s="25" t="s">
        <v>14</v>
      </c>
      <c r="B292" s="159"/>
      <c r="C292" s="169"/>
      <c r="D292" s="83"/>
      <c r="E292" s="83"/>
      <c r="F292" s="83"/>
      <c r="G292" s="169"/>
      <c r="H292" s="28"/>
    </row>
    <row r="293" spans="1:8" x14ac:dyDescent="0.25">
      <c r="A293" s="45" t="s">
        <v>6</v>
      </c>
      <c r="B293" s="162">
        <f>4.374089653248*0.808</f>
        <v>3.5342644398243843</v>
      </c>
      <c r="C293" s="169">
        <f>1.22+6.5</f>
        <v>7.72</v>
      </c>
      <c r="D293" s="83">
        <f t="shared" si="15"/>
        <v>0.27284521475444246</v>
      </c>
      <c r="E293" s="83">
        <f>B293*(($N$38-0.065)-0.00391)</f>
        <v>0.13537114909818423</v>
      </c>
      <c r="F293" s="83">
        <f t="shared" si="16"/>
        <v>0.40821636385262672</v>
      </c>
      <c r="G293" s="76">
        <f>F293/B293*100</f>
        <v>11.550249586669603</v>
      </c>
      <c r="H293" s="28"/>
    </row>
    <row r="294" spans="1:8" x14ac:dyDescent="0.25">
      <c r="A294" s="45" t="s">
        <v>7</v>
      </c>
      <c r="B294" s="162">
        <f>6.227081902272*0.808</f>
        <v>5.0314821770357767</v>
      </c>
      <c r="C294" s="169">
        <f>1.196+6.5</f>
        <v>7.6959999999999997</v>
      </c>
      <c r="D294" s="83">
        <f t="shared" si="15"/>
        <v>0.38722286834467334</v>
      </c>
      <c r="E294" s="83">
        <f>B294*(($N$38-0.065)-0.00382)</f>
        <v>0.19317115868520079</v>
      </c>
      <c r="F294" s="83">
        <f t="shared" si="16"/>
        <v>0.58039402702987419</v>
      </c>
      <c r="G294" s="76">
        <f>F294/B294*100</f>
        <v>11.535249586669604</v>
      </c>
      <c r="H294" s="28"/>
    </row>
    <row r="295" spans="1:8" x14ac:dyDescent="0.25">
      <c r="A295" s="45" t="s">
        <v>26</v>
      </c>
      <c r="B295" s="162">
        <v>0</v>
      </c>
      <c r="C295" s="169">
        <f>0.813+6.5</f>
        <v>7.3129999999999997</v>
      </c>
      <c r="D295" s="83">
        <f t="shared" si="15"/>
        <v>0</v>
      </c>
      <c r="E295" s="83">
        <f>B295*(($N$38-0.065)-0.00372)</f>
        <v>0</v>
      </c>
      <c r="F295" s="83">
        <f t="shared" si="16"/>
        <v>0</v>
      </c>
      <c r="G295" s="76">
        <f>C295+($N$38-0.065)*100</f>
        <v>11.534249586669603</v>
      </c>
      <c r="H295" s="28"/>
    </row>
    <row r="296" spans="1:8" x14ac:dyDescent="0.25">
      <c r="A296" s="45" t="s">
        <v>27</v>
      </c>
      <c r="B296" s="162">
        <v>0</v>
      </c>
      <c r="C296" s="169">
        <f>0.809+6.5</f>
        <v>7.3090000000000002</v>
      </c>
      <c r="D296" s="83">
        <f t="shared" si="15"/>
        <v>0</v>
      </c>
      <c r="E296" s="83">
        <f>B296*(($N$38-0.065)-0.00369)</f>
        <v>0</v>
      </c>
      <c r="F296" s="83">
        <f t="shared" si="16"/>
        <v>0</v>
      </c>
      <c r="G296" s="76">
        <f>C296+($N$38-0.065)*100</f>
        <v>11.530249586669601</v>
      </c>
      <c r="H296" s="28"/>
    </row>
    <row r="297" spans="1:8" x14ac:dyDescent="0.25">
      <c r="A297" s="45"/>
      <c r="B297" s="162"/>
      <c r="C297" s="169"/>
      <c r="D297" s="83"/>
      <c r="E297" s="204"/>
      <c r="F297" s="83"/>
      <c r="G297" s="169"/>
      <c r="H297" s="28"/>
    </row>
    <row r="298" spans="1:8" x14ac:dyDescent="0.25">
      <c r="A298" s="25" t="s">
        <v>15</v>
      </c>
      <c r="B298" s="159"/>
      <c r="C298" s="169"/>
      <c r="D298" s="83"/>
      <c r="E298" s="204"/>
      <c r="F298" s="83"/>
      <c r="G298" s="169"/>
      <c r="H298" s="28"/>
    </row>
    <row r="299" spans="1:8" x14ac:dyDescent="0.25">
      <c r="A299" s="45" t="s">
        <v>6</v>
      </c>
      <c r="B299" s="162">
        <f>2.084666443776*0.808</f>
        <v>1.6844104865710079</v>
      </c>
      <c r="C299" s="169">
        <f>1.035+6.5</f>
        <v>7.5350000000000001</v>
      </c>
      <c r="D299" s="83">
        <f t="shared" si="15"/>
        <v>0.12692033016312546</v>
      </c>
      <c r="E299" s="107">
        <f>(($N$39-0.065)-0.0031)*B299</f>
        <v>1.4284397528309808E-2</v>
      </c>
      <c r="F299" s="83">
        <f t="shared" si="16"/>
        <v>0.14120472769143527</v>
      </c>
      <c r="G299" s="76">
        <f>F299/B299*100</f>
        <v>8.3830354190497172</v>
      </c>
      <c r="H299" s="28"/>
    </row>
    <row r="300" spans="1:8" x14ac:dyDescent="0.25">
      <c r="A300" s="45" t="s">
        <v>7</v>
      </c>
      <c r="B300" s="162">
        <f>4.283765403456*0.808</f>
        <v>3.4612824459924481</v>
      </c>
      <c r="C300" s="169">
        <f>1.022+6.5</f>
        <v>7.5220000000000002</v>
      </c>
      <c r="D300" s="83">
        <f t="shared" si="15"/>
        <v>0.26035766558755197</v>
      </c>
      <c r="E300" s="107">
        <f>(($N$39-0.065)-0.00305)*B300</f>
        <v>2.9525965217665939E-2</v>
      </c>
      <c r="F300" s="83">
        <f t="shared" si="16"/>
        <v>0.2898836308052179</v>
      </c>
      <c r="G300" s="76">
        <f>F300/B300*100</f>
        <v>8.3750354190497163</v>
      </c>
      <c r="H300" s="28"/>
    </row>
    <row r="301" spans="1:8" x14ac:dyDescent="0.25">
      <c r="A301" s="45" t="s">
        <v>26</v>
      </c>
      <c r="B301" s="162">
        <v>0</v>
      </c>
      <c r="C301" s="169">
        <f>0.741+6.5</f>
        <v>7.2409999999999997</v>
      </c>
      <c r="D301" s="83">
        <f t="shared" si="15"/>
        <v>0</v>
      </c>
      <c r="E301" s="107">
        <f>(($N$39-0.065)-0.003)*B301</f>
        <v>0</v>
      </c>
      <c r="F301" s="83">
        <f t="shared" si="16"/>
        <v>0</v>
      </c>
      <c r="G301" s="76">
        <f>C301+($N$39-0.065)*100</f>
        <v>8.3990354190497154</v>
      </c>
      <c r="H301" s="28"/>
    </row>
    <row r="302" spans="1:8" x14ac:dyDescent="0.25">
      <c r="A302" s="45" t="s">
        <v>27</v>
      </c>
      <c r="B302" s="162">
        <v>0</v>
      </c>
      <c r="C302" s="169">
        <f>0.738+6.5</f>
        <v>7.2379999999999995</v>
      </c>
      <c r="D302" s="83">
        <f t="shared" si="15"/>
        <v>0</v>
      </c>
      <c r="E302" s="107">
        <f>(($N$39-0.065)-0.00298)*B302</f>
        <v>0</v>
      </c>
      <c r="F302" s="83">
        <f t="shared" si="16"/>
        <v>0</v>
      </c>
      <c r="G302" s="76">
        <f>C302+($N$39-0.065)*100</f>
        <v>8.3960354190497153</v>
      </c>
      <c r="H302" s="28"/>
    </row>
    <row r="303" spans="1:8" x14ac:dyDescent="0.25">
      <c r="A303" s="41"/>
      <c r="B303" s="78"/>
      <c r="C303" s="76"/>
      <c r="D303" s="83"/>
      <c r="E303" s="204"/>
      <c r="F303" s="83"/>
      <c r="G303" s="76"/>
    </row>
    <row r="304" spans="1:8" ht="13.8" thickBot="1" x14ac:dyDescent="0.3">
      <c r="A304" s="115" t="s">
        <v>29</v>
      </c>
      <c r="B304" s="111">
        <f>SUM(B263:B302)</f>
        <v>26.807016000000001</v>
      </c>
      <c r="C304" s="167">
        <f>D304/B304*100</f>
        <v>12.174244126742199</v>
      </c>
      <c r="D304" s="203">
        <f>SUM(D250:D302)</f>
        <v>3.2635515709348413</v>
      </c>
      <c r="E304" s="203">
        <f>SUM(E250:E302)</f>
        <v>0.88011617583457114</v>
      </c>
      <c r="F304" s="203">
        <f>SUM(F250:F302)</f>
        <v>4.1436677467694114</v>
      </c>
      <c r="G304" s="167">
        <f>F304/B304*100</f>
        <v>15.457400207353967</v>
      </c>
      <c r="H304" s="106">
        <f>(G304-C304)/C304</f>
        <v>0.26968048664310246</v>
      </c>
    </row>
    <row r="305" spans="1:8" ht="13.8" thickTop="1" x14ac:dyDescent="0.25">
      <c r="A305" s="25"/>
      <c r="B305" s="72"/>
      <c r="C305" s="72"/>
      <c r="D305" s="89"/>
      <c r="E305" s="38"/>
      <c r="F305" s="28"/>
      <c r="G305" s="28"/>
      <c r="H305" s="28"/>
    </row>
    <row r="306" spans="1:8" x14ac:dyDescent="0.25">
      <c r="A306" s="25"/>
      <c r="B306" s="72"/>
      <c r="C306" s="72"/>
      <c r="E306" s="108"/>
      <c r="F306" s="28"/>
      <c r="G306" s="28"/>
      <c r="H306" s="28"/>
    </row>
    <row r="307" spans="1:8" x14ac:dyDescent="0.25">
      <c r="A307" s="25"/>
      <c r="B307" s="72"/>
      <c r="C307" s="72"/>
      <c r="D307" s="89"/>
      <c r="E307" s="38"/>
      <c r="F307" s="28"/>
      <c r="G307" s="28"/>
      <c r="H307" s="28"/>
    </row>
    <row r="308" spans="1:8" x14ac:dyDescent="0.25">
      <c r="A308" s="37"/>
      <c r="E308" s="31"/>
      <c r="H308" s="37" t="s">
        <v>92</v>
      </c>
    </row>
    <row r="309" spans="1:8" ht="21" x14ac:dyDescent="0.4">
      <c r="A309" s="229" t="s">
        <v>2</v>
      </c>
      <c r="B309" s="229"/>
      <c r="C309" s="229"/>
      <c r="D309" s="229"/>
      <c r="E309" s="229"/>
      <c r="F309" s="229"/>
      <c r="G309" s="229"/>
      <c r="H309" s="229"/>
    </row>
    <row r="310" spans="1:8" ht="21" x14ac:dyDescent="0.4">
      <c r="A310" s="229" t="s">
        <v>100</v>
      </c>
      <c r="B310" s="229"/>
      <c r="C310" s="229"/>
      <c r="D310" s="229"/>
      <c r="E310" s="229"/>
      <c r="F310" s="229"/>
      <c r="G310" s="229"/>
      <c r="H310" s="229"/>
    </row>
    <row r="311" spans="1:8" ht="13.8" thickBot="1" x14ac:dyDescent="0.3">
      <c r="A311" s="37"/>
      <c r="E311" s="31"/>
    </row>
    <row r="312" spans="1:8" ht="53.4" thickBot="1" x14ac:dyDescent="0.3">
      <c r="A312" s="2" t="s">
        <v>0</v>
      </c>
      <c r="B312" s="3" t="s">
        <v>30</v>
      </c>
      <c r="C312" s="3" t="s">
        <v>121</v>
      </c>
      <c r="D312" s="3" t="s">
        <v>35</v>
      </c>
      <c r="E312" s="3" t="s">
        <v>122</v>
      </c>
      <c r="F312" s="3" t="s">
        <v>1</v>
      </c>
      <c r="G312" s="3" t="s">
        <v>31</v>
      </c>
      <c r="H312" s="3" t="s">
        <v>32</v>
      </c>
    </row>
    <row r="313" spans="1:8" x14ac:dyDescent="0.25">
      <c r="A313" s="25"/>
      <c r="B313" s="72"/>
      <c r="C313" s="72"/>
      <c r="D313" s="89"/>
      <c r="E313" s="38"/>
      <c r="F313" s="28"/>
      <c r="G313" s="28"/>
      <c r="H313" s="28"/>
    </row>
    <row r="314" spans="1:8" x14ac:dyDescent="0.25">
      <c r="A314" s="53" t="s">
        <v>24</v>
      </c>
      <c r="D314" s="83"/>
      <c r="E314" s="31"/>
    </row>
    <row r="315" spans="1:8" x14ac:dyDescent="0.25">
      <c r="A315" s="53"/>
      <c r="E315" s="31"/>
    </row>
    <row r="316" spans="1:8" x14ac:dyDescent="0.25">
      <c r="A316" s="63" t="s">
        <v>4</v>
      </c>
      <c r="E316" s="31"/>
    </row>
    <row r="317" spans="1:8" x14ac:dyDescent="0.25">
      <c r="A317" s="12" t="s">
        <v>43</v>
      </c>
      <c r="E317" s="31"/>
    </row>
    <row r="318" spans="1:8" x14ac:dyDescent="0.25">
      <c r="A318" s="45" t="s">
        <v>7</v>
      </c>
      <c r="B318" s="78"/>
      <c r="C318" s="159">
        <f>D318/(B329+B334+B339+B344+B349+B354)*100</f>
        <v>8.5798936123928624E-2</v>
      </c>
      <c r="D318" s="83">
        <v>4.1299401141056645E-3</v>
      </c>
      <c r="E318" s="204">
        <f>F318-D318</f>
        <v>0</v>
      </c>
      <c r="F318" s="83">
        <v>4.1299401141056645E-3</v>
      </c>
      <c r="G318" s="159">
        <f>F318/(B329+B334+B339+B344+B349+B354)*100</f>
        <v>8.5798936123928624E-2</v>
      </c>
    </row>
    <row r="319" spans="1:8" x14ac:dyDescent="0.25">
      <c r="A319" s="45" t="s">
        <v>26</v>
      </c>
      <c r="B319" s="78"/>
      <c r="C319" s="159">
        <f>D319/(B330+B335+B340+B345+B350+B355)*100</f>
        <v>0.87739337142857166</v>
      </c>
      <c r="D319" s="83">
        <v>0.46350094728192009</v>
      </c>
      <c r="E319" s="204">
        <f t="shared" ref="E319:E325" si="17">F319-D319</f>
        <v>0</v>
      </c>
      <c r="F319" s="83">
        <v>0.46350094728192009</v>
      </c>
      <c r="G319" s="159">
        <f>F319/(B330+B335+B340+B345+B350+B355)*100</f>
        <v>0.87739337142857166</v>
      </c>
    </row>
    <row r="320" spans="1:8" x14ac:dyDescent="0.25">
      <c r="A320" s="45" t="s">
        <v>27</v>
      </c>
      <c r="B320" s="78"/>
      <c r="C320" s="159">
        <f>D320/(B331+B336+B341+B346+B351+B356)*100</f>
        <v>8.0415780991056479E-3</v>
      </c>
      <c r="D320" s="83">
        <v>3.522042062611655E-2</v>
      </c>
      <c r="E320" s="204">
        <f t="shared" si="17"/>
        <v>0</v>
      </c>
      <c r="F320" s="83">
        <v>3.522042062611655E-2</v>
      </c>
      <c r="G320" s="159">
        <f>F320/(B331+B336+B341+B346+B351+B356)*100</f>
        <v>8.0415780991056479E-3</v>
      </c>
    </row>
    <row r="321" spans="1:7" x14ac:dyDescent="0.25">
      <c r="A321" s="45"/>
      <c r="B321" s="78"/>
      <c r="C321" s="78"/>
      <c r="D321" s="83"/>
      <c r="E321" s="204"/>
      <c r="F321" s="83"/>
      <c r="G321" s="78"/>
    </row>
    <row r="322" spans="1:7" x14ac:dyDescent="0.25">
      <c r="A322" s="44" t="s">
        <v>46</v>
      </c>
      <c r="B322" s="78"/>
      <c r="C322" s="78"/>
      <c r="D322" s="83"/>
      <c r="E322" s="204"/>
      <c r="F322" s="83"/>
      <c r="G322" s="78"/>
    </row>
    <row r="323" spans="1:7" x14ac:dyDescent="0.25">
      <c r="A323" s="45" t="s">
        <v>7</v>
      </c>
      <c r="B323" s="78"/>
      <c r="C323" s="159">
        <f>D323/(B329+B334+B339+B344+B349+B354)*100</f>
        <v>3.372962800000002</v>
      </c>
      <c r="D323" s="83">
        <v>0.16235789160585135</v>
      </c>
      <c r="E323" s="204">
        <f t="shared" si="17"/>
        <v>-1.386922326503684E-2</v>
      </c>
      <c r="F323" s="83">
        <v>0.14848866834081451</v>
      </c>
      <c r="G323" s="159">
        <f>F323/(B329+B334+B339+B344+B349+B354)*100</f>
        <v>3.084831600000002</v>
      </c>
    </row>
    <row r="324" spans="1:7" x14ac:dyDescent="0.25">
      <c r="A324" s="45" t="s">
        <v>26</v>
      </c>
      <c r="B324" s="78"/>
      <c r="C324" s="159">
        <f>D324/(B330+B335+B340+B345+B350+B355)*100</f>
        <v>0.75345239920000007</v>
      </c>
      <c r="D324" s="83">
        <v>0.39802660030634368</v>
      </c>
      <c r="E324" s="204">
        <f t="shared" si="17"/>
        <v>-6.5161731223680019E-2</v>
      </c>
      <c r="F324" s="83">
        <v>0.33286486908266366</v>
      </c>
      <c r="G324" s="159">
        <f>F324/(B330+B335+B340+B345+B350+B355)*100</f>
        <v>0.63010319920000002</v>
      </c>
    </row>
    <row r="325" spans="1:7" x14ac:dyDescent="0.25">
      <c r="A325" s="45" t="s">
        <v>27</v>
      </c>
      <c r="B325" s="78"/>
      <c r="C325" s="159">
        <f>D325/(B331+B336+B341+B346+B351+B356)*100</f>
        <v>0.64370680000000002</v>
      </c>
      <c r="D325" s="83">
        <v>2.8193003881182137</v>
      </c>
      <c r="E325" s="204">
        <f t="shared" si="17"/>
        <v>-0.50005109722685548</v>
      </c>
      <c r="F325" s="83">
        <v>2.3192492908913582</v>
      </c>
      <c r="G325" s="159">
        <f>F325/(B331+B336+B341+B346+B351+B356)*100</f>
        <v>0.52953439999999996</v>
      </c>
    </row>
    <row r="326" spans="1:7" x14ac:dyDescent="0.25">
      <c r="A326" s="63"/>
      <c r="B326" s="78"/>
      <c r="C326" s="78"/>
      <c r="D326" s="83"/>
      <c r="E326" s="204"/>
      <c r="F326" s="83"/>
      <c r="G326" s="78"/>
    </row>
    <row r="327" spans="1:7" x14ac:dyDescent="0.25">
      <c r="A327" s="52" t="s">
        <v>3</v>
      </c>
      <c r="B327" s="78"/>
      <c r="C327" s="78"/>
      <c r="D327" s="83"/>
      <c r="E327" s="204"/>
      <c r="F327" s="83"/>
      <c r="G327" s="78"/>
    </row>
    <row r="328" spans="1:7" x14ac:dyDescent="0.25">
      <c r="A328" s="44" t="s">
        <v>8</v>
      </c>
      <c r="B328" s="78"/>
      <c r="C328" s="78"/>
      <c r="D328" s="83"/>
      <c r="E328" s="204"/>
      <c r="F328" s="83"/>
      <c r="G328" s="78"/>
    </row>
    <row r="329" spans="1:7" x14ac:dyDescent="0.25">
      <c r="A329" s="45" t="s">
        <v>7</v>
      </c>
      <c r="B329" s="68">
        <f>0.573260410341037*0.808</f>
        <v>0.46319441155555796</v>
      </c>
      <c r="C329" s="76">
        <f>1.376+6.5</f>
        <v>7.8759999999999994</v>
      </c>
      <c r="D329" s="83">
        <f>C329*B329/100</f>
        <v>3.6481191854115746E-2</v>
      </c>
      <c r="E329" s="83">
        <f>B329*(($N$37-0.065)-0.00609)</f>
        <v>3.8014693474482462E-2</v>
      </c>
      <c r="F329" s="83">
        <f t="shared" ref="F329:F355" si="18">D329+E329</f>
        <v>7.4495885328598216E-2</v>
      </c>
      <c r="G329" s="76">
        <f t="shared" ref="G329:G355" si="19">F329/B329*100</f>
        <v>16.083070838099434</v>
      </c>
    </row>
    <row r="330" spans="1:7" x14ac:dyDescent="0.25">
      <c r="A330" s="45" t="s">
        <v>26</v>
      </c>
      <c r="B330" s="68">
        <f>6.29138664*0.808</f>
        <v>5.0834404051200002</v>
      </c>
      <c r="C330" s="76">
        <f>0.9+6.5</f>
        <v>7.4</v>
      </c>
      <c r="D330" s="83">
        <f t="shared" ref="D330:D356" si="20">C330*B330/100</f>
        <v>0.37617458997887998</v>
      </c>
      <c r="E330" s="83">
        <f>B330*(($N$37-0.065)-0.00589)</f>
        <v>0.41821824314179112</v>
      </c>
      <c r="F330" s="83">
        <f t="shared" si="18"/>
        <v>0.7943928331206711</v>
      </c>
      <c r="G330" s="76">
        <f t="shared" si="19"/>
        <v>15.62707083809943</v>
      </c>
    </row>
    <row r="331" spans="1:7" x14ac:dyDescent="0.25">
      <c r="A331" s="45" t="s">
        <v>27</v>
      </c>
      <c r="B331" s="68">
        <f>52.0891420021453*0.808</f>
        <v>42.088026737733408</v>
      </c>
      <c r="C331" s="76">
        <f>0.896+6.5</f>
        <v>7.3959999999999999</v>
      </c>
      <c r="D331" s="83">
        <f t="shared" si="20"/>
        <v>3.112830457522763</v>
      </c>
      <c r="E331" s="83">
        <f>B331*(($N$37-0.065)-0.00585)</f>
        <v>3.4642952951410666</v>
      </c>
      <c r="F331" s="83">
        <f t="shared" si="18"/>
        <v>6.5771257526638296</v>
      </c>
      <c r="G331" s="76">
        <f t="shared" si="19"/>
        <v>15.627070838099433</v>
      </c>
    </row>
    <row r="332" spans="1:7" x14ac:dyDescent="0.25">
      <c r="A332" s="45"/>
      <c r="B332" s="68"/>
      <c r="C332" s="76"/>
      <c r="D332" s="83"/>
      <c r="E332" s="204"/>
      <c r="F332" s="83"/>
      <c r="G332" s="76"/>
    </row>
    <row r="333" spans="1:7" x14ac:dyDescent="0.25">
      <c r="A333" s="25" t="s">
        <v>9</v>
      </c>
      <c r="B333" s="68"/>
      <c r="C333" s="76"/>
      <c r="D333" s="83"/>
      <c r="E333" s="204"/>
      <c r="F333" s="83"/>
      <c r="G333" s="76"/>
    </row>
    <row r="334" spans="1:7" x14ac:dyDescent="0.25">
      <c r="A334" s="45" t="s">
        <v>7</v>
      </c>
      <c r="B334" s="68">
        <f>0.760939630187485*0.808</f>
        <v>0.61483922119148793</v>
      </c>
      <c r="C334" s="76">
        <f>1.127+6.5</f>
        <v>7.6269999999999998</v>
      </c>
      <c r="D334" s="83">
        <f t="shared" si="20"/>
        <v>4.6893787400274778E-2</v>
      </c>
      <c r="E334" s="83">
        <f>B334*(($N$38-0.065)-0.0036)</f>
        <v>2.3740476886938928E-2</v>
      </c>
      <c r="F334" s="83">
        <f t="shared" si="18"/>
        <v>7.0634264287213699E-2</v>
      </c>
      <c r="G334" s="76">
        <f t="shared" si="19"/>
        <v>11.4882495866696</v>
      </c>
    </row>
    <row r="335" spans="1:7" x14ac:dyDescent="0.25">
      <c r="A335" s="45" t="s">
        <v>26</v>
      </c>
      <c r="B335" s="68">
        <f>8.35111816*0.808</f>
        <v>6.7477034732800005</v>
      </c>
      <c r="C335" s="76">
        <f>0.66+6.5</f>
        <v>7.16</v>
      </c>
      <c r="D335" s="83">
        <f t="shared" si="20"/>
        <v>0.48313556868684804</v>
      </c>
      <c r="E335" s="83">
        <f>B335*(($N$38-0.065)-0.00349)</f>
        <v>0.2612879198537752</v>
      </c>
      <c r="F335" s="83">
        <f t="shared" si="18"/>
        <v>0.74442348854062323</v>
      </c>
      <c r="G335" s="76">
        <f t="shared" si="19"/>
        <v>11.032249586669602</v>
      </c>
    </row>
    <row r="336" spans="1:7" x14ac:dyDescent="0.25">
      <c r="A336" s="45" t="s">
        <v>27</v>
      </c>
      <c r="B336" s="68">
        <f>65.9938900732307*0.808</f>
        <v>53.323063179170411</v>
      </c>
      <c r="C336" s="76">
        <f>0.658+6.5</f>
        <v>7.1580000000000004</v>
      </c>
      <c r="D336" s="83">
        <f t="shared" si="20"/>
        <v>3.8168648623650183</v>
      </c>
      <c r="E336" s="83">
        <f>B336*(($N$38-0.065)-0.00347)</f>
        <v>2.0658685548185804</v>
      </c>
      <c r="F336" s="83">
        <f t="shared" si="18"/>
        <v>5.8827334171835988</v>
      </c>
      <c r="G336" s="76">
        <f t="shared" si="19"/>
        <v>11.032249586669602</v>
      </c>
    </row>
    <row r="337" spans="1:7" x14ac:dyDescent="0.25">
      <c r="A337" s="45"/>
      <c r="B337" s="68"/>
      <c r="C337" s="76"/>
      <c r="D337" s="83"/>
      <c r="E337" s="204"/>
      <c r="F337" s="83"/>
      <c r="G337" s="76"/>
    </row>
    <row r="338" spans="1:7" x14ac:dyDescent="0.25">
      <c r="A338" s="25" t="s">
        <v>10</v>
      </c>
      <c r="B338" s="68"/>
      <c r="C338" s="76"/>
      <c r="D338" s="83"/>
      <c r="E338" s="204"/>
      <c r="F338" s="83"/>
      <c r="G338" s="76"/>
    </row>
    <row r="339" spans="1:7" x14ac:dyDescent="0.25">
      <c r="A339" s="45" t="s">
        <v>7</v>
      </c>
      <c r="B339" s="68">
        <f>1.28701811375148*0.808</f>
        <v>1.0399106359111958</v>
      </c>
      <c r="C339" s="76">
        <f>0.87+6.5</f>
        <v>7.37</v>
      </c>
      <c r="D339" s="83">
        <f t="shared" si="20"/>
        <v>7.6641413866655128E-2</v>
      </c>
      <c r="E339" s="83">
        <f>B339*(($N$39-0.065)-0.00285)</f>
        <v>9.0787881779698758E-3</v>
      </c>
      <c r="F339" s="83">
        <f t="shared" si="18"/>
        <v>8.5720202044625007E-2</v>
      </c>
      <c r="G339" s="76">
        <f t="shared" si="19"/>
        <v>8.2430354190497148</v>
      </c>
    </row>
    <row r="340" spans="1:7" x14ac:dyDescent="0.25">
      <c r="A340" s="45" t="s">
        <v>26</v>
      </c>
      <c r="B340" s="68">
        <f>14.1246952*0.808</f>
        <v>11.4127537216</v>
      </c>
      <c r="C340" s="76">
        <f>0.59+6.5</f>
        <v>7.09</v>
      </c>
      <c r="D340" s="83">
        <f t="shared" si="20"/>
        <v>0.80916423886144007</v>
      </c>
      <c r="E340" s="83">
        <f>B340*(($N$39-0.065)-0.00279)</f>
        <v>0.10032214750177862</v>
      </c>
      <c r="F340" s="83">
        <f t="shared" si="18"/>
        <v>0.90948638636321866</v>
      </c>
      <c r="G340" s="76">
        <f t="shared" si="19"/>
        <v>7.9690354190497166</v>
      </c>
    </row>
    <row r="341" spans="1:7" x14ac:dyDescent="0.25">
      <c r="A341" s="45" t="s">
        <v>27</v>
      </c>
      <c r="B341" s="68">
        <f>120.420365370344*0.808</f>
        <v>97.299655219237962</v>
      </c>
      <c r="C341" s="76">
        <f>0.589+6.5</f>
        <v>7.0890000000000004</v>
      </c>
      <c r="D341" s="83">
        <f t="shared" si="20"/>
        <v>6.8975725584917793</v>
      </c>
      <c r="E341" s="83">
        <f>B341*(($N$39-0.065)-0.00278)</f>
        <v>0.85627142854254978</v>
      </c>
      <c r="F341" s="83">
        <f t="shared" si="18"/>
        <v>7.7538439870343288</v>
      </c>
      <c r="G341" s="76">
        <f t="shared" si="19"/>
        <v>7.9690354190497166</v>
      </c>
    </row>
    <row r="342" spans="1:7" x14ac:dyDescent="0.25">
      <c r="A342" s="45"/>
      <c r="B342" s="68"/>
      <c r="C342" s="76"/>
      <c r="D342" s="83"/>
      <c r="E342" s="204"/>
      <c r="F342" s="83"/>
      <c r="G342" s="76"/>
    </row>
    <row r="343" spans="1:7" x14ac:dyDescent="0.25">
      <c r="A343" s="26" t="s">
        <v>13</v>
      </c>
      <c r="B343" s="68"/>
      <c r="C343" s="76"/>
      <c r="D343" s="83"/>
      <c r="E343" s="204"/>
      <c r="F343" s="83"/>
      <c r="G343" s="76"/>
    </row>
    <row r="344" spans="1:7" x14ac:dyDescent="0.25">
      <c r="A344" s="45" t="s">
        <v>7</v>
      </c>
      <c r="B344" s="68">
        <f>0.258881036619072*0.808</f>
        <v>0.20917587758821021</v>
      </c>
      <c r="C344" s="76">
        <f>1.194+6.5</f>
        <v>7.694</v>
      </c>
      <c r="D344" s="83">
        <f t="shared" si="20"/>
        <v>1.6093992021636895E-2</v>
      </c>
      <c r="E344" s="83">
        <f>B344*(($N$37-0.065)-0.0051)</f>
        <v>1.7374296568692896E-2</v>
      </c>
      <c r="F344" s="83">
        <f t="shared" si="18"/>
        <v>3.3468288590329791E-2</v>
      </c>
      <c r="G344" s="76">
        <f t="shared" si="19"/>
        <v>16.000070838099433</v>
      </c>
    </row>
    <row r="345" spans="1:7" x14ac:dyDescent="0.25">
      <c r="A345" s="45" t="s">
        <v>26</v>
      </c>
      <c r="B345" s="68">
        <f>2.84115328*0.808</f>
        <v>2.2956518502400001</v>
      </c>
      <c r="C345" s="76">
        <f>0.804+6.5</f>
        <v>7.3040000000000003</v>
      </c>
      <c r="D345" s="83">
        <f t="shared" si="20"/>
        <v>0.16767441114152962</v>
      </c>
      <c r="E345" s="83">
        <f>B345*(($N$37-0.065)-0.00493)</f>
        <v>0.19106872969161548</v>
      </c>
      <c r="F345" s="83">
        <f t="shared" si="18"/>
        <v>0.35874314083314507</v>
      </c>
      <c r="G345" s="76">
        <f t="shared" si="19"/>
        <v>15.62707083809943</v>
      </c>
    </row>
    <row r="346" spans="1:7" x14ac:dyDescent="0.25">
      <c r="A346" s="45" t="s">
        <v>27</v>
      </c>
      <c r="B346" s="68">
        <f>25.4374714439381*0.808</f>
        <v>20.553476926701986</v>
      </c>
      <c r="C346" s="76">
        <f>0.801+6.5</f>
        <v>7.3010000000000002</v>
      </c>
      <c r="D346" s="83">
        <f t="shared" si="20"/>
        <v>1.5006093504185118</v>
      </c>
      <c r="E346" s="83">
        <f>B346*(($N$37-0.065)-0.0049)</f>
        <v>1.7112970486096295</v>
      </c>
      <c r="F346" s="83">
        <f t="shared" si="18"/>
        <v>3.2119063990281411</v>
      </c>
      <c r="G346" s="76">
        <f t="shared" si="19"/>
        <v>15.62707083809943</v>
      </c>
    </row>
    <row r="347" spans="1:7" x14ac:dyDescent="0.25">
      <c r="A347" s="45"/>
      <c r="B347" s="68"/>
      <c r="C347" s="76"/>
      <c r="D347" s="83"/>
      <c r="E347" s="204"/>
      <c r="F347" s="83"/>
      <c r="G347" s="76"/>
    </row>
    <row r="348" spans="1:7" x14ac:dyDescent="0.25">
      <c r="A348" s="25" t="s">
        <v>14</v>
      </c>
      <c r="B348" s="68"/>
      <c r="C348" s="76"/>
      <c r="D348" s="83"/>
      <c r="E348" s="204"/>
      <c r="F348" s="83"/>
      <c r="G348" s="76"/>
    </row>
    <row r="349" spans="1:7" x14ac:dyDescent="0.25">
      <c r="A349" s="45" t="s">
        <v>7</v>
      </c>
      <c r="B349" s="68">
        <f>1.48289459764404*0.808</f>
        <v>1.1981788348963844</v>
      </c>
      <c r="C349" s="76">
        <f>1.045+6.5</f>
        <v>7.5449999999999999</v>
      </c>
      <c r="D349" s="83">
        <f t="shared" si="20"/>
        <v>9.0402593092932207E-2</v>
      </c>
      <c r="E349" s="83">
        <f>B349*(($N$38-0.065)-0.00361)</f>
        <v>4.6252693521650332E-2</v>
      </c>
      <c r="F349" s="83">
        <f t="shared" si="18"/>
        <v>0.13665528661458254</v>
      </c>
      <c r="G349" s="76">
        <f t="shared" si="19"/>
        <v>11.405249586669603</v>
      </c>
    </row>
    <row r="350" spans="1:7" x14ac:dyDescent="0.25">
      <c r="A350" s="45" t="s">
        <v>26</v>
      </c>
      <c r="B350" s="68">
        <f>16.2743896*0.808</f>
        <v>13.1497067968</v>
      </c>
      <c r="C350" s="76">
        <f>0.662+6.5</f>
        <v>7.1619999999999999</v>
      </c>
      <c r="D350" s="83">
        <f t="shared" si="20"/>
        <v>0.94178200078681595</v>
      </c>
      <c r="E350" s="83">
        <f>B350*(($N$38-0.065)-0.00351)</f>
        <v>0.50892647295141658</v>
      </c>
      <c r="F350" s="83">
        <f t="shared" si="18"/>
        <v>1.4507084737382325</v>
      </c>
      <c r="G350" s="76">
        <f t="shared" si="19"/>
        <v>11.032249586669602</v>
      </c>
    </row>
    <row r="351" spans="1:7" x14ac:dyDescent="0.25">
      <c r="A351" s="45" t="s">
        <v>27</v>
      </c>
      <c r="B351" s="68">
        <f>120.994941736918*0.808</f>
        <v>97.763912923429743</v>
      </c>
      <c r="C351" s="76">
        <f>0.66+6.5</f>
        <v>7.16</v>
      </c>
      <c r="D351" s="83">
        <f t="shared" si="20"/>
        <v>6.9998961653175691</v>
      </c>
      <c r="E351" s="83">
        <f>B351*(($N$38-0.065)-0.00349)</f>
        <v>3.785662714089538</v>
      </c>
      <c r="F351" s="83">
        <f t="shared" si="18"/>
        <v>10.785558879407107</v>
      </c>
      <c r="G351" s="76">
        <f t="shared" si="19"/>
        <v>11.032249586669602</v>
      </c>
    </row>
    <row r="352" spans="1:7" x14ac:dyDescent="0.25">
      <c r="A352" s="45"/>
      <c r="B352" s="68"/>
      <c r="C352" s="76"/>
      <c r="D352" s="83"/>
      <c r="E352" s="204"/>
      <c r="F352" s="83"/>
      <c r="G352" s="76"/>
    </row>
    <row r="353" spans="1:8" x14ac:dyDescent="0.25">
      <c r="A353" s="25" t="s">
        <v>15</v>
      </c>
      <c r="B353" s="68"/>
      <c r="C353" s="76"/>
      <c r="D353" s="83"/>
      <c r="E353" s="204"/>
      <c r="F353" s="83"/>
      <c r="G353" s="76"/>
    </row>
    <row r="354" spans="1:8" x14ac:dyDescent="0.25">
      <c r="A354" s="45" t="s">
        <v>7</v>
      </c>
      <c r="B354" s="68">
        <f>1.59432019845689*0.808</f>
        <v>1.2882107203531672</v>
      </c>
      <c r="C354" s="76">
        <f>0.875+6.5</f>
        <v>7.375</v>
      </c>
      <c r="D354" s="83">
        <f t="shared" si="20"/>
        <v>9.5005540626046089E-2</v>
      </c>
      <c r="E354" s="83">
        <f>B354*(($N$39-0.065)-0.00288)</f>
        <v>1.1207889539068044E-2</v>
      </c>
      <c r="F354" s="83">
        <f t="shared" si="18"/>
        <v>0.10621343016511413</v>
      </c>
      <c r="G354" s="76">
        <f t="shared" si="19"/>
        <v>8.2450354190497155</v>
      </c>
    </row>
    <row r="355" spans="1:8" x14ac:dyDescent="0.25">
      <c r="A355" s="45" t="s">
        <v>26</v>
      </c>
      <c r="B355" s="68">
        <f>17.49725712*0.808</f>
        <v>14.137783752960001</v>
      </c>
      <c r="C355" s="76">
        <f>0.593+6.5</f>
        <v>7.093</v>
      </c>
      <c r="D355" s="83">
        <f t="shared" si="20"/>
        <v>1.0027930015974529</v>
      </c>
      <c r="E355" s="83">
        <f>B355*(($N$39-0.065)-0.00282)</f>
        <v>0.12385199314458582</v>
      </c>
      <c r="F355" s="83">
        <f t="shared" si="18"/>
        <v>1.1266449947420387</v>
      </c>
      <c r="G355" s="76">
        <f t="shared" si="19"/>
        <v>7.9690354190497166</v>
      </c>
    </row>
    <row r="356" spans="1:8" x14ac:dyDescent="0.25">
      <c r="A356" s="45" t="s">
        <v>27</v>
      </c>
      <c r="B356" s="68">
        <f>157.117365386424*0.808</f>
        <v>126.95083123223061</v>
      </c>
      <c r="C356" s="76">
        <f>0.592+6.5</f>
        <v>7.0919999999999996</v>
      </c>
      <c r="D356" s="83">
        <f t="shared" si="20"/>
        <v>9.0033529509897949</v>
      </c>
      <c r="E356" s="83">
        <f>B356*(($N$39-0.065)-0.00281)</f>
        <v>1.1134037546846915</v>
      </c>
      <c r="F356" s="83">
        <f>D356+E356</f>
        <v>10.116756705674486</v>
      </c>
      <c r="G356" s="76">
        <f>F356/B356*100</f>
        <v>7.9690354190497166</v>
      </c>
    </row>
    <row r="357" spans="1:8" x14ac:dyDescent="0.25">
      <c r="A357" s="45"/>
      <c r="B357" s="68"/>
      <c r="C357" s="76"/>
      <c r="D357" s="83"/>
      <c r="E357" s="204"/>
      <c r="F357" s="83"/>
      <c r="G357" s="76"/>
    </row>
    <row r="358" spans="1:8" ht="13.8" thickBot="1" x14ac:dyDescent="0.3">
      <c r="A358" s="105" t="s">
        <v>28</v>
      </c>
      <c r="B358" s="111">
        <f>SUM(B329:B356)</f>
        <v>495.61951592000014</v>
      </c>
      <c r="C358" s="165">
        <f>D358/B358*100</f>
        <v>7.9407496272655269</v>
      </c>
      <c r="D358" s="203">
        <f>SUM(D318:D356)</f>
        <v>39.355904863072617</v>
      </c>
      <c r="E358" s="203">
        <f>SUM(E318:E356)</f>
        <v>14.167061088624248</v>
      </c>
      <c r="F358" s="203">
        <f>SUM(F318:F356)</f>
        <v>53.522965951696861</v>
      </c>
      <c r="G358" s="165">
        <f>F358/B358*100</f>
        <v>10.799204678682631</v>
      </c>
      <c r="H358" s="106">
        <f>(G358-C358)/C358</f>
        <v>0.35997294784389783</v>
      </c>
    </row>
    <row r="359" spans="1:8" ht="13.8" thickTop="1" x14ac:dyDescent="0.25">
      <c r="A359" s="12"/>
      <c r="B359" s="147"/>
      <c r="C359" s="187"/>
      <c r="D359" s="146"/>
      <c r="E359" s="146"/>
      <c r="F359" s="146"/>
      <c r="G359" s="148"/>
      <c r="H359" s="110"/>
    </row>
    <row r="360" spans="1:8" x14ac:dyDescent="0.25">
      <c r="A360" s="12"/>
      <c r="B360" s="147"/>
      <c r="C360" s="148"/>
      <c r="D360" s="146"/>
      <c r="E360" s="146"/>
      <c r="F360" s="146"/>
      <c r="G360" s="148"/>
      <c r="H360" s="110"/>
    </row>
    <row r="361" spans="1:8" x14ac:dyDescent="0.25">
      <c r="A361" s="12"/>
      <c r="B361" s="78"/>
      <c r="C361" s="78"/>
      <c r="D361" s="140"/>
      <c r="E361" s="130"/>
      <c r="F361" s="79"/>
      <c r="G361" s="78"/>
    </row>
    <row r="362" spans="1:8" x14ac:dyDescent="0.25">
      <c r="A362" s="37"/>
      <c r="E362" s="31"/>
      <c r="H362" s="37" t="s">
        <v>93</v>
      </c>
    </row>
    <row r="363" spans="1:8" ht="21" x14ac:dyDescent="0.4">
      <c r="A363" s="229" t="s">
        <v>2</v>
      </c>
      <c r="B363" s="229"/>
      <c r="C363" s="229"/>
      <c r="D363" s="229"/>
      <c r="E363" s="229"/>
      <c r="F363" s="229"/>
      <c r="G363" s="229"/>
      <c r="H363" s="229"/>
    </row>
    <row r="364" spans="1:8" ht="21" x14ac:dyDescent="0.4">
      <c r="A364" s="229" t="s">
        <v>100</v>
      </c>
      <c r="B364" s="229"/>
      <c r="C364" s="229"/>
      <c r="D364" s="229"/>
      <c r="E364" s="229"/>
      <c r="F364" s="229"/>
      <c r="G364" s="229"/>
      <c r="H364" s="229"/>
    </row>
    <row r="365" spans="1:8" ht="13.8" thickBot="1" x14ac:dyDescent="0.3">
      <c r="A365" s="37"/>
      <c r="E365" s="31"/>
    </row>
    <row r="366" spans="1:8" ht="53.4" thickBot="1" x14ac:dyDescent="0.3">
      <c r="A366" s="2" t="s">
        <v>0</v>
      </c>
      <c r="B366" s="3" t="s">
        <v>30</v>
      </c>
      <c r="C366" s="3" t="s">
        <v>121</v>
      </c>
      <c r="D366" s="3" t="s">
        <v>35</v>
      </c>
      <c r="E366" s="3" t="s">
        <v>122</v>
      </c>
      <c r="F366" s="3" t="s">
        <v>1</v>
      </c>
      <c r="G366" s="3" t="s">
        <v>31</v>
      </c>
      <c r="H366" s="3" t="s">
        <v>32</v>
      </c>
    </row>
    <row r="367" spans="1:8" x14ac:dyDescent="0.25">
      <c r="A367" s="12"/>
      <c r="B367" s="78"/>
      <c r="C367" s="78"/>
      <c r="D367" s="140"/>
      <c r="E367" s="130"/>
      <c r="F367" s="79"/>
      <c r="G367" s="78"/>
    </row>
    <row r="368" spans="1:8" x14ac:dyDescent="0.25">
      <c r="A368" s="10" t="s">
        <v>57</v>
      </c>
      <c r="B368" s="126"/>
      <c r="C368" s="127"/>
      <c r="D368" s="80"/>
      <c r="E368" s="80"/>
      <c r="F368" s="80"/>
      <c r="G368" s="127"/>
      <c r="H368" s="22"/>
    </row>
    <row r="369" spans="1:8" x14ac:dyDescent="0.25">
      <c r="A369" s="65" t="s">
        <v>4</v>
      </c>
      <c r="B369" s="126"/>
      <c r="C369" s="127"/>
      <c r="D369" s="79"/>
      <c r="E369" s="80"/>
      <c r="F369" s="80"/>
      <c r="G369" s="127"/>
      <c r="H369" s="22"/>
    </row>
    <row r="370" spans="1:8" x14ac:dyDescent="0.25">
      <c r="A370" s="17" t="s">
        <v>43</v>
      </c>
      <c r="B370" s="126"/>
      <c r="C370" s="193">
        <f>D370/B393*100</f>
        <v>0.18322111652757472</v>
      </c>
      <c r="D370" s="83">
        <v>0.23725917793967999</v>
      </c>
      <c r="E370" s="107">
        <f>F370-D370</f>
        <v>0</v>
      </c>
      <c r="F370" s="107">
        <v>0.23725917793967999</v>
      </c>
      <c r="G370" s="193">
        <f>F370/B393*100</f>
        <v>0.18322111652757472</v>
      </c>
      <c r="H370" s="22"/>
    </row>
    <row r="371" spans="1:8" x14ac:dyDescent="0.25">
      <c r="A371" s="17"/>
      <c r="B371" s="126"/>
      <c r="C371" s="127"/>
      <c r="D371" s="83"/>
      <c r="E371" s="107"/>
      <c r="F371" s="107"/>
      <c r="G371" s="127"/>
      <c r="H371" s="22"/>
    </row>
    <row r="372" spans="1:8" x14ac:dyDescent="0.25">
      <c r="A372" s="17" t="s">
        <v>46</v>
      </c>
      <c r="B372" s="126"/>
      <c r="C372" s="127"/>
      <c r="D372" s="83"/>
      <c r="E372" s="107"/>
      <c r="F372" s="107"/>
      <c r="G372" s="127"/>
      <c r="H372" s="22"/>
    </row>
    <row r="373" spans="1:8" x14ac:dyDescent="0.25">
      <c r="A373" s="45" t="s">
        <v>6</v>
      </c>
      <c r="B373" s="126"/>
      <c r="C373" s="193">
        <f>D373/(B379+B384+B389)*100</f>
        <v>1.0229699999999999</v>
      </c>
      <c r="D373" s="83">
        <v>1.2846729311332949</v>
      </c>
      <c r="E373" s="107">
        <f>F373-D373</f>
        <v>-0.15288684123877494</v>
      </c>
      <c r="F373" s="107">
        <v>1.13178608989452</v>
      </c>
      <c r="G373" s="193">
        <f>F373/(B379+B384+B389)*100</f>
        <v>0.90122799999999992</v>
      </c>
      <c r="H373" s="22"/>
    </row>
    <row r="374" spans="1:8" x14ac:dyDescent="0.25">
      <c r="A374" s="45" t="s">
        <v>7</v>
      </c>
      <c r="B374" s="126"/>
      <c r="C374" s="193">
        <f>D374/(B380+B385+B390)*100</f>
        <v>0.428948</v>
      </c>
      <c r="D374" s="83">
        <v>1.6774867023994517E-2</v>
      </c>
      <c r="E374" s="107">
        <f>F374-D374</f>
        <v>-5.0621384311296778E-3</v>
      </c>
      <c r="F374" s="107">
        <v>1.1712728592864839E-2</v>
      </c>
      <c r="G374" s="193">
        <f>F374/(B380+B385+B390)*100</f>
        <v>0.29950469933774837</v>
      </c>
      <c r="H374" s="22"/>
    </row>
    <row r="375" spans="1:8" x14ac:dyDescent="0.25">
      <c r="A375" s="45" t="s">
        <v>58</v>
      </c>
      <c r="B375" s="126"/>
      <c r="C375" s="193">
        <v>0</v>
      </c>
      <c r="D375" s="83">
        <v>0</v>
      </c>
      <c r="E375" s="107">
        <f>F375-D375</f>
        <v>0</v>
      </c>
      <c r="F375" s="107">
        <v>0</v>
      </c>
      <c r="G375" s="193">
        <v>0</v>
      </c>
      <c r="H375" s="22"/>
    </row>
    <row r="376" spans="1:8" x14ac:dyDescent="0.25">
      <c r="A376" s="65"/>
      <c r="B376" s="126"/>
      <c r="C376" s="127"/>
      <c r="D376" s="22"/>
      <c r="E376" s="22"/>
      <c r="F376" s="22"/>
      <c r="G376" s="127"/>
      <c r="H376" s="22"/>
    </row>
    <row r="377" spans="1:8" x14ac:dyDescent="0.25">
      <c r="A377" s="52" t="s">
        <v>3</v>
      </c>
      <c r="B377" s="70"/>
      <c r="C377" s="70"/>
      <c r="D377" s="155"/>
      <c r="E377" s="155"/>
      <c r="F377" s="155"/>
      <c r="G377" s="70"/>
      <c r="H377" s="23"/>
    </row>
    <row r="378" spans="1:8" x14ac:dyDescent="0.25">
      <c r="A378" s="44" t="s">
        <v>81</v>
      </c>
      <c r="B378" s="70"/>
      <c r="C378" s="70"/>
      <c r="D378" s="155"/>
      <c r="E378" s="155"/>
      <c r="F378" s="155"/>
      <c r="G378" s="70"/>
      <c r="H378" s="23"/>
    </row>
    <row r="379" spans="1:8" x14ac:dyDescent="0.25">
      <c r="A379" s="45" t="s">
        <v>6</v>
      </c>
      <c r="B379" s="67">
        <f>10.8684953073797*0.808</f>
        <v>8.7817442083627988</v>
      </c>
      <c r="C379" s="168">
        <f>1.643+6.5</f>
        <v>8.1430000000000007</v>
      </c>
      <c r="D379" s="107">
        <f>C379*B379/100</f>
        <v>0.71509743088698274</v>
      </c>
      <c r="E379" s="107">
        <f>(($N$37-0.065)-0.00784)*B379</f>
        <v>0.70535591563639422</v>
      </c>
      <c r="F379" s="107">
        <f>D379+E379</f>
        <v>1.4204533465233768</v>
      </c>
      <c r="G379" s="168">
        <f>F379/B379*100</f>
        <v>16.17507083809943</v>
      </c>
      <c r="H379" s="21"/>
    </row>
    <row r="380" spans="1:8" x14ac:dyDescent="0.25">
      <c r="A380" s="45" t="s">
        <v>7</v>
      </c>
      <c r="B380" s="67">
        <f>0.364604962921131*0.808</f>
        <v>0.29460081004027383</v>
      </c>
      <c r="C380" s="168">
        <f>1.614+6.5</f>
        <v>8.1140000000000008</v>
      </c>
      <c r="D380" s="107">
        <f>C380*B380/100</f>
        <v>2.3903909726667824E-2</v>
      </c>
      <c r="E380" s="107">
        <f>(($N$37-0.065)-0.00761)*B380</f>
        <v>2.3730303938358802E-2</v>
      </c>
      <c r="F380" s="107">
        <f>D380+E380</f>
        <v>4.7634213665026626E-2</v>
      </c>
      <c r="G380" s="168">
        <f>F380/B380*100</f>
        <v>16.169070838099433</v>
      </c>
      <c r="H380" s="28"/>
    </row>
    <row r="381" spans="1:8" x14ac:dyDescent="0.25">
      <c r="A381" s="45" t="s">
        <v>58</v>
      </c>
      <c r="B381" s="67">
        <v>0</v>
      </c>
      <c r="C381" s="168">
        <f>1.147+6.5</f>
        <v>7.6470000000000002</v>
      </c>
      <c r="D381" s="107">
        <f>C381*B381/100</f>
        <v>0</v>
      </c>
      <c r="E381" s="107">
        <f>(($N$37-0.065)-0.00744)*B381</f>
        <v>0</v>
      </c>
      <c r="F381" s="107">
        <f>D381+E381</f>
        <v>0</v>
      </c>
      <c r="G381" s="168">
        <f>C381+(N37-0.065)*100</f>
        <v>16.463070838099434</v>
      </c>
      <c r="H381" s="28"/>
    </row>
    <row r="382" spans="1:8" x14ac:dyDescent="0.25">
      <c r="A382" s="45"/>
      <c r="B382" s="67"/>
      <c r="C382" s="168"/>
      <c r="D382" s="107"/>
      <c r="E382" s="108"/>
      <c r="F382" s="107"/>
      <c r="G382" s="168"/>
      <c r="H382" s="28"/>
    </row>
    <row r="383" spans="1:8" x14ac:dyDescent="0.25">
      <c r="A383" s="25" t="s">
        <v>82</v>
      </c>
      <c r="B383" s="68"/>
      <c r="C383" s="168"/>
      <c r="D383" s="107"/>
      <c r="E383" s="108"/>
      <c r="F383" s="107"/>
      <c r="G383" s="168"/>
      <c r="H383" s="28"/>
    </row>
    <row r="384" spans="1:8" x14ac:dyDescent="0.25">
      <c r="A384" s="45" t="s">
        <v>6</v>
      </c>
      <c r="B384" s="67">
        <f>51.2153439779168*0.808</f>
        <v>41.381997934156779</v>
      </c>
      <c r="C384" s="168">
        <f>1.324+6.5</f>
        <v>7.8239999999999998</v>
      </c>
      <c r="D384" s="107">
        <f>C384*B384/100</f>
        <v>3.2377275183684264</v>
      </c>
      <c r="E384" s="107">
        <f>(($N$38-0.065)-0.00567)*B384</f>
        <v>1.5122014884645474</v>
      </c>
      <c r="F384" s="107">
        <f>D384+E384</f>
        <v>4.749929006832974</v>
      </c>
      <c r="G384" s="168">
        <f>F384/B384*100</f>
        <v>11.478249586669603</v>
      </c>
      <c r="H384" s="28"/>
    </row>
    <row r="385" spans="1:14" x14ac:dyDescent="0.25">
      <c r="A385" s="45" t="s">
        <v>7</v>
      </c>
      <c r="B385" s="67">
        <f>1.74574010096571*0.808</f>
        <v>1.4105580015802939</v>
      </c>
      <c r="C385" s="168">
        <f>1.3+6.5</f>
        <v>7.8</v>
      </c>
      <c r="D385" s="107">
        <f>C385*B385/100</f>
        <v>0.11002352412326293</v>
      </c>
      <c r="E385" s="107">
        <f>(($N$38-0.065)-0.00553)*B385</f>
        <v>5.1742788062704131E-2</v>
      </c>
      <c r="F385" s="107">
        <f>D385+E385</f>
        <v>0.16176631218596704</v>
      </c>
      <c r="G385" s="168">
        <f>F385/B385*100</f>
        <v>11.468249586669602</v>
      </c>
      <c r="H385" s="28"/>
    </row>
    <row r="386" spans="1:14" x14ac:dyDescent="0.25">
      <c r="A386" s="45" t="s">
        <v>58</v>
      </c>
      <c r="B386" s="67">
        <v>0</v>
      </c>
      <c r="C386" s="168">
        <f>0.946+6.5</f>
        <v>7.4459999999999997</v>
      </c>
      <c r="D386" s="107">
        <f>C386*B386/100</f>
        <v>0</v>
      </c>
      <c r="E386" s="107">
        <f>(($N$38-0.065)-0.00543)*B386</f>
        <v>0</v>
      </c>
      <c r="F386" s="107">
        <f>D386+E386</f>
        <v>0</v>
      </c>
      <c r="G386" s="168">
        <f>C386+(N38-0.065)*100</f>
        <v>11.667249586669602</v>
      </c>
      <c r="H386" s="28"/>
    </row>
    <row r="387" spans="1:14" x14ac:dyDescent="0.25">
      <c r="A387" s="45"/>
      <c r="B387" s="67"/>
      <c r="C387" s="168"/>
      <c r="D387" s="107"/>
      <c r="E387" s="204"/>
      <c r="F387" s="107"/>
      <c r="G387" s="168"/>
    </row>
    <row r="388" spans="1:14" x14ac:dyDescent="0.25">
      <c r="A388" s="25" t="s">
        <v>83</v>
      </c>
      <c r="B388" s="68"/>
      <c r="C388" s="168"/>
      <c r="D388" s="107"/>
      <c r="E388" s="204"/>
      <c r="F388" s="107"/>
      <c r="G388" s="168"/>
    </row>
    <row r="389" spans="1:14" x14ac:dyDescent="0.25">
      <c r="A389" s="45" t="s">
        <v>6</v>
      </c>
      <c r="B389" s="67">
        <f>93.3402441631035*0.808</f>
        <v>75.418917283787636</v>
      </c>
      <c r="C389" s="164">
        <f>1.036+6.5</f>
        <v>7.5359999999999996</v>
      </c>
      <c r="D389" s="107">
        <f>C389*B389/100</f>
        <v>5.6835696065062358</v>
      </c>
      <c r="E389" s="107">
        <f>(($N$39-0.065)-0.00351)*B389</f>
        <v>0.60865737514397433</v>
      </c>
      <c r="F389" s="107">
        <f>D389+E389</f>
        <v>6.2922269816502103</v>
      </c>
      <c r="G389" s="168">
        <f>F389/B389*100</f>
        <v>8.3430354190497162</v>
      </c>
    </row>
    <row r="390" spans="1:14" x14ac:dyDescent="0.25">
      <c r="A390" s="45" t="s">
        <v>7</v>
      </c>
      <c r="B390" s="67">
        <f>2.72962948771316*0.808</f>
        <v>2.2055406260722337</v>
      </c>
      <c r="C390" s="168">
        <f>1.024+6.5</f>
        <v>7.524</v>
      </c>
      <c r="D390" s="107">
        <f>C390*B390/100</f>
        <v>0.16594487670567484</v>
      </c>
      <c r="E390" s="107">
        <f>(($N$39-0.065)-0.00346)*B390</f>
        <v>1.7909771065237397E-2</v>
      </c>
      <c r="F390" s="107">
        <f>D390+E390</f>
        <v>0.18385464777091223</v>
      </c>
      <c r="G390" s="168">
        <f>F390/B390*100</f>
        <v>8.3360354190497166</v>
      </c>
    </row>
    <row r="391" spans="1:14" x14ac:dyDescent="0.25">
      <c r="A391" s="45" t="s">
        <v>58</v>
      </c>
      <c r="B391" s="68">
        <v>0</v>
      </c>
      <c r="C391" s="168">
        <f>0.745+6.5</f>
        <v>7.2450000000000001</v>
      </c>
      <c r="D391" s="107">
        <f>C391*B391/100</f>
        <v>0</v>
      </c>
      <c r="E391" s="107">
        <f>(($N$39-0.065)-0.00342)*B391</f>
        <v>0</v>
      </c>
      <c r="F391" s="107">
        <f>D391+E391</f>
        <v>0</v>
      </c>
      <c r="G391" s="168">
        <f>C391+(N39-0.065)*100</f>
        <v>8.4030354190497167</v>
      </c>
    </row>
    <row r="392" spans="1:14" x14ac:dyDescent="0.25">
      <c r="A392" s="45"/>
      <c r="B392" s="70"/>
      <c r="C392" s="172"/>
      <c r="D392" s="143"/>
      <c r="E392" s="155"/>
      <c r="F392" s="83"/>
      <c r="G392" s="168"/>
    </row>
    <row r="393" spans="1:14" ht="13.8" thickBot="1" x14ac:dyDescent="0.3">
      <c r="A393" s="105" t="s">
        <v>59</v>
      </c>
      <c r="B393" s="120">
        <f>SUM(B379:B391)</f>
        <v>129.49335886400002</v>
      </c>
      <c r="C393" s="165">
        <f>D393/B393*100</f>
        <v>8.8614381023707747</v>
      </c>
      <c r="D393" s="205">
        <f>SUM(D370:D391)</f>
        <v>11.47497384241422</v>
      </c>
      <c r="E393" s="205">
        <f>SUM(E370:E391)</f>
        <v>2.7616486626413113</v>
      </c>
      <c r="F393" s="205">
        <f>SUM(F370:F391)</f>
        <v>14.236622505055532</v>
      </c>
      <c r="G393" s="167">
        <f>F393/B393*100</f>
        <v>10.99409470103212</v>
      </c>
      <c r="H393" s="106">
        <f>(G393-C393)/C393</f>
        <v>0.24066709872867903</v>
      </c>
    </row>
    <row r="394" spans="1:14" ht="13.8" thickTop="1" x14ac:dyDescent="0.25">
      <c r="C394" s="82"/>
      <c r="D394" s="83"/>
      <c r="E394" s="204"/>
      <c r="F394" s="83"/>
      <c r="G394" s="82"/>
    </row>
    <row r="395" spans="1:14" ht="13.8" thickBot="1" x14ac:dyDescent="0.3">
      <c r="A395" s="30"/>
      <c r="B395" s="30"/>
      <c r="C395" s="178"/>
      <c r="D395" s="206"/>
      <c r="E395" s="207"/>
      <c r="F395" s="206"/>
      <c r="G395" s="178"/>
      <c r="H395" s="30"/>
    </row>
    <row r="396" spans="1:14" ht="13.8" thickBot="1" x14ac:dyDescent="0.3">
      <c r="A396" s="57" t="s">
        <v>108</v>
      </c>
      <c r="B396" s="128">
        <f>B33+B106+B149+B186+B236+B304+B358+B393</f>
        <v>5401.263696754937</v>
      </c>
      <c r="C396" s="179">
        <f>D396/B396*100</f>
        <v>10.059281315535388</v>
      </c>
      <c r="D396" s="208">
        <f>D33+D106+D149+D186+D236+D304+D358+D393</f>
        <v>543.32830985046542</v>
      </c>
      <c r="E396" s="208">
        <f>E33+E106+E149+E186+E236+E304+E358+E393</f>
        <v>157.21608423845814</v>
      </c>
      <c r="F396" s="208">
        <f>F33+F106+F149+F186+F236+F304+F358+F393</f>
        <v>700.54439408892335</v>
      </c>
      <c r="G396" s="179">
        <f>F396/B396*100</f>
        <v>12.970009120454687</v>
      </c>
      <c r="H396" s="109">
        <f>(G396-C396)/C396</f>
        <v>0.28935743157157945</v>
      </c>
    </row>
    <row r="397" spans="1:14" x14ac:dyDescent="0.25">
      <c r="E397" s="31"/>
      <c r="N397" s="158" t="s">
        <v>116</v>
      </c>
    </row>
    <row r="398" spans="1:14" x14ac:dyDescent="0.25">
      <c r="B398" s="78"/>
      <c r="E398" s="31"/>
      <c r="K398" s="37" t="s">
        <v>104</v>
      </c>
      <c r="N398" s="6">
        <f>(797.335589+904.351082)/(5232.756288+4250.880536)</f>
        <v>0.1794339769204979</v>
      </c>
    </row>
    <row r="399" spans="1:14" x14ac:dyDescent="0.25">
      <c r="C399" s="78"/>
      <c r="E399" s="31"/>
    </row>
    <row r="400" spans="1:14" x14ac:dyDescent="0.25">
      <c r="A400" s="6" t="s">
        <v>84</v>
      </c>
      <c r="E400" s="31"/>
      <c r="K400" s="37" t="s">
        <v>96</v>
      </c>
      <c r="L400" s="68">
        <f>(3115.4512423+6684.732298)*N398</f>
        <v>1758.4859071868336</v>
      </c>
    </row>
    <row r="401" spans="1:14" x14ac:dyDescent="0.25">
      <c r="A401" s="28" t="s">
        <v>97</v>
      </c>
      <c r="E401" s="31"/>
      <c r="K401" s="37" t="s">
        <v>102</v>
      </c>
      <c r="L401" s="68" t="e">
        <f>#REF!/0.85*0.152</f>
        <v>#REF!</v>
      </c>
      <c r="N401" s="160" t="e">
        <f>L401/(#REF!+'Large C&amp;I (ABX1 43)'!L401)</f>
        <v>#REF!</v>
      </c>
    </row>
    <row r="402" spans="1:14" x14ac:dyDescent="0.25">
      <c r="A402" s="141" t="s">
        <v>110</v>
      </c>
      <c r="E402" s="31"/>
      <c r="K402" s="37" t="s">
        <v>103</v>
      </c>
      <c r="L402" s="82" t="e">
        <f>L400-L401</f>
        <v>#REF!</v>
      </c>
      <c r="N402" s="160" t="e">
        <f>L402/6684.732298</f>
        <v>#REF!</v>
      </c>
    </row>
    <row r="403" spans="1:14" x14ac:dyDescent="0.25">
      <c r="A403" s="141" t="s">
        <v>107</v>
      </c>
      <c r="E403" s="31"/>
      <c r="L403" s="82"/>
    </row>
    <row r="404" spans="1:14" x14ac:dyDescent="0.25">
      <c r="E404" s="31"/>
    </row>
    <row r="405" spans="1:14" x14ac:dyDescent="0.25">
      <c r="E405" s="31"/>
    </row>
    <row r="406" spans="1:14" x14ac:dyDescent="0.25">
      <c r="E406" s="31"/>
    </row>
    <row r="407" spans="1:14" x14ac:dyDescent="0.25">
      <c r="E407" s="31"/>
    </row>
    <row r="408" spans="1:14" x14ac:dyDescent="0.25">
      <c r="E408" s="31"/>
    </row>
    <row r="409" spans="1:14" x14ac:dyDescent="0.25">
      <c r="E409" s="31"/>
    </row>
    <row r="410" spans="1:14" x14ac:dyDescent="0.25">
      <c r="E410" s="31"/>
    </row>
    <row r="411" spans="1:14" x14ac:dyDescent="0.25">
      <c r="E411" s="31"/>
    </row>
    <row r="412" spans="1:14" x14ac:dyDescent="0.25">
      <c r="E412" s="31"/>
    </row>
    <row r="413" spans="1:14" x14ac:dyDescent="0.25">
      <c r="E413" s="31"/>
    </row>
    <row r="414" spans="1:14" x14ac:dyDescent="0.25">
      <c r="E414" s="31"/>
    </row>
    <row r="415" spans="1:14" x14ac:dyDescent="0.25">
      <c r="E415" s="31"/>
    </row>
    <row r="416" spans="1:14" x14ac:dyDescent="0.25">
      <c r="E416" s="31"/>
    </row>
    <row r="417" spans="5:5" x14ac:dyDescent="0.25">
      <c r="E417" s="31"/>
    </row>
    <row r="418" spans="5:5" x14ac:dyDescent="0.25">
      <c r="E418" s="31"/>
    </row>
    <row r="419" spans="5:5" x14ac:dyDescent="0.25">
      <c r="E419" s="31"/>
    </row>
    <row r="420" spans="5:5" x14ac:dyDescent="0.25">
      <c r="E420" s="31"/>
    </row>
    <row r="421" spans="5:5" x14ac:dyDescent="0.25">
      <c r="E421" s="31"/>
    </row>
    <row r="422" spans="5:5" x14ac:dyDescent="0.25">
      <c r="E422" s="31"/>
    </row>
    <row r="423" spans="5:5" x14ac:dyDescent="0.25">
      <c r="E423" s="31"/>
    </row>
    <row r="424" spans="5:5" x14ac:dyDescent="0.25">
      <c r="E424" s="31"/>
    </row>
    <row r="425" spans="5:5" x14ac:dyDescent="0.25">
      <c r="E425" s="31"/>
    </row>
    <row r="426" spans="5:5" x14ac:dyDescent="0.25">
      <c r="E426" s="31"/>
    </row>
    <row r="427" spans="5:5" x14ac:dyDescent="0.25">
      <c r="E427" s="31"/>
    </row>
    <row r="428" spans="5:5" x14ac:dyDescent="0.25">
      <c r="E428" s="31"/>
    </row>
    <row r="429" spans="5:5" x14ac:dyDescent="0.25">
      <c r="E429" s="31"/>
    </row>
    <row r="430" spans="5:5" x14ac:dyDescent="0.25">
      <c r="E430" s="31"/>
    </row>
    <row r="431" spans="5:5" x14ac:dyDescent="0.25">
      <c r="E431" s="31"/>
    </row>
    <row r="432" spans="5:5" x14ac:dyDescent="0.25">
      <c r="E432" s="31"/>
    </row>
    <row r="433" spans="5:5" x14ac:dyDescent="0.25">
      <c r="E433" s="31"/>
    </row>
    <row r="434" spans="5:5" x14ac:dyDescent="0.25">
      <c r="E434" s="31"/>
    </row>
    <row r="435" spans="5:5" x14ac:dyDescent="0.25">
      <c r="E435" s="31"/>
    </row>
    <row r="436" spans="5:5" x14ac:dyDescent="0.25">
      <c r="E436" s="31"/>
    </row>
    <row r="437" spans="5:5" x14ac:dyDescent="0.25">
      <c r="E437" s="31"/>
    </row>
    <row r="438" spans="5:5" x14ac:dyDescent="0.25">
      <c r="E438" s="31"/>
    </row>
    <row r="439" spans="5:5" x14ac:dyDescent="0.25">
      <c r="E439" s="31"/>
    </row>
    <row r="440" spans="5:5" x14ac:dyDescent="0.25">
      <c r="E440" s="31"/>
    </row>
    <row r="441" spans="5:5" x14ac:dyDescent="0.25">
      <c r="E441" s="31"/>
    </row>
    <row r="442" spans="5:5" x14ac:dyDescent="0.25">
      <c r="E442" s="31"/>
    </row>
    <row r="443" spans="5:5" x14ac:dyDescent="0.25">
      <c r="E443" s="31"/>
    </row>
    <row r="444" spans="5:5" x14ac:dyDescent="0.25">
      <c r="E444" s="31"/>
    </row>
    <row r="445" spans="5:5" x14ac:dyDescent="0.25">
      <c r="E445" s="31"/>
    </row>
    <row r="446" spans="5:5" x14ac:dyDescent="0.25">
      <c r="E446" s="31"/>
    </row>
    <row r="447" spans="5:5" x14ac:dyDescent="0.25">
      <c r="E447" s="31"/>
    </row>
    <row r="448" spans="5:5" x14ac:dyDescent="0.25">
      <c r="E448" s="31"/>
    </row>
    <row r="449" spans="5:5" x14ac:dyDescent="0.25">
      <c r="E449" s="31"/>
    </row>
    <row r="450" spans="5:5" x14ac:dyDescent="0.25">
      <c r="E450" s="31"/>
    </row>
    <row r="451" spans="5:5" x14ac:dyDescent="0.25">
      <c r="E451" s="31"/>
    </row>
    <row r="452" spans="5:5" x14ac:dyDescent="0.25">
      <c r="E452" s="31"/>
    </row>
    <row r="453" spans="5:5" x14ac:dyDescent="0.25">
      <c r="E453" s="31"/>
    </row>
    <row r="454" spans="5:5" x14ac:dyDescent="0.25">
      <c r="E454" s="31"/>
    </row>
    <row r="455" spans="5:5" x14ac:dyDescent="0.25">
      <c r="E455" s="31"/>
    </row>
    <row r="456" spans="5:5" x14ac:dyDescent="0.25">
      <c r="E456" s="31"/>
    </row>
    <row r="457" spans="5:5" x14ac:dyDescent="0.25">
      <c r="E457" s="31"/>
    </row>
    <row r="458" spans="5:5" x14ac:dyDescent="0.25">
      <c r="E458" s="31"/>
    </row>
    <row r="459" spans="5:5" x14ac:dyDescent="0.25">
      <c r="E459" s="31"/>
    </row>
    <row r="460" spans="5:5" x14ac:dyDescent="0.25">
      <c r="E460" s="31"/>
    </row>
    <row r="461" spans="5:5" x14ac:dyDescent="0.25">
      <c r="E461" s="31"/>
    </row>
    <row r="462" spans="5:5" x14ac:dyDescent="0.25">
      <c r="E462" s="31"/>
    </row>
    <row r="463" spans="5:5" x14ac:dyDescent="0.25">
      <c r="E463" s="31"/>
    </row>
    <row r="464" spans="5:5" x14ac:dyDescent="0.25">
      <c r="E464" s="31"/>
    </row>
    <row r="465" spans="5:5" x14ac:dyDescent="0.25">
      <c r="E465" s="31"/>
    </row>
    <row r="466" spans="5:5" x14ac:dyDescent="0.25">
      <c r="E466" s="31"/>
    </row>
    <row r="467" spans="5:5" x14ac:dyDescent="0.25">
      <c r="E467" s="31"/>
    </row>
    <row r="468" spans="5:5" x14ac:dyDescent="0.25">
      <c r="E468" s="31"/>
    </row>
    <row r="469" spans="5:5" x14ac:dyDescent="0.25">
      <c r="E469" s="31"/>
    </row>
    <row r="470" spans="5:5" x14ac:dyDescent="0.25">
      <c r="E470" s="31"/>
    </row>
    <row r="471" spans="5:5" x14ac:dyDescent="0.25">
      <c r="E471" s="31"/>
    </row>
    <row r="472" spans="5:5" x14ac:dyDescent="0.25">
      <c r="E472" s="31"/>
    </row>
    <row r="473" spans="5:5" x14ac:dyDescent="0.25">
      <c r="E473" s="31"/>
    </row>
    <row r="474" spans="5:5" x14ac:dyDescent="0.25">
      <c r="E474" s="31"/>
    </row>
    <row r="475" spans="5:5" x14ac:dyDescent="0.25">
      <c r="E475" s="31"/>
    </row>
    <row r="476" spans="5:5" x14ac:dyDescent="0.25">
      <c r="E476" s="31"/>
    </row>
    <row r="477" spans="5:5" x14ac:dyDescent="0.25">
      <c r="E477" s="31"/>
    </row>
    <row r="478" spans="5:5" x14ac:dyDescent="0.25">
      <c r="E478" s="31"/>
    </row>
    <row r="479" spans="5:5" x14ac:dyDescent="0.25">
      <c r="E479" s="31"/>
    </row>
    <row r="480" spans="5:5" x14ac:dyDescent="0.25">
      <c r="E480" s="31"/>
    </row>
    <row r="481" spans="5:5" x14ac:dyDescent="0.25">
      <c r="E481" s="31"/>
    </row>
    <row r="482" spans="5:5" x14ac:dyDescent="0.25">
      <c r="E482" s="31"/>
    </row>
    <row r="483" spans="5:5" x14ac:dyDescent="0.25">
      <c r="E483" s="31"/>
    </row>
    <row r="484" spans="5:5" x14ac:dyDescent="0.25">
      <c r="E484" s="31"/>
    </row>
    <row r="485" spans="5:5" x14ac:dyDescent="0.25">
      <c r="E485" s="31"/>
    </row>
    <row r="486" spans="5:5" x14ac:dyDescent="0.25">
      <c r="E486" s="31"/>
    </row>
    <row r="487" spans="5:5" x14ac:dyDescent="0.25">
      <c r="E487" s="31"/>
    </row>
    <row r="488" spans="5:5" x14ac:dyDescent="0.25">
      <c r="E488" s="31"/>
    </row>
    <row r="489" spans="5:5" x14ac:dyDescent="0.25">
      <c r="E489" s="31"/>
    </row>
    <row r="490" spans="5:5" x14ac:dyDescent="0.25">
      <c r="E490" s="31"/>
    </row>
    <row r="491" spans="5:5" x14ac:dyDescent="0.25">
      <c r="E491" s="31"/>
    </row>
    <row r="492" spans="5:5" x14ac:dyDescent="0.25">
      <c r="E492" s="31"/>
    </row>
    <row r="493" spans="5:5" x14ac:dyDescent="0.25">
      <c r="E493" s="31"/>
    </row>
    <row r="494" spans="5:5" x14ac:dyDescent="0.25">
      <c r="E494" s="31"/>
    </row>
    <row r="495" spans="5:5" x14ac:dyDescent="0.25">
      <c r="E495" s="31"/>
    </row>
    <row r="496" spans="5:5" x14ac:dyDescent="0.25">
      <c r="E496" s="31"/>
    </row>
    <row r="497" spans="5:5" x14ac:dyDescent="0.25">
      <c r="E497" s="31"/>
    </row>
    <row r="498" spans="5:5" x14ac:dyDescent="0.25">
      <c r="E498" s="31"/>
    </row>
    <row r="499" spans="5:5" x14ac:dyDescent="0.25">
      <c r="E499" s="31"/>
    </row>
    <row r="500" spans="5:5" x14ac:dyDescent="0.25">
      <c r="E500" s="31"/>
    </row>
    <row r="501" spans="5:5" x14ac:dyDescent="0.25">
      <c r="E501" s="31"/>
    </row>
    <row r="502" spans="5:5" x14ac:dyDescent="0.25">
      <c r="E502" s="31"/>
    </row>
    <row r="503" spans="5:5" x14ac:dyDescent="0.25">
      <c r="E503" s="31"/>
    </row>
    <row r="504" spans="5:5" x14ac:dyDescent="0.25">
      <c r="E504" s="31"/>
    </row>
    <row r="505" spans="5:5" x14ac:dyDescent="0.25">
      <c r="E505" s="31"/>
    </row>
    <row r="506" spans="5:5" x14ac:dyDescent="0.25">
      <c r="E506" s="31"/>
    </row>
    <row r="507" spans="5:5" x14ac:dyDescent="0.25">
      <c r="E507" s="31"/>
    </row>
    <row r="508" spans="5:5" x14ac:dyDescent="0.25">
      <c r="E508" s="31"/>
    </row>
    <row r="509" spans="5:5" x14ac:dyDescent="0.25">
      <c r="E509" s="31"/>
    </row>
    <row r="510" spans="5:5" x14ac:dyDescent="0.25">
      <c r="E510" s="31"/>
    </row>
    <row r="511" spans="5:5" x14ac:dyDescent="0.25">
      <c r="E511" s="31"/>
    </row>
    <row r="512" spans="5:5" x14ac:dyDescent="0.25">
      <c r="E512" s="31"/>
    </row>
    <row r="513" spans="5:5" x14ac:dyDescent="0.25">
      <c r="E513" s="31"/>
    </row>
    <row r="514" spans="5:5" x14ac:dyDescent="0.25">
      <c r="E514" s="31"/>
    </row>
    <row r="515" spans="5:5" x14ac:dyDescent="0.25">
      <c r="E515" s="31"/>
    </row>
    <row r="516" spans="5:5" x14ac:dyDescent="0.25">
      <c r="E516" s="31"/>
    </row>
    <row r="517" spans="5:5" x14ac:dyDescent="0.25">
      <c r="E517" s="31"/>
    </row>
    <row r="518" spans="5:5" x14ac:dyDescent="0.25">
      <c r="E518" s="31"/>
    </row>
    <row r="519" spans="5:5" x14ac:dyDescent="0.25">
      <c r="E519" s="31"/>
    </row>
    <row r="520" spans="5:5" x14ac:dyDescent="0.25">
      <c r="E520" s="31"/>
    </row>
    <row r="521" spans="5:5" x14ac:dyDescent="0.25">
      <c r="E521" s="31"/>
    </row>
    <row r="522" spans="5:5" x14ac:dyDescent="0.25">
      <c r="E522" s="31"/>
    </row>
    <row r="523" spans="5:5" x14ac:dyDescent="0.25">
      <c r="E523" s="31"/>
    </row>
    <row r="524" spans="5:5" x14ac:dyDescent="0.25">
      <c r="E524" s="31"/>
    </row>
    <row r="525" spans="5:5" x14ac:dyDescent="0.25">
      <c r="E525" s="31"/>
    </row>
    <row r="526" spans="5:5" x14ac:dyDescent="0.25">
      <c r="E526" s="31"/>
    </row>
    <row r="527" spans="5:5" x14ac:dyDescent="0.25">
      <c r="E527" s="31"/>
    </row>
    <row r="528" spans="5:5" x14ac:dyDescent="0.25">
      <c r="E528" s="31"/>
    </row>
    <row r="529" spans="5:5" x14ac:dyDescent="0.25">
      <c r="E529" s="31"/>
    </row>
    <row r="530" spans="5:5" x14ac:dyDescent="0.25">
      <c r="E530" s="31"/>
    </row>
    <row r="531" spans="5:5" x14ac:dyDescent="0.25">
      <c r="E531" s="31"/>
    </row>
    <row r="532" spans="5:5" x14ac:dyDescent="0.25">
      <c r="E532" s="31"/>
    </row>
    <row r="533" spans="5:5" x14ac:dyDescent="0.25">
      <c r="E533" s="31"/>
    </row>
    <row r="534" spans="5:5" x14ac:dyDescent="0.25">
      <c r="E534" s="31"/>
    </row>
    <row r="535" spans="5:5" x14ac:dyDescent="0.25">
      <c r="E535" s="31"/>
    </row>
    <row r="536" spans="5:5" x14ac:dyDescent="0.25">
      <c r="E536" s="31"/>
    </row>
    <row r="537" spans="5:5" x14ac:dyDescent="0.25">
      <c r="E537" s="31"/>
    </row>
    <row r="538" spans="5:5" x14ac:dyDescent="0.25">
      <c r="E538" s="31"/>
    </row>
    <row r="539" spans="5:5" x14ac:dyDescent="0.25">
      <c r="E539" s="31"/>
    </row>
    <row r="540" spans="5:5" x14ac:dyDescent="0.25">
      <c r="E540" s="31"/>
    </row>
    <row r="541" spans="5:5" x14ac:dyDescent="0.25">
      <c r="E541" s="31"/>
    </row>
    <row r="542" spans="5:5" x14ac:dyDescent="0.25">
      <c r="E542" s="31"/>
    </row>
    <row r="543" spans="5:5" x14ac:dyDescent="0.25">
      <c r="E543" s="31"/>
    </row>
    <row r="544" spans="5:5" x14ac:dyDescent="0.25">
      <c r="E544" s="31"/>
    </row>
    <row r="545" spans="5:5" x14ac:dyDescent="0.25">
      <c r="E545" s="31"/>
    </row>
    <row r="546" spans="5:5" x14ac:dyDescent="0.25">
      <c r="E546" s="31"/>
    </row>
    <row r="547" spans="5:5" x14ac:dyDescent="0.25">
      <c r="E547" s="31"/>
    </row>
    <row r="548" spans="5:5" x14ac:dyDescent="0.25">
      <c r="E548" s="31"/>
    </row>
    <row r="549" spans="5:5" x14ac:dyDescent="0.25">
      <c r="E549" s="31"/>
    </row>
    <row r="550" spans="5:5" x14ac:dyDescent="0.25">
      <c r="E550" s="31"/>
    </row>
    <row r="551" spans="5:5" x14ac:dyDescent="0.25">
      <c r="E551" s="31"/>
    </row>
    <row r="552" spans="5:5" x14ac:dyDescent="0.25">
      <c r="E552" s="31"/>
    </row>
    <row r="553" spans="5:5" x14ac:dyDescent="0.25">
      <c r="E553" s="31"/>
    </row>
    <row r="554" spans="5:5" x14ac:dyDescent="0.25">
      <c r="E554" s="31"/>
    </row>
    <row r="555" spans="5:5" x14ac:dyDescent="0.25">
      <c r="E555" s="31"/>
    </row>
    <row r="556" spans="5:5" x14ac:dyDescent="0.25">
      <c r="E556" s="31"/>
    </row>
    <row r="557" spans="5:5" x14ac:dyDescent="0.25">
      <c r="E557" s="31"/>
    </row>
    <row r="558" spans="5:5" x14ac:dyDescent="0.25">
      <c r="E558" s="31"/>
    </row>
    <row r="559" spans="5:5" x14ac:dyDescent="0.25">
      <c r="E559" s="31"/>
    </row>
    <row r="560" spans="5:5" x14ac:dyDescent="0.25">
      <c r="E560" s="31"/>
    </row>
    <row r="561" spans="5:5" x14ac:dyDescent="0.25">
      <c r="E561" s="31"/>
    </row>
    <row r="562" spans="5:5" x14ac:dyDescent="0.25">
      <c r="E562" s="31"/>
    </row>
    <row r="563" spans="5:5" x14ac:dyDescent="0.25">
      <c r="E563" s="31"/>
    </row>
    <row r="564" spans="5:5" x14ac:dyDescent="0.25">
      <c r="E564" s="31"/>
    </row>
    <row r="565" spans="5:5" x14ac:dyDescent="0.25">
      <c r="E565" s="31"/>
    </row>
    <row r="566" spans="5:5" x14ac:dyDescent="0.25">
      <c r="E566" s="31"/>
    </row>
    <row r="567" spans="5:5" x14ac:dyDescent="0.25">
      <c r="E567" s="31"/>
    </row>
    <row r="568" spans="5:5" x14ac:dyDescent="0.25">
      <c r="E568" s="31"/>
    </row>
    <row r="569" spans="5:5" x14ac:dyDescent="0.25">
      <c r="E569" s="31"/>
    </row>
    <row r="570" spans="5:5" x14ac:dyDescent="0.25">
      <c r="E570" s="31"/>
    </row>
    <row r="571" spans="5:5" x14ac:dyDescent="0.25">
      <c r="E571" s="31"/>
    </row>
    <row r="572" spans="5:5" x14ac:dyDescent="0.25">
      <c r="E572" s="31"/>
    </row>
    <row r="573" spans="5:5" x14ac:dyDescent="0.25">
      <c r="E573" s="31"/>
    </row>
    <row r="574" spans="5:5" x14ac:dyDescent="0.25">
      <c r="E574" s="31"/>
    </row>
    <row r="575" spans="5:5" x14ac:dyDescent="0.25">
      <c r="E575" s="31"/>
    </row>
    <row r="576" spans="5:5" x14ac:dyDescent="0.25">
      <c r="E576" s="31"/>
    </row>
    <row r="577" spans="5:5" x14ac:dyDescent="0.25">
      <c r="E577" s="31"/>
    </row>
    <row r="578" spans="5:5" x14ac:dyDescent="0.25">
      <c r="E578" s="31"/>
    </row>
    <row r="579" spans="5:5" x14ac:dyDescent="0.25">
      <c r="E579" s="31"/>
    </row>
    <row r="580" spans="5:5" x14ac:dyDescent="0.25">
      <c r="E580" s="31"/>
    </row>
    <row r="581" spans="5:5" x14ac:dyDescent="0.25">
      <c r="E581" s="31"/>
    </row>
    <row r="582" spans="5:5" x14ac:dyDescent="0.25">
      <c r="E582" s="31"/>
    </row>
    <row r="583" spans="5:5" x14ac:dyDescent="0.25">
      <c r="E583" s="31"/>
    </row>
    <row r="584" spans="5:5" x14ac:dyDescent="0.25">
      <c r="E584" s="31"/>
    </row>
    <row r="585" spans="5:5" x14ac:dyDescent="0.25">
      <c r="E585" s="31"/>
    </row>
    <row r="586" spans="5:5" x14ac:dyDescent="0.25">
      <c r="E586" s="31"/>
    </row>
    <row r="587" spans="5:5" x14ac:dyDescent="0.25">
      <c r="E587" s="31"/>
    </row>
    <row r="588" spans="5:5" x14ac:dyDescent="0.25">
      <c r="E588" s="31"/>
    </row>
    <row r="589" spans="5:5" x14ac:dyDescent="0.25">
      <c r="E589" s="31"/>
    </row>
    <row r="590" spans="5:5" x14ac:dyDescent="0.25">
      <c r="E590" s="31"/>
    </row>
    <row r="591" spans="5:5" x14ac:dyDescent="0.25">
      <c r="E591" s="31"/>
    </row>
    <row r="592" spans="5:5" x14ac:dyDescent="0.25">
      <c r="E592" s="31"/>
    </row>
    <row r="593" spans="5:5" x14ac:dyDescent="0.25">
      <c r="E593" s="31"/>
    </row>
    <row r="594" spans="5:5" x14ac:dyDescent="0.25">
      <c r="E594" s="31"/>
    </row>
    <row r="595" spans="5:5" x14ac:dyDescent="0.25">
      <c r="E595" s="31"/>
    </row>
    <row r="596" spans="5:5" x14ac:dyDescent="0.25">
      <c r="E596" s="31"/>
    </row>
    <row r="597" spans="5:5" x14ac:dyDescent="0.25">
      <c r="E597" s="31"/>
    </row>
    <row r="598" spans="5:5" x14ac:dyDescent="0.25">
      <c r="E598" s="31"/>
    </row>
    <row r="599" spans="5:5" x14ac:dyDescent="0.25">
      <c r="E599" s="31"/>
    </row>
    <row r="600" spans="5:5" x14ac:dyDescent="0.25">
      <c r="E600" s="31"/>
    </row>
    <row r="601" spans="5:5" x14ac:dyDescent="0.25">
      <c r="E601" s="31"/>
    </row>
    <row r="602" spans="5:5" x14ac:dyDescent="0.25">
      <c r="E602" s="31"/>
    </row>
    <row r="603" spans="5:5" x14ac:dyDescent="0.25">
      <c r="E603" s="31"/>
    </row>
    <row r="604" spans="5:5" x14ac:dyDescent="0.25">
      <c r="E604" s="31"/>
    </row>
    <row r="605" spans="5:5" x14ac:dyDescent="0.25">
      <c r="E605" s="31"/>
    </row>
    <row r="606" spans="5:5" x14ac:dyDescent="0.25">
      <c r="E606" s="31"/>
    </row>
    <row r="607" spans="5:5" x14ac:dyDescent="0.25">
      <c r="E607" s="31"/>
    </row>
    <row r="608" spans="5:5" x14ac:dyDescent="0.25">
      <c r="E608" s="31"/>
    </row>
    <row r="609" spans="5:5" x14ac:dyDescent="0.25">
      <c r="E609" s="31"/>
    </row>
    <row r="610" spans="5:5" x14ac:dyDescent="0.25">
      <c r="E610" s="31"/>
    </row>
    <row r="611" spans="5:5" x14ac:dyDescent="0.25">
      <c r="E611" s="31"/>
    </row>
    <row r="612" spans="5:5" x14ac:dyDescent="0.25">
      <c r="E612" s="31"/>
    </row>
    <row r="613" spans="5:5" x14ac:dyDescent="0.25">
      <c r="E613" s="31"/>
    </row>
    <row r="614" spans="5:5" x14ac:dyDescent="0.25">
      <c r="E614" s="31"/>
    </row>
    <row r="615" spans="5:5" x14ac:dyDescent="0.25">
      <c r="E615" s="31"/>
    </row>
    <row r="616" spans="5:5" x14ac:dyDescent="0.25">
      <c r="E616" s="31"/>
    </row>
    <row r="617" spans="5:5" x14ac:dyDescent="0.25">
      <c r="E617" s="31"/>
    </row>
    <row r="618" spans="5:5" x14ac:dyDescent="0.25">
      <c r="E618" s="31"/>
    </row>
    <row r="619" spans="5:5" x14ac:dyDescent="0.25">
      <c r="E619" s="31"/>
    </row>
    <row r="620" spans="5:5" x14ac:dyDescent="0.25">
      <c r="E620" s="31"/>
    </row>
    <row r="621" spans="5:5" x14ac:dyDescent="0.25">
      <c r="E621" s="31"/>
    </row>
    <row r="622" spans="5:5" x14ac:dyDescent="0.25">
      <c r="E622" s="31"/>
    </row>
    <row r="623" spans="5:5" x14ac:dyDescent="0.25">
      <c r="E623" s="31"/>
    </row>
    <row r="624" spans="5:5" x14ac:dyDescent="0.25">
      <c r="E624" s="31"/>
    </row>
    <row r="625" spans="5:5" x14ac:dyDescent="0.25">
      <c r="E625" s="31"/>
    </row>
    <row r="626" spans="5:5" x14ac:dyDescent="0.25">
      <c r="E626" s="31"/>
    </row>
    <row r="627" spans="5:5" x14ac:dyDescent="0.25">
      <c r="E627" s="31"/>
    </row>
    <row r="628" spans="5:5" x14ac:dyDescent="0.25">
      <c r="E628" s="31"/>
    </row>
    <row r="629" spans="5:5" x14ac:dyDescent="0.25">
      <c r="E629" s="31"/>
    </row>
    <row r="630" spans="5:5" x14ac:dyDescent="0.25">
      <c r="E630" s="31"/>
    </row>
    <row r="631" spans="5:5" x14ac:dyDescent="0.25">
      <c r="E631" s="31"/>
    </row>
    <row r="632" spans="5:5" x14ac:dyDescent="0.25">
      <c r="E632" s="31"/>
    </row>
    <row r="633" spans="5:5" x14ac:dyDescent="0.25">
      <c r="E633" s="31"/>
    </row>
    <row r="634" spans="5:5" x14ac:dyDescent="0.25">
      <c r="E634" s="31"/>
    </row>
    <row r="635" spans="5:5" x14ac:dyDescent="0.25">
      <c r="E635" s="31"/>
    </row>
    <row r="636" spans="5:5" x14ac:dyDescent="0.25">
      <c r="E636" s="31"/>
    </row>
    <row r="637" spans="5:5" x14ac:dyDescent="0.25">
      <c r="E637" s="31"/>
    </row>
    <row r="638" spans="5:5" x14ac:dyDescent="0.25">
      <c r="E638" s="31"/>
    </row>
    <row r="639" spans="5:5" x14ac:dyDescent="0.25">
      <c r="E639" s="31"/>
    </row>
    <row r="640" spans="5:5" x14ac:dyDescent="0.25">
      <c r="E640" s="31"/>
    </row>
    <row r="641" spans="5:5" x14ac:dyDescent="0.25">
      <c r="E641" s="31"/>
    </row>
    <row r="642" spans="5:5" x14ac:dyDescent="0.25">
      <c r="E642" s="31"/>
    </row>
    <row r="643" spans="5:5" x14ac:dyDescent="0.25">
      <c r="E643" s="31"/>
    </row>
    <row r="644" spans="5:5" x14ac:dyDescent="0.25">
      <c r="E644" s="31"/>
    </row>
    <row r="645" spans="5:5" x14ac:dyDescent="0.25">
      <c r="E645" s="31"/>
    </row>
    <row r="646" spans="5:5" x14ac:dyDescent="0.25">
      <c r="E646" s="31"/>
    </row>
    <row r="647" spans="5:5" x14ac:dyDescent="0.25">
      <c r="E647" s="31"/>
    </row>
    <row r="648" spans="5:5" x14ac:dyDescent="0.25">
      <c r="E648" s="31"/>
    </row>
    <row r="649" spans="5:5" x14ac:dyDescent="0.25">
      <c r="E649" s="31"/>
    </row>
    <row r="650" spans="5:5" x14ac:dyDescent="0.25">
      <c r="E650" s="31"/>
    </row>
    <row r="651" spans="5:5" x14ac:dyDescent="0.25">
      <c r="E651" s="31"/>
    </row>
    <row r="652" spans="5:5" x14ac:dyDescent="0.25">
      <c r="E652" s="31"/>
    </row>
    <row r="653" spans="5:5" x14ac:dyDescent="0.25">
      <c r="E653" s="31"/>
    </row>
    <row r="654" spans="5:5" x14ac:dyDescent="0.25">
      <c r="E654" s="31"/>
    </row>
    <row r="655" spans="5:5" x14ac:dyDescent="0.25">
      <c r="E655" s="31"/>
    </row>
    <row r="656" spans="5:5" x14ac:dyDescent="0.25">
      <c r="E656" s="31"/>
    </row>
    <row r="657" spans="5:5" x14ac:dyDescent="0.25">
      <c r="E657" s="31"/>
    </row>
    <row r="658" spans="5:5" x14ac:dyDescent="0.25">
      <c r="E658" s="31"/>
    </row>
    <row r="659" spans="5:5" x14ac:dyDescent="0.25">
      <c r="E659" s="31"/>
    </row>
    <row r="660" spans="5:5" x14ac:dyDescent="0.25">
      <c r="E660" s="31"/>
    </row>
    <row r="661" spans="5:5" x14ac:dyDescent="0.25">
      <c r="E661" s="31"/>
    </row>
    <row r="662" spans="5:5" x14ac:dyDescent="0.25">
      <c r="E662" s="31"/>
    </row>
    <row r="663" spans="5:5" x14ac:dyDescent="0.25">
      <c r="E663" s="31"/>
    </row>
    <row r="664" spans="5:5" x14ac:dyDescent="0.25">
      <c r="E664" s="31"/>
    </row>
    <row r="665" spans="5:5" x14ac:dyDescent="0.25">
      <c r="E665" s="31"/>
    </row>
    <row r="666" spans="5:5" x14ac:dyDescent="0.25">
      <c r="E666" s="31"/>
    </row>
    <row r="667" spans="5:5" x14ac:dyDescent="0.25">
      <c r="E667" s="31"/>
    </row>
    <row r="668" spans="5:5" x14ac:dyDescent="0.25">
      <c r="E668" s="31"/>
    </row>
    <row r="669" spans="5:5" x14ac:dyDescent="0.25">
      <c r="E669" s="31"/>
    </row>
    <row r="670" spans="5:5" x14ac:dyDescent="0.25">
      <c r="E670" s="31"/>
    </row>
    <row r="671" spans="5:5" x14ac:dyDescent="0.25">
      <c r="E671" s="31"/>
    </row>
    <row r="672" spans="5:5" x14ac:dyDescent="0.25">
      <c r="E672" s="31"/>
    </row>
    <row r="673" spans="5:5" x14ac:dyDescent="0.25">
      <c r="E673" s="31"/>
    </row>
    <row r="674" spans="5:5" x14ac:dyDescent="0.25">
      <c r="E674" s="31"/>
    </row>
    <row r="675" spans="5:5" x14ac:dyDescent="0.25">
      <c r="E675" s="31"/>
    </row>
    <row r="676" spans="5:5" x14ac:dyDescent="0.25">
      <c r="E676" s="31"/>
    </row>
    <row r="677" spans="5:5" x14ac:dyDescent="0.25">
      <c r="E677" s="31"/>
    </row>
    <row r="678" spans="5:5" x14ac:dyDescent="0.25">
      <c r="E678" s="31"/>
    </row>
    <row r="679" spans="5:5" x14ac:dyDescent="0.25">
      <c r="E679" s="31"/>
    </row>
    <row r="680" spans="5:5" x14ac:dyDescent="0.25">
      <c r="E680" s="31"/>
    </row>
    <row r="681" spans="5:5" x14ac:dyDescent="0.25">
      <c r="E681" s="31"/>
    </row>
    <row r="682" spans="5:5" x14ac:dyDescent="0.25">
      <c r="E682" s="31"/>
    </row>
    <row r="683" spans="5:5" x14ac:dyDescent="0.25">
      <c r="E683" s="31"/>
    </row>
    <row r="684" spans="5:5" x14ac:dyDescent="0.25">
      <c r="E684" s="31"/>
    </row>
    <row r="685" spans="5:5" x14ac:dyDescent="0.25">
      <c r="E685" s="31"/>
    </row>
    <row r="686" spans="5:5" x14ac:dyDescent="0.25">
      <c r="E686" s="31"/>
    </row>
    <row r="687" spans="5:5" x14ac:dyDescent="0.25">
      <c r="E687" s="31"/>
    </row>
    <row r="688" spans="5:5" x14ac:dyDescent="0.25">
      <c r="E688" s="31"/>
    </row>
    <row r="689" spans="5:5" x14ac:dyDescent="0.25">
      <c r="E689" s="31"/>
    </row>
    <row r="690" spans="5:5" x14ac:dyDescent="0.25">
      <c r="E690" s="31"/>
    </row>
    <row r="691" spans="5:5" x14ac:dyDescent="0.25">
      <c r="E691" s="31"/>
    </row>
    <row r="692" spans="5:5" x14ac:dyDescent="0.25">
      <c r="E692" s="31"/>
    </row>
    <row r="693" spans="5:5" x14ac:dyDescent="0.25">
      <c r="E693" s="31"/>
    </row>
    <row r="694" spans="5:5" x14ac:dyDescent="0.25">
      <c r="E694" s="31"/>
    </row>
    <row r="695" spans="5:5" x14ac:dyDescent="0.25">
      <c r="E695" s="31"/>
    </row>
    <row r="696" spans="5:5" x14ac:dyDescent="0.25">
      <c r="E696" s="31"/>
    </row>
    <row r="697" spans="5:5" x14ac:dyDescent="0.25">
      <c r="E697" s="31"/>
    </row>
    <row r="698" spans="5:5" x14ac:dyDescent="0.25">
      <c r="E698" s="31"/>
    </row>
    <row r="699" spans="5:5" x14ac:dyDescent="0.25">
      <c r="E699" s="31"/>
    </row>
    <row r="700" spans="5:5" x14ac:dyDescent="0.25">
      <c r="E700" s="31"/>
    </row>
    <row r="701" spans="5:5" x14ac:dyDescent="0.25">
      <c r="E701" s="31"/>
    </row>
    <row r="702" spans="5:5" x14ac:dyDescent="0.25">
      <c r="E702" s="31"/>
    </row>
    <row r="703" spans="5:5" x14ac:dyDescent="0.25">
      <c r="E703" s="31"/>
    </row>
    <row r="704" spans="5:5" x14ac:dyDescent="0.25">
      <c r="E704" s="31"/>
    </row>
    <row r="705" spans="5:5" x14ac:dyDescent="0.25">
      <c r="E705" s="31"/>
    </row>
    <row r="706" spans="5:5" x14ac:dyDescent="0.25">
      <c r="E706" s="31"/>
    </row>
    <row r="707" spans="5:5" x14ac:dyDescent="0.25">
      <c r="E707" s="31"/>
    </row>
    <row r="708" spans="5:5" x14ac:dyDescent="0.25">
      <c r="E708" s="31"/>
    </row>
    <row r="709" spans="5:5" x14ac:dyDescent="0.25">
      <c r="E709" s="31"/>
    </row>
    <row r="710" spans="5:5" x14ac:dyDescent="0.25">
      <c r="E710" s="31"/>
    </row>
    <row r="711" spans="5:5" x14ac:dyDescent="0.25">
      <c r="E711" s="31"/>
    </row>
    <row r="712" spans="5:5" x14ac:dyDescent="0.25">
      <c r="E712" s="31"/>
    </row>
    <row r="713" spans="5:5" x14ac:dyDescent="0.25">
      <c r="E713" s="31"/>
    </row>
    <row r="714" spans="5:5" x14ac:dyDescent="0.25">
      <c r="E714" s="31"/>
    </row>
    <row r="715" spans="5:5" x14ac:dyDescent="0.25">
      <c r="E715" s="31"/>
    </row>
    <row r="716" spans="5:5" x14ac:dyDescent="0.25">
      <c r="E716" s="31"/>
    </row>
    <row r="717" spans="5:5" x14ac:dyDescent="0.25">
      <c r="E717" s="31"/>
    </row>
    <row r="718" spans="5:5" x14ac:dyDescent="0.25">
      <c r="E718" s="31"/>
    </row>
    <row r="719" spans="5:5" x14ac:dyDescent="0.25">
      <c r="E719" s="31"/>
    </row>
    <row r="720" spans="5:5" x14ac:dyDescent="0.25">
      <c r="E720" s="31"/>
    </row>
    <row r="721" spans="5:5" x14ac:dyDescent="0.25">
      <c r="E721" s="31"/>
    </row>
    <row r="722" spans="5:5" x14ac:dyDescent="0.25">
      <c r="E722" s="31"/>
    </row>
    <row r="723" spans="5:5" x14ac:dyDescent="0.25">
      <c r="E723" s="31"/>
    </row>
    <row r="724" spans="5:5" x14ac:dyDescent="0.25">
      <c r="E724" s="31"/>
    </row>
    <row r="725" spans="5:5" x14ac:dyDescent="0.25">
      <c r="E725" s="31"/>
    </row>
    <row r="726" spans="5:5" x14ac:dyDescent="0.25">
      <c r="E726" s="31"/>
    </row>
    <row r="727" spans="5:5" x14ac:dyDescent="0.25">
      <c r="E727" s="31"/>
    </row>
    <row r="728" spans="5:5" x14ac:dyDescent="0.25">
      <c r="E728" s="31"/>
    </row>
    <row r="729" spans="5:5" x14ac:dyDescent="0.25">
      <c r="E729" s="31"/>
    </row>
    <row r="730" spans="5:5" x14ac:dyDescent="0.25">
      <c r="E730" s="31"/>
    </row>
    <row r="731" spans="5:5" x14ac:dyDescent="0.25">
      <c r="E731" s="31"/>
    </row>
    <row r="732" spans="5:5" x14ac:dyDescent="0.25">
      <c r="E732" s="31"/>
    </row>
    <row r="733" spans="5:5" x14ac:dyDescent="0.25">
      <c r="E733" s="31"/>
    </row>
    <row r="734" spans="5:5" x14ac:dyDescent="0.25">
      <c r="E734" s="31"/>
    </row>
    <row r="735" spans="5:5" x14ac:dyDescent="0.25">
      <c r="E735" s="31"/>
    </row>
    <row r="736" spans="5:5" x14ac:dyDescent="0.25">
      <c r="E736" s="31"/>
    </row>
    <row r="737" spans="5:5" x14ac:dyDescent="0.25">
      <c r="E737" s="31"/>
    </row>
    <row r="738" spans="5:5" x14ac:dyDescent="0.25">
      <c r="E738" s="31"/>
    </row>
    <row r="739" spans="5:5" x14ac:dyDescent="0.25">
      <c r="E739" s="31"/>
    </row>
    <row r="740" spans="5:5" x14ac:dyDescent="0.25">
      <c r="E740" s="31"/>
    </row>
    <row r="741" spans="5:5" x14ac:dyDescent="0.25">
      <c r="E741" s="31"/>
    </row>
    <row r="742" spans="5:5" x14ac:dyDescent="0.25">
      <c r="E742" s="31"/>
    </row>
    <row r="743" spans="5:5" x14ac:dyDescent="0.25">
      <c r="E743" s="31"/>
    </row>
    <row r="744" spans="5:5" x14ac:dyDescent="0.25">
      <c r="E744" s="31"/>
    </row>
    <row r="745" spans="5:5" x14ac:dyDescent="0.25">
      <c r="E745" s="31"/>
    </row>
    <row r="746" spans="5:5" x14ac:dyDescent="0.25">
      <c r="E746" s="31"/>
    </row>
    <row r="747" spans="5:5" x14ac:dyDescent="0.25">
      <c r="E747" s="31"/>
    </row>
    <row r="748" spans="5:5" x14ac:dyDescent="0.25">
      <c r="E748" s="31"/>
    </row>
    <row r="749" spans="5:5" x14ac:dyDescent="0.25">
      <c r="E749" s="31"/>
    </row>
    <row r="750" spans="5:5" x14ac:dyDescent="0.25">
      <c r="E750" s="31"/>
    </row>
    <row r="751" spans="5:5" x14ac:dyDescent="0.25">
      <c r="E751" s="31"/>
    </row>
    <row r="752" spans="5:5" x14ac:dyDescent="0.25">
      <c r="E752" s="31"/>
    </row>
    <row r="753" spans="5:5" x14ac:dyDescent="0.25">
      <c r="E753" s="31"/>
    </row>
    <row r="754" spans="5:5" x14ac:dyDescent="0.25">
      <c r="E754" s="31"/>
    </row>
    <row r="755" spans="5:5" x14ac:dyDescent="0.25">
      <c r="E755" s="31"/>
    </row>
    <row r="756" spans="5:5" x14ac:dyDescent="0.25">
      <c r="E756" s="31"/>
    </row>
    <row r="757" spans="5:5" x14ac:dyDescent="0.25">
      <c r="E757" s="31"/>
    </row>
    <row r="758" spans="5:5" x14ac:dyDescent="0.25">
      <c r="E758" s="31"/>
    </row>
    <row r="759" spans="5:5" x14ac:dyDescent="0.25">
      <c r="E759" s="31"/>
    </row>
    <row r="760" spans="5:5" x14ac:dyDescent="0.25">
      <c r="E760" s="31"/>
    </row>
    <row r="761" spans="5:5" x14ac:dyDescent="0.25">
      <c r="E761" s="31"/>
    </row>
    <row r="762" spans="5:5" x14ac:dyDescent="0.25">
      <c r="E762" s="31"/>
    </row>
    <row r="763" spans="5:5" x14ac:dyDescent="0.25">
      <c r="E763" s="31"/>
    </row>
    <row r="764" spans="5:5" x14ac:dyDescent="0.25">
      <c r="E764" s="31"/>
    </row>
    <row r="765" spans="5:5" x14ac:dyDescent="0.25">
      <c r="E765" s="31"/>
    </row>
    <row r="766" spans="5:5" x14ac:dyDescent="0.25">
      <c r="E766" s="31"/>
    </row>
    <row r="767" spans="5:5" x14ac:dyDescent="0.25">
      <c r="E767" s="31"/>
    </row>
    <row r="768" spans="5:5" x14ac:dyDescent="0.25">
      <c r="E768" s="31"/>
    </row>
    <row r="769" spans="5:5" x14ac:dyDescent="0.25">
      <c r="E769" s="31"/>
    </row>
    <row r="770" spans="5:5" x14ac:dyDescent="0.25">
      <c r="E770" s="31"/>
    </row>
    <row r="771" spans="5:5" x14ac:dyDescent="0.25">
      <c r="E771" s="31"/>
    </row>
    <row r="772" spans="5:5" x14ac:dyDescent="0.25">
      <c r="E772" s="31"/>
    </row>
    <row r="773" spans="5:5" x14ac:dyDescent="0.25">
      <c r="E773" s="31"/>
    </row>
    <row r="774" spans="5:5" x14ac:dyDescent="0.25">
      <c r="E774" s="31"/>
    </row>
    <row r="775" spans="5:5" x14ac:dyDescent="0.25">
      <c r="E775" s="31"/>
    </row>
    <row r="776" spans="5:5" x14ac:dyDescent="0.25">
      <c r="E776" s="31"/>
    </row>
    <row r="777" spans="5:5" x14ac:dyDescent="0.25">
      <c r="E777" s="31"/>
    </row>
    <row r="778" spans="5:5" x14ac:dyDescent="0.25">
      <c r="E778" s="31"/>
    </row>
    <row r="779" spans="5:5" x14ac:dyDescent="0.25">
      <c r="E779" s="31"/>
    </row>
    <row r="780" spans="5:5" x14ac:dyDescent="0.25">
      <c r="E780" s="31"/>
    </row>
    <row r="781" spans="5:5" x14ac:dyDescent="0.25">
      <c r="E781" s="31"/>
    </row>
    <row r="782" spans="5:5" x14ac:dyDescent="0.25">
      <c r="E782" s="31"/>
    </row>
    <row r="783" spans="5:5" x14ac:dyDescent="0.25">
      <c r="E783" s="31"/>
    </row>
    <row r="784" spans="5:5" x14ac:dyDescent="0.25">
      <c r="E784" s="31"/>
    </row>
    <row r="785" spans="5:5" x14ac:dyDescent="0.25">
      <c r="E785" s="31"/>
    </row>
    <row r="786" spans="5:5" x14ac:dyDescent="0.25">
      <c r="E786" s="31"/>
    </row>
    <row r="787" spans="5:5" x14ac:dyDescent="0.25">
      <c r="E787" s="31"/>
    </row>
    <row r="788" spans="5:5" x14ac:dyDescent="0.25">
      <c r="E788" s="31"/>
    </row>
    <row r="789" spans="5:5" x14ac:dyDescent="0.25">
      <c r="E789" s="31"/>
    </row>
    <row r="790" spans="5:5" x14ac:dyDescent="0.25">
      <c r="E790" s="31"/>
    </row>
    <row r="791" spans="5:5" x14ac:dyDescent="0.25">
      <c r="E791" s="31"/>
    </row>
    <row r="792" spans="5:5" x14ac:dyDescent="0.25">
      <c r="E792" s="31"/>
    </row>
    <row r="793" spans="5:5" x14ac:dyDescent="0.25">
      <c r="E793" s="31"/>
    </row>
    <row r="794" spans="5:5" x14ac:dyDescent="0.25">
      <c r="E794" s="31"/>
    </row>
    <row r="795" spans="5:5" x14ac:dyDescent="0.25">
      <c r="E795" s="31"/>
    </row>
    <row r="796" spans="5:5" x14ac:dyDescent="0.25">
      <c r="E796" s="31"/>
    </row>
    <row r="797" spans="5:5" x14ac:dyDescent="0.25">
      <c r="E797" s="31"/>
    </row>
    <row r="798" spans="5:5" x14ac:dyDescent="0.25">
      <c r="E798" s="31"/>
    </row>
    <row r="799" spans="5:5" x14ac:dyDescent="0.25">
      <c r="E799" s="31"/>
    </row>
    <row r="800" spans="5:5" x14ac:dyDescent="0.25">
      <c r="E800" s="31"/>
    </row>
    <row r="801" spans="5:5" x14ac:dyDescent="0.25">
      <c r="E801" s="31"/>
    </row>
    <row r="802" spans="5:5" x14ac:dyDescent="0.25">
      <c r="E802" s="31"/>
    </row>
    <row r="803" spans="5:5" x14ac:dyDescent="0.25">
      <c r="E803" s="31"/>
    </row>
    <row r="804" spans="5:5" x14ac:dyDescent="0.25">
      <c r="E804" s="31"/>
    </row>
    <row r="805" spans="5:5" x14ac:dyDescent="0.25">
      <c r="E805" s="31"/>
    </row>
    <row r="806" spans="5:5" x14ac:dyDescent="0.25">
      <c r="E806" s="31"/>
    </row>
    <row r="807" spans="5:5" x14ac:dyDescent="0.25">
      <c r="E807" s="31"/>
    </row>
    <row r="808" spans="5:5" x14ac:dyDescent="0.25">
      <c r="E808" s="31"/>
    </row>
    <row r="809" spans="5:5" x14ac:dyDescent="0.25">
      <c r="E809" s="31"/>
    </row>
    <row r="810" spans="5:5" x14ac:dyDescent="0.25">
      <c r="E810" s="31"/>
    </row>
    <row r="811" spans="5:5" x14ac:dyDescent="0.25">
      <c r="E811" s="31"/>
    </row>
    <row r="812" spans="5:5" x14ac:dyDescent="0.25">
      <c r="E812" s="31"/>
    </row>
    <row r="813" spans="5:5" x14ac:dyDescent="0.25">
      <c r="E813" s="31"/>
    </row>
    <row r="814" spans="5:5" x14ac:dyDescent="0.25">
      <c r="E814" s="31"/>
    </row>
    <row r="815" spans="5:5" x14ac:dyDescent="0.25">
      <c r="E815" s="31"/>
    </row>
    <row r="816" spans="5:5" x14ac:dyDescent="0.25">
      <c r="E816" s="31"/>
    </row>
    <row r="817" spans="5:5" x14ac:dyDescent="0.25">
      <c r="E817" s="31"/>
    </row>
    <row r="818" spans="5:5" x14ac:dyDescent="0.25">
      <c r="E818" s="31"/>
    </row>
    <row r="819" spans="5:5" x14ac:dyDescent="0.25">
      <c r="E819" s="31"/>
    </row>
    <row r="820" spans="5:5" x14ac:dyDescent="0.25">
      <c r="E820" s="31"/>
    </row>
    <row r="821" spans="5:5" x14ac:dyDescent="0.25">
      <c r="E821" s="31"/>
    </row>
    <row r="822" spans="5:5" x14ac:dyDescent="0.25">
      <c r="E822" s="31"/>
    </row>
    <row r="823" spans="5:5" x14ac:dyDescent="0.25">
      <c r="E823" s="31"/>
    </row>
    <row r="824" spans="5:5" x14ac:dyDescent="0.25">
      <c r="E824" s="31"/>
    </row>
    <row r="825" spans="5:5" x14ac:dyDescent="0.25">
      <c r="E825" s="31"/>
    </row>
    <row r="826" spans="5:5" x14ac:dyDescent="0.25">
      <c r="E826" s="31"/>
    </row>
    <row r="827" spans="5:5" x14ac:dyDescent="0.25">
      <c r="E827" s="31"/>
    </row>
    <row r="828" spans="5:5" x14ac:dyDescent="0.25">
      <c r="E828" s="31"/>
    </row>
    <row r="829" spans="5:5" x14ac:dyDescent="0.25">
      <c r="E829" s="31"/>
    </row>
    <row r="830" spans="5:5" x14ac:dyDescent="0.25">
      <c r="E830" s="31"/>
    </row>
    <row r="831" spans="5:5" x14ac:dyDescent="0.25">
      <c r="E831" s="31"/>
    </row>
    <row r="832" spans="5:5" x14ac:dyDescent="0.25">
      <c r="E832" s="31"/>
    </row>
    <row r="833" spans="5:5" x14ac:dyDescent="0.25">
      <c r="E833" s="31"/>
    </row>
    <row r="834" spans="5:5" x14ac:dyDescent="0.25">
      <c r="E834" s="31"/>
    </row>
    <row r="835" spans="5:5" x14ac:dyDescent="0.25">
      <c r="E835" s="31"/>
    </row>
    <row r="836" spans="5:5" x14ac:dyDescent="0.25">
      <c r="E836" s="31"/>
    </row>
    <row r="837" spans="5:5" x14ac:dyDescent="0.25">
      <c r="E837" s="31"/>
    </row>
    <row r="838" spans="5:5" x14ac:dyDescent="0.25">
      <c r="E838" s="31"/>
    </row>
    <row r="839" spans="5:5" x14ac:dyDescent="0.25">
      <c r="E839" s="31"/>
    </row>
    <row r="840" spans="5:5" x14ac:dyDescent="0.25">
      <c r="E840" s="31"/>
    </row>
    <row r="841" spans="5:5" x14ac:dyDescent="0.25">
      <c r="E841" s="31"/>
    </row>
    <row r="842" spans="5:5" x14ac:dyDescent="0.25">
      <c r="E842" s="31"/>
    </row>
    <row r="843" spans="5:5" x14ac:dyDescent="0.25">
      <c r="E843" s="31"/>
    </row>
    <row r="844" spans="5:5" x14ac:dyDescent="0.25">
      <c r="E844" s="31"/>
    </row>
    <row r="845" spans="5:5" x14ac:dyDescent="0.25">
      <c r="E845" s="31"/>
    </row>
    <row r="846" spans="5:5" x14ac:dyDescent="0.25">
      <c r="E846" s="31"/>
    </row>
    <row r="847" spans="5:5" x14ac:dyDescent="0.25">
      <c r="E847" s="31"/>
    </row>
    <row r="848" spans="5:5" x14ac:dyDescent="0.25">
      <c r="E848" s="31"/>
    </row>
    <row r="849" spans="5:5" x14ac:dyDescent="0.25">
      <c r="E849" s="31"/>
    </row>
    <row r="850" spans="5:5" x14ac:dyDescent="0.25">
      <c r="E850" s="31"/>
    </row>
    <row r="851" spans="5:5" x14ac:dyDescent="0.25">
      <c r="E851" s="31"/>
    </row>
    <row r="852" spans="5:5" x14ac:dyDescent="0.25">
      <c r="E852" s="31"/>
    </row>
    <row r="853" spans="5:5" x14ac:dyDescent="0.25">
      <c r="E853" s="31"/>
    </row>
    <row r="854" spans="5:5" x14ac:dyDescent="0.25">
      <c r="E854" s="31"/>
    </row>
    <row r="855" spans="5:5" x14ac:dyDescent="0.25">
      <c r="E855" s="31"/>
    </row>
    <row r="856" spans="5:5" x14ac:dyDescent="0.25">
      <c r="E856" s="31"/>
    </row>
    <row r="857" spans="5:5" x14ac:dyDescent="0.25">
      <c r="E857" s="31"/>
    </row>
    <row r="858" spans="5:5" x14ac:dyDescent="0.25">
      <c r="E858" s="31"/>
    </row>
    <row r="859" spans="5:5" x14ac:dyDescent="0.25">
      <c r="E859" s="31"/>
    </row>
    <row r="860" spans="5:5" x14ac:dyDescent="0.25">
      <c r="E860" s="31"/>
    </row>
    <row r="861" spans="5:5" x14ac:dyDescent="0.25">
      <c r="E861" s="31"/>
    </row>
    <row r="862" spans="5:5" x14ac:dyDescent="0.25">
      <c r="E862" s="31"/>
    </row>
    <row r="863" spans="5:5" x14ac:dyDescent="0.25">
      <c r="E863" s="31"/>
    </row>
    <row r="864" spans="5:5" x14ac:dyDescent="0.25">
      <c r="E864" s="31"/>
    </row>
    <row r="865" spans="5:5" x14ac:dyDescent="0.25">
      <c r="E865" s="31"/>
    </row>
    <row r="866" spans="5:5" x14ac:dyDescent="0.25">
      <c r="E866" s="31"/>
    </row>
    <row r="867" spans="5:5" x14ac:dyDescent="0.25">
      <c r="E867" s="31"/>
    </row>
    <row r="868" spans="5:5" x14ac:dyDescent="0.25">
      <c r="E868" s="31"/>
    </row>
    <row r="869" spans="5:5" x14ac:dyDescent="0.25">
      <c r="E869" s="31"/>
    </row>
    <row r="870" spans="5:5" x14ac:dyDescent="0.25">
      <c r="E870" s="31"/>
    </row>
    <row r="871" spans="5:5" x14ac:dyDescent="0.25">
      <c r="E871" s="31"/>
    </row>
    <row r="872" spans="5:5" x14ac:dyDescent="0.25">
      <c r="E872" s="31"/>
    </row>
    <row r="873" spans="5:5" x14ac:dyDescent="0.25">
      <c r="E873" s="31"/>
    </row>
    <row r="874" spans="5:5" x14ac:dyDescent="0.25">
      <c r="E874" s="31"/>
    </row>
    <row r="875" spans="5:5" x14ac:dyDescent="0.25">
      <c r="E875" s="31"/>
    </row>
    <row r="876" spans="5:5" x14ac:dyDescent="0.25">
      <c r="E876" s="31"/>
    </row>
    <row r="877" spans="5:5" x14ac:dyDescent="0.25">
      <c r="E877" s="31"/>
    </row>
    <row r="878" spans="5:5" x14ac:dyDescent="0.25">
      <c r="E878" s="31"/>
    </row>
    <row r="879" spans="5:5" x14ac:dyDescent="0.25">
      <c r="E879" s="31"/>
    </row>
    <row r="880" spans="5:5" x14ac:dyDescent="0.25">
      <c r="E880" s="31"/>
    </row>
    <row r="881" spans="5:5" x14ac:dyDescent="0.25">
      <c r="E881" s="31"/>
    </row>
    <row r="882" spans="5:5" x14ac:dyDescent="0.25">
      <c r="E882" s="31"/>
    </row>
    <row r="883" spans="5:5" x14ac:dyDescent="0.25">
      <c r="E883" s="31"/>
    </row>
    <row r="884" spans="5:5" x14ac:dyDescent="0.25">
      <c r="E884" s="31"/>
    </row>
    <row r="885" spans="5:5" x14ac:dyDescent="0.25">
      <c r="E885" s="31"/>
    </row>
    <row r="886" spans="5:5" x14ac:dyDescent="0.25">
      <c r="E886" s="31"/>
    </row>
    <row r="887" spans="5:5" x14ac:dyDescent="0.25">
      <c r="E887" s="31"/>
    </row>
    <row r="888" spans="5:5" x14ac:dyDescent="0.25">
      <c r="E888" s="31"/>
    </row>
    <row r="889" spans="5:5" x14ac:dyDescent="0.25">
      <c r="E889" s="31"/>
    </row>
    <row r="890" spans="5:5" x14ac:dyDescent="0.25">
      <c r="E890" s="31"/>
    </row>
    <row r="891" spans="5:5" x14ac:dyDescent="0.25">
      <c r="E891" s="31"/>
    </row>
    <row r="892" spans="5:5" x14ac:dyDescent="0.25">
      <c r="E892" s="31"/>
    </row>
    <row r="893" spans="5:5" x14ac:dyDescent="0.25">
      <c r="E893" s="31"/>
    </row>
    <row r="894" spans="5:5" x14ac:dyDescent="0.25">
      <c r="E894" s="31"/>
    </row>
    <row r="895" spans="5:5" x14ac:dyDescent="0.25">
      <c r="E895" s="31"/>
    </row>
    <row r="896" spans="5:5" x14ac:dyDescent="0.25">
      <c r="E896" s="31"/>
    </row>
    <row r="897" spans="5:5" x14ac:dyDescent="0.25">
      <c r="E897" s="31"/>
    </row>
    <row r="898" spans="5:5" x14ac:dyDescent="0.25">
      <c r="E898" s="31"/>
    </row>
    <row r="899" spans="5:5" x14ac:dyDescent="0.25">
      <c r="E899" s="31"/>
    </row>
    <row r="900" spans="5:5" x14ac:dyDescent="0.25">
      <c r="E900" s="31"/>
    </row>
    <row r="901" spans="5:5" x14ac:dyDescent="0.25">
      <c r="E901" s="31"/>
    </row>
    <row r="902" spans="5:5" x14ac:dyDescent="0.25">
      <c r="E902" s="31"/>
    </row>
    <row r="903" spans="5:5" x14ac:dyDescent="0.25">
      <c r="E903" s="31"/>
    </row>
    <row r="904" spans="5:5" x14ac:dyDescent="0.25">
      <c r="E904" s="31"/>
    </row>
    <row r="905" spans="5:5" x14ac:dyDescent="0.25">
      <c r="E905" s="31"/>
    </row>
    <row r="906" spans="5:5" x14ac:dyDescent="0.25">
      <c r="E906" s="31"/>
    </row>
    <row r="907" spans="5:5" x14ac:dyDescent="0.25">
      <c r="E907" s="31"/>
    </row>
    <row r="908" spans="5:5" x14ac:dyDescent="0.25">
      <c r="E908" s="31"/>
    </row>
    <row r="909" spans="5:5" x14ac:dyDescent="0.25">
      <c r="E909" s="31"/>
    </row>
    <row r="910" spans="5:5" x14ac:dyDescent="0.25">
      <c r="E910" s="31"/>
    </row>
    <row r="911" spans="5:5" x14ac:dyDescent="0.25">
      <c r="E911" s="31"/>
    </row>
    <row r="912" spans="5:5" x14ac:dyDescent="0.25">
      <c r="E912" s="31"/>
    </row>
    <row r="913" spans="5:5" x14ac:dyDescent="0.25">
      <c r="E913" s="31"/>
    </row>
    <row r="914" spans="5:5" x14ac:dyDescent="0.25">
      <c r="E914" s="31"/>
    </row>
    <row r="915" spans="5:5" x14ac:dyDescent="0.25">
      <c r="E915" s="31"/>
    </row>
    <row r="916" spans="5:5" x14ac:dyDescent="0.25">
      <c r="E916" s="31"/>
    </row>
    <row r="917" spans="5:5" x14ac:dyDescent="0.25">
      <c r="E917" s="31"/>
    </row>
    <row r="918" spans="5:5" x14ac:dyDescent="0.25">
      <c r="E918" s="31"/>
    </row>
    <row r="919" spans="5:5" x14ac:dyDescent="0.25">
      <c r="E919" s="31"/>
    </row>
    <row r="920" spans="5:5" x14ac:dyDescent="0.25">
      <c r="E920" s="31"/>
    </row>
    <row r="921" spans="5:5" x14ac:dyDescent="0.25">
      <c r="E921" s="31"/>
    </row>
    <row r="922" spans="5:5" x14ac:dyDescent="0.25">
      <c r="E922" s="31"/>
    </row>
    <row r="923" spans="5:5" x14ac:dyDescent="0.25">
      <c r="E923" s="31"/>
    </row>
    <row r="924" spans="5:5" x14ac:dyDescent="0.25">
      <c r="E924" s="31"/>
    </row>
    <row r="925" spans="5:5" x14ac:dyDescent="0.25">
      <c r="E925" s="31"/>
    </row>
    <row r="926" spans="5:5" x14ac:dyDescent="0.25">
      <c r="E926" s="31"/>
    </row>
    <row r="927" spans="5:5" x14ac:dyDescent="0.25">
      <c r="E927" s="31"/>
    </row>
    <row r="928" spans="5:5" x14ac:dyDescent="0.25">
      <c r="E928" s="31"/>
    </row>
    <row r="929" spans="5:5" x14ac:dyDescent="0.25">
      <c r="E929" s="31"/>
    </row>
    <row r="930" spans="5:5" x14ac:dyDescent="0.25">
      <c r="E930" s="31"/>
    </row>
    <row r="931" spans="5:5" x14ac:dyDescent="0.25">
      <c r="E931" s="31"/>
    </row>
    <row r="932" spans="5:5" x14ac:dyDescent="0.25">
      <c r="E932" s="31"/>
    </row>
    <row r="933" spans="5:5" x14ac:dyDescent="0.25">
      <c r="E933" s="31"/>
    </row>
    <row r="934" spans="5:5" x14ac:dyDescent="0.25">
      <c r="E934" s="31"/>
    </row>
    <row r="935" spans="5:5" x14ac:dyDescent="0.25">
      <c r="E935" s="31"/>
    </row>
    <row r="936" spans="5:5" x14ac:dyDescent="0.25">
      <c r="E936" s="31"/>
    </row>
    <row r="937" spans="5:5" x14ac:dyDescent="0.25">
      <c r="E937" s="31"/>
    </row>
    <row r="938" spans="5:5" x14ac:dyDescent="0.25">
      <c r="E938" s="31"/>
    </row>
    <row r="939" spans="5:5" x14ac:dyDescent="0.25">
      <c r="E939" s="31"/>
    </row>
    <row r="940" spans="5:5" x14ac:dyDescent="0.25">
      <c r="E940" s="31"/>
    </row>
    <row r="941" spans="5:5" x14ac:dyDescent="0.25">
      <c r="E941" s="31"/>
    </row>
    <row r="942" spans="5:5" x14ac:dyDescent="0.25">
      <c r="E942" s="31"/>
    </row>
    <row r="943" spans="5:5" x14ac:dyDescent="0.25">
      <c r="E943" s="31"/>
    </row>
    <row r="944" spans="5:5" x14ac:dyDescent="0.25">
      <c r="E944" s="31"/>
    </row>
    <row r="945" spans="5:5" x14ac:dyDescent="0.25">
      <c r="E945" s="31"/>
    </row>
    <row r="946" spans="5:5" x14ac:dyDescent="0.25">
      <c r="E946" s="31"/>
    </row>
    <row r="947" spans="5:5" x14ac:dyDescent="0.25">
      <c r="E947" s="31"/>
    </row>
    <row r="948" spans="5:5" x14ac:dyDescent="0.25">
      <c r="E948" s="31"/>
    </row>
    <row r="949" spans="5:5" x14ac:dyDescent="0.25">
      <c r="E949" s="31"/>
    </row>
    <row r="950" spans="5:5" x14ac:dyDescent="0.25">
      <c r="E950" s="31"/>
    </row>
    <row r="951" spans="5:5" x14ac:dyDescent="0.25">
      <c r="E951" s="31"/>
    </row>
    <row r="952" spans="5:5" x14ac:dyDescent="0.25">
      <c r="E952" s="31"/>
    </row>
    <row r="953" spans="5:5" x14ac:dyDescent="0.25">
      <c r="E953" s="31"/>
    </row>
    <row r="954" spans="5:5" x14ac:dyDescent="0.25">
      <c r="E954" s="31"/>
    </row>
    <row r="955" spans="5:5" x14ac:dyDescent="0.25">
      <c r="E955" s="31"/>
    </row>
    <row r="956" spans="5:5" x14ac:dyDescent="0.25">
      <c r="E956" s="31"/>
    </row>
    <row r="957" spans="5:5" x14ac:dyDescent="0.25">
      <c r="E957" s="31"/>
    </row>
    <row r="958" spans="5:5" x14ac:dyDescent="0.25">
      <c r="E958" s="31"/>
    </row>
    <row r="959" spans="5:5" x14ac:dyDescent="0.25">
      <c r="E959" s="31"/>
    </row>
    <row r="960" spans="5:5" x14ac:dyDescent="0.25">
      <c r="E960" s="31"/>
    </row>
    <row r="961" spans="5:5" x14ac:dyDescent="0.25">
      <c r="E961" s="31"/>
    </row>
    <row r="962" spans="5:5" x14ac:dyDescent="0.25">
      <c r="E962" s="31"/>
    </row>
    <row r="963" spans="5:5" x14ac:dyDescent="0.25">
      <c r="E963" s="31"/>
    </row>
    <row r="964" spans="5:5" x14ac:dyDescent="0.25">
      <c r="E964" s="31"/>
    </row>
    <row r="965" spans="5:5" x14ac:dyDescent="0.25">
      <c r="E965" s="31"/>
    </row>
    <row r="966" spans="5:5" x14ac:dyDescent="0.25">
      <c r="E966" s="31"/>
    </row>
    <row r="967" spans="5:5" x14ac:dyDescent="0.25">
      <c r="E967" s="31"/>
    </row>
    <row r="968" spans="5:5" x14ac:dyDescent="0.25">
      <c r="E968" s="31"/>
    </row>
    <row r="969" spans="5:5" x14ac:dyDescent="0.25">
      <c r="E969" s="31"/>
    </row>
    <row r="970" spans="5:5" x14ac:dyDescent="0.25">
      <c r="E970" s="31"/>
    </row>
    <row r="971" spans="5:5" x14ac:dyDescent="0.25">
      <c r="E971" s="31"/>
    </row>
    <row r="972" spans="5:5" x14ac:dyDescent="0.25">
      <c r="E972" s="31"/>
    </row>
    <row r="973" spans="5:5" x14ac:dyDescent="0.25">
      <c r="E973" s="31"/>
    </row>
    <row r="974" spans="5:5" x14ac:dyDescent="0.25">
      <c r="E974" s="31"/>
    </row>
    <row r="975" spans="5:5" x14ac:dyDescent="0.25">
      <c r="E975" s="31"/>
    </row>
    <row r="976" spans="5:5" x14ac:dyDescent="0.25">
      <c r="E976" s="31"/>
    </row>
    <row r="977" spans="5:5" x14ac:dyDescent="0.25">
      <c r="E977" s="31"/>
    </row>
    <row r="978" spans="5:5" x14ac:dyDescent="0.25">
      <c r="E978" s="31"/>
    </row>
    <row r="979" spans="5:5" x14ac:dyDescent="0.25">
      <c r="E979" s="31"/>
    </row>
    <row r="980" spans="5:5" x14ac:dyDescent="0.25">
      <c r="E980" s="31"/>
    </row>
    <row r="981" spans="5:5" x14ac:dyDescent="0.25">
      <c r="E981" s="31"/>
    </row>
    <row r="982" spans="5:5" x14ac:dyDescent="0.25">
      <c r="E982" s="31"/>
    </row>
    <row r="983" spans="5:5" x14ac:dyDescent="0.25">
      <c r="E983" s="31"/>
    </row>
    <row r="984" spans="5:5" x14ac:dyDescent="0.25">
      <c r="E984" s="31"/>
    </row>
    <row r="985" spans="5:5" x14ac:dyDescent="0.25">
      <c r="E985" s="31"/>
    </row>
    <row r="986" spans="5:5" x14ac:dyDescent="0.25">
      <c r="E986" s="31"/>
    </row>
    <row r="987" spans="5:5" x14ac:dyDescent="0.25">
      <c r="E987" s="31"/>
    </row>
    <row r="988" spans="5:5" x14ac:dyDescent="0.25">
      <c r="E988" s="31"/>
    </row>
    <row r="989" spans="5:5" x14ac:dyDescent="0.25">
      <c r="E989" s="31"/>
    </row>
    <row r="990" spans="5:5" x14ac:dyDescent="0.25">
      <c r="E990" s="31"/>
    </row>
    <row r="991" spans="5:5" x14ac:dyDescent="0.25">
      <c r="E991" s="31"/>
    </row>
    <row r="992" spans="5:5" x14ac:dyDescent="0.25">
      <c r="E992" s="31"/>
    </row>
    <row r="993" spans="5:5" x14ac:dyDescent="0.25">
      <c r="E993" s="31"/>
    </row>
    <row r="994" spans="5:5" x14ac:dyDescent="0.25">
      <c r="E994" s="31"/>
    </row>
    <row r="995" spans="5:5" x14ac:dyDescent="0.25">
      <c r="E995" s="31"/>
    </row>
    <row r="996" spans="5:5" x14ac:dyDescent="0.25">
      <c r="E996" s="31"/>
    </row>
    <row r="997" spans="5:5" x14ac:dyDescent="0.25">
      <c r="E997" s="31"/>
    </row>
    <row r="998" spans="5:5" x14ac:dyDescent="0.25">
      <c r="E998" s="31"/>
    </row>
    <row r="999" spans="5:5" x14ac:dyDescent="0.25">
      <c r="E999" s="31"/>
    </row>
    <row r="1000" spans="5:5" x14ac:dyDescent="0.25">
      <c r="E1000" s="31"/>
    </row>
    <row r="1001" spans="5:5" x14ac:dyDescent="0.25">
      <c r="E1001" s="31"/>
    </row>
    <row r="1002" spans="5:5" x14ac:dyDescent="0.25">
      <c r="E1002" s="31"/>
    </row>
    <row r="1003" spans="5:5" x14ac:dyDescent="0.25">
      <c r="E1003" s="31"/>
    </row>
    <row r="1004" spans="5:5" x14ac:dyDescent="0.25">
      <c r="E1004" s="31"/>
    </row>
    <row r="1005" spans="5:5" x14ac:dyDescent="0.25">
      <c r="E1005" s="31"/>
    </row>
    <row r="1006" spans="5:5" x14ac:dyDescent="0.25">
      <c r="E1006" s="31"/>
    </row>
    <row r="1007" spans="5:5" x14ac:dyDescent="0.25">
      <c r="E1007" s="31"/>
    </row>
    <row r="1008" spans="5:5" x14ac:dyDescent="0.25">
      <c r="E1008" s="31"/>
    </row>
    <row r="1009" spans="5:5" x14ac:dyDescent="0.25">
      <c r="E1009" s="31"/>
    </row>
    <row r="1010" spans="5:5" x14ac:dyDescent="0.25">
      <c r="E1010" s="31"/>
    </row>
    <row r="1011" spans="5:5" x14ac:dyDescent="0.25">
      <c r="E1011" s="31"/>
    </row>
    <row r="1012" spans="5:5" x14ac:dyDescent="0.25">
      <c r="E1012" s="31"/>
    </row>
    <row r="1013" spans="5:5" x14ac:dyDescent="0.25">
      <c r="E1013" s="31"/>
    </row>
    <row r="1014" spans="5:5" x14ac:dyDescent="0.25">
      <c r="E1014" s="31"/>
    </row>
    <row r="1015" spans="5:5" x14ac:dyDescent="0.25">
      <c r="E1015" s="31"/>
    </row>
    <row r="1016" spans="5:5" x14ac:dyDescent="0.25">
      <c r="E1016" s="31"/>
    </row>
    <row r="1017" spans="5:5" x14ac:dyDescent="0.25">
      <c r="E1017" s="31"/>
    </row>
    <row r="1018" spans="5:5" x14ac:dyDescent="0.25">
      <c r="E1018" s="31"/>
    </row>
    <row r="1019" spans="5:5" x14ac:dyDescent="0.25">
      <c r="E1019" s="31"/>
    </row>
    <row r="1020" spans="5:5" x14ac:dyDescent="0.25">
      <c r="E1020" s="31"/>
    </row>
    <row r="1021" spans="5:5" x14ac:dyDescent="0.25">
      <c r="E1021" s="31"/>
    </row>
    <row r="1022" spans="5:5" x14ac:dyDescent="0.25">
      <c r="E1022" s="31"/>
    </row>
    <row r="1023" spans="5:5" x14ac:dyDescent="0.25">
      <c r="E1023" s="31"/>
    </row>
    <row r="1024" spans="5:5" x14ac:dyDescent="0.25">
      <c r="E1024" s="31"/>
    </row>
    <row r="1025" spans="5:5" x14ac:dyDescent="0.25">
      <c r="E1025" s="31"/>
    </row>
    <row r="1026" spans="5:5" x14ac:dyDescent="0.25">
      <c r="E1026" s="31"/>
    </row>
    <row r="1027" spans="5:5" x14ac:dyDescent="0.25">
      <c r="E1027" s="31"/>
    </row>
    <row r="1028" spans="5:5" x14ac:dyDescent="0.25">
      <c r="E1028" s="31"/>
    </row>
    <row r="1029" spans="5:5" x14ac:dyDescent="0.25">
      <c r="E1029" s="31"/>
    </row>
    <row r="1030" spans="5:5" x14ac:dyDescent="0.25">
      <c r="E1030" s="31"/>
    </row>
    <row r="1031" spans="5:5" x14ac:dyDescent="0.25">
      <c r="E1031" s="31"/>
    </row>
    <row r="1032" spans="5:5" x14ac:dyDescent="0.25">
      <c r="E1032" s="31"/>
    </row>
    <row r="1033" spans="5:5" x14ac:dyDescent="0.25">
      <c r="E1033" s="31"/>
    </row>
    <row r="1034" spans="5:5" x14ac:dyDescent="0.25">
      <c r="E1034" s="31"/>
    </row>
    <row r="1035" spans="5:5" x14ac:dyDescent="0.25">
      <c r="E1035" s="31"/>
    </row>
    <row r="1036" spans="5:5" x14ac:dyDescent="0.25">
      <c r="E1036" s="31"/>
    </row>
    <row r="1037" spans="5:5" x14ac:dyDescent="0.25">
      <c r="E1037" s="31"/>
    </row>
    <row r="1038" spans="5:5" x14ac:dyDescent="0.25">
      <c r="E1038" s="31"/>
    </row>
    <row r="1039" spans="5:5" x14ac:dyDescent="0.25">
      <c r="E1039" s="31"/>
    </row>
    <row r="1040" spans="5:5" x14ac:dyDescent="0.25">
      <c r="E1040" s="31"/>
    </row>
    <row r="1041" spans="5:5" x14ac:dyDescent="0.25">
      <c r="E1041" s="31"/>
    </row>
    <row r="1042" spans="5:5" x14ac:dyDescent="0.25">
      <c r="E1042" s="31"/>
    </row>
    <row r="1043" spans="5:5" x14ac:dyDescent="0.25">
      <c r="E1043" s="31"/>
    </row>
    <row r="1044" spans="5:5" x14ac:dyDescent="0.25">
      <c r="E1044" s="31"/>
    </row>
    <row r="1045" spans="5:5" x14ac:dyDescent="0.25">
      <c r="E1045" s="31"/>
    </row>
    <row r="1046" spans="5:5" x14ac:dyDescent="0.25">
      <c r="E1046" s="31"/>
    </row>
    <row r="1047" spans="5:5" x14ac:dyDescent="0.25">
      <c r="E1047" s="31"/>
    </row>
    <row r="1048" spans="5:5" x14ac:dyDescent="0.25">
      <c r="E1048" s="31"/>
    </row>
    <row r="1049" spans="5:5" x14ac:dyDescent="0.25">
      <c r="E1049" s="31"/>
    </row>
    <row r="1050" spans="5:5" x14ac:dyDescent="0.25">
      <c r="E1050" s="31"/>
    </row>
    <row r="1051" spans="5:5" x14ac:dyDescent="0.25">
      <c r="E1051" s="31"/>
    </row>
    <row r="1052" spans="5:5" x14ac:dyDescent="0.25">
      <c r="E1052" s="31"/>
    </row>
    <row r="1053" spans="5:5" x14ac:dyDescent="0.25">
      <c r="E1053" s="31"/>
    </row>
    <row r="1054" spans="5:5" x14ac:dyDescent="0.25">
      <c r="E1054" s="31"/>
    </row>
    <row r="1055" spans="5:5" x14ac:dyDescent="0.25">
      <c r="E1055" s="31"/>
    </row>
    <row r="1056" spans="5:5" x14ac:dyDescent="0.25">
      <c r="E1056" s="31"/>
    </row>
    <row r="1057" spans="5:5" x14ac:dyDescent="0.25">
      <c r="E1057" s="31"/>
    </row>
    <row r="1058" spans="5:5" x14ac:dyDescent="0.25">
      <c r="E1058" s="31"/>
    </row>
    <row r="1059" spans="5:5" x14ac:dyDescent="0.25">
      <c r="E1059" s="31"/>
    </row>
    <row r="1060" spans="5:5" x14ac:dyDescent="0.25">
      <c r="E1060" s="31"/>
    </row>
    <row r="1061" spans="5:5" x14ac:dyDescent="0.25">
      <c r="E1061" s="31"/>
    </row>
    <row r="1062" spans="5:5" x14ac:dyDescent="0.25">
      <c r="E1062" s="31"/>
    </row>
    <row r="1063" spans="5:5" x14ac:dyDescent="0.25">
      <c r="E1063" s="31"/>
    </row>
    <row r="1064" spans="5:5" x14ac:dyDescent="0.25">
      <c r="E1064" s="31"/>
    </row>
    <row r="1065" spans="5:5" x14ac:dyDescent="0.25">
      <c r="E1065" s="31"/>
    </row>
    <row r="1066" spans="5:5" x14ac:dyDescent="0.25">
      <c r="E1066" s="31"/>
    </row>
    <row r="1067" spans="5:5" x14ac:dyDescent="0.25">
      <c r="E1067" s="31"/>
    </row>
    <row r="1068" spans="5:5" x14ac:dyDescent="0.25">
      <c r="E1068" s="31"/>
    </row>
    <row r="1069" spans="5:5" x14ac:dyDescent="0.25">
      <c r="E1069" s="31"/>
    </row>
    <row r="1070" spans="5:5" x14ac:dyDescent="0.25">
      <c r="E1070" s="31"/>
    </row>
    <row r="1071" spans="5:5" x14ac:dyDescent="0.25">
      <c r="E1071" s="31"/>
    </row>
    <row r="1072" spans="5:5" x14ac:dyDescent="0.25">
      <c r="E1072" s="31"/>
    </row>
    <row r="1073" spans="5:5" x14ac:dyDescent="0.25">
      <c r="E1073" s="31"/>
    </row>
    <row r="1074" spans="5:5" x14ac:dyDescent="0.25">
      <c r="E1074" s="31"/>
    </row>
    <row r="1075" spans="5:5" x14ac:dyDescent="0.25">
      <c r="E1075" s="31"/>
    </row>
    <row r="1076" spans="5:5" x14ac:dyDescent="0.25">
      <c r="E1076" s="31"/>
    </row>
    <row r="1077" spans="5:5" x14ac:dyDescent="0.25">
      <c r="E1077" s="31"/>
    </row>
    <row r="1078" spans="5:5" x14ac:dyDescent="0.25">
      <c r="E1078" s="31"/>
    </row>
    <row r="1079" spans="5:5" x14ac:dyDescent="0.25">
      <c r="E1079" s="31"/>
    </row>
    <row r="1080" spans="5:5" x14ac:dyDescent="0.25">
      <c r="E1080" s="31"/>
    </row>
    <row r="1081" spans="5:5" x14ac:dyDescent="0.25">
      <c r="E1081" s="31"/>
    </row>
    <row r="1082" spans="5:5" x14ac:dyDescent="0.25">
      <c r="E1082" s="31"/>
    </row>
    <row r="1083" spans="5:5" x14ac:dyDescent="0.25">
      <c r="E1083" s="31"/>
    </row>
    <row r="1084" spans="5:5" x14ac:dyDescent="0.25">
      <c r="E1084" s="31"/>
    </row>
    <row r="1085" spans="5:5" x14ac:dyDescent="0.25">
      <c r="E1085" s="31"/>
    </row>
    <row r="1086" spans="5:5" x14ac:dyDescent="0.25">
      <c r="E1086" s="31"/>
    </row>
    <row r="1087" spans="5:5" x14ac:dyDescent="0.25">
      <c r="E1087" s="31"/>
    </row>
    <row r="1088" spans="5:5" x14ac:dyDescent="0.25">
      <c r="E1088" s="31"/>
    </row>
    <row r="1089" spans="5:5" x14ac:dyDescent="0.25">
      <c r="E1089" s="31"/>
    </row>
    <row r="1090" spans="5:5" x14ac:dyDescent="0.25">
      <c r="E1090" s="31"/>
    </row>
    <row r="1091" spans="5:5" x14ac:dyDescent="0.25">
      <c r="E1091" s="31"/>
    </row>
    <row r="1092" spans="5:5" x14ac:dyDescent="0.25">
      <c r="E1092" s="31"/>
    </row>
    <row r="1093" spans="5:5" x14ac:dyDescent="0.25">
      <c r="E1093" s="31"/>
    </row>
    <row r="1094" spans="5:5" x14ac:dyDescent="0.25">
      <c r="E1094" s="31"/>
    </row>
    <row r="1095" spans="5:5" x14ac:dyDescent="0.25">
      <c r="E1095" s="31"/>
    </row>
    <row r="1096" spans="5:5" x14ac:dyDescent="0.25">
      <c r="E1096" s="31"/>
    </row>
    <row r="1097" spans="5:5" x14ac:dyDescent="0.25">
      <c r="E1097" s="31"/>
    </row>
    <row r="1098" spans="5:5" x14ac:dyDescent="0.25">
      <c r="E1098" s="31"/>
    </row>
    <row r="1099" spans="5:5" x14ac:dyDescent="0.25">
      <c r="E1099" s="31"/>
    </row>
    <row r="1100" spans="5:5" x14ac:dyDescent="0.25">
      <c r="E1100" s="31"/>
    </row>
    <row r="1101" spans="5:5" x14ac:dyDescent="0.25">
      <c r="E1101" s="31"/>
    </row>
    <row r="1102" spans="5:5" x14ac:dyDescent="0.25">
      <c r="E1102" s="31"/>
    </row>
    <row r="1103" spans="5:5" x14ac:dyDescent="0.25">
      <c r="E1103" s="31"/>
    </row>
    <row r="1104" spans="5:5" x14ac:dyDescent="0.25">
      <c r="E1104" s="31"/>
    </row>
    <row r="1105" spans="5:5" x14ac:dyDescent="0.25">
      <c r="E1105" s="31"/>
    </row>
    <row r="1106" spans="5:5" x14ac:dyDescent="0.25">
      <c r="E1106" s="31"/>
    </row>
    <row r="1107" spans="5:5" x14ac:dyDescent="0.25">
      <c r="E1107" s="31"/>
    </row>
    <row r="1108" spans="5:5" x14ac:dyDescent="0.25">
      <c r="E1108" s="31"/>
    </row>
    <row r="1109" spans="5:5" x14ac:dyDescent="0.25">
      <c r="E1109" s="31"/>
    </row>
    <row r="1110" spans="5:5" x14ac:dyDescent="0.25">
      <c r="E1110" s="31"/>
    </row>
    <row r="1111" spans="5:5" x14ac:dyDescent="0.25">
      <c r="E1111" s="31"/>
    </row>
    <row r="1112" spans="5:5" x14ac:dyDescent="0.25">
      <c r="E1112" s="31"/>
    </row>
    <row r="1113" spans="5:5" x14ac:dyDescent="0.25">
      <c r="E1113" s="31"/>
    </row>
    <row r="1114" spans="5:5" x14ac:dyDescent="0.25">
      <c r="E1114" s="31"/>
    </row>
    <row r="1115" spans="5:5" x14ac:dyDescent="0.25">
      <c r="E1115" s="31"/>
    </row>
    <row r="1116" spans="5:5" x14ac:dyDescent="0.25">
      <c r="E1116" s="31"/>
    </row>
    <row r="1117" spans="5:5" x14ac:dyDescent="0.25">
      <c r="E1117" s="31"/>
    </row>
    <row r="1118" spans="5:5" x14ac:dyDescent="0.25">
      <c r="E1118" s="31"/>
    </row>
    <row r="1119" spans="5:5" x14ac:dyDescent="0.25">
      <c r="E1119" s="31"/>
    </row>
    <row r="1120" spans="5:5" x14ac:dyDescent="0.25">
      <c r="E1120" s="31"/>
    </row>
    <row r="1121" spans="5:5" x14ac:dyDescent="0.25">
      <c r="E1121" s="31"/>
    </row>
    <row r="1122" spans="5:5" x14ac:dyDescent="0.25">
      <c r="E1122" s="31"/>
    </row>
    <row r="1123" spans="5:5" x14ac:dyDescent="0.25">
      <c r="E1123" s="31"/>
    </row>
    <row r="1124" spans="5:5" x14ac:dyDescent="0.25">
      <c r="E1124" s="31"/>
    </row>
    <row r="1125" spans="5:5" x14ac:dyDescent="0.25">
      <c r="E1125" s="31"/>
    </row>
    <row r="1126" spans="5:5" x14ac:dyDescent="0.25">
      <c r="E1126" s="31"/>
    </row>
    <row r="1127" spans="5:5" x14ac:dyDescent="0.25">
      <c r="E1127" s="31"/>
    </row>
    <row r="1128" spans="5:5" x14ac:dyDescent="0.25">
      <c r="E1128" s="31"/>
    </row>
    <row r="1129" spans="5:5" x14ac:dyDescent="0.25">
      <c r="E1129" s="31"/>
    </row>
    <row r="1130" spans="5:5" x14ac:dyDescent="0.25">
      <c r="E1130" s="31"/>
    </row>
    <row r="1131" spans="5:5" x14ac:dyDescent="0.25">
      <c r="E1131" s="31"/>
    </row>
    <row r="1132" spans="5:5" x14ac:dyDescent="0.25">
      <c r="E1132" s="31"/>
    </row>
    <row r="1133" spans="5:5" x14ac:dyDescent="0.25">
      <c r="E1133" s="31"/>
    </row>
    <row r="1134" spans="5:5" x14ac:dyDescent="0.25">
      <c r="E1134" s="31"/>
    </row>
    <row r="1135" spans="5:5" x14ac:dyDescent="0.25">
      <c r="E1135" s="31"/>
    </row>
    <row r="1136" spans="5:5" x14ac:dyDescent="0.25">
      <c r="E1136" s="31"/>
    </row>
    <row r="1137" spans="5:5" x14ac:dyDescent="0.25">
      <c r="E1137" s="31"/>
    </row>
    <row r="1138" spans="5:5" x14ac:dyDescent="0.25">
      <c r="E1138" s="31"/>
    </row>
    <row r="1139" spans="5:5" x14ac:dyDescent="0.25">
      <c r="E1139" s="31"/>
    </row>
    <row r="1140" spans="5:5" x14ac:dyDescent="0.25">
      <c r="E1140" s="31"/>
    </row>
    <row r="1141" spans="5:5" x14ac:dyDescent="0.25">
      <c r="E1141" s="31"/>
    </row>
    <row r="1142" spans="5:5" x14ac:dyDescent="0.25">
      <c r="E1142" s="31"/>
    </row>
    <row r="1143" spans="5:5" x14ac:dyDescent="0.25">
      <c r="E1143" s="31"/>
    </row>
    <row r="1144" spans="5:5" x14ac:dyDescent="0.25">
      <c r="E1144" s="31"/>
    </row>
    <row r="1145" spans="5:5" x14ac:dyDescent="0.25">
      <c r="E1145" s="31"/>
    </row>
    <row r="1146" spans="5:5" x14ac:dyDescent="0.25">
      <c r="E1146" s="31"/>
    </row>
    <row r="1147" spans="5:5" x14ac:dyDescent="0.25">
      <c r="E1147" s="31"/>
    </row>
    <row r="1148" spans="5:5" x14ac:dyDescent="0.25">
      <c r="E1148" s="31"/>
    </row>
    <row r="1149" spans="5:5" x14ac:dyDescent="0.25">
      <c r="E1149" s="31"/>
    </row>
    <row r="1150" spans="5:5" x14ac:dyDescent="0.25">
      <c r="E1150" s="31"/>
    </row>
    <row r="1151" spans="5:5" x14ac:dyDescent="0.25">
      <c r="E1151" s="31"/>
    </row>
    <row r="1152" spans="5:5" x14ac:dyDescent="0.25">
      <c r="E1152" s="31"/>
    </row>
    <row r="1153" spans="5:5" x14ac:dyDescent="0.25">
      <c r="E1153" s="31"/>
    </row>
    <row r="1154" spans="5:5" x14ac:dyDescent="0.25">
      <c r="E1154" s="31"/>
    </row>
    <row r="1155" spans="5:5" x14ac:dyDescent="0.25">
      <c r="E1155" s="31"/>
    </row>
    <row r="1156" spans="5:5" x14ac:dyDescent="0.25">
      <c r="E1156" s="31"/>
    </row>
    <row r="1157" spans="5:5" x14ac:dyDescent="0.25">
      <c r="E1157" s="31"/>
    </row>
    <row r="1158" spans="5:5" x14ac:dyDescent="0.25">
      <c r="E1158" s="31"/>
    </row>
    <row r="1159" spans="5:5" x14ac:dyDescent="0.25">
      <c r="E1159" s="31"/>
    </row>
    <row r="1160" spans="5:5" x14ac:dyDescent="0.25">
      <c r="E1160" s="31"/>
    </row>
    <row r="1161" spans="5:5" x14ac:dyDescent="0.25">
      <c r="E1161" s="31"/>
    </row>
    <row r="1162" spans="5:5" x14ac:dyDescent="0.25">
      <c r="E1162" s="31"/>
    </row>
    <row r="1163" spans="5:5" x14ac:dyDescent="0.25">
      <c r="E1163" s="31"/>
    </row>
    <row r="1164" spans="5:5" x14ac:dyDescent="0.25">
      <c r="E1164" s="31"/>
    </row>
    <row r="1165" spans="5:5" x14ac:dyDescent="0.25">
      <c r="E1165" s="31"/>
    </row>
    <row r="1166" spans="5:5" x14ac:dyDescent="0.25">
      <c r="E1166" s="31"/>
    </row>
    <row r="1167" spans="5:5" x14ac:dyDescent="0.25">
      <c r="E1167" s="31"/>
    </row>
    <row r="1168" spans="5:5" x14ac:dyDescent="0.25">
      <c r="E1168" s="31"/>
    </row>
    <row r="1169" spans="5:5" x14ac:dyDescent="0.25">
      <c r="E1169" s="31"/>
    </row>
    <row r="1170" spans="5:5" x14ac:dyDescent="0.25">
      <c r="E1170" s="31"/>
    </row>
    <row r="1171" spans="5:5" x14ac:dyDescent="0.25">
      <c r="E1171" s="31"/>
    </row>
    <row r="1172" spans="5:5" x14ac:dyDescent="0.25">
      <c r="E1172" s="31"/>
    </row>
    <row r="1173" spans="5:5" x14ac:dyDescent="0.25">
      <c r="E1173" s="31"/>
    </row>
    <row r="1174" spans="5:5" x14ac:dyDescent="0.25">
      <c r="E1174" s="31"/>
    </row>
    <row r="1175" spans="5:5" x14ac:dyDescent="0.25">
      <c r="E1175" s="31"/>
    </row>
    <row r="1176" spans="5:5" x14ac:dyDescent="0.25">
      <c r="E1176" s="31"/>
    </row>
    <row r="1177" spans="5:5" x14ac:dyDescent="0.25">
      <c r="E1177" s="31"/>
    </row>
    <row r="1178" spans="5:5" x14ac:dyDescent="0.25">
      <c r="E1178" s="31"/>
    </row>
    <row r="1179" spans="5:5" x14ac:dyDescent="0.25">
      <c r="E1179" s="31"/>
    </row>
    <row r="1180" spans="5:5" x14ac:dyDescent="0.25">
      <c r="E1180" s="31"/>
    </row>
    <row r="1181" spans="5:5" x14ac:dyDescent="0.25">
      <c r="E1181" s="31"/>
    </row>
    <row r="1182" spans="5:5" x14ac:dyDescent="0.25">
      <c r="E1182" s="31"/>
    </row>
    <row r="1183" spans="5:5" x14ac:dyDescent="0.25">
      <c r="E1183" s="31"/>
    </row>
    <row r="1184" spans="5:5" x14ac:dyDescent="0.25">
      <c r="E1184" s="31"/>
    </row>
    <row r="1185" spans="5:5" x14ac:dyDescent="0.25">
      <c r="E1185" s="31"/>
    </row>
    <row r="1186" spans="5:5" x14ac:dyDescent="0.25">
      <c r="E1186" s="31"/>
    </row>
    <row r="1187" spans="5:5" x14ac:dyDescent="0.25">
      <c r="E1187" s="31"/>
    </row>
    <row r="1188" spans="5:5" x14ac:dyDescent="0.25">
      <c r="E1188" s="31"/>
    </row>
    <row r="1189" spans="5:5" x14ac:dyDescent="0.25">
      <c r="E1189" s="31"/>
    </row>
    <row r="1190" spans="5:5" x14ac:dyDescent="0.25">
      <c r="E1190" s="31"/>
    </row>
    <row r="1191" spans="5:5" x14ac:dyDescent="0.25">
      <c r="E1191" s="31"/>
    </row>
    <row r="1192" spans="5:5" x14ac:dyDescent="0.25">
      <c r="E1192" s="31"/>
    </row>
    <row r="1193" spans="5:5" x14ac:dyDescent="0.25">
      <c r="E1193" s="31"/>
    </row>
    <row r="1194" spans="5:5" x14ac:dyDescent="0.25">
      <c r="E1194" s="31"/>
    </row>
    <row r="1195" spans="5:5" x14ac:dyDescent="0.25">
      <c r="E1195" s="31"/>
    </row>
    <row r="1196" spans="5:5" x14ac:dyDescent="0.25">
      <c r="E1196" s="31"/>
    </row>
    <row r="1197" spans="5:5" x14ac:dyDescent="0.25">
      <c r="E1197" s="31"/>
    </row>
    <row r="1198" spans="5:5" x14ac:dyDescent="0.25">
      <c r="E1198" s="31"/>
    </row>
    <row r="1199" spans="5:5" x14ac:dyDescent="0.25">
      <c r="E1199" s="31"/>
    </row>
    <row r="1200" spans="5:5" x14ac:dyDescent="0.25">
      <c r="E1200" s="31"/>
    </row>
    <row r="1201" spans="5:5" x14ac:dyDescent="0.25">
      <c r="E1201" s="31"/>
    </row>
    <row r="1202" spans="5:5" x14ac:dyDescent="0.25">
      <c r="E1202" s="31"/>
    </row>
    <row r="1203" spans="5:5" x14ac:dyDescent="0.25">
      <c r="E1203" s="31"/>
    </row>
    <row r="1204" spans="5:5" x14ac:dyDescent="0.25">
      <c r="E1204" s="31"/>
    </row>
    <row r="1205" spans="5:5" x14ac:dyDescent="0.25">
      <c r="E1205" s="31"/>
    </row>
    <row r="1206" spans="5:5" x14ac:dyDescent="0.25">
      <c r="E1206" s="31"/>
    </row>
    <row r="1207" spans="5:5" x14ac:dyDescent="0.25">
      <c r="E1207" s="31"/>
    </row>
    <row r="1208" spans="5:5" x14ac:dyDescent="0.25">
      <c r="E1208" s="31"/>
    </row>
    <row r="1209" spans="5:5" x14ac:dyDescent="0.25">
      <c r="E1209" s="31"/>
    </row>
    <row r="1210" spans="5:5" x14ac:dyDescent="0.25">
      <c r="E1210" s="31"/>
    </row>
    <row r="1211" spans="5:5" x14ac:dyDescent="0.25">
      <c r="E1211" s="31"/>
    </row>
    <row r="1212" spans="5:5" x14ac:dyDescent="0.25">
      <c r="E1212" s="31"/>
    </row>
    <row r="1213" spans="5:5" x14ac:dyDescent="0.25">
      <c r="E1213" s="31"/>
    </row>
    <row r="1214" spans="5:5" x14ac:dyDescent="0.25">
      <c r="E1214" s="31"/>
    </row>
    <row r="1215" spans="5:5" x14ac:dyDescent="0.25">
      <c r="E1215" s="31"/>
    </row>
    <row r="1216" spans="5:5" x14ac:dyDescent="0.25">
      <c r="E1216" s="31"/>
    </row>
    <row r="1217" spans="5:5" x14ac:dyDescent="0.25">
      <c r="E1217" s="31"/>
    </row>
    <row r="1218" spans="5:5" x14ac:dyDescent="0.25">
      <c r="E1218" s="31"/>
    </row>
    <row r="1219" spans="5:5" x14ac:dyDescent="0.25">
      <c r="E1219" s="31"/>
    </row>
    <row r="1220" spans="5:5" x14ac:dyDescent="0.25">
      <c r="E1220" s="31"/>
    </row>
    <row r="1221" spans="5:5" x14ac:dyDescent="0.25">
      <c r="E1221" s="31"/>
    </row>
    <row r="1222" spans="5:5" x14ac:dyDescent="0.25">
      <c r="E1222" s="31"/>
    </row>
    <row r="1223" spans="5:5" x14ac:dyDescent="0.25">
      <c r="E1223" s="31"/>
    </row>
    <row r="1224" spans="5:5" x14ac:dyDescent="0.25">
      <c r="E1224" s="31"/>
    </row>
    <row r="1225" spans="5:5" x14ac:dyDescent="0.25">
      <c r="E1225" s="31"/>
    </row>
    <row r="1226" spans="5:5" x14ac:dyDescent="0.25">
      <c r="E1226" s="31"/>
    </row>
    <row r="1227" spans="5:5" x14ac:dyDescent="0.25">
      <c r="E1227" s="31"/>
    </row>
    <row r="1228" spans="5:5" x14ac:dyDescent="0.25">
      <c r="E1228" s="31"/>
    </row>
    <row r="1229" spans="5:5" x14ac:dyDescent="0.25">
      <c r="E1229" s="31"/>
    </row>
    <row r="1230" spans="5:5" x14ac:dyDescent="0.25">
      <c r="E1230" s="31"/>
    </row>
    <row r="1231" spans="5:5" x14ac:dyDescent="0.25">
      <c r="E1231" s="31"/>
    </row>
    <row r="1232" spans="5:5" x14ac:dyDescent="0.25">
      <c r="E1232" s="31"/>
    </row>
    <row r="1233" spans="5:5" x14ac:dyDescent="0.25">
      <c r="E1233" s="31"/>
    </row>
    <row r="1234" spans="5:5" x14ac:dyDescent="0.25">
      <c r="E1234" s="31"/>
    </row>
    <row r="1235" spans="5:5" x14ac:dyDescent="0.25">
      <c r="E1235" s="31"/>
    </row>
    <row r="1236" spans="5:5" x14ac:dyDescent="0.25">
      <c r="E1236" s="31"/>
    </row>
    <row r="1237" spans="5:5" x14ac:dyDescent="0.25">
      <c r="E1237" s="31"/>
    </row>
    <row r="1238" spans="5:5" x14ac:dyDescent="0.25">
      <c r="E1238" s="31"/>
    </row>
    <row r="1239" spans="5:5" x14ac:dyDescent="0.25">
      <c r="E1239" s="31"/>
    </row>
    <row r="1240" spans="5:5" x14ac:dyDescent="0.25">
      <c r="E1240" s="31"/>
    </row>
    <row r="1241" spans="5:5" x14ac:dyDescent="0.25">
      <c r="E1241" s="31"/>
    </row>
    <row r="1242" spans="5:5" x14ac:dyDescent="0.25">
      <c r="E1242" s="31"/>
    </row>
    <row r="1243" spans="5:5" x14ac:dyDescent="0.25">
      <c r="E1243" s="31"/>
    </row>
    <row r="1244" spans="5:5" x14ac:dyDescent="0.25">
      <c r="E1244" s="31"/>
    </row>
    <row r="1245" spans="5:5" x14ac:dyDescent="0.25">
      <c r="E1245" s="31"/>
    </row>
    <row r="1246" spans="5:5" x14ac:dyDescent="0.25">
      <c r="E1246" s="31"/>
    </row>
    <row r="1247" spans="5:5" x14ac:dyDescent="0.25">
      <c r="E1247" s="31"/>
    </row>
    <row r="1248" spans="5:5" x14ac:dyDescent="0.25">
      <c r="E1248" s="31"/>
    </row>
    <row r="1249" spans="5:5" x14ac:dyDescent="0.25">
      <c r="E1249" s="31"/>
    </row>
    <row r="1250" spans="5:5" x14ac:dyDescent="0.25">
      <c r="E1250" s="31"/>
    </row>
    <row r="1251" spans="5:5" x14ac:dyDescent="0.25">
      <c r="E1251" s="31"/>
    </row>
    <row r="1252" spans="5:5" x14ac:dyDescent="0.25">
      <c r="E1252" s="31"/>
    </row>
    <row r="1253" spans="5:5" x14ac:dyDescent="0.25">
      <c r="E1253" s="31"/>
    </row>
    <row r="1254" spans="5:5" x14ac:dyDescent="0.25">
      <c r="E1254" s="31"/>
    </row>
    <row r="1255" spans="5:5" x14ac:dyDescent="0.25">
      <c r="E1255" s="31"/>
    </row>
    <row r="1256" spans="5:5" x14ac:dyDescent="0.25">
      <c r="E1256" s="31"/>
    </row>
    <row r="1257" spans="5:5" x14ac:dyDescent="0.25">
      <c r="E1257" s="31"/>
    </row>
    <row r="1258" spans="5:5" x14ac:dyDescent="0.25">
      <c r="E1258" s="31"/>
    </row>
    <row r="1259" spans="5:5" x14ac:dyDescent="0.25">
      <c r="E1259" s="31"/>
    </row>
    <row r="1260" spans="5:5" x14ac:dyDescent="0.25">
      <c r="E1260" s="31"/>
    </row>
    <row r="1261" spans="5:5" x14ac:dyDescent="0.25">
      <c r="E1261" s="31"/>
    </row>
    <row r="1262" spans="5:5" x14ac:dyDescent="0.25">
      <c r="E1262" s="31"/>
    </row>
    <row r="1263" spans="5:5" x14ac:dyDescent="0.25">
      <c r="E1263" s="31"/>
    </row>
    <row r="1264" spans="5:5" x14ac:dyDescent="0.25">
      <c r="E1264" s="31"/>
    </row>
    <row r="1265" spans="5:5" x14ac:dyDescent="0.25">
      <c r="E1265" s="31"/>
    </row>
    <row r="1266" spans="5:5" x14ac:dyDescent="0.25">
      <c r="E1266" s="31"/>
    </row>
    <row r="1267" spans="5:5" x14ac:dyDescent="0.25">
      <c r="E1267" s="31"/>
    </row>
    <row r="1268" spans="5:5" x14ac:dyDescent="0.25">
      <c r="E1268" s="31"/>
    </row>
    <row r="1269" spans="5:5" x14ac:dyDescent="0.25">
      <c r="E1269" s="31"/>
    </row>
    <row r="1270" spans="5:5" x14ac:dyDescent="0.25">
      <c r="E1270" s="31"/>
    </row>
    <row r="1271" spans="5:5" x14ac:dyDescent="0.25">
      <c r="E1271" s="31"/>
    </row>
    <row r="1272" spans="5:5" x14ac:dyDescent="0.25">
      <c r="E1272" s="31"/>
    </row>
    <row r="1273" spans="5:5" x14ac:dyDescent="0.25">
      <c r="E1273" s="31"/>
    </row>
    <row r="1274" spans="5:5" x14ac:dyDescent="0.25">
      <c r="E1274" s="31"/>
    </row>
    <row r="1275" spans="5:5" x14ac:dyDescent="0.25">
      <c r="E1275" s="31"/>
    </row>
    <row r="1276" spans="5:5" x14ac:dyDescent="0.25">
      <c r="E1276" s="31"/>
    </row>
    <row r="1277" spans="5:5" x14ac:dyDescent="0.25">
      <c r="E1277" s="31"/>
    </row>
    <row r="1278" spans="5:5" x14ac:dyDescent="0.25">
      <c r="E1278" s="31"/>
    </row>
    <row r="1279" spans="5:5" x14ac:dyDescent="0.25">
      <c r="E1279" s="31"/>
    </row>
    <row r="1280" spans="5:5" x14ac:dyDescent="0.25">
      <c r="E1280" s="31"/>
    </row>
    <row r="1281" spans="5:5" x14ac:dyDescent="0.25">
      <c r="E1281" s="31"/>
    </row>
    <row r="1282" spans="5:5" x14ac:dyDescent="0.25">
      <c r="E1282" s="31"/>
    </row>
    <row r="1283" spans="5:5" x14ac:dyDescent="0.25">
      <c r="E1283" s="31"/>
    </row>
    <row r="1284" spans="5:5" x14ac:dyDescent="0.25">
      <c r="E1284" s="31"/>
    </row>
    <row r="1285" spans="5:5" x14ac:dyDescent="0.25">
      <c r="E1285" s="31"/>
    </row>
    <row r="1286" spans="5:5" x14ac:dyDescent="0.25">
      <c r="E1286" s="31"/>
    </row>
    <row r="1287" spans="5:5" x14ac:dyDescent="0.25">
      <c r="E1287" s="31"/>
    </row>
    <row r="1288" spans="5:5" x14ac:dyDescent="0.25">
      <c r="E1288" s="31"/>
    </row>
    <row r="1289" spans="5:5" x14ac:dyDescent="0.25">
      <c r="E1289" s="31"/>
    </row>
    <row r="1290" spans="5:5" x14ac:dyDescent="0.25">
      <c r="E1290" s="31"/>
    </row>
    <row r="1291" spans="5:5" x14ac:dyDescent="0.25">
      <c r="E1291" s="31"/>
    </row>
    <row r="1292" spans="5:5" x14ac:dyDescent="0.25">
      <c r="E1292" s="31"/>
    </row>
    <row r="1293" spans="5:5" x14ac:dyDescent="0.25">
      <c r="E1293" s="31"/>
    </row>
    <row r="1294" spans="5:5" x14ac:dyDescent="0.25">
      <c r="E1294" s="31"/>
    </row>
    <row r="1295" spans="5:5" x14ac:dyDescent="0.25">
      <c r="E1295" s="31"/>
    </row>
    <row r="1296" spans="5:5" x14ac:dyDescent="0.25">
      <c r="E1296" s="31"/>
    </row>
    <row r="1297" spans="5:5" x14ac:dyDescent="0.25">
      <c r="E1297" s="31"/>
    </row>
    <row r="1298" spans="5:5" x14ac:dyDescent="0.25">
      <c r="E1298" s="31"/>
    </row>
    <row r="1299" spans="5:5" x14ac:dyDescent="0.25">
      <c r="E1299" s="31"/>
    </row>
    <row r="1300" spans="5:5" x14ac:dyDescent="0.25">
      <c r="E1300" s="31"/>
    </row>
    <row r="1301" spans="5:5" x14ac:dyDescent="0.25">
      <c r="E1301" s="31"/>
    </row>
    <row r="1302" spans="5:5" x14ac:dyDescent="0.25">
      <c r="E1302" s="31"/>
    </row>
    <row r="1303" spans="5:5" x14ac:dyDescent="0.25">
      <c r="E1303" s="31"/>
    </row>
    <row r="1304" spans="5:5" x14ac:dyDescent="0.25">
      <c r="E1304" s="31"/>
    </row>
    <row r="1305" spans="5:5" x14ac:dyDescent="0.25">
      <c r="E1305" s="31"/>
    </row>
    <row r="1306" spans="5:5" x14ac:dyDescent="0.25">
      <c r="E1306" s="31"/>
    </row>
    <row r="1307" spans="5:5" x14ac:dyDescent="0.25">
      <c r="E1307" s="31"/>
    </row>
    <row r="1308" spans="5:5" x14ac:dyDescent="0.25">
      <c r="E1308" s="31"/>
    </row>
    <row r="1309" spans="5:5" x14ac:dyDescent="0.25">
      <c r="E1309" s="31"/>
    </row>
    <row r="1310" spans="5:5" x14ac:dyDescent="0.25">
      <c r="E1310" s="31"/>
    </row>
    <row r="1311" spans="5:5" x14ac:dyDescent="0.25">
      <c r="E1311" s="31"/>
    </row>
    <row r="1312" spans="5:5" x14ac:dyDescent="0.25">
      <c r="E1312" s="31"/>
    </row>
    <row r="1313" spans="5:5" x14ac:dyDescent="0.25">
      <c r="E1313" s="31"/>
    </row>
    <row r="1314" spans="5:5" x14ac:dyDescent="0.25">
      <c r="E1314" s="31"/>
    </row>
    <row r="1315" spans="5:5" x14ac:dyDescent="0.25">
      <c r="E1315" s="31"/>
    </row>
    <row r="1316" spans="5:5" x14ac:dyDescent="0.25">
      <c r="E1316" s="31"/>
    </row>
    <row r="1317" spans="5:5" x14ac:dyDescent="0.25">
      <c r="E1317" s="31"/>
    </row>
    <row r="1318" spans="5:5" x14ac:dyDescent="0.25">
      <c r="E1318" s="31"/>
    </row>
    <row r="1319" spans="5:5" x14ac:dyDescent="0.25">
      <c r="E1319" s="31"/>
    </row>
    <row r="1320" spans="5:5" x14ac:dyDescent="0.25">
      <c r="E1320" s="31"/>
    </row>
    <row r="1321" spans="5:5" x14ac:dyDescent="0.25">
      <c r="E1321" s="31"/>
    </row>
    <row r="1322" spans="5:5" x14ac:dyDescent="0.25">
      <c r="E1322" s="31"/>
    </row>
    <row r="1323" spans="5:5" x14ac:dyDescent="0.25">
      <c r="E1323" s="31"/>
    </row>
    <row r="1324" spans="5:5" x14ac:dyDescent="0.25">
      <c r="E1324" s="31"/>
    </row>
    <row r="1325" spans="5:5" x14ac:dyDescent="0.25">
      <c r="E1325" s="31"/>
    </row>
    <row r="1326" spans="5:5" x14ac:dyDescent="0.25">
      <c r="E1326" s="31"/>
    </row>
    <row r="1327" spans="5:5" x14ac:dyDescent="0.25">
      <c r="E1327" s="31"/>
    </row>
    <row r="1328" spans="5:5" x14ac:dyDescent="0.25">
      <c r="E1328" s="31"/>
    </row>
    <row r="1329" spans="5:5" x14ac:dyDescent="0.25">
      <c r="E1329" s="31"/>
    </row>
    <row r="1330" spans="5:5" x14ac:dyDescent="0.25">
      <c r="E1330" s="31"/>
    </row>
    <row r="1331" spans="5:5" x14ac:dyDescent="0.25">
      <c r="E1331" s="31"/>
    </row>
    <row r="1332" spans="5:5" x14ac:dyDescent="0.25">
      <c r="E1332" s="31"/>
    </row>
    <row r="1333" spans="5:5" x14ac:dyDescent="0.25">
      <c r="E1333" s="31"/>
    </row>
    <row r="1334" spans="5:5" x14ac:dyDescent="0.25">
      <c r="E1334" s="31"/>
    </row>
    <row r="1335" spans="5:5" x14ac:dyDescent="0.25">
      <c r="E1335" s="31"/>
    </row>
    <row r="1336" spans="5:5" x14ac:dyDescent="0.25">
      <c r="E1336" s="31"/>
    </row>
    <row r="1337" spans="5:5" x14ac:dyDescent="0.25">
      <c r="E1337" s="31"/>
    </row>
    <row r="1338" spans="5:5" x14ac:dyDescent="0.25">
      <c r="E1338" s="31"/>
    </row>
    <row r="1339" spans="5:5" x14ac:dyDescent="0.25">
      <c r="E1339" s="31"/>
    </row>
    <row r="1340" spans="5:5" x14ac:dyDescent="0.25">
      <c r="E1340" s="31"/>
    </row>
    <row r="1341" spans="5:5" x14ac:dyDescent="0.25">
      <c r="E1341" s="31"/>
    </row>
    <row r="1342" spans="5:5" x14ac:dyDescent="0.25">
      <c r="E1342" s="31"/>
    </row>
    <row r="1343" spans="5:5" x14ac:dyDescent="0.25">
      <c r="E1343" s="31"/>
    </row>
    <row r="1344" spans="5:5" x14ac:dyDescent="0.25">
      <c r="E1344" s="31"/>
    </row>
    <row r="1345" spans="5:5" x14ac:dyDescent="0.25">
      <c r="E1345" s="31"/>
    </row>
    <row r="1346" spans="5:5" x14ac:dyDescent="0.25">
      <c r="E1346" s="31"/>
    </row>
    <row r="1347" spans="5:5" x14ac:dyDescent="0.25">
      <c r="E1347" s="31"/>
    </row>
    <row r="1348" spans="5:5" x14ac:dyDescent="0.25">
      <c r="E1348" s="31"/>
    </row>
    <row r="1349" spans="5:5" x14ac:dyDescent="0.25">
      <c r="E1349" s="31"/>
    </row>
    <row r="1350" spans="5:5" x14ac:dyDescent="0.25">
      <c r="E1350" s="31"/>
    </row>
    <row r="1351" spans="5:5" x14ac:dyDescent="0.25">
      <c r="E1351" s="31"/>
    </row>
    <row r="1352" spans="5:5" x14ac:dyDescent="0.25">
      <c r="E1352" s="31"/>
    </row>
    <row r="1353" spans="5:5" x14ac:dyDescent="0.25">
      <c r="E1353" s="31"/>
    </row>
    <row r="1354" spans="5:5" x14ac:dyDescent="0.25">
      <c r="E1354" s="31"/>
    </row>
    <row r="1355" spans="5:5" x14ac:dyDescent="0.25">
      <c r="E1355" s="31"/>
    </row>
    <row r="1356" spans="5:5" x14ac:dyDescent="0.25">
      <c r="E1356" s="31"/>
    </row>
    <row r="1357" spans="5:5" x14ac:dyDescent="0.25">
      <c r="E1357" s="31"/>
    </row>
    <row r="1358" spans="5:5" x14ac:dyDescent="0.25">
      <c r="E1358" s="31"/>
    </row>
    <row r="1359" spans="5:5" x14ac:dyDescent="0.25">
      <c r="E1359" s="31"/>
    </row>
    <row r="1360" spans="5:5" x14ac:dyDescent="0.25">
      <c r="E1360" s="31"/>
    </row>
    <row r="1361" spans="5:5" x14ac:dyDescent="0.25">
      <c r="E1361" s="31"/>
    </row>
    <row r="1362" spans="5:5" x14ac:dyDescent="0.25">
      <c r="E1362" s="31"/>
    </row>
    <row r="1363" spans="5:5" x14ac:dyDescent="0.25">
      <c r="E1363" s="31"/>
    </row>
    <row r="1364" spans="5:5" x14ac:dyDescent="0.25">
      <c r="E1364" s="31"/>
    </row>
    <row r="1365" spans="5:5" x14ac:dyDescent="0.25">
      <c r="E1365" s="31"/>
    </row>
    <row r="1366" spans="5:5" x14ac:dyDescent="0.25">
      <c r="E1366" s="31"/>
    </row>
    <row r="1367" spans="5:5" x14ac:dyDescent="0.25">
      <c r="E1367" s="31"/>
    </row>
    <row r="1368" spans="5:5" x14ac:dyDescent="0.25">
      <c r="E1368" s="31"/>
    </row>
    <row r="1369" spans="5:5" x14ac:dyDescent="0.25">
      <c r="E1369" s="31"/>
    </row>
    <row r="1370" spans="5:5" x14ac:dyDescent="0.25">
      <c r="E1370" s="31"/>
    </row>
    <row r="1371" spans="5:5" x14ac:dyDescent="0.25">
      <c r="E1371" s="31"/>
    </row>
    <row r="1372" spans="5:5" x14ac:dyDescent="0.25">
      <c r="E1372" s="31"/>
    </row>
    <row r="1373" spans="5:5" x14ac:dyDescent="0.25">
      <c r="E1373" s="31"/>
    </row>
    <row r="1374" spans="5:5" x14ac:dyDescent="0.25">
      <c r="E1374" s="31"/>
    </row>
    <row r="1375" spans="5:5" x14ac:dyDescent="0.25">
      <c r="E1375" s="31"/>
    </row>
    <row r="1376" spans="5:5" x14ac:dyDescent="0.25">
      <c r="E1376" s="31"/>
    </row>
    <row r="1377" spans="5:5" x14ac:dyDescent="0.25">
      <c r="E1377" s="31"/>
    </row>
    <row r="1378" spans="5:5" x14ac:dyDescent="0.25">
      <c r="E1378" s="31"/>
    </row>
    <row r="1379" spans="5:5" x14ac:dyDescent="0.25">
      <c r="E1379" s="31"/>
    </row>
    <row r="1380" spans="5:5" x14ac:dyDescent="0.25">
      <c r="E1380" s="31"/>
    </row>
    <row r="1381" spans="5:5" x14ac:dyDescent="0.25">
      <c r="E1381" s="31"/>
    </row>
    <row r="1382" spans="5:5" x14ac:dyDescent="0.25">
      <c r="E1382" s="31"/>
    </row>
    <row r="1383" spans="5:5" x14ac:dyDescent="0.25">
      <c r="E1383" s="31"/>
    </row>
    <row r="1384" spans="5:5" x14ac:dyDescent="0.25">
      <c r="E1384" s="31"/>
    </row>
    <row r="1385" spans="5:5" x14ac:dyDescent="0.25">
      <c r="E1385" s="31"/>
    </row>
    <row r="1386" spans="5:5" x14ac:dyDescent="0.25">
      <c r="E1386" s="31"/>
    </row>
    <row r="1387" spans="5:5" x14ac:dyDescent="0.25">
      <c r="E1387" s="31"/>
    </row>
    <row r="1388" spans="5:5" x14ac:dyDescent="0.25">
      <c r="E1388" s="31"/>
    </row>
    <row r="1389" spans="5:5" x14ac:dyDescent="0.25">
      <c r="E1389" s="31"/>
    </row>
    <row r="1390" spans="5:5" x14ac:dyDescent="0.25">
      <c r="E1390" s="31"/>
    </row>
    <row r="1391" spans="5:5" x14ac:dyDescent="0.25">
      <c r="E1391" s="31"/>
    </row>
    <row r="1392" spans="5:5" x14ac:dyDescent="0.25">
      <c r="E1392" s="31"/>
    </row>
    <row r="1393" spans="5:5" x14ac:dyDescent="0.25">
      <c r="E1393" s="31"/>
    </row>
    <row r="1394" spans="5:5" x14ac:dyDescent="0.25">
      <c r="E1394" s="31"/>
    </row>
    <row r="1395" spans="5:5" x14ac:dyDescent="0.25">
      <c r="E1395" s="31"/>
    </row>
    <row r="1396" spans="5:5" x14ac:dyDescent="0.25">
      <c r="E1396" s="31"/>
    </row>
    <row r="1397" spans="5:5" x14ac:dyDescent="0.25">
      <c r="E1397" s="31"/>
    </row>
    <row r="1398" spans="5:5" x14ac:dyDescent="0.25">
      <c r="E1398" s="31"/>
    </row>
    <row r="1399" spans="5:5" x14ac:dyDescent="0.25">
      <c r="E1399" s="31"/>
    </row>
    <row r="1400" spans="5:5" x14ac:dyDescent="0.25">
      <c r="E1400" s="31"/>
    </row>
    <row r="1401" spans="5:5" x14ac:dyDescent="0.25">
      <c r="E1401" s="31"/>
    </row>
    <row r="1402" spans="5:5" x14ac:dyDescent="0.25">
      <c r="E1402" s="31"/>
    </row>
    <row r="1403" spans="5:5" x14ac:dyDescent="0.25">
      <c r="E1403" s="31"/>
    </row>
    <row r="1404" spans="5:5" x14ac:dyDescent="0.25">
      <c r="E1404" s="31"/>
    </row>
    <row r="1405" spans="5:5" x14ac:dyDescent="0.25">
      <c r="E1405" s="31"/>
    </row>
    <row r="1406" spans="5:5" x14ac:dyDescent="0.25">
      <c r="E1406" s="31"/>
    </row>
    <row r="1407" spans="5:5" x14ac:dyDescent="0.25">
      <c r="E1407" s="31"/>
    </row>
    <row r="1408" spans="5:5" x14ac:dyDescent="0.25">
      <c r="E1408" s="31"/>
    </row>
    <row r="1409" spans="5:5" x14ac:dyDescent="0.25">
      <c r="E1409" s="31"/>
    </row>
    <row r="1410" spans="5:5" x14ac:dyDescent="0.25">
      <c r="E1410" s="31"/>
    </row>
    <row r="1411" spans="5:5" x14ac:dyDescent="0.25">
      <c r="E1411" s="31"/>
    </row>
    <row r="1412" spans="5:5" x14ac:dyDescent="0.25">
      <c r="E1412" s="31"/>
    </row>
    <row r="1413" spans="5:5" x14ac:dyDescent="0.25">
      <c r="E1413" s="31"/>
    </row>
    <row r="1414" spans="5:5" x14ac:dyDescent="0.25">
      <c r="E1414" s="31"/>
    </row>
    <row r="1415" spans="5:5" x14ac:dyDescent="0.25">
      <c r="E1415" s="31"/>
    </row>
    <row r="1416" spans="5:5" x14ac:dyDescent="0.25">
      <c r="E1416" s="31"/>
    </row>
    <row r="1417" spans="5:5" x14ac:dyDescent="0.25">
      <c r="E1417" s="31"/>
    </row>
    <row r="1418" spans="5:5" x14ac:dyDescent="0.25">
      <c r="E1418" s="31"/>
    </row>
    <row r="1419" spans="5:5" x14ac:dyDescent="0.25">
      <c r="E1419" s="31"/>
    </row>
    <row r="1420" spans="5:5" x14ac:dyDescent="0.25">
      <c r="E1420" s="31"/>
    </row>
    <row r="1421" spans="5:5" x14ac:dyDescent="0.25">
      <c r="E1421" s="31"/>
    </row>
    <row r="1422" spans="5:5" x14ac:dyDescent="0.25">
      <c r="E1422" s="31"/>
    </row>
    <row r="1423" spans="5:5" x14ac:dyDescent="0.25">
      <c r="E1423" s="31"/>
    </row>
    <row r="1424" spans="5:5" x14ac:dyDescent="0.25">
      <c r="E1424" s="31"/>
    </row>
    <row r="1425" spans="5:5" x14ac:dyDescent="0.25">
      <c r="E1425" s="31"/>
    </row>
    <row r="1426" spans="5:5" x14ac:dyDescent="0.25">
      <c r="E1426" s="31"/>
    </row>
    <row r="1427" spans="5:5" x14ac:dyDescent="0.25">
      <c r="E1427" s="31"/>
    </row>
    <row r="1428" spans="5:5" x14ac:dyDescent="0.25">
      <c r="E1428" s="31"/>
    </row>
    <row r="1429" spans="5:5" x14ac:dyDescent="0.25">
      <c r="E1429" s="31"/>
    </row>
    <row r="1430" spans="5:5" x14ac:dyDescent="0.25">
      <c r="E1430" s="31"/>
    </row>
    <row r="1431" spans="5:5" x14ac:dyDescent="0.25">
      <c r="E1431" s="31"/>
    </row>
    <row r="1432" spans="5:5" x14ac:dyDescent="0.25">
      <c r="E1432" s="31"/>
    </row>
    <row r="1433" spans="5:5" x14ac:dyDescent="0.25">
      <c r="E1433" s="31"/>
    </row>
    <row r="1434" spans="5:5" x14ac:dyDescent="0.25">
      <c r="E1434" s="31"/>
    </row>
    <row r="1435" spans="5:5" x14ac:dyDescent="0.25">
      <c r="E1435" s="31"/>
    </row>
    <row r="1436" spans="5:5" x14ac:dyDescent="0.25">
      <c r="E1436" s="31"/>
    </row>
    <row r="1437" spans="5:5" x14ac:dyDescent="0.25">
      <c r="E1437" s="31"/>
    </row>
    <row r="1438" spans="5:5" x14ac:dyDescent="0.25">
      <c r="E1438" s="31"/>
    </row>
    <row r="1439" spans="5:5" x14ac:dyDescent="0.25">
      <c r="E1439" s="31"/>
    </row>
    <row r="1440" spans="5:5" x14ac:dyDescent="0.25">
      <c r="E1440" s="31"/>
    </row>
    <row r="1441" spans="5:5" x14ac:dyDescent="0.25">
      <c r="E1441" s="31"/>
    </row>
    <row r="1442" spans="5:5" x14ac:dyDescent="0.25">
      <c r="E1442" s="31"/>
    </row>
    <row r="1443" spans="5:5" x14ac:dyDescent="0.25">
      <c r="E1443" s="31"/>
    </row>
    <row r="1444" spans="5:5" x14ac:dyDescent="0.25">
      <c r="E1444" s="31"/>
    </row>
    <row r="1445" spans="5:5" x14ac:dyDescent="0.25">
      <c r="E1445" s="31"/>
    </row>
    <row r="1446" spans="5:5" x14ac:dyDescent="0.25">
      <c r="E1446" s="31"/>
    </row>
    <row r="1447" spans="5:5" x14ac:dyDescent="0.25">
      <c r="E1447" s="31"/>
    </row>
    <row r="1448" spans="5:5" x14ac:dyDescent="0.25">
      <c r="E1448" s="31"/>
    </row>
    <row r="1449" spans="5:5" x14ac:dyDescent="0.25">
      <c r="E1449" s="31"/>
    </row>
    <row r="1450" spans="5:5" x14ac:dyDescent="0.25">
      <c r="E1450" s="31"/>
    </row>
    <row r="1451" spans="5:5" x14ac:dyDescent="0.25">
      <c r="E1451" s="31"/>
    </row>
    <row r="1452" spans="5:5" x14ac:dyDescent="0.25">
      <c r="E1452" s="31"/>
    </row>
    <row r="1453" spans="5:5" x14ac:dyDescent="0.25">
      <c r="E1453" s="31"/>
    </row>
    <row r="1454" spans="5:5" x14ac:dyDescent="0.25">
      <c r="E1454" s="31"/>
    </row>
    <row r="1455" spans="5:5" x14ac:dyDescent="0.25">
      <c r="E1455" s="31"/>
    </row>
    <row r="1456" spans="5:5" x14ac:dyDescent="0.25">
      <c r="E1456" s="31"/>
    </row>
    <row r="1457" spans="5:5" x14ac:dyDescent="0.25">
      <c r="E1457" s="31"/>
    </row>
    <row r="1458" spans="5:5" x14ac:dyDescent="0.25">
      <c r="E1458" s="31"/>
    </row>
    <row r="1459" spans="5:5" x14ac:dyDescent="0.25">
      <c r="E1459" s="31"/>
    </row>
    <row r="1460" spans="5:5" x14ac:dyDescent="0.25">
      <c r="E1460" s="31"/>
    </row>
    <row r="1461" spans="5:5" x14ac:dyDescent="0.25">
      <c r="E1461" s="31"/>
    </row>
    <row r="1462" spans="5:5" x14ac:dyDescent="0.25">
      <c r="E1462" s="31"/>
    </row>
    <row r="1463" spans="5:5" x14ac:dyDescent="0.25">
      <c r="E1463" s="31"/>
    </row>
    <row r="1464" spans="5:5" x14ac:dyDescent="0.25">
      <c r="E1464" s="31"/>
    </row>
    <row r="1465" spans="5:5" x14ac:dyDescent="0.25">
      <c r="E1465" s="31"/>
    </row>
    <row r="1466" spans="5:5" x14ac:dyDescent="0.25">
      <c r="E1466" s="31"/>
    </row>
    <row r="1467" spans="5:5" x14ac:dyDescent="0.25">
      <c r="E1467" s="31"/>
    </row>
    <row r="1468" spans="5:5" x14ac:dyDescent="0.25">
      <c r="E1468" s="31"/>
    </row>
    <row r="1469" spans="5:5" x14ac:dyDescent="0.25">
      <c r="E1469" s="31"/>
    </row>
    <row r="1470" spans="5:5" x14ac:dyDescent="0.25">
      <c r="E1470" s="31"/>
    </row>
    <row r="1471" spans="5:5" x14ac:dyDescent="0.25">
      <c r="E1471" s="31"/>
    </row>
    <row r="1472" spans="5:5" x14ac:dyDescent="0.25">
      <c r="E1472" s="31"/>
    </row>
    <row r="1473" spans="5:5" x14ac:dyDescent="0.25">
      <c r="E1473" s="31"/>
    </row>
    <row r="1474" spans="5:5" x14ac:dyDescent="0.25">
      <c r="E1474" s="31"/>
    </row>
    <row r="1475" spans="5:5" x14ac:dyDescent="0.25">
      <c r="E1475" s="31"/>
    </row>
    <row r="1476" spans="5:5" x14ac:dyDescent="0.25">
      <c r="E1476" s="31"/>
    </row>
    <row r="1477" spans="5:5" x14ac:dyDescent="0.25">
      <c r="E1477" s="31"/>
    </row>
    <row r="1478" spans="5:5" x14ac:dyDescent="0.25">
      <c r="E1478" s="31"/>
    </row>
    <row r="1479" spans="5:5" x14ac:dyDescent="0.25">
      <c r="E1479" s="31"/>
    </row>
    <row r="1480" spans="5:5" x14ac:dyDescent="0.25">
      <c r="E1480" s="31"/>
    </row>
    <row r="1481" spans="5:5" x14ac:dyDescent="0.25">
      <c r="E1481" s="31"/>
    </row>
    <row r="1482" spans="5:5" x14ac:dyDescent="0.25">
      <c r="E1482" s="31"/>
    </row>
    <row r="1483" spans="5:5" x14ac:dyDescent="0.25">
      <c r="E1483" s="31"/>
    </row>
    <row r="1484" spans="5:5" x14ac:dyDescent="0.25">
      <c r="E1484" s="31"/>
    </row>
    <row r="1485" spans="5:5" x14ac:dyDescent="0.25">
      <c r="E1485" s="31"/>
    </row>
    <row r="1486" spans="5:5" x14ac:dyDescent="0.25">
      <c r="E1486" s="31"/>
    </row>
    <row r="1487" spans="5:5" x14ac:dyDescent="0.25">
      <c r="E1487" s="31"/>
    </row>
    <row r="1488" spans="5:5" x14ac:dyDescent="0.25">
      <c r="E1488" s="31"/>
    </row>
    <row r="1489" spans="5:5" x14ac:dyDescent="0.25">
      <c r="E1489" s="31"/>
    </row>
    <row r="1490" spans="5:5" x14ac:dyDescent="0.25">
      <c r="E1490" s="31"/>
    </row>
    <row r="1491" spans="5:5" x14ac:dyDescent="0.25">
      <c r="E1491" s="31"/>
    </row>
    <row r="1492" spans="5:5" x14ac:dyDescent="0.25">
      <c r="E1492" s="31"/>
    </row>
    <row r="1493" spans="5:5" x14ac:dyDescent="0.25">
      <c r="E1493" s="31"/>
    </row>
    <row r="1494" spans="5:5" x14ac:dyDescent="0.25">
      <c r="E1494" s="31"/>
    </row>
    <row r="1495" spans="5:5" x14ac:dyDescent="0.25">
      <c r="E1495" s="31"/>
    </row>
    <row r="1496" spans="5:5" x14ac:dyDescent="0.25">
      <c r="E1496" s="31"/>
    </row>
    <row r="1497" spans="5:5" x14ac:dyDescent="0.25">
      <c r="E1497" s="31"/>
    </row>
    <row r="1498" spans="5:5" x14ac:dyDescent="0.25">
      <c r="E1498" s="31"/>
    </row>
    <row r="1499" spans="5:5" x14ac:dyDescent="0.25">
      <c r="E1499" s="31"/>
    </row>
    <row r="1500" spans="5:5" x14ac:dyDescent="0.25">
      <c r="E1500" s="31"/>
    </row>
    <row r="1501" spans="5:5" x14ac:dyDescent="0.25">
      <c r="E1501" s="31"/>
    </row>
    <row r="1502" spans="5:5" x14ac:dyDescent="0.25">
      <c r="E1502" s="31"/>
    </row>
    <row r="1503" spans="5:5" x14ac:dyDescent="0.25">
      <c r="E1503" s="31"/>
    </row>
    <row r="1504" spans="5:5" x14ac:dyDescent="0.25">
      <c r="E1504" s="31"/>
    </row>
    <row r="1505" spans="5:5" x14ac:dyDescent="0.25">
      <c r="E1505" s="31"/>
    </row>
    <row r="1506" spans="5:5" x14ac:dyDescent="0.25">
      <c r="E1506" s="31"/>
    </row>
    <row r="1507" spans="5:5" x14ac:dyDescent="0.25">
      <c r="E1507" s="31"/>
    </row>
    <row r="1508" spans="5:5" x14ac:dyDescent="0.25">
      <c r="E1508" s="31"/>
    </row>
    <row r="1509" spans="5:5" x14ac:dyDescent="0.25">
      <c r="E1509" s="31"/>
    </row>
    <row r="1510" spans="5:5" x14ac:dyDescent="0.25">
      <c r="E1510" s="31"/>
    </row>
    <row r="1511" spans="5:5" x14ac:dyDescent="0.25">
      <c r="E1511" s="31"/>
    </row>
    <row r="1512" spans="5:5" x14ac:dyDescent="0.25">
      <c r="E1512" s="31"/>
    </row>
    <row r="1513" spans="5:5" x14ac:dyDescent="0.25">
      <c r="E1513" s="31"/>
    </row>
    <row r="1514" spans="5:5" x14ac:dyDescent="0.25">
      <c r="E1514" s="31"/>
    </row>
    <row r="1515" spans="5:5" x14ac:dyDescent="0.25">
      <c r="E1515" s="31"/>
    </row>
    <row r="1516" spans="5:5" x14ac:dyDescent="0.25">
      <c r="E1516" s="31"/>
    </row>
    <row r="1517" spans="5:5" x14ac:dyDescent="0.25">
      <c r="E1517" s="31"/>
    </row>
    <row r="1518" spans="5:5" x14ac:dyDescent="0.25">
      <c r="E1518" s="31"/>
    </row>
    <row r="1519" spans="5:5" x14ac:dyDescent="0.25">
      <c r="E1519" s="31"/>
    </row>
    <row r="1520" spans="5:5" x14ac:dyDescent="0.25">
      <c r="E1520" s="31"/>
    </row>
    <row r="1521" spans="5:5" x14ac:dyDescent="0.25">
      <c r="E1521" s="31"/>
    </row>
    <row r="1522" spans="5:5" x14ac:dyDescent="0.25">
      <c r="E1522" s="31"/>
    </row>
    <row r="1523" spans="5:5" x14ac:dyDescent="0.25">
      <c r="E1523" s="31"/>
    </row>
    <row r="1524" spans="5:5" x14ac:dyDescent="0.25">
      <c r="E1524" s="31"/>
    </row>
    <row r="1525" spans="5:5" x14ac:dyDescent="0.25">
      <c r="E1525" s="31"/>
    </row>
    <row r="1526" spans="5:5" x14ac:dyDescent="0.25">
      <c r="E1526" s="31"/>
    </row>
    <row r="1527" spans="5:5" x14ac:dyDescent="0.25">
      <c r="E1527" s="31"/>
    </row>
    <row r="1528" spans="5:5" x14ac:dyDescent="0.25">
      <c r="E1528" s="31"/>
    </row>
    <row r="1529" spans="5:5" x14ac:dyDescent="0.25">
      <c r="E1529" s="31"/>
    </row>
    <row r="1530" spans="5:5" x14ac:dyDescent="0.25">
      <c r="E1530" s="31"/>
    </row>
    <row r="1531" spans="5:5" x14ac:dyDescent="0.25">
      <c r="E1531" s="31"/>
    </row>
    <row r="1532" spans="5:5" x14ac:dyDescent="0.25">
      <c r="E1532" s="31"/>
    </row>
    <row r="1533" spans="5:5" x14ac:dyDescent="0.25">
      <c r="E1533" s="31"/>
    </row>
    <row r="1534" spans="5:5" x14ac:dyDescent="0.25">
      <c r="E1534" s="31"/>
    </row>
    <row r="1535" spans="5:5" x14ac:dyDescent="0.25">
      <c r="E1535" s="31"/>
    </row>
    <row r="1536" spans="5:5" x14ac:dyDescent="0.25">
      <c r="E1536" s="31"/>
    </row>
    <row r="1537" spans="5:5" x14ac:dyDescent="0.25">
      <c r="E1537" s="31"/>
    </row>
    <row r="1538" spans="5:5" x14ac:dyDescent="0.25">
      <c r="E1538" s="31"/>
    </row>
    <row r="1539" spans="5:5" x14ac:dyDescent="0.25">
      <c r="E1539" s="31"/>
    </row>
    <row r="1540" spans="5:5" x14ac:dyDescent="0.25">
      <c r="E1540" s="31"/>
    </row>
    <row r="1541" spans="5:5" x14ac:dyDescent="0.25">
      <c r="E1541" s="31"/>
    </row>
    <row r="1542" spans="5:5" x14ac:dyDescent="0.25">
      <c r="E1542" s="31"/>
    </row>
    <row r="1543" spans="5:5" x14ac:dyDescent="0.25">
      <c r="E1543" s="31"/>
    </row>
    <row r="1544" spans="5:5" x14ac:dyDescent="0.25">
      <c r="E1544" s="31"/>
    </row>
    <row r="1545" spans="5:5" x14ac:dyDescent="0.25">
      <c r="E1545" s="31"/>
    </row>
    <row r="1546" spans="5:5" x14ac:dyDescent="0.25">
      <c r="E1546" s="31"/>
    </row>
    <row r="1547" spans="5:5" x14ac:dyDescent="0.25">
      <c r="E1547" s="31"/>
    </row>
    <row r="1548" spans="5:5" x14ac:dyDescent="0.25">
      <c r="E1548" s="31"/>
    </row>
    <row r="1549" spans="5:5" x14ac:dyDescent="0.25">
      <c r="E1549" s="31"/>
    </row>
    <row r="1550" spans="5:5" x14ac:dyDescent="0.25">
      <c r="E1550" s="31"/>
    </row>
    <row r="1551" spans="5:5" x14ac:dyDescent="0.25">
      <c r="E1551" s="31"/>
    </row>
    <row r="1552" spans="5:5" x14ac:dyDescent="0.25">
      <c r="E1552" s="31"/>
    </row>
    <row r="1553" spans="5:5" x14ac:dyDescent="0.25">
      <c r="E1553" s="31"/>
    </row>
    <row r="1554" spans="5:5" x14ac:dyDescent="0.25">
      <c r="E1554" s="31"/>
    </row>
    <row r="1555" spans="5:5" x14ac:dyDescent="0.25">
      <c r="E1555" s="31"/>
    </row>
    <row r="1556" spans="5:5" x14ac:dyDescent="0.25">
      <c r="E1556" s="31"/>
    </row>
    <row r="1557" spans="5:5" x14ac:dyDescent="0.25">
      <c r="E1557" s="31"/>
    </row>
    <row r="1558" spans="5:5" x14ac:dyDescent="0.25">
      <c r="E1558" s="31"/>
    </row>
    <row r="1559" spans="5:5" x14ac:dyDescent="0.25">
      <c r="E1559" s="31"/>
    </row>
    <row r="1560" spans="5:5" x14ac:dyDescent="0.25">
      <c r="E1560" s="31"/>
    </row>
    <row r="1561" spans="5:5" x14ac:dyDescent="0.25">
      <c r="E1561" s="31"/>
    </row>
    <row r="1562" spans="5:5" x14ac:dyDescent="0.25">
      <c r="E1562" s="31"/>
    </row>
    <row r="1563" spans="5:5" x14ac:dyDescent="0.25">
      <c r="E1563" s="31"/>
    </row>
    <row r="1564" spans="5:5" x14ac:dyDescent="0.25">
      <c r="E1564" s="31"/>
    </row>
    <row r="1565" spans="5:5" x14ac:dyDescent="0.25">
      <c r="E1565" s="31"/>
    </row>
    <row r="1566" spans="5:5" x14ac:dyDescent="0.25">
      <c r="E1566" s="31"/>
    </row>
    <row r="1567" spans="5:5" x14ac:dyDescent="0.25">
      <c r="E1567" s="31"/>
    </row>
    <row r="1568" spans="5:5" x14ac:dyDescent="0.25">
      <c r="E1568" s="31"/>
    </row>
    <row r="1569" spans="5:5" x14ac:dyDescent="0.25">
      <c r="E1569" s="31"/>
    </row>
    <row r="1570" spans="5:5" x14ac:dyDescent="0.25">
      <c r="E1570" s="31"/>
    </row>
    <row r="1571" spans="5:5" x14ac:dyDescent="0.25">
      <c r="E1571" s="31"/>
    </row>
    <row r="1572" spans="5:5" x14ac:dyDescent="0.25">
      <c r="E1572" s="31"/>
    </row>
    <row r="1573" spans="5:5" x14ac:dyDescent="0.25">
      <c r="E1573" s="31"/>
    </row>
    <row r="1574" spans="5:5" x14ac:dyDescent="0.25">
      <c r="E1574" s="31"/>
    </row>
    <row r="1575" spans="5:5" x14ac:dyDescent="0.25">
      <c r="E1575" s="31"/>
    </row>
    <row r="1576" spans="5:5" x14ac:dyDescent="0.25">
      <c r="E1576" s="31"/>
    </row>
    <row r="1577" spans="5:5" x14ac:dyDescent="0.25">
      <c r="E1577" s="31"/>
    </row>
    <row r="1578" spans="5:5" x14ac:dyDescent="0.25">
      <c r="E1578" s="31"/>
    </row>
    <row r="1579" spans="5:5" x14ac:dyDescent="0.25">
      <c r="E1579" s="31"/>
    </row>
    <row r="1580" spans="5:5" x14ac:dyDescent="0.25">
      <c r="E1580" s="31"/>
    </row>
    <row r="1581" spans="5:5" x14ac:dyDescent="0.25">
      <c r="E1581" s="31"/>
    </row>
    <row r="1582" spans="5:5" x14ac:dyDescent="0.25">
      <c r="E1582" s="31"/>
    </row>
    <row r="1583" spans="5:5" x14ac:dyDescent="0.25">
      <c r="E1583" s="31"/>
    </row>
    <row r="1584" spans="5:5" x14ac:dyDescent="0.25">
      <c r="E1584" s="31"/>
    </row>
    <row r="1585" spans="5:5" x14ac:dyDescent="0.25">
      <c r="E1585" s="31"/>
    </row>
    <row r="1586" spans="5:5" x14ac:dyDescent="0.25">
      <c r="E1586" s="31"/>
    </row>
    <row r="1587" spans="5:5" x14ac:dyDescent="0.25">
      <c r="E1587" s="31"/>
    </row>
    <row r="1588" spans="5:5" x14ac:dyDescent="0.25">
      <c r="E1588" s="31"/>
    </row>
    <row r="1589" spans="5:5" x14ac:dyDescent="0.25">
      <c r="E1589" s="31"/>
    </row>
    <row r="1590" spans="5:5" x14ac:dyDescent="0.25">
      <c r="E1590" s="31"/>
    </row>
    <row r="1591" spans="5:5" x14ac:dyDescent="0.25">
      <c r="E1591" s="31"/>
    </row>
    <row r="1592" spans="5:5" x14ac:dyDescent="0.25">
      <c r="E1592" s="31"/>
    </row>
    <row r="1593" spans="5:5" x14ac:dyDescent="0.25">
      <c r="E1593" s="31"/>
    </row>
    <row r="1594" spans="5:5" x14ac:dyDescent="0.25">
      <c r="E1594" s="31"/>
    </row>
    <row r="1595" spans="5:5" x14ac:dyDescent="0.25">
      <c r="E1595" s="31"/>
    </row>
    <row r="1596" spans="5:5" x14ac:dyDescent="0.25">
      <c r="E1596" s="31"/>
    </row>
    <row r="1597" spans="5:5" x14ac:dyDescent="0.25">
      <c r="E1597" s="31"/>
    </row>
    <row r="1598" spans="5:5" x14ac:dyDescent="0.25">
      <c r="E1598" s="31"/>
    </row>
    <row r="1599" spans="5:5" x14ac:dyDescent="0.25">
      <c r="E1599" s="31"/>
    </row>
    <row r="1600" spans="5:5" x14ac:dyDescent="0.25">
      <c r="E1600" s="31"/>
    </row>
    <row r="1601" spans="5:5" x14ac:dyDescent="0.25">
      <c r="E1601" s="31"/>
    </row>
    <row r="1602" spans="5:5" x14ac:dyDescent="0.25">
      <c r="E1602" s="31"/>
    </row>
    <row r="1603" spans="5:5" x14ac:dyDescent="0.25">
      <c r="E1603" s="31"/>
    </row>
    <row r="1604" spans="5:5" x14ac:dyDescent="0.25">
      <c r="E1604" s="31"/>
    </row>
    <row r="1605" spans="5:5" x14ac:dyDescent="0.25">
      <c r="E1605" s="31"/>
    </row>
    <row r="1606" spans="5:5" x14ac:dyDescent="0.25">
      <c r="E1606" s="31"/>
    </row>
    <row r="1607" spans="5:5" x14ac:dyDescent="0.25">
      <c r="E1607" s="31"/>
    </row>
    <row r="1608" spans="5:5" x14ac:dyDescent="0.25">
      <c r="E1608" s="31"/>
    </row>
    <row r="1609" spans="5:5" x14ac:dyDescent="0.25">
      <c r="E1609" s="31"/>
    </row>
    <row r="1610" spans="5:5" x14ac:dyDescent="0.25">
      <c r="E1610" s="31"/>
    </row>
    <row r="1611" spans="5:5" x14ac:dyDescent="0.25">
      <c r="E1611" s="31"/>
    </row>
    <row r="1612" spans="5:5" x14ac:dyDescent="0.25">
      <c r="E1612" s="31"/>
    </row>
    <row r="1613" spans="5:5" x14ac:dyDescent="0.25">
      <c r="E1613" s="31"/>
    </row>
    <row r="1614" spans="5:5" x14ac:dyDescent="0.25">
      <c r="E1614" s="31"/>
    </row>
    <row r="1615" spans="5:5" x14ac:dyDescent="0.25">
      <c r="E1615" s="31"/>
    </row>
    <row r="1616" spans="5:5" x14ac:dyDescent="0.25">
      <c r="E1616" s="31"/>
    </row>
    <row r="1617" spans="5:5" x14ac:dyDescent="0.25">
      <c r="E1617" s="31"/>
    </row>
    <row r="1618" spans="5:5" x14ac:dyDescent="0.25">
      <c r="E1618" s="31"/>
    </row>
    <row r="1619" spans="5:5" x14ac:dyDescent="0.25">
      <c r="E1619" s="31"/>
    </row>
    <row r="1620" spans="5:5" x14ac:dyDescent="0.25">
      <c r="E1620" s="31"/>
    </row>
    <row r="1621" spans="5:5" x14ac:dyDescent="0.25">
      <c r="E1621" s="31"/>
    </row>
    <row r="1622" spans="5:5" x14ac:dyDescent="0.25">
      <c r="E1622" s="31"/>
    </row>
    <row r="1623" spans="5:5" x14ac:dyDescent="0.25">
      <c r="E1623" s="31"/>
    </row>
    <row r="1624" spans="5:5" x14ac:dyDescent="0.25">
      <c r="E1624" s="31"/>
    </row>
    <row r="1625" spans="5:5" x14ac:dyDescent="0.25">
      <c r="E1625" s="31"/>
    </row>
    <row r="1626" spans="5:5" x14ac:dyDescent="0.25">
      <c r="E1626" s="31"/>
    </row>
    <row r="1627" spans="5:5" x14ac:dyDescent="0.25">
      <c r="E1627" s="31"/>
    </row>
    <row r="1628" spans="5:5" x14ac:dyDescent="0.25">
      <c r="E1628" s="31"/>
    </row>
    <row r="1629" spans="5:5" x14ac:dyDescent="0.25">
      <c r="E1629" s="31"/>
    </row>
    <row r="1630" spans="5:5" x14ac:dyDescent="0.25">
      <c r="E1630" s="31"/>
    </row>
    <row r="1631" spans="5:5" x14ac:dyDescent="0.25">
      <c r="E1631" s="31"/>
    </row>
    <row r="1632" spans="5:5" x14ac:dyDescent="0.25">
      <c r="E1632" s="31"/>
    </row>
    <row r="1633" spans="5:5" x14ac:dyDescent="0.25">
      <c r="E1633" s="31"/>
    </row>
    <row r="1634" spans="5:5" x14ac:dyDescent="0.25">
      <c r="E1634" s="31"/>
    </row>
    <row r="1635" spans="5:5" x14ac:dyDescent="0.25">
      <c r="E1635" s="31"/>
    </row>
    <row r="1636" spans="5:5" x14ac:dyDescent="0.25">
      <c r="E1636" s="31"/>
    </row>
    <row r="1637" spans="5:5" x14ac:dyDescent="0.25">
      <c r="E1637" s="31"/>
    </row>
    <row r="1638" spans="5:5" x14ac:dyDescent="0.25">
      <c r="E1638" s="31"/>
    </row>
    <row r="1639" spans="5:5" x14ac:dyDescent="0.25">
      <c r="E1639" s="31"/>
    </row>
    <row r="1640" spans="5:5" x14ac:dyDescent="0.25">
      <c r="E1640" s="31"/>
    </row>
    <row r="1641" spans="5:5" x14ac:dyDescent="0.25">
      <c r="E1641" s="31"/>
    </row>
    <row r="1642" spans="5:5" x14ac:dyDescent="0.25">
      <c r="E1642" s="31"/>
    </row>
    <row r="1643" spans="5:5" x14ac:dyDescent="0.25">
      <c r="E1643" s="31"/>
    </row>
    <row r="1644" spans="5:5" x14ac:dyDescent="0.25">
      <c r="E1644" s="31"/>
    </row>
    <row r="1645" spans="5:5" x14ac:dyDescent="0.25">
      <c r="E1645" s="31"/>
    </row>
    <row r="1646" spans="5:5" x14ac:dyDescent="0.25">
      <c r="E1646" s="31"/>
    </row>
    <row r="1647" spans="5:5" x14ac:dyDescent="0.25">
      <c r="E1647" s="31"/>
    </row>
    <row r="1648" spans="5:5" x14ac:dyDescent="0.25">
      <c r="E1648" s="31"/>
    </row>
    <row r="1649" spans="5:5" x14ac:dyDescent="0.25">
      <c r="E1649" s="31"/>
    </row>
    <row r="1650" spans="5:5" x14ac:dyDescent="0.25">
      <c r="E1650" s="31"/>
    </row>
    <row r="1651" spans="5:5" x14ac:dyDescent="0.25">
      <c r="E1651" s="31"/>
    </row>
    <row r="1652" spans="5:5" x14ac:dyDescent="0.25">
      <c r="E1652" s="31"/>
    </row>
    <row r="1653" spans="5:5" x14ac:dyDescent="0.25">
      <c r="E1653" s="31"/>
    </row>
    <row r="1654" spans="5:5" x14ac:dyDescent="0.25">
      <c r="E1654" s="31"/>
    </row>
    <row r="1655" spans="5:5" x14ac:dyDescent="0.25">
      <c r="E1655" s="31"/>
    </row>
    <row r="1656" spans="5:5" x14ac:dyDescent="0.25">
      <c r="E1656" s="31"/>
    </row>
    <row r="1657" spans="5:5" x14ac:dyDescent="0.25">
      <c r="E1657" s="31"/>
    </row>
    <row r="1658" spans="5:5" x14ac:dyDescent="0.25">
      <c r="E1658" s="31"/>
    </row>
    <row r="1659" spans="5:5" x14ac:dyDescent="0.25">
      <c r="E1659" s="31"/>
    </row>
    <row r="1660" spans="5:5" x14ac:dyDescent="0.25">
      <c r="E1660" s="31"/>
    </row>
    <row r="1661" spans="5:5" x14ac:dyDescent="0.25">
      <c r="E1661" s="31"/>
    </row>
    <row r="1662" spans="5:5" x14ac:dyDescent="0.25">
      <c r="E1662" s="31"/>
    </row>
    <row r="1663" spans="5:5" x14ac:dyDescent="0.25">
      <c r="E1663" s="31"/>
    </row>
    <row r="1664" spans="5:5" x14ac:dyDescent="0.25">
      <c r="E1664" s="31"/>
    </row>
    <row r="1665" spans="5:5" x14ac:dyDescent="0.25">
      <c r="E1665" s="31"/>
    </row>
    <row r="1666" spans="5:5" x14ac:dyDescent="0.25">
      <c r="E1666" s="31"/>
    </row>
    <row r="1667" spans="5:5" x14ac:dyDescent="0.25">
      <c r="E1667" s="31"/>
    </row>
    <row r="1668" spans="5:5" x14ac:dyDescent="0.25">
      <c r="E1668" s="31"/>
    </row>
    <row r="1669" spans="5:5" x14ac:dyDescent="0.25">
      <c r="E1669" s="31"/>
    </row>
    <row r="1670" spans="5:5" x14ac:dyDescent="0.25">
      <c r="E1670" s="31"/>
    </row>
    <row r="1671" spans="5:5" x14ac:dyDescent="0.25">
      <c r="E1671" s="31"/>
    </row>
    <row r="1672" spans="5:5" x14ac:dyDescent="0.25">
      <c r="E1672" s="31"/>
    </row>
    <row r="1673" spans="5:5" x14ac:dyDescent="0.25">
      <c r="E1673" s="31"/>
    </row>
    <row r="1674" spans="5:5" x14ac:dyDescent="0.25">
      <c r="E1674" s="31"/>
    </row>
    <row r="1675" spans="5:5" x14ac:dyDescent="0.25">
      <c r="E1675" s="31"/>
    </row>
    <row r="1676" spans="5:5" x14ac:dyDescent="0.25">
      <c r="E1676" s="31"/>
    </row>
    <row r="1677" spans="5:5" x14ac:dyDescent="0.25">
      <c r="E1677" s="31"/>
    </row>
    <row r="1678" spans="5:5" x14ac:dyDescent="0.25">
      <c r="E1678" s="31"/>
    </row>
    <row r="1679" spans="5:5" x14ac:dyDescent="0.25">
      <c r="E1679" s="31"/>
    </row>
    <row r="1680" spans="5:5" x14ac:dyDescent="0.25">
      <c r="E1680" s="31"/>
    </row>
    <row r="1681" spans="5:5" x14ac:dyDescent="0.25">
      <c r="E1681" s="31"/>
    </row>
    <row r="1682" spans="5:5" x14ac:dyDescent="0.25">
      <c r="E1682" s="31"/>
    </row>
    <row r="1683" spans="5:5" x14ac:dyDescent="0.25">
      <c r="E1683" s="31"/>
    </row>
    <row r="1684" spans="5:5" x14ac:dyDescent="0.25">
      <c r="E1684" s="31"/>
    </row>
    <row r="1685" spans="5:5" x14ac:dyDescent="0.25">
      <c r="E1685" s="31"/>
    </row>
    <row r="1686" spans="5:5" x14ac:dyDescent="0.25">
      <c r="E1686" s="31"/>
    </row>
    <row r="1687" spans="5:5" x14ac:dyDescent="0.25">
      <c r="E1687" s="31"/>
    </row>
    <row r="1688" spans="5:5" x14ac:dyDescent="0.25">
      <c r="E1688" s="31"/>
    </row>
    <row r="1689" spans="5:5" x14ac:dyDescent="0.25">
      <c r="E1689" s="31"/>
    </row>
    <row r="1690" spans="5:5" x14ac:dyDescent="0.25">
      <c r="E1690" s="31"/>
    </row>
    <row r="1691" spans="5:5" x14ac:dyDescent="0.25">
      <c r="E1691" s="31"/>
    </row>
    <row r="1692" spans="5:5" x14ac:dyDescent="0.25">
      <c r="E1692" s="31"/>
    </row>
    <row r="1693" spans="5:5" x14ac:dyDescent="0.25">
      <c r="E1693" s="31"/>
    </row>
    <row r="1694" spans="5:5" x14ac:dyDescent="0.25">
      <c r="E1694" s="31"/>
    </row>
    <row r="1695" spans="5:5" x14ac:dyDescent="0.25">
      <c r="E1695" s="31"/>
    </row>
    <row r="1696" spans="5:5" x14ac:dyDescent="0.25">
      <c r="E1696" s="31"/>
    </row>
    <row r="1697" spans="5:5" x14ac:dyDescent="0.25">
      <c r="E1697" s="31"/>
    </row>
    <row r="1698" spans="5:5" x14ac:dyDescent="0.25">
      <c r="E1698" s="31"/>
    </row>
    <row r="1699" spans="5:5" x14ac:dyDescent="0.25">
      <c r="E1699" s="31"/>
    </row>
    <row r="1700" spans="5:5" x14ac:dyDescent="0.25">
      <c r="E1700" s="31"/>
    </row>
    <row r="1701" spans="5:5" x14ac:dyDescent="0.25">
      <c r="E1701" s="31"/>
    </row>
    <row r="1702" spans="5:5" x14ac:dyDescent="0.25">
      <c r="E1702" s="31"/>
    </row>
    <row r="1703" spans="5:5" x14ac:dyDescent="0.25">
      <c r="E1703" s="31"/>
    </row>
    <row r="1704" spans="5:5" x14ac:dyDescent="0.25">
      <c r="E1704" s="31"/>
    </row>
    <row r="1705" spans="5:5" x14ac:dyDescent="0.25">
      <c r="E1705" s="31"/>
    </row>
    <row r="1706" spans="5:5" x14ac:dyDescent="0.25">
      <c r="E1706" s="31"/>
    </row>
    <row r="1707" spans="5:5" x14ac:dyDescent="0.25">
      <c r="E1707" s="31"/>
    </row>
    <row r="1708" spans="5:5" x14ac:dyDescent="0.25">
      <c r="E1708" s="31"/>
    </row>
    <row r="1709" spans="5:5" x14ac:dyDescent="0.25">
      <c r="E1709" s="31"/>
    </row>
    <row r="1710" spans="5:5" x14ac:dyDescent="0.25">
      <c r="E1710" s="31"/>
    </row>
    <row r="1711" spans="5:5" x14ac:dyDescent="0.25">
      <c r="E1711" s="31"/>
    </row>
    <row r="1712" spans="5:5" x14ac:dyDescent="0.25">
      <c r="E1712" s="31"/>
    </row>
    <row r="1713" spans="5:5" x14ac:dyDescent="0.25">
      <c r="E1713" s="31"/>
    </row>
    <row r="1714" spans="5:5" x14ac:dyDescent="0.25">
      <c r="E1714" s="31"/>
    </row>
    <row r="1715" spans="5:5" x14ac:dyDescent="0.25">
      <c r="E1715" s="31"/>
    </row>
    <row r="1716" spans="5:5" x14ac:dyDescent="0.25">
      <c r="E1716" s="31"/>
    </row>
    <row r="1717" spans="5:5" x14ac:dyDescent="0.25">
      <c r="E1717" s="31"/>
    </row>
    <row r="1718" spans="5:5" x14ac:dyDescent="0.25">
      <c r="E1718" s="31"/>
    </row>
    <row r="1719" spans="5:5" x14ac:dyDescent="0.25">
      <c r="E1719" s="31"/>
    </row>
    <row r="1720" spans="5:5" x14ac:dyDescent="0.25">
      <c r="E1720" s="31"/>
    </row>
    <row r="1721" spans="5:5" x14ac:dyDescent="0.25">
      <c r="E1721" s="31"/>
    </row>
    <row r="1722" spans="5:5" x14ac:dyDescent="0.25">
      <c r="E1722" s="31"/>
    </row>
    <row r="1723" spans="5:5" x14ac:dyDescent="0.25">
      <c r="E1723" s="31"/>
    </row>
    <row r="1724" spans="5:5" x14ac:dyDescent="0.25">
      <c r="E1724" s="31"/>
    </row>
    <row r="1725" spans="5:5" x14ac:dyDescent="0.25">
      <c r="E1725" s="31"/>
    </row>
    <row r="1726" spans="5:5" x14ac:dyDescent="0.25">
      <c r="E1726" s="31"/>
    </row>
    <row r="1727" spans="5:5" x14ac:dyDescent="0.25">
      <c r="E1727" s="31"/>
    </row>
    <row r="1728" spans="5:5" x14ac:dyDescent="0.25">
      <c r="E1728" s="31"/>
    </row>
    <row r="1729" spans="5:5" x14ac:dyDescent="0.25">
      <c r="E1729" s="31"/>
    </row>
    <row r="1730" spans="5:5" x14ac:dyDescent="0.25">
      <c r="E1730" s="31"/>
    </row>
    <row r="1731" spans="5:5" x14ac:dyDescent="0.25">
      <c r="E1731" s="31"/>
    </row>
    <row r="1732" spans="5:5" x14ac:dyDescent="0.25">
      <c r="E1732" s="31"/>
    </row>
    <row r="1733" spans="5:5" x14ac:dyDescent="0.25">
      <c r="E1733" s="31"/>
    </row>
    <row r="1734" spans="5:5" x14ac:dyDescent="0.25">
      <c r="E1734" s="31"/>
    </row>
    <row r="1735" spans="5:5" x14ac:dyDescent="0.25">
      <c r="E1735" s="31"/>
    </row>
    <row r="1736" spans="5:5" x14ac:dyDescent="0.25">
      <c r="E1736" s="31"/>
    </row>
    <row r="1737" spans="5:5" x14ac:dyDescent="0.25">
      <c r="E1737" s="31"/>
    </row>
    <row r="1738" spans="5:5" x14ac:dyDescent="0.25">
      <c r="E1738" s="31"/>
    </row>
    <row r="1739" spans="5:5" x14ac:dyDescent="0.25">
      <c r="E1739" s="31"/>
    </row>
    <row r="1740" spans="5:5" x14ac:dyDescent="0.25">
      <c r="E1740" s="31"/>
    </row>
    <row r="1741" spans="5:5" x14ac:dyDescent="0.25">
      <c r="E1741" s="31"/>
    </row>
    <row r="1742" spans="5:5" x14ac:dyDescent="0.25">
      <c r="E1742" s="31"/>
    </row>
    <row r="1743" spans="5:5" x14ac:dyDescent="0.25">
      <c r="E1743" s="31"/>
    </row>
    <row r="1744" spans="5:5" x14ac:dyDescent="0.25">
      <c r="E1744" s="31"/>
    </row>
    <row r="1745" spans="5:5" x14ac:dyDescent="0.25">
      <c r="E1745" s="31"/>
    </row>
    <row r="1746" spans="5:5" x14ac:dyDescent="0.25">
      <c r="E1746" s="31"/>
    </row>
    <row r="1747" spans="5:5" x14ac:dyDescent="0.25">
      <c r="E1747" s="31"/>
    </row>
    <row r="1748" spans="5:5" x14ac:dyDescent="0.25">
      <c r="E1748" s="31"/>
    </row>
    <row r="1749" spans="5:5" x14ac:dyDescent="0.25">
      <c r="E1749" s="31"/>
    </row>
    <row r="1750" spans="5:5" x14ac:dyDescent="0.25">
      <c r="E1750" s="31"/>
    </row>
    <row r="1751" spans="5:5" x14ac:dyDescent="0.25">
      <c r="E1751" s="31"/>
    </row>
    <row r="1752" spans="5:5" x14ac:dyDescent="0.25">
      <c r="E1752" s="31"/>
    </row>
    <row r="1753" spans="5:5" x14ac:dyDescent="0.25">
      <c r="E1753" s="31"/>
    </row>
    <row r="1754" spans="5:5" x14ac:dyDescent="0.25">
      <c r="E1754" s="31"/>
    </row>
    <row r="1755" spans="5:5" x14ac:dyDescent="0.25">
      <c r="E1755" s="31"/>
    </row>
    <row r="1756" spans="5:5" x14ac:dyDescent="0.25">
      <c r="E1756" s="31"/>
    </row>
    <row r="1757" spans="5:5" x14ac:dyDescent="0.25">
      <c r="E1757" s="31"/>
    </row>
    <row r="1758" spans="5:5" x14ac:dyDescent="0.25">
      <c r="E1758" s="31"/>
    </row>
    <row r="1759" spans="5:5" x14ac:dyDescent="0.25">
      <c r="E1759" s="31"/>
    </row>
    <row r="1760" spans="5:5" x14ac:dyDescent="0.25">
      <c r="E1760" s="31"/>
    </row>
    <row r="1761" spans="5:5" x14ac:dyDescent="0.25">
      <c r="E1761" s="31"/>
    </row>
    <row r="1762" spans="5:5" x14ac:dyDescent="0.25">
      <c r="E1762" s="31"/>
    </row>
    <row r="1763" spans="5:5" x14ac:dyDescent="0.25">
      <c r="E1763" s="31"/>
    </row>
    <row r="1764" spans="5:5" x14ac:dyDescent="0.25">
      <c r="E1764" s="31"/>
    </row>
    <row r="1765" spans="5:5" x14ac:dyDescent="0.25">
      <c r="E1765" s="31"/>
    </row>
    <row r="1766" spans="5:5" x14ac:dyDescent="0.25">
      <c r="E1766" s="31"/>
    </row>
    <row r="1767" spans="5:5" x14ac:dyDescent="0.25">
      <c r="E1767" s="31"/>
    </row>
    <row r="1768" spans="5:5" x14ac:dyDescent="0.25">
      <c r="E1768" s="31"/>
    </row>
    <row r="1769" spans="5:5" x14ac:dyDescent="0.25">
      <c r="E1769" s="31"/>
    </row>
    <row r="1770" spans="5:5" x14ac:dyDescent="0.25">
      <c r="E1770" s="31"/>
    </row>
    <row r="1771" spans="5:5" x14ac:dyDescent="0.25">
      <c r="E1771" s="31"/>
    </row>
    <row r="1772" spans="5:5" x14ac:dyDescent="0.25">
      <c r="E1772" s="31"/>
    </row>
    <row r="1773" spans="5:5" x14ac:dyDescent="0.25">
      <c r="E1773" s="31"/>
    </row>
    <row r="1774" spans="5:5" x14ac:dyDescent="0.25">
      <c r="E1774" s="31"/>
    </row>
    <row r="1775" spans="5:5" x14ac:dyDescent="0.25">
      <c r="E1775" s="31"/>
    </row>
    <row r="1776" spans="5:5" x14ac:dyDescent="0.25">
      <c r="E1776" s="31"/>
    </row>
    <row r="1777" spans="5:5" x14ac:dyDescent="0.25">
      <c r="E1777" s="31"/>
    </row>
    <row r="1778" spans="5:5" x14ac:dyDescent="0.25">
      <c r="E1778" s="31"/>
    </row>
    <row r="1779" spans="5:5" x14ac:dyDescent="0.25">
      <c r="E1779" s="31"/>
    </row>
    <row r="1780" spans="5:5" x14ac:dyDescent="0.25">
      <c r="E1780" s="31"/>
    </row>
    <row r="1781" spans="5:5" x14ac:dyDescent="0.25">
      <c r="E1781" s="31"/>
    </row>
    <row r="1782" spans="5:5" x14ac:dyDescent="0.25">
      <c r="E1782" s="31"/>
    </row>
    <row r="1783" spans="5:5" x14ac:dyDescent="0.25">
      <c r="E1783" s="31"/>
    </row>
    <row r="1784" spans="5:5" x14ac:dyDescent="0.25">
      <c r="E1784" s="31"/>
    </row>
    <row r="1785" spans="5:5" x14ac:dyDescent="0.25">
      <c r="E1785" s="31"/>
    </row>
    <row r="1786" spans="5:5" x14ac:dyDescent="0.25">
      <c r="E1786" s="31"/>
    </row>
    <row r="1787" spans="5:5" x14ac:dyDescent="0.25">
      <c r="E1787" s="31"/>
    </row>
    <row r="1788" spans="5:5" x14ac:dyDescent="0.25">
      <c r="E1788" s="31"/>
    </row>
    <row r="1789" spans="5:5" x14ac:dyDescent="0.25">
      <c r="E1789" s="31"/>
    </row>
    <row r="1790" spans="5:5" x14ac:dyDescent="0.25">
      <c r="E1790" s="31"/>
    </row>
    <row r="1791" spans="5:5" x14ac:dyDescent="0.25">
      <c r="E1791" s="31"/>
    </row>
    <row r="1792" spans="5:5" x14ac:dyDescent="0.25">
      <c r="E1792" s="31"/>
    </row>
    <row r="1793" spans="5:5" x14ac:dyDescent="0.25">
      <c r="E1793" s="31"/>
    </row>
    <row r="1794" spans="5:5" x14ac:dyDescent="0.25">
      <c r="E1794" s="31"/>
    </row>
    <row r="1795" spans="5:5" x14ac:dyDescent="0.25">
      <c r="E1795" s="31"/>
    </row>
    <row r="1796" spans="5:5" x14ac:dyDescent="0.25">
      <c r="E1796" s="31"/>
    </row>
    <row r="1797" spans="5:5" x14ac:dyDescent="0.25">
      <c r="E1797" s="31"/>
    </row>
    <row r="1798" spans="5:5" x14ac:dyDescent="0.25">
      <c r="E1798" s="31"/>
    </row>
    <row r="1799" spans="5:5" x14ac:dyDescent="0.25">
      <c r="E1799" s="31"/>
    </row>
    <row r="1800" spans="5:5" x14ac:dyDescent="0.25">
      <c r="E1800" s="31"/>
    </row>
    <row r="1801" spans="5:5" x14ac:dyDescent="0.25">
      <c r="E1801" s="31"/>
    </row>
    <row r="1802" spans="5:5" x14ac:dyDescent="0.25">
      <c r="E1802" s="31"/>
    </row>
    <row r="1803" spans="5:5" x14ac:dyDescent="0.25">
      <c r="E1803" s="31"/>
    </row>
    <row r="1804" spans="5:5" x14ac:dyDescent="0.25">
      <c r="E1804" s="31"/>
    </row>
    <row r="1805" spans="5:5" x14ac:dyDescent="0.25">
      <c r="E1805" s="31"/>
    </row>
    <row r="1806" spans="5:5" x14ac:dyDescent="0.25">
      <c r="E1806" s="31"/>
    </row>
    <row r="1807" spans="5:5" x14ac:dyDescent="0.25">
      <c r="E1807" s="31"/>
    </row>
    <row r="1808" spans="5:5" x14ac:dyDescent="0.25">
      <c r="E1808" s="31"/>
    </row>
    <row r="1809" spans="5:5" x14ac:dyDescent="0.25">
      <c r="E1809" s="31"/>
    </row>
    <row r="1810" spans="5:5" x14ac:dyDescent="0.25">
      <c r="E1810" s="31"/>
    </row>
    <row r="1811" spans="5:5" x14ac:dyDescent="0.25">
      <c r="E1811" s="31"/>
    </row>
    <row r="1812" spans="5:5" x14ac:dyDescent="0.25">
      <c r="E1812" s="31"/>
    </row>
    <row r="1813" spans="5:5" x14ac:dyDescent="0.25">
      <c r="E1813" s="31"/>
    </row>
    <row r="1814" spans="5:5" x14ac:dyDescent="0.25">
      <c r="E1814" s="31"/>
    </row>
    <row r="1815" spans="5:5" x14ac:dyDescent="0.25">
      <c r="E1815" s="31"/>
    </row>
    <row r="1816" spans="5:5" x14ac:dyDescent="0.25">
      <c r="E1816" s="31"/>
    </row>
    <row r="1817" spans="5:5" x14ac:dyDescent="0.25">
      <c r="E1817" s="31"/>
    </row>
    <row r="1818" spans="5:5" x14ac:dyDescent="0.25">
      <c r="E1818" s="31"/>
    </row>
    <row r="1819" spans="5:5" x14ac:dyDescent="0.25">
      <c r="E1819" s="31"/>
    </row>
    <row r="1820" spans="5:5" x14ac:dyDescent="0.25">
      <c r="E1820" s="31"/>
    </row>
    <row r="1821" spans="5:5" x14ac:dyDescent="0.25">
      <c r="E1821" s="31"/>
    </row>
    <row r="1822" spans="5:5" x14ac:dyDescent="0.25">
      <c r="E1822" s="31"/>
    </row>
    <row r="1823" spans="5:5" x14ac:dyDescent="0.25">
      <c r="E1823" s="31"/>
    </row>
    <row r="1824" spans="5:5" x14ac:dyDescent="0.25">
      <c r="E1824" s="31"/>
    </row>
    <row r="1825" spans="5:5" x14ac:dyDescent="0.25">
      <c r="E1825" s="31"/>
    </row>
    <row r="1826" spans="5:5" x14ac:dyDescent="0.25">
      <c r="E1826" s="31"/>
    </row>
    <row r="1827" spans="5:5" x14ac:dyDescent="0.25">
      <c r="E1827" s="31"/>
    </row>
    <row r="1828" spans="5:5" x14ac:dyDescent="0.25">
      <c r="E1828" s="31"/>
    </row>
    <row r="1829" spans="5:5" x14ac:dyDescent="0.25">
      <c r="E1829" s="31"/>
    </row>
    <row r="1830" spans="5:5" x14ac:dyDescent="0.25">
      <c r="E1830" s="31"/>
    </row>
    <row r="1831" spans="5:5" x14ac:dyDescent="0.25">
      <c r="E1831" s="31"/>
    </row>
    <row r="1832" spans="5:5" x14ac:dyDescent="0.25">
      <c r="E1832" s="31"/>
    </row>
    <row r="1833" spans="5:5" x14ac:dyDescent="0.25">
      <c r="E1833" s="31"/>
    </row>
    <row r="1834" spans="5:5" x14ac:dyDescent="0.25">
      <c r="E1834" s="31"/>
    </row>
    <row r="1835" spans="5:5" x14ac:dyDescent="0.25">
      <c r="E1835" s="31"/>
    </row>
    <row r="1836" spans="5:5" x14ac:dyDescent="0.25">
      <c r="E1836" s="31"/>
    </row>
    <row r="1837" spans="5:5" x14ac:dyDescent="0.25">
      <c r="E1837" s="31"/>
    </row>
    <row r="1838" spans="5:5" x14ac:dyDescent="0.25">
      <c r="E1838" s="31"/>
    </row>
    <row r="1839" spans="5:5" x14ac:dyDescent="0.25">
      <c r="E1839" s="31"/>
    </row>
    <row r="1840" spans="5:5" x14ac:dyDescent="0.25">
      <c r="E1840" s="31"/>
    </row>
    <row r="1841" spans="5:5" x14ac:dyDescent="0.25">
      <c r="E1841" s="31"/>
    </row>
    <row r="1842" spans="5:5" x14ac:dyDescent="0.25">
      <c r="E1842" s="31"/>
    </row>
    <row r="1843" spans="5:5" x14ac:dyDescent="0.25">
      <c r="E1843" s="31"/>
    </row>
    <row r="1844" spans="5:5" x14ac:dyDescent="0.25">
      <c r="E1844" s="31"/>
    </row>
    <row r="1845" spans="5:5" x14ac:dyDescent="0.25">
      <c r="E1845" s="31"/>
    </row>
    <row r="1846" spans="5:5" x14ac:dyDescent="0.25">
      <c r="E1846" s="31"/>
    </row>
    <row r="1847" spans="5:5" x14ac:dyDescent="0.25">
      <c r="E1847" s="31"/>
    </row>
    <row r="1848" spans="5:5" x14ac:dyDescent="0.25">
      <c r="E1848" s="31"/>
    </row>
    <row r="1849" spans="5:5" x14ac:dyDescent="0.25">
      <c r="E1849" s="31"/>
    </row>
    <row r="1850" spans="5:5" x14ac:dyDescent="0.25">
      <c r="E1850" s="31"/>
    </row>
    <row r="1851" spans="5:5" x14ac:dyDescent="0.25">
      <c r="E1851" s="31"/>
    </row>
    <row r="1852" spans="5:5" x14ac:dyDescent="0.25">
      <c r="E1852" s="31"/>
    </row>
    <row r="1853" spans="5:5" x14ac:dyDescent="0.25">
      <c r="E1853" s="31"/>
    </row>
    <row r="1854" spans="5:5" x14ac:dyDescent="0.25">
      <c r="E1854" s="31"/>
    </row>
    <row r="1855" spans="5:5" x14ac:dyDescent="0.25">
      <c r="E1855" s="31"/>
    </row>
    <row r="1856" spans="5:5" x14ac:dyDescent="0.25">
      <c r="E1856" s="31"/>
    </row>
    <row r="1857" spans="5:5" x14ac:dyDescent="0.25">
      <c r="E1857" s="31"/>
    </row>
    <row r="1858" spans="5:5" x14ac:dyDescent="0.25">
      <c r="E1858" s="31"/>
    </row>
    <row r="1859" spans="5:5" x14ac:dyDescent="0.25">
      <c r="E1859" s="31"/>
    </row>
    <row r="1860" spans="5:5" x14ac:dyDescent="0.25">
      <c r="E1860" s="31"/>
    </row>
    <row r="1861" spans="5:5" x14ac:dyDescent="0.25">
      <c r="E1861" s="31"/>
    </row>
    <row r="1862" spans="5:5" x14ac:dyDescent="0.25">
      <c r="E1862" s="31"/>
    </row>
    <row r="1863" spans="5:5" x14ac:dyDescent="0.25">
      <c r="E1863" s="31"/>
    </row>
    <row r="1864" spans="5:5" x14ac:dyDescent="0.25">
      <c r="E1864" s="31"/>
    </row>
    <row r="1865" spans="5:5" x14ac:dyDescent="0.25">
      <c r="E1865" s="31"/>
    </row>
    <row r="1866" spans="5:5" x14ac:dyDescent="0.25">
      <c r="E1866" s="31"/>
    </row>
    <row r="1867" spans="5:5" x14ac:dyDescent="0.25">
      <c r="E1867" s="31"/>
    </row>
    <row r="1868" spans="5:5" x14ac:dyDescent="0.25">
      <c r="E1868" s="31"/>
    </row>
    <row r="1869" spans="5:5" x14ac:dyDescent="0.25">
      <c r="E1869" s="31"/>
    </row>
    <row r="1870" spans="5:5" x14ac:dyDescent="0.25">
      <c r="E1870" s="31"/>
    </row>
    <row r="1871" spans="5:5" x14ac:dyDescent="0.25">
      <c r="E1871" s="31"/>
    </row>
    <row r="1872" spans="5:5" x14ac:dyDescent="0.25">
      <c r="E1872" s="31"/>
    </row>
    <row r="1873" spans="5:5" x14ac:dyDescent="0.25">
      <c r="E1873" s="31"/>
    </row>
    <row r="1874" spans="5:5" x14ac:dyDescent="0.25">
      <c r="E1874" s="31"/>
    </row>
    <row r="1875" spans="5:5" x14ac:dyDescent="0.25">
      <c r="E1875" s="31"/>
    </row>
    <row r="1876" spans="5:5" x14ac:dyDescent="0.25">
      <c r="E1876" s="31"/>
    </row>
    <row r="1877" spans="5:5" x14ac:dyDescent="0.25">
      <c r="E1877" s="31"/>
    </row>
    <row r="1878" spans="5:5" x14ac:dyDescent="0.25">
      <c r="E1878" s="31"/>
    </row>
    <row r="1879" spans="5:5" x14ac:dyDescent="0.25">
      <c r="E1879" s="31"/>
    </row>
    <row r="1880" spans="5:5" x14ac:dyDescent="0.25">
      <c r="E1880" s="31"/>
    </row>
    <row r="1881" spans="5:5" x14ac:dyDescent="0.25">
      <c r="E1881" s="31"/>
    </row>
    <row r="1882" spans="5:5" x14ac:dyDescent="0.25">
      <c r="E1882" s="31"/>
    </row>
    <row r="1883" spans="5:5" x14ac:dyDescent="0.25">
      <c r="E1883" s="31"/>
    </row>
    <row r="1884" spans="5:5" x14ac:dyDescent="0.25">
      <c r="E1884" s="31"/>
    </row>
    <row r="1885" spans="5:5" x14ac:dyDescent="0.25">
      <c r="E1885" s="31"/>
    </row>
    <row r="1886" spans="5:5" x14ac:dyDescent="0.25">
      <c r="E1886" s="31"/>
    </row>
    <row r="1887" spans="5:5" x14ac:dyDescent="0.25">
      <c r="E1887" s="31"/>
    </row>
    <row r="1888" spans="5:5" x14ac:dyDescent="0.25">
      <c r="E1888" s="31"/>
    </row>
    <row r="1889" spans="5:5" x14ac:dyDescent="0.25">
      <c r="E1889" s="31"/>
    </row>
    <row r="1890" spans="5:5" x14ac:dyDescent="0.25">
      <c r="E1890" s="31"/>
    </row>
    <row r="1891" spans="5:5" x14ac:dyDescent="0.25">
      <c r="E1891" s="31"/>
    </row>
    <row r="1892" spans="5:5" x14ac:dyDescent="0.25">
      <c r="E1892" s="31"/>
    </row>
    <row r="1893" spans="5:5" x14ac:dyDescent="0.25">
      <c r="E1893" s="31"/>
    </row>
    <row r="1894" spans="5:5" x14ac:dyDescent="0.25">
      <c r="E1894" s="31"/>
    </row>
    <row r="1895" spans="5:5" x14ac:dyDescent="0.25">
      <c r="E1895" s="31"/>
    </row>
    <row r="1896" spans="5:5" x14ac:dyDescent="0.25">
      <c r="E1896" s="31"/>
    </row>
    <row r="1897" spans="5:5" x14ac:dyDescent="0.25">
      <c r="E1897" s="31"/>
    </row>
    <row r="1898" spans="5:5" x14ac:dyDescent="0.25">
      <c r="E1898" s="31"/>
    </row>
    <row r="1899" spans="5:5" x14ac:dyDescent="0.25">
      <c r="E1899" s="31"/>
    </row>
    <row r="1900" spans="5:5" x14ac:dyDescent="0.25">
      <c r="E1900" s="31"/>
    </row>
    <row r="1901" spans="5:5" x14ac:dyDescent="0.25">
      <c r="E1901" s="31"/>
    </row>
    <row r="1902" spans="5:5" x14ac:dyDescent="0.25">
      <c r="E1902" s="31"/>
    </row>
    <row r="1903" spans="5:5" x14ac:dyDescent="0.25">
      <c r="E1903" s="31"/>
    </row>
    <row r="1904" spans="5:5" x14ac:dyDescent="0.25">
      <c r="E1904" s="31"/>
    </row>
    <row r="1905" spans="5:5" x14ac:dyDescent="0.25">
      <c r="E1905" s="31"/>
    </row>
    <row r="1906" spans="5:5" x14ac:dyDescent="0.25">
      <c r="E1906" s="31"/>
    </row>
    <row r="1907" spans="5:5" x14ac:dyDescent="0.25">
      <c r="E1907" s="31"/>
    </row>
    <row r="1908" spans="5:5" x14ac:dyDescent="0.25">
      <c r="E1908" s="31"/>
    </row>
    <row r="1909" spans="5:5" x14ac:dyDescent="0.25">
      <c r="E1909" s="31"/>
    </row>
    <row r="1910" spans="5:5" x14ac:dyDescent="0.25">
      <c r="E1910" s="31"/>
    </row>
    <row r="1911" spans="5:5" x14ac:dyDescent="0.25">
      <c r="E1911" s="31"/>
    </row>
    <row r="1912" spans="5:5" x14ac:dyDescent="0.25">
      <c r="E1912" s="31"/>
    </row>
    <row r="1913" spans="5:5" x14ac:dyDescent="0.25">
      <c r="E1913" s="31"/>
    </row>
    <row r="1914" spans="5:5" x14ac:dyDescent="0.25">
      <c r="E1914" s="31"/>
    </row>
    <row r="1915" spans="5:5" x14ac:dyDescent="0.25">
      <c r="E1915" s="31"/>
    </row>
    <row r="1916" spans="5:5" x14ac:dyDescent="0.25">
      <c r="E1916" s="31"/>
    </row>
    <row r="1917" spans="5:5" x14ac:dyDescent="0.25">
      <c r="E1917" s="31"/>
    </row>
    <row r="1918" spans="5:5" x14ac:dyDescent="0.25">
      <c r="E1918" s="31"/>
    </row>
    <row r="1919" spans="5:5" x14ac:dyDescent="0.25">
      <c r="E1919" s="31"/>
    </row>
    <row r="1920" spans="5:5" x14ac:dyDescent="0.25">
      <c r="E1920" s="31"/>
    </row>
    <row r="1921" spans="5:5" x14ac:dyDescent="0.25">
      <c r="E1921" s="31"/>
    </row>
    <row r="1922" spans="5:5" x14ac:dyDescent="0.25">
      <c r="E1922" s="31"/>
    </row>
    <row r="1923" spans="5:5" x14ac:dyDescent="0.25">
      <c r="E1923" s="31"/>
    </row>
    <row r="1924" spans="5:5" x14ac:dyDescent="0.25">
      <c r="E1924" s="31"/>
    </row>
    <row r="1925" spans="5:5" x14ac:dyDescent="0.25">
      <c r="E1925" s="31"/>
    </row>
    <row r="1926" spans="5:5" x14ac:dyDescent="0.25">
      <c r="E1926" s="31"/>
    </row>
    <row r="1927" spans="5:5" x14ac:dyDescent="0.25">
      <c r="E1927" s="31"/>
    </row>
    <row r="1928" spans="5:5" x14ac:dyDescent="0.25">
      <c r="E1928" s="31"/>
    </row>
    <row r="1929" spans="5:5" x14ac:dyDescent="0.25">
      <c r="E1929" s="31"/>
    </row>
    <row r="1930" spans="5:5" x14ac:dyDescent="0.25">
      <c r="E1930" s="31"/>
    </row>
    <row r="1931" spans="5:5" x14ac:dyDescent="0.25">
      <c r="E1931" s="31"/>
    </row>
    <row r="1932" spans="5:5" x14ac:dyDescent="0.25">
      <c r="E1932" s="31"/>
    </row>
    <row r="1933" spans="5:5" x14ac:dyDescent="0.25">
      <c r="E1933" s="31"/>
    </row>
    <row r="1934" spans="5:5" x14ac:dyDescent="0.25">
      <c r="E1934" s="31"/>
    </row>
    <row r="1935" spans="5:5" x14ac:dyDescent="0.25">
      <c r="E1935" s="31"/>
    </row>
    <row r="1936" spans="5:5" x14ac:dyDescent="0.25">
      <c r="E1936" s="31"/>
    </row>
    <row r="1937" spans="5:5" x14ac:dyDescent="0.25">
      <c r="E1937" s="31"/>
    </row>
    <row r="1938" spans="5:5" x14ac:dyDescent="0.25">
      <c r="E1938" s="31"/>
    </row>
    <row r="1939" spans="5:5" x14ac:dyDescent="0.25">
      <c r="E1939" s="31"/>
    </row>
    <row r="1940" spans="5:5" x14ac:dyDescent="0.25">
      <c r="E1940" s="31"/>
    </row>
    <row r="1941" spans="5:5" x14ac:dyDescent="0.25">
      <c r="E1941" s="31"/>
    </row>
    <row r="1942" spans="5:5" x14ac:dyDescent="0.25">
      <c r="E1942" s="31"/>
    </row>
    <row r="1943" spans="5:5" x14ac:dyDescent="0.25">
      <c r="E1943" s="31"/>
    </row>
    <row r="1944" spans="5:5" x14ac:dyDescent="0.25">
      <c r="E1944" s="31"/>
    </row>
    <row r="1945" spans="5:5" x14ac:dyDescent="0.25">
      <c r="E1945" s="31"/>
    </row>
    <row r="1946" spans="5:5" x14ac:dyDescent="0.25">
      <c r="E1946" s="31"/>
    </row>
    <row r="1947" spans="5:5" x14ac:dyDescent="0.25">
      <c r="E1947" s="31"/>
    </row>
    <row r="1948" spans="5:5" x14ac:dyDescent="0.25">
      <c r="E1948" s="31"/>
    </row>
    <row r="1949" spans="5:5" x14ac:dyDescent="0.25">
      <c r="E1949" s="31"/>
    </row>
    <row r="1950" spans="5:5" x14ac:dyDescent="0.25">
      <c r="E1950" s="31"/>
    </row>
    <row r="1951" spans="5:5" x14ac:dyDescent="0.25">
      <c r="E1951" s="31"/>
    </row>
    <row r="1952" spans="5:5" x14ac:dyDescent="0.25">
      <c r="E1952" s="31"/>
    </row>
    <row r="1953" spans="5:5" x14ac:dyDescent="0.25">
      <c r="E1953" s="31"/>
    </row>
    <row r="1954" spans="5:5" x14ac:dyDescent="0.25">
      <c r="E1954" s="31"/>
    </row>
    <row r="1955" spans="5:5" x14ac:dyDescent="0.25">
      <c r="E1955" s="31"/>
    </row>
    <row r="1956" spans="5:5" x14ac:dyDescent="0.25">
      <c r="E1956" s="31"/>
    </row>
    <row r="1957" spans="5:5" x14ac:dyDescent="0.25">
      <c r="E1957" s="31"/>
    </row>
    <row r="1958" spans="5:5" x14ac:dyDescent="0.25">
      <c r="E1958" s="31"/>
    </row>
    <row r="1959" spans="5:5" x14ac:dyDescent="0.25">
      <c r="E1959" s="31"/>
    </row>
    <row r="1960" spans="5:5" x14ac:dyDescent="0.25">
      <c r="E1960" s="31"/>
    </row>
    <row r="1961" spans="5:5" x14ac:dyDescent="0.25">
      <c r="E1961" s="31"/>
    </row>
    <row r="1962" spans="5:5" x14ac:dyDescent="0.25">
      <c r="E1962" s="31"/>
    </row>
    <row r="1963" spans="5:5" x14ac:dyDescent="0.25">
      <c r="E1963" s="31"/>
    </row>
    <row r="1964" spans="5:5" x14ac:dyDescent="0.25">
      <c r="E1964" s="31"/>
    </row>
    <row r="1965" spans="5:5" x14ac:dyDescent="0.25">
      <c r="E1965" s="31"/>
    </row>
    <row r="1966" spans="5:5" x14ac:dyDescent="0.25">
      <c r="E1966" s="31"/>
    </row>
    <row r="1967" spans="5:5" x14ac:dyDescent="0.25">
      <c r="E1967" s="31"/>
    </row>
    <row r="1968" spans="5:5" x14ac:dyDescent="0.25">
      <c r="E1968" s="31"/>
    </row>
    <row r="1969" spans="5:5" x14ac:dyDescent="0.25">
      <c r="E1969" s="31"/>
    </row>
    <row r="1970" spans="5:5" x14ac:dyDescent="0.25">
      <c r="E1970" s="31"/>
    </row>
    <row r="1971" spans="5:5" x14ac:dyDescent="0.25">
      <c r="E1971" s="31"/>
    </row>
    <row r="1972" spans="5:5" x14ac:dyDescent="0.25">
      <c r="E1972" s="31"/>
    </row>
    <row r="1973" spans="5:5" x14ac:dyDescent="0.25">
      <c r="E1973" s="31"/>
    </row>
    <row r="1974" spans="5:5" x14ac:dyDescent="0.25">
      <c r="E1974" s="31"/>
    </row>
    <row r="1975" spans="5:5" x14ac:dyDescent="0.25">
      <c r="E1975" s="31"/>
    </row>
    <row r="1976" spans="5:5" x14ac:dyDescent="0.25">
      <c r="E1976" s="31"/>
    </row>
    <row r="1977" spans="5:5" x14ac:dyDescent="0.25">
      <c r="E1977" s="31"/>
    </row>
    <row r="1978" spans="5:5" x14ac:dyDescent="0.25">
      <c r="E1978" s="31"/>
    </row>
    <row r="1979" spans="5:5" x14ac:dyDescent="0.25">
      <c r="E1979" s="31"/>
    </row>
    <row r="1980" spans="5:5" x14ac:dyDescent="0.25">
      <c r="E1980" s="31"/>
    </row>
    <row r="1981" spans="5:5" x14ac:dyDescent="0.25">
      <c r="E1981" s="31"/>
    </row>
    <row r="1982" spans="5:5" x14ac:dyDescent="0.25">
      <c r="E1982" s="31"/>
    </row>
    <row r="1983" spans="5:5" x14ac:dyDescent="0.25">
      <c r="E1983" s="31"/>
    </row>
    <row r="1984" spans="5:5" x14ac:dyDescent="0.25">
      <c r="E1984" s="31"/>
    </row>
    <row r="1985" spans="5:5" x14ac:dyDescent="0.25">
      <c r="E1985" s="31"/>
    </row>
    <row r="1986" spans="5:5" x14ac:dyDescent="0.25">
      <c r="E1986" s="31"/>
    </row>
    <row r="1987" spans="5:5" x14ac:dyDescent="0.25">
      <c r="E1987" s="31"/>
    </row>
    <row r="1988" spans="5:5" x14ac:dyDescent="0.25">
      <c r="E1988" s="31"/>
    </row>
    <row r="1989" spans="5:5" x14ac:dyDescent="0.25">
      <c r="E1989" s="31"/>
    </row>
    <row r="1990" spans="5:5" x14ac:dyDescent="0.25">
      <c r="E1990" s="31"/>
    </row>
    <row r="1991" spans="5:5" x14ac:dyDescent="0.25">
      <c r="E1991" s="31"/>
    </row>
    <row r="1992" spans="5:5" x14ac:dyDescent="0.25">
      <c r="E1992" s="31"/>
    </row>
    <row r="1993" spans="5:5" x14ac:dyDescent="0.25">
      <c r="E1993" s="31"/>
    </row>
    <row r="1994" spans="5:5" x14ac:dyDescent="0.25">
      <c r="E1994" s="31"/>
    </row>
    <row r="1995" spans="5:5" x14ac:dyDescent="0.25">
      <c r="E1995" s="31"/>
    </row>
    <row r="1996" spans="5:5" x14ac:dyDescent="0.25">
      <c r="E1996" s="31"/>
    </row>
    <row r="1997" spans="5:5" x14ac:dyDescent="0.25">
      <c r="E1997" s="31"/>
    </row>
    <row r="1998" spans="5:5" x14ac:dyDescent="0.25">
      <c r="E1998" s="31"/>
    </row>
    <row r="1999" spans="5:5" x14ac:dyDescent="0.25">
      <c r="E1999" s="31"/>
    </row>
    <row r="2000" spans="5:5" x14ac:dyDescent="0.25">
      <c r="E2000" s="31"/>
    </row>
    <row r="2001" spans="5:5" x14ac:dyDescent="0.25">
      <c r="E2001" s="31"/>
    </row>
    <row r="2002" spans="5:5" x14ac:dyDescent="0.25">
      <c r="E2002" s="31"/>
    </row>
    <row r="2003" spans="5:5" x14ac:dyDescent="0.25">
      <c r="E2003" s="31"/>
    </row>
    <row r="2004" spans="5:5" x14ac:dyDescent="0.25">
      <c r="E2004" s="31"/>
    </row>
    <row r="2005" spans="5:5" x14ac:dyDescent="0.25">
      <c r="E2005" s="31"/>
    </row>
    <row r="2006" spans="5:5" x14ac:dyDescent="0.25">
      <c r="E2006" s="31"/>
    </row>
    <row r="2007" spans="5:5" x14ac:dyDescent="0.25">
      <c r="E2007" s="31"/>
    </row>
    <row r="2008" spans="5:5" x14ac:dyDescent="0.25">
      <c r="E2008" s="31"/>
    </row>
    <row r="2009" spans="5:5" x14ac:dyDescent="0.25">
      <c r="E2009" s="31"/>
    </row>
    <row r="2010" spans="5:5" x14ac:dyDescent="0.25">
      <c r="E2010" s="31"/>
    </row>
    <row r="2011" spans="5:5" x14ac:dyDescent="0.25">
      <c r="E2011" s="31"/>
    </row>
    <row r="2012" spans="5:5" x14ac:dyDescent="0.25">
      <c r="E2012" s="31"/>
    </row>
    <row r="2013" spans="5:5" x14ac:dyDescent="0.25">
      <c r="E2013" s="31"/>
    </row>
    <row r="2014" spans="5:5" x14ac:dyDescent="0.25">
      <c r="E2014" s="31"/>
    </row>
    <row r="2015" spans="5:5" x14ac:dyDescent="0.25">
      <c r="E2015" s="31"/>
    </row>
    <row r="2016" spans="5:5" x14ac:dyDescent="0.25">
      <c r="E2016" s="31"/>
    </row>
    <row r="2017" spans="5:5" x14ac:dyDescent="0.25">
      <c r="E2017" s="31"/>
    </row>
    <row r="2018" spans="5:5" x14ac:dyDescent="0.25">
      <c r="E2018" s="31"/>
    </row>
    <row r="2019" spans="5:5" x14ac:dyDescent="0.25">
      <c r="E2019" s="31"/>
    </row>
    <row r="2020" spans="5:5" x14ac:dyDescent="0.25">
      <c r="E2020" s="31"/>
    </row>
    <row r="2021" spans="5:5" x14ac:dyDescent="0.25">
      <c r="E2021" s="31"/>
    </row>
    <row r="2022" spans="5:5" x14ac:dyDescent="0.25">
      <c r="E2022" s="31"/>
    </row>
    <row r="2023" spans="5:5" x14ac:dyDescent="0.25">
      <c r="E2023" s="31"/>
    </row>
    <row r="2024" spans="5:5" x14ac:dyDescent="0.25">
      <c r="E2024" s="31"/>
    </row>
    <row r="2025" spans="5:5" x14ac:dyDescent="0.25">
      <c r="E2025" s="31"/>
    </row>
    <row r="2026" spans="5:5" x14ac:dyDescent="0.25">
      <c r="E2026" s="31"/>
    </row>
    <row r="2027" spans="5:5" x14ac:dyDescent="0.25">
      <c r="E2027" s="31"/>
    </row>
    <row r="2028" spans="5:5" x14ac:dyDescent="0.25">
      <c r="E2028" s="31"/>
    </row>
    <row r="2029" spans="5:5" x14ac:dyDescent="0.25">
      <c r="E2029" s="31"/>
    </row>
    <row r="2030" spans="5:5" x14ac:dyDescent="0.25">
      <c r="E2030" s="31"/>
    </row>
    <row r="2031" spans="5:5" x14ac:dyDescent="0.25">
      <c r="E2031" s="31"/>
    </row>
    <row r="2032" spans="5:5" x14ac:dyDescent="0.25">
      <c r="E2032" s="31"/>
    </row>
    <row r="2033" spans="5:5" x14ac:dyDescent="0.25">
      <c r="E2033" s="31"/>
    </row>
    <row r="2034" spans="5:5" x14ac:dyDescent="0.25">
      <c r="E2034" s="31"/>
    </row>
    <row r="2035" spans="5:5" x14ac:dyDescent="0.25">
      <c r="E2035" s="31"/>
    </row>
    <row r="2036" spans="5:5" x14ac:dyDescent="0.25">
      <c r="E2036" s="31"/>
    </row>
    <row r="2037" spans="5:5" x14ac:dyDescent="0.25">
      <c r="E2037" s="31"/>
    </row>
    <row r="2038" spans="5:5" x14ac:dyDescent="0.25">
      <c r="E2038" s="31"/>
    </row>
    <row r="2039" spans="5:5" x14ac:dyDescent="0.25">
      <c r="E2039" s="31"/>
    </row>
    <row r="2040" spans="5:5" x14ac:dyDescent="0.25">
      <c r="E2040" s="31"/>
    </row>
    <row r="2041" spans="5:5" x14ac:dyDescent="0.25">
      <c r="E2041" s="31"/>
    </row>
    <row r="2042" spans="5:5" x14ac:dyDescent="0.25">
      <c r="E2042" s="31"/>
    </row>
    <row r="2043" spans="5:5" x14ac:dyDescent="0.25">
      <c r="E2043" s="31"/>
    </row>
    <row r="2044" spans="5:5" x14ac:dyDescent="0.25">
      <c r="E2044" s="31"/>
    </row>
    <row r="2045" spans="5:5" x14ac:dyDescent="0.25">
      <c r="E2045" s="31"/>
    </row>
    <row r="2046" spans="5:5" x14ac:dyDescent="0.25">
      <c r="E2046" s="31"/>
    </row>
    <row r="2047" spans="5:5" x14ac:dyDescent="0.25">
      <c r="E2047" s="31"/>
    </row>
    <row r="2048" spans="5:5" x14ac:dyDescent="0.25">
      <c r="E2048" s="31"/>
    </row>
    <row r="2049" spans="5:5" x14ac:dyDescent="0.25">
      <c r="E2049" s="31"/>
    </row>
    <row r="2050" spans="5:5" x14ac:dyDescent="0.25">
      <c r="E2050" s="31"/>
    </row>
    <row r="2051" spans="5:5" x14ac:dyDescent="0.25">
      <c r="E2051" s="31"/>
    </row>
    <row r="2052" spans="5:5" x14ac:dyDescent="0.25">
      <c r="E2052" s="31"/>
    </row>
    <row r="2053" spans="5:5" x14ac:dyDescent="0.25">
      <c r="E2053" s="31"/>
    </row>
    <row r="2054" spans="5:5" x14ac:dyDescent="0.25">
      <c r="E2054" s="31"/>
    </row>
    <row r="2055" spans="5:5" x14ac:dyDescent="0.25">
      <c r="E2055" s="31"/>
    </row>
    <row r="2056" spans="5:5" x14ac:dyDescent="0.25">
      <c r="E2056" s="31"/>
    </row>
    <row r="2057" spans="5:5" x14ac:dyDescent="0.25">
      <c r="E2057" s="31"/>
    </row>
    <row r="2058" spans="5:5" x14ac:dyDescent="0.25">
      <c r="E2058" s="31"/>
    </row>
    <row r="2059" spans="5:5" x14ac:dyDescent="0.25">
      <c r="E2059" s="31"/>
    </row>
    <row r="2060" spans="5:5" x14ac:dyDescent="0.25">
      <c r="E2060" s="31"/>
    </row>
    <row r="2061" spans="5:5" x14ac:dyDescent="0.25">
      <c r="E2061" s="31"/>
    </row>
    <row r="2062" spans="5:5" x14ac:dyDescent="0.25">
      <c r="E2062" s="31"/>
    </row>
    <row r="2063" spans="5:5" x14ac:dyDescent="0.25">
      <c r="E2063" s="31"/>
    </row>
    <row r="2064" spans="5:5" x14ac:dyDescent="0.25">
      <c r="E2064" s="31"/>
    </row>
    <row r="2065" spans="5:5" x14ac:dyDescent="0.25">
      <c r="E2065" s="31"/>
    </row>
    <row r="2066" spans="5:5" x14ac:dyDescent="0.25">
      <c r="E2066" s="31"/>
    </row>
    <row r="2067" spans="5:5" x14ac:dyDescent="0.25">
      <c r="E2067" s="31"/>
    </row>
    <row r="2068" spans="5:5" x14ac:dyDescent="0.25">
      <c r="E2068" s="31"/>
    </row>
    <row r="2069" spans="5:5" x14ac:dyDescent="0.25">
      <c r="E2069" s="31"/>
    </row>
    <row r="2070" spans="5:5" x14ac:dyDescent="0.25">
      <c r="E2070" s="31"/>
    </row>
    <row r="2071" spans="5:5" x14ac:dyDescent="0.25">
      <c r="E2071" s="31"/>
    </row>
    <row r="2072" spans="5:5" x14ac:dyDescent="0.25">
      <c r="E2072" s="31"/>
    </row>
    <row r="2073" spans="5:5" x14ac:dyDescent="0.25">
      <c r="E2073" s="31"/>
    </row>
    <row r="2074" spans="5:5" x14ac:dyDescent="0.25">
      <c r="E2074" s="31"/>
    </row>
    <row r="2075" spans="5:5" x14ac:dyDescent="0.25">
      <c r="E2075" s="31"/>
    </row>
    <row r="2076" spans="5:5" x14ac:dyDescent="0.25">
      <c r="E2076" s="31"/>
    </row>
    <row r="2077" spans="5:5" x14ac:dyDescent="0.25">
      <c r="E2077" s="31"/>
    </row>
    <row r="2078" spans="5:5" x14ac:dyDescent="0.25">
      <c r="E2078" s="31"/>
    </row>
    <row r="2079" spans="5:5" x14ac:dyDescent="0.25">
      <c r="E2079" s="31"/>
    </row>
    <row r="2080" spans="5:5" x14ac:dyDescent="0.25">
      <c r="E2080" s="31"/>
    </row>
    <row r="2081" spans="5:5" x14ac:dyDescent="0.25">
      <c r="E2081" s="31"/>
    </row>
    <row r="2082" spans="5:5" x14ac:dyDescent="0.25">
      <c r="E2082" s="31"/>
    </row>
    <row r="2083" spans="5:5" x14ac:dyDescent="0.25">
      <c r="E2083" s="31"/>
    </row>
    <row r="2084" spans="5:5" x14ac:dyDescent="0.25">
      <c r="E2084" s="31"/>
    </row>
    <row r="2085" spans="5:5" x14ac:dyDescent="0.25">
      <c r="E2085" s="31"/>
    </row>
    <row r="2086" spans="5:5" x14ac:dyDescent="0.25">
      <c r="E2086" s="31"/>
    </row>
    <row r="2087" spans="5:5" x14ac:dyDescent="0.25">
      <c r="E2087" s="31"/>
    </row>
    <row r="2088" spans="5:5" x14ac:dyDescent="0.25">
      <c r="E2088" s="31"/>
    </row>
    <row r="2089" spans="5:5" x14ac:dyDescent="0.25">
      <c r="E2089" s="31"/>
    </row>
    <row r="2090" spans="5:5" x14ac:dyDescent="0.25">
      <c r="E2090" s="31"/>
    </row>
    <row r="2091" spans="5:5" x14ac:dyDescent="0.25">
      <c r="E2091" s="31"/>
    </row>
    <row r="2092" spans="5:5" x14ac:dyDescent="0.25">
      <c r="E2092" s="31"/>
    </row>
    <row r="2093" spans="5:5" x14ac:dyDescent="0.25">
      <c r="E2093" s="31"/>
    </row>
    <row r="2094" spans="5:5" x14ac:dyDescent="0.25">
      <c r="E2094" s="31"/>
    </row>
    <row r="2095" spans="5:5" x14ac:dyDescent="0.25">
      <c r="E2095" s="31"/>
    </row>
    <row r="2096" spans="5:5" x14ac:dyDescent="0.25">
      <c r="E2096" s="31"/>
    </row>
    <row r="2097" spans="5:5" x14ac:dyDescent="0.25">
      <c r="E2097" s="31"/>
    </row>
    <row r="2098" spans="5:5" x14ac:dyDescent="0.25">
      <c r="E2098" s="31"/>
    </row>
    <row r="2099" spans="5:5" x14ac:dyDescent="0.25">
      <c r="E2099" s="31"/>
    </row>
    <row r="2100" spans="5:5" x14ac:dyDescent="0.25">
      <c r="E2100" s="31"/>
    </row>
    <row r="2101" spans="5:5" x14ac:dyDescent="0.25">
      <c r="E2101" s="31"/>
    </row>
    <row r="2102" spans="5:5" x14ac:dyDescent="0.25">
      <c r="E2102" s="31"/>
    </row>
    <row r="2103" spans="5:5" x14ac:dyDescent="0.25">
      <c r="E2103" s="31"/>
    </row>
    <row r="2104" spans="5:5" x14ac:dyDescent="0.25">
      <c r="E2104" s="31"/>
    </row>
    <row r="2105" spans="5:5" x14ac:dyDescent="0.25">
      <c r="E2105" s="31"/>
    </row>
    <row r="2106" spans="5:5" x14ac:dyDescent="0.25">
      <c r="E2106" s="31"/>
    </row>
    <row r="2107" spans="5:5" x14ac:dyDescent="0.25">
      <c r="E2107" s="31"/>
    </row>
    <row r="2108" spans="5:5" x14ac:dyDescent="0.25">
      <c r="E2108" s="31"/>
    </row>
    <row r="2109" spans="5:5" x14ac:dyDescent="0.25">
      <c r="E2109" s="31"/>
    </row>
    <row r="2110" spans="5:5" x14ac:dyDescent="0.25">
      <c r="E2110" s="31"/>
    </row>
    <row r="2111" spans="5:5" x14ac:dyDescent="0.25">
      <c r="E2111" s="31"/>
    </row>
    <row r="2112" spans="5:5" x14ac:dyDescent="0.25">
      <c r="E2112" s="31"/>
    </row>
    <row r="2113" spans="5:5" x14ac:dyDescent="0.25">
      <c r="E2113" s="31"/>
    </row>
    <row r="2114" spans="5:5" x14ac:dyDescent="0.25">
      <c r="E2114" s="31"/>
    </row>
    <row r="2115" spans="5:5" x14ac:dyDescent="0.25">
      <c r="E2115" s="31"/>
    </row>
    <row r="2116" spans="5:5" x14ac:dyDescent="0.25">
      <c r="E2116" s="31"/>
    </row>
    <row r="2117" spans="5:5" x14ac:dyDescent="0.25">
      <c r="E2117" s="31"/>
    </row>
    <row r="2118" spans="5:5" x14ac:dyDescent="0.25">
      <c r="E2118" s="31"/>
    </row>
    <row r="2119" spans="5:5" x14ac:dyDescent="0.25">
      <c r="E2119" s="31"/>
    </row>
    <row r="2120" spans="5:5" x14ac:dyDescent="0.25">
      <c r="E2120" s="31"/>
    </row>
    <row r="2121" spans="5:5" x14ac:dyDescent="0.25">
      <c r="E2121" s="31"/>
    </row>
    <row r="2122" spans="5:5" x14ac:dyDescent="0.25">
      <c r="E2122" s="31"/>
    </row>
    <row r="2123" spans="5:5" x14ac:dyDescent="0.25">
      <c r="E2123" s="31"/>
    </row>
    <row r="2124" spans="5:5" x14ac:dyDescent="0.25">
      <c r="E2124" s="31"/>
    </row>
    <row r="2125" spans="5:5" x14ac:dyDescent="0.25">
      <c r="E2125" s="31"/>
    </row>
    <row r="2126" spans="5:5" x14ac:dyDescent="0.25">
      <c r="E2126" s="31"/>
    </row>
    <row r="2127" spans="5:5" x14ac:dyDescent="0.25">
      <c r="E2127" s="31"/>
    </row>
    <row r="2128" spans="5:5" x14ac:dyDescent="0.25">
      <c r="E2128" s="31"/>
    </row>
    <row r="2129" spans="5:5" x14ac:dyDescent="0.25">
      <c r="E2129" s="31"/>
    </row>
    <row r="2130" spans="5:5" x14ac:dyDescent="0.25">
      <c r="E2130" s="31"/>
    </row>
    <row r="2131" spans="5:5" x14ac:dyDescent="0.25">
      <c r="E2131" s="31"/>
    </row>
    <row r="2132" spans="5:5" x14ac:dyDescent="0.25">
      <c r="E2132" s="31"/>
    </row>
    <row r="2133" spans="5:5" x14ac:dyDescent="0.25">
      <c r="E2133" s="31"/>
    </row>
    <row r="2134" spans="5:5" x14ac:dyDescent="0.25">
      <c r="E2134" s="31"/>
    </row>
    <row r="2135" spans="5:5" x14ac:dyDescent="0.25">
      <c r="E2135" s="31"/>
    </row>
    <row r="2136" spans="5:5" x14ac:dyDescent="0.25">
      <c r="E2136" s="31"/>
    </row>
    <row r="2137" spans="5:5" x14ac:dyDescent="0.25">
      <c r="E2137" s="31"/>
    </row>
    <row r="2138" spans="5:5" x14ac:dyDescent="0.25">
      <c r="E2138" s="31"/>
    </row>
    <row r="2139" spans="5:5" x14ac:dyDescent="0.25">
      <c r="E2139" s="31"/>
    </row>
    <row r="2140" spans="5:5" x14ac:dyDescent="0.25">
      <c r="E2140" s="31"/>
    </row>
    <row r="2141" spans="5:5" x14ac:dyDescent="0.25">
      <c r="E2141" s="31"/>
    </row>
    <row r="2142" spans="5:5" x14ac:dyDescent="0.25">
      <c r="E2142" s="31"/>
    </row>
    <row r="2143" spans="5:5" x14ac:dyDescent="0.25">
      <c r="E2143" s="31"/>
    </row>
    <row r="2144" spans="5:5" x14ac:dyDescent="0.25">
      <c r="E2144" s="31"/>
    </row>
    <row r="2145" spans="5:5" x14ac:dyDescent="0.25">
      <c r="E2145" s="31"/>
    </row>
    <row r="2146" spans="5:5" x14ac:dyDescent="0.25">
      <c r="E2146" s="31"/>
    </row>
    <row r="2147" spans="5:5" x14ac:dyDescent="0.25">
      <c r="E2147" s="31"/>
    </row>
    <row r="2148" spans="5:5" x14ac:dyDescent="0.25">
      <c r="E2148" s="31"/>
    </row>
    <row r="2149" spans="5:5" x14ac:dyDescent="0.25">
      <c r="E2149" s="31"/>
    </row>
    <row r="2150" spans="5:5" x14ac:dyDescent="0.25">
      <c r="E2150" s="31"/>
    </row>
    <row r="2151" spans="5:5" x14ac:dyDescent="0.25">
      <c r="E2151" s="31"/>
    </row>
    <row r="2152" spans="5:5" x14ac:dyDescent="0.25">
      <c r="E2152" s="31"/>
    </row>
    <row r="2153" spans="5:5" x14ac:dyDescent="0.25">
      <c r="E2153" s="31"/>
    </row>
    <row r="2154" spans="5:5" x14ac:dyDescent="0.25">
      <c r="E2154" s="31"/>
    </row>
    <row r="2155" spans="5:5" x14ac:dyDescent="0.25">
      <c r="E2155" s="31"/>
    </row>
    <row r="2156" spans="5:5" x14ac:dyDescent="0.25">
      <c r="E2156" s="31"/>
    </row>
    <row r="2157" spans="5:5" x14ac:dyDescent="0.25">
      <c r="E2157" s="31"/>
    </row>
    <row r="2158" spans="5:5" x14ac:dyDescent="0.25">
      <c r="E2158" s="31"/>
    </row>
    <row r="2159" spans="5:5" x14ac:dyDescent="0.25">
      <c r="E2159" s="31"/>
    </row>
    <row r="2160" spans="5:5" x14ac:dyDescent="0.25">
      <c r="E2160" s="31"/>
    </row>
    <row r="2161" spans="5:5" x14ac:dyDescent="0.25">
      <c r="E2161" s="31"/>
    </row>
    <row r="2162" spans="5:5" x14ac:dyDescent="0.25">
      <c r="E2162" s="31"/>
    </row>
    <row r="2163" spans="5:5" x14ac:dyDescent="0.25">
      <c r="E2163" s="31"/>
    </row>
    <row r="2164" spans="5:5" x14ac:dyDescent="0.25">
      <c r="E2164" s="31"/>
    </row>
    <row r="2165" spans="5:5" x14ac:dyDescent="0.25">
      <c r="E2165" s="31"/>
    </row>
    <row r="2166" spans="5:5" x14ac:dyDescent="0.25">
      <c r="E2166" s="31"/>
    </row>
    <row r="2167" spans="5:5" x14ac:dyDescent="0.25">
      <c r="E2167" s="31"/>
    </row>
    <row r="2168" spans="5:5" x14ac:dyDescent="0.25">
      <c r="E2168" s="31"/>
    </row>
    <row r="2169" spans="5:5" x14ac:dyDescent="0.25">
      <c r="E2169" s="31"/>
    </row>
    <row r="2170" spans="5:5" x14ac:dyDescent="0.25">
      <c r="E2170" s="31"/>
    </row>
    <row r="2171" spans="5:5" x14ac:dyDescent="0.25">
      <c r="E2171" s="31"/>
    </row>
    <row r="2172" spans="5:5" x14ac:dyDescent="0.25">
      <c r="E2172" s="31"/>
    </row>
    <row r="2173" spans="5:5" x14ac:dyDescent="0.25">
      <c r="E2173" s="31"/>
    </row>
    <row r="2174" spans="5:5" x14ac:dyDescent="0.25">
      <c r="E2174" s="31"/>
    </row>
    <row r="2175" spans="5:5" x14ac:dyDescent="0.25">
      <c r="E2175" s="31"/>
    </row>
    <row r="2176" spans="5:5" x14ac:dyDescent="0.25">
      <c r="E2176" s="31"/>
    </row>
    <row r="2177" spans="5:5" x14ac:dyDescent="0.25">
      <c r="E2177" s="31"/>
    </row>
    <row r="2178" spans="5:5" x14ac:dyDescent="0.25">
      <c r="E2178" s="31"/>
    </row>
    <row r="2179" spans="5:5" x14ac:dyDescent="0.25">
      <c r="E2179" s="31"/>
    </row>
    <row r="2180" spans="5:5" x14ac:dyDescent="0.25">
      <c r="E2180" s="31"/>
    </row>
    <row r="2181" spans="5:5" x14ac:dyDescent="0.25">
      <c r="E2181" s="31"/>
    </row>
    <row r="2182" spans="5:5" x14ac:dyDescent="0.25">
      <c r="E2182" s="31"/>
    </row>
    <row r="2183" spans="5:5" x14ac:dyDescent="0.25">
      <c r="E2183" s="31"/>
    </row>
    <row r="2184" spans="5:5" x14ac:dyDescent="0.25">
      <c r="E2184" s="31"/>
    </row>
    <row r="2185" spans="5:5" x14ac:dyDescent="0.25">
      <c r="E2185" s="31"/>
    </row>
    <row r="2186" spans="5:5" x14ac:dyDescent="0.25">
      <c r="E2186" s="31"/>
    </row>
    <row r="2187" spans="5:5" x14ac:dyDescent="0.25">
      <c r="E2187" s="31"/>
    </row>
    <row r="2188" spans="5:5" x14ac:dyDescent="0.25">
      <c r="E2188" s="31"/>
    </row>
    <row r="2189" spans="5:5" x14ac:dyDescent="0.25">
      <c r="E2189" s="31"/>
    </row>
    <row r="2190" spans="5:5" x14ac:dyDescent="0.25">
      <c r="E2190" s="31"/>
    </row>
    <row r="2191" spans="5:5" x14ac:dyDescent="0.25">
      <c r="E2191" s="31"/>
    </row>
    <row r="2192" spans="5:5" x14ac:dyDescent="0.25">
      <c r="E2192" s="31"/>
    </row>
    <row r="2193" spans="5:5" x14ac:dyDescent="0.25">
      <c r="E2193" s="31"/>
    </row>
    <row r="2194" spans="5:5" x14ac:dyDescent="0.25">
      <c r="E2194" s="31"/>
    </row>
    <row r="2195" spans="5:5" x14ac:dyDescent="0.25">
      <c r="E2195" s="31"/>
    </row>
    <row r="2196" spans="5:5" x14ac:dyDescent="0.25">
      <c r="E2196" s="31"/>
    </row>
    <row r="2197" spans="5:5" x14ac:dyDescent="0.25">
      <c r="E2197" s="31"/>
    </row>
    <row r="2198" spans="5:5" x14ac:dyDescent="0.25">
      <c r="E2198" s="31"/>
    </row>
    <row r="2199" spans="5:5" x14ac:dyDescent="0.25">
      <c r="E2199" s="31"/>
    </row>
    <row r="2200" spans="5:5" x14ac:dyDescent="0.25">
      <c r="E2200" s="31"/>
    </row>
    <row r="2201" spans="5:5" x14ac:dyDescent="0.25">
      <c r="E2201" s="31"/>
    </row>
    <row r="2202" spans="5:5" x14ac:dyDescent="0.25">
      <c r="E2202" s="31"/>
    </row>
    <row r="2203" spans="5:5" x14ac:dyDescent="0.25">
      <c r="E2203" s="31"/>
    </row>
    <row r="2204" spans="5:5" x14ac:dyDescent="0.25">
      <c r="E2204" s="31"/>
    </row>
    <row r="2205" spans="5:5" x14ac:dyDescent="0.25">
      <c r="E2205" s="31"/>
    </row>
    <row r="2206" spans="5:5" x14ac:dyDescent="0.25">
      <c r="E2206" s="31"/>
    </row>
    <row r="2207" spans="5:5" x14ac:dyDescent="0.25">
      <c r="E2207" s="31"/>
    </row>
    <row r="2208" spans="5:5" x14ac:dyDescent="0.25">
      <c r="E2208" s="31"/>
    </row>
    <row r="2209" spans="5:5" x14ac:dyDescent="0.25">
      <c r="E2209" s="31"/>
    </row>
    <row r="2210" spans="5:5" x14ac:dyDescent="0.25">
      <c r="E2210" s="31"/>
    </row>
    <row r="2211" spans="5:5" x14ac:dyDescent="0.25">
      <c r="E2211" s="31"/>
    </row>
    <row r="2212" spans="5:5" x14ac:dyDescent="0.25">
      <c r="E2212" s="31"/>
    </row>
    <row r="2213" spans="5:5" x14ac:dyDescent="0.25">
      <c r="E2213" s="31"/>
    </row>
    <row r="2214" spans="5:5" x14ac:dyDescent="0.25">
      <c r="E2214" s="31"/>
    </row>
    <row r="2215" spans="5:5" x14ac:dyDescent="0.25">
      <c r="E2215" s="31"/>
    </row>
    <row r="2216" spans="5:5" x14ac:dyDescent="0.25">
      <c r="E2216" s="31"/>
    </row>
    <row r="2217" spans="5:5" x14ac:dyDescent="0.25">
      <c r="E2217" s="31"/>
    </row>
    <row r="2218" spans="5:5" x14ac:dyDescent="0.25">
      <c r="E2218" s="31"/>
    </row>
    <row r="2219" spans="5:5" x14ac:dyDescent="0.25">
      <c r="E2219" s="31"/>
    </row>
    <row r="2220" spans="5:5" x14ac:dyDescent="0.25">
      <c r="E2220" s="31"/>
    </row>
    <row r="2221" spans="5:5" x14ac:dyDescent="0.25">
      <c r="E2221" s="31"/>
    </row>
    <row r="2222" spans="5:5" x14ac:dyDescent="0.25">
      <c r="E2222" s="31"/>
    </row>
    <row r="2223" spans="5:5" x14ac:dyDescent="0.25">
      <c r="E2223" s="31"/>
    </row>
    <row r="2224" spans="5:5" x14ac:dyDescent="0.25">
      <c r="E2224" s="31"/>
    </row>
    <row r="2225" spans="5:5" x14ac:dyDescent="0.25">
      <c r="E2225" s="31"/>
    </row>
    <row r="2226" spans="5:5" x14ac:dyDescent="0.25">
      <c r="E2226" s="31"/>
    </row>
    <row r="2227" spans="5:5" x14ac:dyDescent="0.25">
      <c r="E2227" s="31"/>
    </row>
    <row r="2228" spans="5:5" x14ac:dyDescent="0.25">
      <c r="E2228" s="31"/>
    </row>
    <row r="2229" spans="5:5" x14ac:dyDescent="0.25">
      <c r="E2229" s="31"/>
    </row>
    <row r="2230" spans="5:5" x14ac:dyDescent="0.25">
      <c r="E2230" s="31"/>
    </row>
    <row r="2231" spans="5:5" x14ac:dyDescent="0.25">
      <c r="E2231" s="31"/>
    </row>
    <row r="2232" spans="5:5" x14ac:dyDescent="0.25">
      <c r="E2232" s="31"/>
    </row>
    <row r="2233" spans="5:5" x14ac:dyDescent="0.25">
      <c r="E2233" s="31"/>
    </row>
    <row r="2234" spans="5:5" x14ac:dyDescent="0.25">
      <c r="E2234" s="31"/>
    </row>
    <row r="2235" spans="5:5" x14ac:dyDescent="0.25">
      <c r="E2235" s="31"/>
    </row>
    <row r="2236" spans="5:5" x14ac:dyDescent="0.25">
      <c r="E2236" s="31"/>
    </row>
    <row r="2237" spans="5:5" x14ac:dyDescent="0.25">
      <c r="E2237" s="31"/>
    </row>
    <row r="2238" spans="5:5" x14ac:dyDescent="0.25">
      <c r="E2238" s="31"/>
    </row>
    <row r="2239" spans="5:5" x14ac:dyDescent="0.25">
      <c r="E2239" s="31"/>
    </row>
    <row r="2240" spans="5:5" x14ac:dyDescent="0.25">
      <c r="E2240" s="31"/>
    </row>
    <row r="2241" spans="5:5" x14ac:dyDescent="0.25">
      <c r="E2241" s="31"/>
    </row>
    <row r="2242" spans="5:5" x14ac:dyDescent="0.25">
      <c r="E2242" s="31"/>
    </row>
    <row r="2243" spans="5:5" x14ac:dyDescent="0.25">
      <c r="E2243" s="31"/>
    </row>
    <row r="2244" spans="5:5" x14ac:dyDescent="0.25">
      <c r="E2244" s="31"/>
    </row>
    <row r="2245" spans="5:5" x14ac:dyDescent="0.25">
      <c r="E2245" s="31"/>
    </row>
    <row r="2246" spans="5:5" x14ac:dyDescent="0.25">
      <c r="E2246" s="31"/>
    </row>
    <row r="2247" spans="5:5" x14ac:dyDescent="0.25">
      <c r="E2247" s="31"/>
    </row>
    <row r="2248" spans="5:5" x14ac:dyDescent="0.25">
      <c r="E2248" s="31"/>
    </row>
    <row r="2249" spans="5:5" x14ac:dyDescent="0.25">
      <c r="E2249" s="31"/>
    </row>
    <row r="2250" spans="5:5" x14ac:dyDescent="0.25">
      <c r="E2250" s="31"/>
    </row>
    <row r="2251" spans="5:5" x14ac:dyDescent="0.25">
      <c r="E2251" s="31"/>
    </row>
    <row r="2252" spans="5:5" x14ac:dyDescent="0.25">
      <c r="E2252" s="31"/>
    </row>
    <row r="2253" spans="5:5" x14ac:dyDescent="0.25">
      <c r="E2253" s="31"/>
    </row>
    <row r="2254" spans="5:5" x14ac:dyDescent="0.25">
      <c r="E2254" s="31"/>
    </row>
    <row r="2255" spans="5:5" x14ac:dyDescent="0.25">
      <c r="E2255" s="31"/>
    </row>
    <row r="2256" spans="5:5" x14ac:dyDescent="0.25">
      <c r="E2256" s="31"/>
    </row>
    <row r="2257" spans="5:5" x14ac:dyDescent="0.25">
      <c r="E2257" s="31"/>
    </row>
    <row r="2258" spans="5:5" x14ac:dyDescent="0.25">
      <c r="E2258" s="31"/>
    </row>
    <row r="2259" spans="5:5" x14ac:dyDescent="0.25">
      <c r="E2259" s="31"/>
    </row>
    <row r="2260" spans="5:5" x14ac:dyDescent="0.25">
      <c r="E2260" s="31"/>
    </row>
    <row r="2261" spans="5:5" x14ac:dyDescent="0.25">
      <c r="E2261" s="31"/>
    </row>
    <row r="2262" spans="5:5" x14ac:dyDescent="0.25">
      <c r="E2262" s="31"/>
    </row>
    <row r="2263" spans="5:5" x14ac:dyDescent="0.25">
      <c r="E2263" s="31"/>
    </row>
    <row r="2264" spans="5:5" x14ac:dyDescent="0.25">
      <c r="E2264" s="31"/>
    </row>
    <row r="2265" spans="5:5" x14ac:dyDescent="0.25">
      <c r="E2265" s="31"/>
    </row>
    <row r="2266" spans="5:5" x14ac:dyDescent="0.25">
      <c r="E2266" s="31"/>
    </row>
    <row r="2267" spans="5:5" x14ac:dyDescent="0.25">
      <c r="E2267" s="31"/>
    </row>
    <row r="2268" spans="5:5" x14ac:dyDescent="0.25">
      <c r="E2268" s="31"/>
    </row>
    <row r="2269" spans="5:5" x14ac:dyDescent="0.25">
      <c r="E2269" s="31"/>
    </row>
    <row r="2270" spans="5:5" x14ac:dyDescent="0.25">
      <c r="E2270" s="31"/>
    </row>
    <row r="2271" spans="5:5" x14ac:dyDescent="0.25">
      <c r="E2271" s="31"/>
    </row>
    <row r="2272" spans="5:5" x14ac:dyDescent="0.25">
      <c r="E2272" s="31"/>
    </row>
    <row r="2273" spans="5:5" x14ac:dyDescent="0.25">
      <c r="E2273" s="31"/>
    </row>
    <row r="2274" spans="5:5" x14ac:dyDescent="0.25">
      <c r="E2274" s="31"/>
    </row>
    <row r="2275" spans="5:5" x14ac:dyDescent="0.25">
      <c r="E2275" s="31"/>
    </row>
    <row r="2276" spans="5:5" x14ac:dyDescent="0.25">
      <c r="E2276" s="31"/>
    </row>
    <row r="2277" spans="5:5" x14ac:dyDescent="0.25">
      <c r="E2277" s="31"/>
    </row>
    <row r="2278" spans="5:5" x14ac:dyDescent="0.25">
      <c r="E2278" s="31"/>
    </row>
    <row r="2279" spans="5:5" x14ac:dyDescent="0.25">
      <c r="E2279" s="31"/>
    </row>
    <row r="2280" spans="5:5" x14ac:dyDescent="0.25">
      <c r="E2280" s="31"/>
    </row>
    <row r="2281" spans="5:5" x14ac:dyDescent="0.25">
      <c r="E2281" s="31"/>
    </row>
    <row r="2282" spans="5:5" x14ac:dyDescent="0.25">
      <c r="E2282" s="31"/>
    </row>
    <row r="2283" spans="5:5" x14ac:dyDescent="0.25">
      <c r="E2283" s="31"/>
    </row>
    <row r="2284" spans="5:5" x14ac:dyDescent="0.25">
      <c r="E2284" s="31"/>
    </row>
    <row r="2285" spans="5:5" x14ac:dyDescent="0.25">
      <c r="E2285" s="31"/>
    </row>
    <row r="2286" spans="5:5" x14ac:dyDescent="0.25">
      <c r="E2286" s="31"/>
    </row>
    <row r="2287" spans="5:5" x14ac:dyDescent="0.25">
      <c r="E2287" s="31"/>
    </row>
    <row r="2288" spans="5:5" x14ac:dyDescent="0.25">
      <c r="E2288" s="31"/>
    </row>
    <row r="2289" spans="5:5" x14ac:dyDescent="0.25">
      <c r="E2289" s="31"/>
    </row>
    <row r="2290" spans="5:5" x14ac:dyDescent="0.25">
      <c r="E2290" s="31"/>
    </row>
    <row r="2291" spans="5:5" x14ac:dyDescent="0.25">
      <c r="E2291" s="31"/>
    </row>
    <row r="2292" spans="5:5" x14ac:dyDescent="0.25">
      <c r="E2292" s="31"/>
    </row>
    <row r="2293" spans="5:5" x14ac:dyDescent="0.25">
      <c r="E2293" s="31"/>
    </row>
    <row r="2294" spans="5:5" x14ac:dyDescent="0.25">
      <c r="E2294" s="31"/>
    </row>
    <row r="2295" spans="5:5" x14ac:dyDescent="0.25">
      <c r="E2295" s="31"/>
    </row>
    <row r="2296" spans="5:5" x14ac:dyDescent="0.25">
      <c r="E2296" s="31"/>
    </row>
    <row r="2297" spans="5:5" x14ac:dyDescent="0.25">
      <c r="E2297" s="31"/>
    </row>
    <row r="2298" spans="5:5" x14ac:dyDescent="0.25">
      <c r="E2298" s="31"/>
    </row>
    <row r="2299" spans="5:5" x14ac:dyDescent="0.25">
      <c r="E2299" s="31"/>
    </row>
    <row r="2300" spans="5:5" x14ac:dyDescent="0.25">
      <c r="E2300" s="31"/>
    </row>
    <row r="2301" spans="5:5" x14ac:dyDescent="0.25">
      <c r="E2301" s="31"/>
    </row>
    <row r="2302" spans="5:5" x14ac:dyDescent="0.25">
      <c r="E2302" s="31"/>
    </row>
    <row r="2303" spans="5:5" x14ac:dyDescent="0.25">
      <c r="E2303" s="31"/>
    </row>
    <row r="2304" spans="5:5" x14ac:dyDescent="0.25">
      <c r="E2304" s="31"/>
    </row>
    <row r="2305" spans="5:5" x14ac:dyDescent="0.25">
      <c r="E2305" s="31"/>
    </row>
    <row r="2306" spans="5:5" x14ac:dyDescent="0.25">
      <c r="E2306" s="31"/>
    </row>
    <row r="2307" spans="5:5" x14ac:dyDescent="0.25">
      <c r="E2307" s="31"/>
    </row>
    <row r="2308" spans="5:5" x14ac:dyDescent="0.25">
      <c r="E2308" s="31"/>
    </row>
    <row r="2309" spans="5:5" x14ac:dyDescent="0.25">
      <c r="E2309" s="31"/>
    </row>
    <row r="2310" spans="5:5" x14ac:dyDescent="0.25">
      <c r="E2310" s="31"/>
    </row>
    <row r="2311" spans="5:5" x14ac:dyDescent="0.25">
      <c r="E2311" s="31"/>
    </row>
    <row r="2312" spans="5:5" x14ac:dyDescent="0.25">
      <c r="E2312" s="31"/>
    </row>
    <row r="2313" spans="5:5" x14ac:dyDescent="0.25">
      <c r="E2313" s="31"/>
    </row>
    <row r="2314" spans="5:5" x14ac:dyDescent="0.25">
      <c r="E2314" s="31"/>
    </row>
    <row r="2315" spans="5:5" x14ac:dyDescent="0.25">
      <c r="E2315" s="31"/>
    </row>
    <row r="2316" spans="5:5" x14ac:dyDescent="0.25">
      <c r="E2316" s="31"/>
    </row>
    <row r="2317" spans="5:5" x14ac:dyDescent="0.25">
      <c r="E2317" s="31"/>
    </row>
    <row r="2318" spans="5:5" x14ac:dyDescent="0.25">
      <c r="E2318" s="31"/>
    </row>
    <row r="2319" spans="5:5" x14ac:dyDescent="0.25">
      <c r="E2319" s="31"/>
    </row>
    <row r="2320" spans="5:5" x14ac:dyDescent="0.25">
      <c r="E2320" s="31"/>
    </row>
    <row r="2321" spans="5:5" x14ac:dyDescent="0.25">
      <c r="E2321" s="31"/>
    </row>
    <row r="2322" spans="5:5" x14ac:dyDescent="0.25">
      <c r="E2322" s="31"/>
    </row>
    <row r="2323" spans="5:5" x14ac:dyDescent="0.25">
      <c r="E2323" s="31"/>
    </row>
    <row r="2324" spans="5:5" x14ac:dyDescent="0.25">
      <c r="E2324" s="31"/>
    </row>
    <row r="2325" spans="5:5" x14ac:dyDescent="0.25">
      <c r="E2325" s="31"/>
    </row>
    <row r="2326" spans="5:5" x14ac:dyDescent="0.25">
      <c r="E2326" s="31"/>
    </row>
    <row r="2327" spans="5:5" x14ac:dyDescent="0.25">
      <c r="E2327" s="31"/>
    </row>
    <row r="2328" spans="5:5" x14ac:dyDescent="0.25">
      <c r="E2328" s="31"/>
    </row>
    <row r="2329" spans="5:5" x14ac:dyDescent="0.25">
      <c r="E2329" s="31"/>
    </row>
    <row r="2330" spans="5:5" x14ac:dyDescent="0.25">
      <c r="E2330" s="31"/>
    </row>
    <row r="2331" spans="5:5" x14ac:dyDescent="0.25">
      <c r="E2331" s="31"/>
    </row>
    <row r="2332" spans="5:5" x14ac:dyDescent="0.25">
      <c r="E2332" s="31"/>
    </row>
    <row r="2333" spans="5:5" x14ac:dyDescent="0.25">
      <c r="E2333" s="31"/>
    </row>
    <row r="2334" spans="5:5" x14ac:dyDescent="0.25">
      <c r="E2334" s="31"/>
    </row>
    <row r="2335" spans="5:5" x14ac:dyDescent="0.25">
      <c r="E2335" s="31"/>
    </row>
    <row r="2336" spans="5:5" x14ac:dyDescent="0.25">
      <c r="E2336" s="31"/>
    </row>
    <row r="2337" spans="5:5" x14ac:dyDescent="0.25">
      <c r="E2337" s="31"/>
    </row>
    <row r="2338" spans="5:5" x14ac:dyDescent="0.25">
      <c r="E2338" s="31"/>
    </row>
    <row r="2339" spans="5:5" x14ac:dyDescent="0.25">
      <c r="E2339" s="31"/>
    </row>
    <row r="2340" spans="5:5" x14ac:dyDescent="0.25">
      <c r="E2340" s="31"/>
    </row>
    <row r="2341" spans="5:5" x14ac:dyDescent="0.25">
      <c r="E2341" s="31"/>
    </row>
    <row r="2342" spans="5:5" x14ac:dyDescent="0.25">
      <c r="E2342" s="31"/>
    </row>
    <row r="2343" spans="5:5" x14ac:dyDescent="0.25">
      <c r="E2343" s="31"/>
    </row>
    <row r="2344" spans="5:5" x14ac:dyDescent="0.25">
      <c r="E2344" s="31"/>
    </row>
    <row r="2345" spans="5:5" x14ac:dyDescent="0.25">
      <c r="E2345" s="31"/>
    </row>
    <row r="2346" spans="5:5" x14ac:dyDescent="0.25">
      <c r="E2346" s="31"/>
    </row>
    <row r="2347" spans="5:5" x14ac:dyDescent="0.25">
      <c r="E2347" s="31"/>
    </row>
    <row r="2348" spans="5:5" x14ac:dyDescent="0.25">
      <c r="E2348" s="31"/>
    </row>
    <row r="2349" spans="5:5" x14ac:dyDescent="0.25">
      <c r="E2349" s="31"/>
    </row>
    <row r="2350" spans="5:5" x14ac:dyDescent="0.25">
      <c r="E2350" s="31"/>
    </row>
    <row r="2351" spans="5:5" x14ac:dyDescent="0.25">
      <c r="E2351" s="31"/>
    </row>
    <row r="2352" spans="5:5" x14ac:dyDescent="0.25">
      <c r="E2352" s="31"/>
    </row>
    <row r="2353" spans="5:5" x14ac:dyDescent="0.25">
      <c r="E2353" s="31"/>
    </row>
    <row r="2354" spans="5:5" x14ac:dyDescent="0.25">
      <c r="E2354" s="31"/>
    </row>
    <row r="2355" spans="5:5" x14ac:dyDescent="0.25">
      <c r="E2355" s="31"/>
    </row>
    <row r="2356" spans="5:5" x14ac:dyDescent="0.25">
      <c r="E2356" s="31"/>
    </row>
    <row r="2357" spans="5:5" x14ac:dyDescent="0.25">
      <c r="E2357" s="31"/>
    </row>
    <row r="2358" spans="5:5" x14ac:dyDescent="0.25">
      <c r="E2358" s="31"/>
    </row>
    <row r="2359" spans="5:5" x14ac:dyDescent="0.25">
      <c r="E2359" s="31"/>
    </row>
    <row r="2360" spans="5:5" x14ac:dyDescent="0.25">
      <c r="E2360" s="31"/>
    </row>
    <row r="2361" spans="5:5" x14ac:dyDescent="0.25">
      <c r="E2361" s="31"/>
    </row>
    <row r="2362" spans="5:5" x14ac:dyDescent="0.25">
      <c r="E2362" s="31"/>
    </row>
    <row r="2363" spans="5:5" x14ac:dyDescent="0.25">
      <c r="E2363" s="31"/>
    </row>
    <row r="2364" spans="5:5" x14ac:dyDescent="0.25">
      <c r="E2364" s="31"/>
    </row>
    <row r="2365" spans="5:5" x14ac:dyDescent="0.25">
      <c r="E2365" s="31"/>
    </row>
    <row r="2366" spans="5:5" x14ac:dyDescent="0.25">
      <c r="E2366" s="31"/>
    </row>
    <row r="2367" spans="5:5" x14ac:dyDescent="0.25">
      <c r="E2367" s="31"/>
    </row>
    <row r="2368" spans="5:5" x14ac:dyDescent="0.25">
      <c r="E2368" s="31"/>
    </row>
    <row r="2369" spans="5:5" x14ac:dyDescent="0.25">
      <c r="E2369" s="31"/>
    </row>
    <row r="2370" spans="5:5" x14ac:dyDescent="0.25">
      <c r="E2370" s="31"/>
    </row>
    <row r="2371" spans="5:5" x14ac:dyDescent="0.25">
      <c r="E2371" s="31"/>
    </row>
    <row r="2372" spans="5:5" x14ac:dyDescent="0.25">
      <c r="E2372" s="31"/>
    </row>
    <row r="2373" spans="5:5" x14ac:dyDescent="0.25">
      <c r="E2373" s="31"/>
    </row>
    <row r="2374" spans="5:5" x14ac:dyDescent="0.25">
      <c r="E2374" s="31"/>
    </row>
    <row r="2375" spans="5:5" x14ac:dyDescent="0.25">
      <c r="E2375" s="31"/>
    </row>
    <row r="2376" spans="5:5" x14ac:dyDescent="0.25">
      <c r="E2376" s="31"/>
    </row>
    <row r="2377" spans="5:5" x14ac:dyDescent="0.25">
      <c r="E2377" s="31"/>
    </row>
    <row r="2378" spans="5:5" x14ac:dyDescent="0.25">
      <c r="E2378" s="31"/>
    </row>
    <row r="2379" spans="5:5" x14ac:dyDescent="0.25">
      <c r="E2379" s="31"/>
    </row>
    <row r="2380" spans="5:5" x14ac:dyDescent="0.25">
      <c r="E2380" s="31"/>
    </row>
    <row r="2381" spans="5:5" x14ac:dyDescent="0.25">
      <c r="E2381" s="31"/>
    </row>
    <row r="2382" spans="5:5" x14ac:dyDescent="0.25">
      <c r="E2382" s="31"/>
    </row>
    <row r="2383" spans="5:5" x14ac:dyDescent="0.25">
      <c r="E2383" s="31"/>
    </row>
    <row r="2384" spans="5:5" x14ac:dyDescent="0.25">
      <c r="E2384" s="31"/>
    </row>
    <row r="2385" spans="5:5" x14ac:dyDescent="0.25">
      <c r="E2385" s="31"/>
    </row>
    <row r="2386" spans="5:5" x14ac:dyDescent="0.25">
      <c r="E2386" s="31"/>
    </row>
    <row r="2387" spans="5:5" x14ac:dyDescent="0.25">
      <c r="E2387" s="31"/>
    </row>
    <row r="2388" spans="5:5" x14ac:dyDescent="0.25">
      <c r="E2388" s="31"/>
    </row>
    <row r="2389" spans="5:5" x14ac:dyDescent="0.25">
      <c r="E2389" s="31"/>
    </row>
    <row r="2390" spans="5:5" x14ac:dyDescent="0.25">
      <c r="E2390" s="31"/>
    </row>
    <row r="2391" spans="5:5" x14ac:dyDescent="0.25">
      <c r="E2391" s="31"/>
    </row>
    <row r="2392" spans="5:5" x14ac:dyDescent="0.25">
      <c r="E2392" s="31"/>
    </row>
    <row r="2393" spans="5:5" x14ac:dyDescent="0.25">
      <c r="E2393" s="31"/>
    </row>
    <row r="2394" spans="5:5" x14ac:dyDescent="0.25">
      <c r="E2394" s="31"/>
    </row>
    <row r="2395" spans="5:5" x14ac:dyDescent="0.25">
      <c r="E2395" s="31"/>
    </row>
    <row r="2396" spans="5:5" x14ac:dyDescent="0.25">
      <c r="E2396" s="31"/>
    </row>
    <row r="2397" spans="5:5" x14ac:dyDescent="0.25">
      <c r="E2397" s="31"/>
    </row>
    <row r="2398" spans="5:5" x14ac:dyDescent="0.25">
      <c r="E2398" s="31"/>
    </row>
    <row r="2399" spans="5:5" x14ac:dyDescent="0.25">
      <c r="E2399" s="31"/>
    </row>
    <row r="2400" spans="5:5" x14ac:dyDescent="0.25">
      <c r="E2400" s="31"/>
    </row>
    <row r="2401" spans="5:5" x14ac:dyDescent="0.25">
      <c r="E2401" s="31"/>
    </row>
    <row r="2402" spans="5:5" x14ac:dyDescent="0.25">
      <c r="E2402" s="31"/>
    </row>
    <row r="2403" spans="5:5" x14ac:dyDescent="0.25">
      <c r="E2403" s="31"/>
    </row>
    <row r="2404" spans="5:5" x14ac:dyDescent="0.25">
      <c r="E2404" s="31"/>
    </row>
    <row r="2405" spans="5:5" x14ac:dyDescent="0.25">
      <c r="E2405" s="31"/>
    </row>
    <row r="2406" spans="5:5" x14ac:dyDescent="0.25">
      <c r="E2406" s="31"/>
    </row>
    <row r="2407" spans="5:5" x14ac:dyDescent="0.25">
      <c r="E2407" s="31"/>
    </row>
    <row r="2408" spans="5:5" x14ac:dyDescent="0.25">
      <c r="E2408" s="31"/>
    </row>
    <row r="2409" spans="5:5" x14ac:dyDescent="0.25">
      <c r="E2409" s="31"/>
    </row>
    <row r="2410" spans="5:5" x14ac:dyDescent="0.25">
      <c r="E2410" s="31"/>
    </row>
    <row r="2411" spans="5:5" x14ac:dyDescent="0.25">
      <c r="E2411" s="31"/>
    </row>
    <row r="2412" spans="5:5" x14ac:dyDescent="0.25">
      <c r="E2412" s="31"/>
    </row>
    <row r="2413" spans="5:5" x14ac:dyDescent="0.25">
      <c r="E2413" s="31"/>
    </row>
    <row r="2414" spans="5:5" x14ac:dyDescent="0.25">
      <c r="E2414" s="31"/>
    </row>
    <row r="2415" spans="5:5" x14ac:dyDescent="0.25">
      <c r="E2415" s="31"/>
    </row>
    <row r="2416" spans="5:5" x14ac:dyDescent="0.25">
      <c r="E2416" s="31"/>
    </row>
    <row r="2417" spans="5:5" x14ac:dyDescent="0.25">
      <c r="E2417" s="31"/>
    </row>
    <row r="2418" spans="5:5" x14ac:dyDescent="0.25">
      <c r="E2418" s="31"/>
    </row>
    <row r="2419" spans="5:5" x14ac:dyDescent="0.25">
      <c r="E2419" s="31"/>
    </row>
    <row r="2420" spans="5:5" x14ac:dyDescent="0.25">
      <c r="E2420" s="31"/>
    </row>
    <row r="2421" spans="5:5" x14ac:dyDescent="0.25">
      <c r="E2421" s="31"/>
    </row>
    <row r="2422" spans="5:5" x14ac:dyDescent="0.25">
      <c r="E2422" s="31"/>
    </row>
    <row r="2423" spans="5:5" x14ac:dyDescent="0.25">
      <c r="E2423" s="31"/>
    </row>
    <row r="2424" spans="5:5" x14ac:dyDescent="0.25">
      <c r="E2424" s="31"/>
    </row>
    <row r="2425" spans="5:5" x14ac:dyDescent="0.25">
      <c r="E2425" s="31"/>
    </row>
    <row r="2426" spans="5:5" x14ac:dyDescent="0.25">
      <c r="E2426" s="31"/>
    </row>
    <row r="2427" spans="5:5" x14ac:dyDescent="0.25">
      <c r="E2427" s="31"/>
    </row>
    <row r="2428" spans="5:5" x14ac:dyDescent="0.25">
      <c r="E2428" s="31"/>
    </row>
    <row r="2429" spans="5:5" x14ac:dyDescent="0.25">
      <c r="E2429" s="31"/>
    </row>
    <row r="2430" spans="5:5" x14ac:dyDescent="0.25">
      <c r="E2430" s="31"/>
    </row>
    <row r="2431" spans="5:5" x14ac:dyDescent="0.25">
      <c r="E2431" s="31"/>
    </row>
    <row r="2432" spans="5:5" x14ac:dyDescent="0.25">
      <c r="E2432" s="31"/>
    </row>
    <row r="2433" spans="5:5" x14ac:dyDescent="0.25">
      <c r="E2433" s="31"/>
    </row>
    <row r="2434" spans="5:5" x14ac:dyDescent="0.25">
      <c r="E2434" s="31"/>
    </row>
    <row r="2435" spans="5:5" x14ac:dyDescent="0.25">
      <c r="E2435" s="31"/>
    </row>
    <row r="2436" spans="5:5" x14ac:dyDescent="0.25">
      <c r="E2436" s="31"/>
    </row>
    <row r="2437" spans="5:5" x14ac:dyDescent="0.25">
      <c r="E2437" s="31"/>
    </row>
    <row r="2438" spans="5:5" x14ac:dyDescent="0.25">
      <c r="E2438" s="31"/>
    </row>
    <row r="2439" spans="5:5" x14ac:dyDescent="0.25">
      <c r="E2439" s="31"/>
    </row>
    <row r="2440" spans="5:5" x14ac:dyDescent="0.25">
      <c r="E2440" s="31"/>
    </row>
    <row r="2441" spans="5:5" x14ac:dyDescent="0.25">
      <c r="E2441" s="31"/>
    </row>
    <row r="2442" spans="5:5" x14ac:dyDescent="0.25">
      <c r="E2442" s="31"/>
    </row>
    <row r="2443" spans="5:5" x14ac:dyDescent="0.25">
      <c r="E2443" s="31"/>
    </row>
    <row r="2444" spans="5:5" x14ac:dyDescent="0.25">
      <c r="E2444" s="31"/>
    </row>
    <row r="2445" spans="5:5" x14ac:dyDescent="0.25">
      <c r="E2445" s="31"/>
    </row>
    <row r="2446" spans="5:5" x14ac:dyDescent="0.25">
      <c r="E2446" s="31"/>
    </row>
    <row r="2447" spans="5:5" x14ac:dyDescent="0.25">
      <c r="E2447" s="31"/>
    </row>
    <row r="2448" spans="5:5" x14ac:dyDescent="0.25">
      <c r="E2448" s="31"/>
    </row>
    <row r="2449" spans="5:5" x14ac:dyDescent="0.25">
      <c r="E2449" s="31"/>
    </row>
    <row r="2450" spans="5:5" x14ac:dyDescent="0.25">
      <c r="E2450" s="31"/>
    </row>
    <row r="2451" spans="5:5" x14ac:dyDescent="0.25">
      <c r="E2451" s="31"/>
    </row>
    <row r="2452" spans="5:5" x14ac:dyDescent="0.25">
      <c r="E2452" s="31"/>
    </row>
    <row r="2453" spans="5:5" x14ac:dyDescent="0.25">
      <c r="E2453" s="31"/>
    </row>
    <row r="2454" spans="5:5" x14ac:dyDescent="0.25">
      <c r="E2454" s="31"/>
    </row>
    <row r="2455" spans="5:5" x14ac:dyDescent="0.25">
      <c r="E2455" s="31"/>
    </row>
    <row r="2456" spans="5:5" x14ac:dyDescent="0.25">
      <c r="E2456" s="31"/>
    </row>
    <row r="2457" spans="5:5" x14ac:dyDescent="0.25">
      <c r="E2457" s="31"/>
    </row>
    <row r="2458" spans="5:5" x14ac:dyDescent="0.25">
      <c r="E2458" s="31"/>
    </row>
    <row r="2459" spans="5:5" x14ac:dyDescent="0.25">
      <c r="E2459" s="31"/>
    </row>
    <row r="2460" spans="5:5" x14ac:dyDescent="0.25">
      <c r="E2460" s="31"/>
    </row>
    <row r="2461" spans="5:5" x14ac:dyDescent="0.25">
      <c r="E2461" s="31"/>
    </row>
    <row r="2462" spans="5:5" x14ac:dyDescent="0.25">
      <c r="E2462" s="31"/>
    </row>
    <row r="2463" spans="5:5" x14ac:dyDescent="0.25">
      <c r="E2463" s="31"/>
    </row>
    <row r="2464" spans="5:5" x14ac:dyDescent="0.25">
      <c r="E2464" s="31"/>
    </row>
    <row r="2465" spans="5:5" x14ac:dyDescent="0.25">
      <c r="E2465" s="31"/>
    </row>
    <row r="2466" spans="5:5" x14ac:dyDescent="0.25">
      <c r="E2466" s="31"/>
    </row>
    <row r="2467" spans="5:5" x14ac:dyDescent="0.25">
      <c r="E2467" s="31"/>
    </row>
    <row r="2468" spans="5:5" x14ac:dyDescent="0.25">
      <c r="E2468" s="31"/>
    </row>
    <row r="2469" spans="5:5" x14ac:dyDescent="0.25">
      <c r="E2469" s="31"/>
    </row>
    <row r="2470" spans="5:5" x14ac:dyDescent="0.25">
      <c r="E2470" s="31"/>
    </row>
    <row r="2471" spans="5:5" x14ac:dyDescent="0.25">
      <c r="E2471" s="31"/>
    </row>
    <row r="2472" spans="5:5" x14ac:dyDescent="0.25">
      <c r="E2472" s="31"/>
    </row>
    <row r="2473" spans="5:5" x14ac:dyDescent="0.25">
      <c r="E2473" s="31"/>
    </row>
    <row r="2474" spans="5:5" x14ac:dyDescent="0.25">
      <c r="E2474" s="31"/>
    </row>
    <row r="2475" spans="5:5" x14ac:dyDescent="0.25">
      <c r="E2475" s="31"/>
    </row>
    <row r="2476" spans="5:5" x14ac:dyDescent="0.25">
      <c r="E2476" s="31"/>
    </row>
    <row r="2477" spans="5:5" x14ac:dyDescent="0.25">
      <c r="E2477" s="31"/>
    </row>
    <row r="2478" spans="5:5" x14ac:dyDescent="0.25">
      <c r="E2478" s="31"/>
    </row>
    <row r="2479" spans="5:5" x14ac:dyDescent="0.25">
      <c r="E2479" s="31"/>
    </row>
    <row r="2480" spans="5:5" x14ac:dyDescent="0.25">
      <c r="E2480" s="31"/>
    </row>
    <row r="2481" spans="5:5" x14ac:dyDescent="0.25">
      <c r="E2481" s="31"/>
    </row>
    <row r="2482" spans="5:5" x14ac:dyDescent="0.25">
      <c r="E2482" s="31"/>
    </row>
    <row r="2483" spans="5:5" x14ac:dyDescent="0.25">
      <c r="E2483" s="31"/>
    </row>
    <row r="2484" spans="5:5" x14ac:dyDescent="0.25">
      <c r="E2484" s="31"/>
    </row>
    <row r="2485" spans="5:5" x14ac:dyDescent="0.25">
      <c r="E2485" s="31"/>
    </row>
    <row r="2486" spans="5:5" x14ac:dyDescent="0.25">
      <c r="E2486" s="31"/>
    </row>
    <row r="2487" spans="5:5" x14ac:dyDescent="0.25">
      <c r="E2487" s="31"/>
    </row>
    <row r="2488" spans="5:5" x14ac:dyDescent="0.25">
      <c r="E2488" s="31"/>
    </row>
    <row r="2489" spans="5:5" x14ac:dyDescent="0.25">
      <c r="E2489" s="31"/>
    </row>
    <row r="2490" spans="5:5" x14ac:dyDescent="0.25">
      <c r="E2490" s="31"/>
    </row>
    <row r="2491" spans="5:5" x14ac:dyDescent="0.25">
      <c r="E2491" s="31"/>
    </row>
    <row r="2492" spans="5:5" x14ac:dyDescent="0.25">
      <c r="E2492" s="31"/>
    </row>
    <row r="2493" spans="5:5" x14ac:dyDescent="0.25">
      <c r="E2493" s="31"/>
    </row>
    <row r="2494" spans="5:5" x14ac:dyDescent="0.25">
      <c r="E2494" s="31"/>
    </row>
    <row r="2495" spans="5:5" x14ac:dyDescent="0.25">
      <c r="E2495" s="31"/>
    </row>
    <row r="2496" spans="5:5" x14ac:dyDescent="0.25">
      <c r="E2496" s="31"/>
    </row>
    <row r="2497" spans="5:5" x14ac:dyDescent="0.25">
      <c r="E2497" s="31"/>
    </row>
    <row r="2498" spans="5:5" x14ac:dyDescent="0.25">
      <c r="E2498" s="31"/>
    </row>
    <row r="2499" spans="5:5" x14ac:dyDescent="0.25">
      <c r="E2499" s="31"/>
    </row>
    <row r="2500" spans="5:5" x14ac:dyDescent="0.25">
      <c r="E2500" s="31"/>
    </row>
    <row r="2501" spans="5:5" x14ac:dyDescent="0.25">
      <c r="E2501" s="31"/>
    </row>
    <row r="2502" spans="5:5" x14ac:dyDescent="0.25">
      <c r="E2502" s="31"/>
    </row>
    <row r="2503" spans="5:5" x14ac:dyDescent="0.25">
      <c r="E2503" s="31"/>
    </row>
    <row r="2504" spans="5:5" x14ac:dyDescent="0.25">
      <c r="E2504" s="31"/>
    </row>
    <row r="2505" spans="5:5" x14ac:dyDescent="0.25">
      <c r="E2505" s="31"/>
    </row>
    <row r="2506" spans="5:5" x14ac:dyDescent="0.25">
      <c r="E2506" s="31"/>
    </row>
    <row r="2507" spans="5:5" x14ac:dyDescent="0.25">
      <c r="E2507" s="31"/>
    </row>
    <row r="2508" spans="5:5" x14ac:dyDescent="0.25">
      <c r="E2508" s="31"/>
    </row>
    <row r="2509" spans="5:5" x14ac:dyDescent="0.25">
      <c r="E2509" s="31"/>
    </row>
    <row r="2510" spans="5:5" x14ac:dyDescent="0.25">
      <c r="E2510" s="31"/>
    </row>
    <row r="2511" spans="5:5" x14ac:dyDescent="0.25">
      <c r="E2511" s="31"/>
    </row>
    <row r="2512" spans="5:5" x14ac:dyDescent="0.25">
      <c r="E2512" s="31"/>
    </row>
    <row r="2513" spans="5:5" x14ac:dyDescent="0.25">
      <c r="E2513" s="31"/>
    </row>
    <row r="2514" spans="5:5" x14ac:dyDescent="0.25">
      <c r="E2514" s="31"/>
    </row>
    <row r="2515" spans="5:5" x14ac:dyDescent="0.25">
      <c r="E2515" s="31"/>
    </row>
    <row r="2516" spans="5:5" x14ac:dyDescent="0.25">
      <c r="E2516" s="31"/>
    </row>
    <row r="2517" spans="5:5" x14ac:dyDescent="0.25">
      <c r="E2517" s="31"/>
    </row>
    <row r="2518" spans="5:5" x14ac:dyDescent="0.25">
      <c r="E2518" s="31"/>
    </row>
    <row r="2519" spans="5:5" x14ac:dyDescent="0.25">
      <c r="E2519" s="31"/>
    </row>
    <row r="2520" spans="5:5" x14ac:dyDescent="0.25">
      <c r="E2520" s="31"/>
    </row>
    <row r="2521" spans="5:5" x14ac:dyDescent="0.25">
      <c r="E2521" s="31"/>
    </row>
    <row r="2522" spans="5:5" x14ac:dyDescent="0.25">
      <c r="E2522" s="31"/>
    </row>
    <row r="2523" spans="5:5" x14ac:dyDescent="0.25">
      <c r="E2523" s="31"/>
    </row>
    <row r="2524" spans="5:5" x14ac:dyDescent="0.25">
      <c r="E2524" s="31"/>
    </row>
    <row r="2525" spans="5:5" x14ac:dyDescent="0.25">
      <c r="E2525" s="31"/>
    </row>
    <row r="2526" spans="5:5" x14ac:dyDescent="0.25">
      <c r="E2526" s="31"/>
    </row>
    <row r="2527" spans="5:5" x14ac:dyDescent="0.25">
      <c r="E2527" s="31"/>
    </row>
    <row r="2528" spans="5:5" x14ac:dyDescent="0.25">
      <c r="E2528" s="31"/>
    </row>
    <row r="2529" spans="5:5" x14ac:dyDescent="0.25">
      <c r="E2529" s="31"/>
    </row>
    <row r="2530" spans="5:5" x14ac:dyDescent="0.25">
      <c r="E2530" s="31"/>
    </row>
    <row r="2531" spans="5:5" x14ac:dyDescent="0.25">
      <c r="E2531" s="31"/>
    </row>
    <row r="2532" spans="5:5" x14ac:dyDescent="0.25">
      <c r="E2532" s="31"/>
    </row>
    <row r="2533" spans="5:5" x14ac:dyDescent="0.25">
      <c r="E2533" s="31"/>
    </row>
    <row r="2534" spans="5:5" x14ac:dyDescent="0.25">
      <c r="E2534" s="31"/>
    </row>
    <row r="2535" spans="5:5" x14ac:dyDescent="0.25">
      <c r="E2535" s="31"/>
    </row>
    <row r="2536" spans="5:5" x14ac:dyDescent="0.25">
      <c r="E2536" s="31"/>
    </row>
    <row r="2537" spans="5:5" x14ac:dyDescent="0.25">
      <c r="E2537" s="31"/>
    </row>
    <row r="2538" spans="5:5" x14ac:dyDescent="0.25">
      <c r="E2538" s="31"/>
    </row>
    <row r="2539" spans="5:5" x14ac:dyDescent="0.25">
      <c r="E2539" s="31"/>
    </row>
    <row r="2540" spans="5:5" x14ac:dyDescent="0.25">
      <c r="E2540" s="31"/>
    </row>
    <row r="2541" spans="5:5" x14ac:dyDescent="0.25">
      <c r="E2541" s="31"/>
    </row>
    <row r="2542" spans="5:5" x14ac:dyDescent="0.25">
      <c r="E2542" s="31"/>
    </row>
    <row r="2543" spans="5:5" x14ac:dyDescent="0.25">
      <c r="E2543" s="31"/>
    </row>
    <row r="2544" spans="5:5" x14ac:dyDescent="0.25">
      <c r="E2544" s="31"/>
    </row>
    <row r="2545" spans="5:5" x14ac:dyDescent="0.25">
      <c r="E2545" s="31"/>
    </row>
    <row r="2546" spans="5:5" x14ac:dyDescent="0.25">
      <c r="E2546" s="31"/>
    </row>
    <row r="2547" spans="5:5" x14ac:dyDescent="0.25">
      <c r="E2547" s="31"/>
    </row>
    <row r="2548" spans="5:5" x14ac:dyDescent="0.25">
      <c r="E2548" s="31"/>
    </row>
    <row r="2549" spans="5:5" x14ac:dyDescent="0.25">
      <c r="E2549" s="31"/>
    </row>
    <row r="2550" spans="5:5" x14ac:dyDescent="0.25">
      <c r="E2550" s="31"/>
    </row>
    <row r="2551" spans="5:5" x14ac:dyDescent="0.25">
      <c r="E2551" s="31"/>
    </row>
    <row r="2552" spans="5:5" x14ac:dyDescent="0.25">
      <c r="E2552" s="31"/>
    </row>
    <row r="2553" spans="5:5" x14ac:dyDescent="0.25">
      <c r="E2553" s="31"/>
    </row>
    <row r="2554" spans="5:5" x14ac:dyDescent="0.25">
      <c r="E2554" s="31"/>
    </row>
    <row r="2555" spans="5:5" x14ac:dyDescent="0.25">
      <c r="E2555" s="31"/>
    </row>
    <row r="2556" spans="5:5" x14ac:dyDescent="0.25">
      <c r="E2556" s="31"/>
    </row>
    <row r="2557" spans="5:5" x14ac:dyDescent="0.25">
      <c r="E2557" s="31"/>
    </row>
    <row r="2558" spans="5:5" x14ac:dyDescent="0.25">
      <c r="E2558" s="31"/>
    </row>
    <row r="2559" spans="5:5" x14ac:dyDescent="0.25">
      <c r="E2559" s="31"/>
    </row>
    <row r="2560" spans="5:5" x14ac:dyDescent="0.25">
      <c r="E2560" s="31"/>
    </row>
    <row r="2561" spans="5:5" x14ac:dyDescent="0.25">
      <c r="E2561" s="31"/>
    </row>
    <row r="2562" spans="5:5" x14ac:dyDescent="0.25">
      <c r="E2562" s="31"/>
    </row>
    <row r="2563" spans="5:5" x14ac:dyDescent="0.25">
      <c r="E2563" s="31"/>
    </row>
    <row r="2564" spans="5:5" x14ac:dyDescent="0.25">
      <c r="E2564" s="31"/>
    </row>
    <row r="2565" spans="5:5" x14ac:dyDescent="0.25">
      <c r="E2565" s="31"/>
    </row>
    <row r="2566" spans="5:5" x14ac:dyDescent="0.25">
      <c r="E2566" s="31"/>
    </row>
    <row r="2567" spans="5:5" x14ac:dyDescent="0.25">
      <c r="E2567" s="31"/>
    </row>
    <row r="2568" spans="5:5" x14ac:dyDescent="0.25">
      <c r="E2568" s="31"/>
    </row>
    <row r="2569" spans="5:5" x14ac:dyDescent="0.25">
      <c r="E2569" s="31"/>
    </row>
    <row r="2570" spans="5:5" x14ac:dyDescent="0.25">
      <c r="E2570" s="31"/>
    </row>
    <row r="2571" spans="5:5" x14ac:dyDescent="0.25">
      <c r="E2571" s="31"/>
    </row>
    <row r="2572" spans="5:5" x14ac:dyDescent="0.25">
      <c r="E2572" s="31"/>
    </row>
    <row r="2573" spans="5:5" x14ac:dyDescent="0.25">
      <c r="E2573" s="31"/>
    </row>
    <row r="2574" spans="5:5" x14ac:dyDescent="0.25">
      <c r="E2574" s="31"/>
    </row>
    <row r="2575" spans="5:5" x14ac:dyDescent="0.25">
      <c r="E2575" s="31"/>
    </row>
    <row r="2576" spans="5:5" x14ac:dyDescent="0.25">
      <c r="E2576" s="31"/>
    </row>
    <row r="2577" spans="5:5" x14ac:dyDescent="0.25">
      <c r="E2577" s="31"/>
    </row>
    <row r="2578" spans="5:5" x14ac:dyDescent="0.25">
      <c r="E2578" s="31"/>
    </row>
    <row r="2579" spans="5:5" x14ac:dyDescent="0.25">
      <c r="E2579" s="31"/>
    </row>
    <row r="2580" spans="5:5" x14ac:dyDescent="0.25">
      <c r="E2580" s="31"/>
    </row>
    <row r="2581" spans="5:5" x14ac:dyDescent="0.25">
      <c r="E2581" s="31"/>
    </row>
    <row r="2582" spans="5:5" x14ac:dyDescent="0.25">
      <c r="E2582" s="31"/>
    </row>
    <row r="2583" spans="5:5" x14ac:dyDescent="0.25">
      <c r="E2583" s="31"/>
    </row>
    <row r="2584" spans="5:5" x14ac:dyDescent="0.25">
      <c r="E2584" s="31"/>
    </row>
    <row r="2585" spans="5:5" x14ac:dyDescent="0.25">
      <c r="E2585" s="31"/>
    </row>
    <row r="2586" spans="5:5" x14ac:dyDescent="0.25">
      <c r="E2586" s="31"/>
    </row>
    <row r="2587" spans="5:5" x14ac:dyDescent="0.25">
      <c r="E2587" s="31"/>
    </row>
    <row r="2588" spans="5:5" x14ac:dyDescent="0.25">
      <c r="E2588" s="31"/>
    </row>
    <row r="2589" spans="5:5" x14ac:dyDescent="0.25">
      <c r="E2589" s="31"/>
    </row>
    <row r="2590" spans="5:5" x14ac:dyDescent="0.25">
      <c r="E2590" s="31"/>
    </row>
    <row r="2591" spans="5:5" x14ac:dyDescent="0.25">
      <c r="E2591" s="31"/>
    </row>
    <row r="2592" spans="5:5" x14ac:dyDescent="0.25">
      <c r="E2592" s="31"/>
    </row>
    <row r="2593" spans="5:5" x14ac:dyDescent="0.25">
      <c r="E2593" s="31"/>
    </row>
    <row r="2594" spans="5:5" x14ac:dyDescent="0.25">
      <c r="E2594" s="31"/>
    </row>
    <row r="2595" spans="5:5" x14ac:dyDescent="0.25">
      <c r="E2595" s="31"/>
    </row>
    <row r="2596" spans="5:5" x14ac:dyDescent="0.25">
      <c r="E2596" s="31"/>
    </row>
    <row r="2597" spans="5:5" x14ac:dyDescent="0.25">
      <c r="E2597" s="31"/>
    </row>
    <row r="2598" spans="5:5" x14ac:dyDescent="0.25">
      <c r="E2598" s="31"/>
    </row>
    <row r="2599" spans="5:5" x14ac:dyDescent="0.25">
      <c r="E2599" s="31"/>
    </row>
    <row r="2600" spans="5:5" x14ac:dyDescent="0.25">
      <c r="E2600" s="31"/>
    </row>
    <row r="2601" spans="5:5" x14ac:dyDescent="0.25">
      <c r="E2601" s="31"/>
    </row>
    <row r="2602" spans="5:5" x14ac:dyDescent="0.25">
      <c r="E2602" s="31"/>
    </row>
    <row r="2603" spans="5:5" x14ac:dyDescent="0.25">
      <c r="E2603" s="31"/>
    </row>
    <row r="2604" spans="5:5" x14ac:dyDescent="0.25">
      <c r="E2604" s="31"/>
    </row>
    <row r="2605" spans="5:5" x14ac:dyDescent="0.25">
      <c r="E2605" s="31"/>
    </row>
    <row r="2606" spans="5:5" x14ac:dyDescent="0.25">
      <c r="E2606" s="31"/>
    </row>
    <row r="2607" spans="5:5" x14ac:dyDescent="0.25">
      <c r="E2607" s="31"/>
    </row>
    <row r="2608" spans="5:5" x14ac:dyDescent="0.25">
      <c r="E2608" s="31"/>
    </row>
    <row r="2609" spans="5:5" x14ac:dyDescent="0.25">
      <c r="E2609" s="31"/>
    </row>
    <row r="2610" spans="5:5" x14ac:dyDescent="0.25">
      <c r="E2610" s="31"/>
    </row>
    <row r="2611" spans="5:5" x14ac:dyDescent="0.25">
      <c r="E2611" s="31"/>
    </row>
    <row r="2612" spans="5:5" x14ac:dyDescent="0.25">
      <c r="E2612" s="31"/>
    </row>
    <row r="2613" spans="5:5" x14ac:dyDescent="0.25">
      <c r="E2613" s="31"/>
    </row>
    <row r="2614" spans="5:5" x14ac:dyDescent="0.25">
      <c r="E2614" s="31"/>
    </row>
    <row r="2615" spans="5:5" x14ac:dyDescent="0.25">
      <c r="E2615" s="31"/>
    </row>
    <row r="2616" spans="5:5" x14ac:dyDescent="0.25">
      <c r="E2616" s="31"/>
    </row>
    <row r="2617" spans="5:5" x14ac:dyDescent="0.25">
      <c r="E2617" s="31"/>
    </row>
    <row r="2618" spans="5:5" x14ac:dyDescent="0.25">
      <c r="E2618" s="31"/>
    </row>
    <row r="2619" spans="5:5" x14ac:dyDescent="0.25">
      <c r="E2619" s="31"/>
    </row>
    <row r="2620" spans="5:5" x14ac:dyDescent="0.25">
      <c r="E2620" s="31"/>
    </row>
    <row r="2621" spans="5:5" x14ac:dyDescent="0.25">
      <c r="E2621" s="31"/>
    </row>
    <row r="2622" spans="5:5" x14ac:dyDescent="0.25">
      <c r="E2622" s="31"/>
    </row>
    <row r="2623" spans="5:5" x14ac:dyDescent="0.25">
      <c r="E2623" s="31"/>
    </row>
    <row r="2624" spans="5:5" x14ac:dyDescent="0.25">
      <c r="E2624" s="31"/>
    </row>
    <row r="2625" spans="5:5" x14ac:dyDescent="0.25">
      <c r="E2625" s="31"/>
    </row>
    <row r="2626" spans="5:5" x14ac:dyDescent="0.25">
      <c r="E2626" s="31"/>
    </row>
    <row r="2627" spans="5:5" x14ac:dyDescent="0.25">
      <c r="E2627" s="31"/>
    </row>
    <row r="2628" spans="5:5" x14ac:dyDescent="0.25">
      <c r="E2628" s="31"/>
    </row>
    <row r="2629" spans="5:5" x14ac:dyDescent="0.25">
      <c r="E2629" s="31"/>
    </row>
    <row r="2630" spans="5:5" x14ac:dyDescent="0.25">
      <c r="E2630" s="31"/>
    </row>
    <row r="2631" spans="5:5" x14ac:dyDescent="0.25">
      <c r="E2631" s="31"/>
    </row>
    <row r="2632" spans="5:5" x14ac:dyDescent="0.25">
      <c r="E2632" s="31"/>
    </row>
    <row r="2633" spans="5:5" x14ac:dyDescent="0.25">
      <c r="E2633" s="31"/>
    </row>
    <row r="2634" spans="5:5" x14ac:dyDescent="0.25">
      <c r="E2634" s="31"/>
    </row>
    <row r="2635" spans="5:5" x14ac:dyDescent="0.25">
      <c r="E2635" s="31"/>
    </row>
    <row r="2636" spans="5:5" x14ac:dyDescent="0.25">
      <c r="E2636" s="31"/>
    </row>
    <row r="2637" spans="5:5" x14ac:dyDescent="0.25">
      <c r="E2637" s="31"/>
    </row>
    <row r="2638" spans="5:5" x14ac:dyDescent="0.25">
      <c r="E2638" s="31"/>
    </row>
    <row r="2639" spans="5:5" x14ac:dyDescent="0.25">
      <c r="E2639" s="31"/>
    </row>
    <row r="2640" spans="5:5" x14ac:dyDescent="0.25">
      <c r="E2640" s="31"/>
    </row>
    <row r="2641" spans="5:5" x14ac:dyDescent="0.25">
      <c r="E2641" s="31"/>
    </row>
    <row r="2642" spans="5:5" x14ac:dyDescent="0.25">
      <c r="E2642" s="31"/>
    </row>
    <row r="2643" spans="5:5" x14ac:dyDescent="0.25">
      <c r="E2643" s="31"/>
    </row>
    <row r="2644" spans="5:5" x14ac:dyDescent="0.25">
      <c r="E2644" s="31"/>
    </row>
    <row r="2645" spans="5:5" x14ac:dyDescent="0.25">
      <c r="E2645" s="31"/>
    </row>
    <row r="2646" spans="5:5" x14ac:dyDescent="0.25">
      <c r="E2646" s="31"/>
    </row>
    <row r="2647" spans="5:5" x14ac:dyDescent="0.25">
      <c r="E2647" s="31"/>
    </row>
    <row r="2648" spans="5:5" x14ac:dyDescent="0.25">
      <c r="E2648" s="31"/>
    </row>
    <row r="2649" spans="5:5" x14ac:dyDescent="0.25">
      <c r="E2649" s="31"/>
    </row>
    <row r="2650" spans="5:5" x14ac:dyDescent="0.25">
      <c r="E2650" s="31"/>
    </row>
    <row r="2651" spans="5:5" x14ac:dyDescent="0.25">
      <c r="E2651" s="31"/>
    </row>
    <row r="2652" spans="5:5" x14ac:dyDescent="0.25">
      <c r="E2652" s="31"/>
    </row>
    <row r="2653" spans="5:5" x14ac:dyDescent="0.25">
      <c r="E2653" s="31"/>
    </row>
    <row r="2654" spans="5:5" x14ac:dyDescent="0.25">
      <c r="E2654" s="31"/>
    </row>
    <row r="2655" spans="5:5" x14ac:dyDescent="0.25">
      <c r="E2655" s="31"/>
    </row>
    <row r="2656" spans="5:5" x14ac:dyDescent="0.25">
      <c r="E2656" s="31"/>
    </row>
    <row r="2657" spans="5:5" x14ac:dyDescent="0.25">
      <c r="E2657" s="31"/>
    </row>
    <row r="2658" spans="5:5" x14ac:dyDescent="0.25">
      <c r="E2658" s="31"/>
    </row>
    <row r="2659" spans="5:5" x14ac:dyDescent="0.25">
      <c r="E2659" s="31"/>
    </row>
    <row r="2660" spans="5:5" x14ac:dyDescent="0.25">
      <c r="E2660" s="31"/>
    </row>
    <row r="2661" spans="5:5" x14ac:dyDescent="0.25">
      <c r="E2661" s="31"/>
    </row>
    <row r="2662" spans="5:5" x14ac:dyDescent="0.25">
      <c r="E2662" s="31"/>
    </row>
    <row r="2663" spans="5:5" x14ac:dyDescent="0.25">
      <c r="E2663" s="31"/>
    </row>
    <row r="2664" spans="5:5" x14ac:dyDescent="0.25">
      <c r="E2664" s="31"/>
    </row>
    <row r="2665" spans="5:5" x14ac:dyDescent="0.25">
      <c r="E2665" s="31"/>
    </row>
    <row r="2666" spans="5:5" x14ac:dyDescent="0.25">
      <c r="E2666" s="31"/>
    </row>
    <row r="2667" spans="5:5" x14ac:dyDescent="0.25">
      <c r="E2667" s="31"/>
    </row>
    <row r="2668" spans="5:5" x14ac:dyDescent="0.25">
      <c r="E2668" s="31"/>
    </row>
    <row r="2669" spans="5:5" x14ac:dyDescent="0.25">
      <c r="E2669" s="31"/>
    </row>
    <row r="2670" spans="5:5" x14ac:dyDescent="0.25">
      <c r="E2670" s="31"/>
    </row>
    <row r="2671" spans="5:5" x14ac:dyDescent="0.25">
      <c r="E2671" s="31"/>
    </row>
    <row r="2672" spans="5:5" x14ac:dyDescent="0.25">
      <c r="E2672" s="31"/>
    </row>
    <row r="2673" spans="5:5" x14ac:dyDescent="0.25">
      <c r="E2673" s="31"/>
    </row>
    <row r="2674" spans="5:5" x14ac:dyDescent="0.25">
      <c r="E2674" s="31"/>
    </row>
    <row r="2675" spans="5:5" x14ac:dyDescent="0.25">
      <c r="E2675" s="31"/>
    </row>
    <row r="2676" spans="5:5" x14ac:dyDescent="0.25">
      <c r="E2676" s="31"/>
    </row>
    <row r="2677" spans="5:5" x14ac:dyDescent="0.25">
      <c r="E2677" s="31"/>
    </row>
    <row r="2678" spans="5:5" x14ac:dyDescent="0.25">
      <c r="E2678" s="31"/>
    </row>
    <row r="2679" spans="5:5" x14ac:dyDescent="0.25">
      <c r="E2679" s="31"/>
    </row>
    <row r="2680" spans="5:5" x14ac:dyDescent="0.25">
      <c r="E2680" s="31"/>
    </row>
    <row r="2681" spans="5:5" x14ac:dyDescent="0.25">
      <c r="E2681" s="31"/>
    </row>
    <row r="2682" spans="5:5" x14ac:dyDescent="0.25">
      <c r="E2682" s="31"/>
    </row>
    <row r="2683" spans="5:5" x14ac:dyDescent="0.25">
      <c r="E2683" s="31"/>
    </row>
    <row r="2684" spans="5:5" x14ac:dyDescent="0.25">
      <c r="E2684" s="31"/>
    </row>
    <row r="2685" spans="5:5" x14ac:dyDescent="0.25">
      <c r="E2685" s="31"/>
    </row>
    <row r="2686" spans="5:5" x14ac:dyDescent="0.25">
      <c r="E2686" s="31"/>
    </row>
    <row r="2687" spans="5:5" x14ac:dyDescent="0.25">
      <c r="E2687" s="31"/>
    </row>
    <row r="2688" spans="5:5" x14ac:dyDescent="0.25">
      <c r="E2688" s="31"/>
    </row>
    <row r="2689" spans="5:5" x14ac:dyDescent="0.25">
      <c r="E2689" s="31"/>
    </row>
    <row r="2690" spans="5:5" x14ac:dyDescent="0.25">
      <c r="E2690" s="31"/>
    </row>
    <row r="2691" spans="5:5" x14ac:dyDescent="0.25">
      <c r="E2691" s="31"/>
    </row>
    <row r="2692" spans="5:5" x14ac:dyDescent="0.25">
      <c r="E2692" s="31"/>
    </row>
    <row r="2693" spans="5:5" x14ac:dyDescent="0.25">
      <c r="E2693" s="31"/>
    </row>
    <row r="2694" spans="5:5" x14ac:dyDescent="0.25">
      <c r="E2694" s="31"/>
    </row>
    <row r="2695" spans="5:5" x14ac:dyDescent="0.25">
      <c r="E2695" s="31"/>
    </row>
    <row r="2696" spans="5:5" x14ac:dyDescent="0.25">
      <c r="E2696" s="31"/>
    </row>
    <row r="2697" spans="5:5" x14ac:dyDescent="0.25">
      <c r="E2697" s="31"/>
    </row>
    <row r="2698" spans="5:5" x14ac:dyDescent="0.25">
      <c r="E2698" s="31"/>
    </row>
    <row r="2699" spans="5:5" x14ac:dyDescent="0.25">
      <c r="E2699" s="31"/>
    </row>
    <row r="2700" spans="5:5" x14ac:dyDescent="0.25">
      <c r="E2700" s="31"/>
    </row>
    <row r="2701" spans="5:5" x14ac:dyDescent="0.25">
      <c r="E2701" s="31"/>
    </row>
    <row r="2702" spans="5:5" x14ac:dyDescent="0.25">
      <c r="E2702" s="31"/>
    </row>
    <row r="2703" spans="5:5" x14ac:dyDescent="0.25">
      <c r="E2703" s="31"/>
    </row>
    <row r="2704" spans="5:5" x14ac:dyDescent="0.25">
      <c r="E2704" s="31"/>
    </row>
    <row r="2705" spans="5:5" x14ac:dyDescent="0.25">
      <c r="E2705" s="31"/>
    </row>
    <row r="2706" spans="5:5" x14ac:dyDescent="0.25">
      <c r="E2706" s="31"/>
    </row>
    <row r="2707" spans="5:5" x14ac:dyDescent="0.25">
      <c r="E2707" s="31"/>
    </row>
    <row r="2708" spans="5:5" x14ac:dyDescent="0.25">
      <c r="E2708" s="31"/>
    </row>
    <row r="2709" spans="5:5" x14ac:dyDescent="0.25">
      <c r="E2709" s="31"/>
    </row>
    <row r="2710" spans="5:5" x14ac:dyDescent="0.25">
      <c r="E2710" s="31"/>
    </row>
    <row r="2711" spans="5:5" x14ac:dyDescent="0.25">
      <c r="E2711" s="31"/>
    </row>
    <row r="2712" spans="5:5" x14ac:dyDescent="0.25">
      <c r="E2712" s="31"/>
    </row>
    <row r="2713" spans="5:5" x14ac:dyDescent="0.25">
      <c r="E2713" s="31"/>
    </row>
    <row r="2714" spans="5:5" x14ac:dyDescent="0.25">
      <c r="E2714" s="31"/>
    </row>
    <row r="2715" spans="5:5" x14ac:dyDescent="0.25">
      <c r="E2715" s="31"/>
    </row>
    <row r="2716" spans="5:5" x14ac:dyDescent="0.25">
      <c r="E2716" s="31"/>
    </row>
    <row r="2717" spans="5:5" x14ac:dyDescent="0.25">
      <c r="E2717" s="31"/>
    </row>
    <row r="2718" spans="5:5" x14ac:dyDescent="0.25">
      <c r="E2718" s="31"/>
    </row>
    <row r="2719" spans="5:5" x14ac:dyDescent="0.25">
      <c r="E2719" s="31"/>
    </row>
    <row r="2720" spans="5:5" x14ac:dyDescent="0.25">
      <c r="E2720" s="31"/>
    </row>
    <row r="2721" spans="5:5" x14ac:dyDescent="0.25">
      <c r="E2721" s="31"/>
    </row>
    <row r="2722" spans="5:5" x14ac:dyDescent="0.25">
      <c r="E2722" s="31"/>
    </row>
    <row r="2723" spans="5:5" x14ac:dyDescent="0.25">
      <c r="E2723" s="31"/>
    </row>
    <row r="2724" spans="5:5" x14ac:dyDescent="0.25">
      <c r="E2724" s="31"/>
    </row>
    <row r="2725" spans="5:5" x14ac:dyDescent="0.25">
      <c r="E2725" s="31"/>
    </row>
    <row r="2726" spans="5:5" x14ac:dyDescent="0.25">
      <c r="E2726" s="31"/>
    </row>
    <row r="2727" spans="5:5" x14ac:dyDescent="0.25">
      <c r="E2727" s="31"/>
    </row>
    <row r="2728" spans="5:5" x14ac:dyDescent="0.25">
      <c r="E2728" s="31"/>
    </row>
    <row r="2729" spans="5:5" x14ac:dyDescent="0.25">
      <c r="E2729" s="31"/>
    </row>
    <row r="2730" spans="5:5" x14ac:dyDescent="0.25">
      <c r="E2730" s="31"/>
    </row>
    <row r="2731" spans="5:5" x14ac:dyDescent="0.25">
      <c r="E2731" s="31"/>
    </row>
    <row r="2732" spans="5:5" x14ac:dyDescent="0.25">
      <c r="E2732" s="31"/>
    </row>
    <row r="2733" spans="5:5" x14ac:dyDescent="0.25">
      <c r="E2733" s="31"/>
    </row>
    <row r="2734" spans="5:5" x14ac:dyDescent="0.25">
      <c r="E2734" s="31"/>
    </row>
    <row r="2735" spans="5:5" x14ac:dyDescent="0.25">
      <c r="E2735" s="31"/>
    </row>
    <row r="2736" spans="5:5" x14ac:dyDescent="0.25">
      <c r="E2736" s="31"/>
    </row>
    <row r="2737" spans="5:5" x14ac:dyDescent="0.25">
      <c r="E2737" s="31"/>
    </row>
    <row r="2738" spans="5:5" x14ac:dyDescent="0.25">
      <c r="E2738" s="31"/>
    </row>
    <row r="2739" spans="5:5" x14ac:dyDescent="0.25">
      <c r="E2739" s="31"/>
    </row>
    <row r="2740" spans="5:5" x14ac:dyDescent="0.25">
      <c r="E2740" s="31"/>
    </row>
    <row r="2741" spans="5:5" x14ac:dyDescent="0.25">
      <c r="E2741" s="31"/>
    </row>
    <row r="2742" spans="5:5" x14ac:dyDescent="0.25">
      <c r="E2742" s="31"/>
    </row>
    <row r="2743" spans="5:5" x14ac:dyDescent="0.25">
      <c r="E2743" s="31"/>
    </row>
    <row r="2744" spans="5:5" x14ac:dyDescent="0.25">
      <c r="E2744" s="31"/>
    </row>
    <row r="2745" spans="5:5" x14ac:dyDescent="0.25">
      <c r="E2745" s="31"/>
    </row>
    <row r="2746" spans="5:5" x14ac:dyDescent="0.25">
      <c r="E2746" s="31"/>
    </row>
    <row r="2747" spans="5:5" x14ac:dyDescent="0.25">
      <c r="E2747" s="31"/>
    </row>
    <row r="2748" spans="5:5" x14ac:dyDescent="0.25">
      <c r="E2748" s="31"/>
    </row>
    <row r="2749" spans="5:5" x14ac:dyDescent="0.25">
      <c r="E2749" s="31"/>
    </row>
    <row r="2750" spans="5:5" x14ac:dyDescent="0.25">
      <c r="E2750" s="31"/>
    </row>
    <row r="2751" spans="5:5" x14ac:dyDescent="0.25">
      <c r="E2751" s="31"/>
    </row>
    <row r="2752" spans="5:5" x14ac:dyDescent="0.25">
      <c r="E2752" s="31"/>
    </row>
    <row r="2753" spans="5:5" x14ac:dyDescent="0.25">
      <c r="E2753" s="31"/>
    </row>
    <row r="2754" spans="5:5" x14ac:dyDescent="0.25">
      <c r="E2754" s="31"/>
    </row>
    <row r="2755" spans="5:5" x14ac:dyDescent="0.25">
      <c r="E2755" s="31"/>
    </row>
    <row r="2756" spans="5:5" x14ac:dyDescent="0.25">
      <c r="E2756" s="31"/>
    </row>
    <row r="2757" spans="5:5" x14ac:dyDescent="0.25">
      <c r="E2757" s="31"/>
    </row>
    <row r="2758" spans="5:5" x14ac:dyDescent="0.25">
      <c r="E2758" s="31"/>
    </row>
    <row r="2759" spans="5:5" x14ac:dyDescent="0.25">
      <c r="E2759" s="31"/>
    </row>
    <row r="2760" spans="5:5" x14ac:dyDescent="0.25">
      <c r="E2760" s="31"/>
    </row>
    <row r="2761" spans="5:5" x14ac:dyDescent="0.25">
      <c r="E2761" s="31"/>
    </row>
    <row r="2762" spans="5:5" x14ac:dyDescent="0.25">
      <c r="E2762" s="31"/>
    </row>
    <row r="2763" spans="5:5" x14ac:dyDescent="0.25">
      <c r="E2763" s="31"/>
    </row>
    <row r="2764" spans="5:5" x14ac:dyDescent="0.25">
      <c r="E2764" s="31"/>
    </row>
    <row r="2765" spans="5:5" x14ac:dyDescent="0.25">
      <c r="E2765" s="31"/>
    </row>
    <row r="2766" spans="5:5" x14ac:dyDescent="0.25">
      <c r="E2766" s="31"/>
    </row>
    <row r="2767" spans="5:5" x14ac:dyDescent="0.25">
      <c r="E2767" s="31"/>
    </row>
    <row r="2768" spans="5:5" x14ac:dyDescent="0.25">
      <c r="E2768" s="31"/>
    </row>
    <row r="2769" spans="5:5" x14ac:dyDescent="0.25">
      <c r="E2769" s="31"/>
    </row>
    <row r="2770" spans="5:5" x14ac:dyDescent="0.25">
      <c r="E2770" s="31"/>
    </row>
    <row r="2771" spans="5:5" x14ac:dyDescent="0.25">
      <c r="E2771" s="31"/>
    </row>
    <row r="2772" spans="5:5" x14ac:dyDescent="0.25">
      <c r="E2772" s="31"/>
    </row>
    <row r="2773" spans="5:5" x14ac:dyDescent="0.25">
      <c r="E2773" s="31"/>
    </row>
    <row r="2774" spans="5:5" x14ac:dyDescent="0.25">
      <c r="E2774" s="31"/>
    </row>
    <row r="2775" spans="5:5" x14ac:dyDescent="0.25">
      <c r="E2775" s="31"/>
    </row>
    <row r="2776" spans="5:5" x14ac:dyDescent="0.25">
      <c r="E2776" s="31"/>
    </row>
    <row r="2777" spans="5:5" x14ac:dyDescent="0.25">
      <c r="E2777" s="31"/>
    </row>
    <row r="2778" spans="5:5" x14ac:dyDescent="0.25">
      <c r="E2778" s="31"/>
    </row>
    <row r="2779" spans="5:5" x14ac:dyDescent="0.25">
      <c r="E2779" s="31"/>
    </row>
    <row r="2780" spans="5:5" x14ac:dyDescent="0.25">
      <c r="E2780" s="31"/>
    </row>
    <row r="2781" spans="5:5" x14ac:dyDescent="0.25">
      <c r="E2781" s="31"/>
    </row>
    <row r="2782" spans="5:5" x14ac:dyDescent="0.25">
      <c r="E2782" s="31"/>
    </row>
    <row r="2783" spans="5:5" x14ac:dyDescent="0.25">
      <c r="E2783" s="31"/>
    </row>
    <row r="2784" spans="5:5" x14ac:dyDescent="0.25">
      <c r="E2784" s="31"/>
    </row>
    <row r="2785" spans="5:5" x14ac:dyDescent="0.25">
      <c r="E2785" s="31"/>
    </row>
    <row r="2786" spans="5:5" x14ac:dyDescent="0.25">
      <c r="E2786" s="31"/>
    </row>
    <row r="2787" spans="5:5" x14ac:dyDescent="0.25">
      <c r="E2787" s="31"/>
    </row>
    <row r="2788" spans="5:5" x14ac:dyDescent="0.25">
      <c r="E2788" s="31"/>
    </row>
    <row r="2789" spans="5:5" x14ac:dyDescent="0.25">
      <c r="E2789" s="31"/>
    </row>
    <row r="2790" spans="5:5" x14ac:dyDescent="0.25">
      <c r="E2790" s="31"/>
    </row>
    <row r="2791" spans="5:5" x14ac:dyDescent="0.25">
      <c r="E2791" s="31"/>
    </row>
    <row r="2792" spans="5:5" x14ac:dyDescent="0.25">
      <c r="E2792" s="31"/>
    </row>
    <row r="2793" spans="5:5" x14ac:dyDescent="0.25">
      <c r="E2793" s="31"/>
    </row>
    <row r="2794" spans="5:5" x14ac:dyDescent="0.25">
      <c r="E2794" s="31"/>
    </row>
    <row r="2795" spans="5:5" x14ac:dyDescent="0.25">
      <c r="E2795" s="31"/>
    </row>
    <row r="2796" spans="5:5" x14ac:dyDescent="0.25">
      <c r="E2796" s="31"/>
    </row>
    <row r="2797" spans="5:5" x14ac:dyDescent="0.25">
      <c r="E2797" s="31"/>
    </row>
    <row r="2798" spans="5:5" x14ac:dyDescent="0.25">
      <c r="E2798" s="31"/>
    </row>
    <row r="2799" spans="5:5" x14ac:dyDescent="0.25">
      <c r="E2799" s="31"/>
    </row>
    <row r="2800" spans="5:5" x14ac:dyDescent="0.25">
      <c r="E2800" s="31"/>
    </row>
    <row r="2801" spans="5:5" x14ac:dyDescent="0.25">
      <c r="E2801" s="31"/>
    </row>
    <row r="2802" spans="5:5" x14ac:dyDescent="0.25">
      <c r="E2802" s="31"/>
    </row>
    <row r="2803" spans="5:5" x14ac:dyDescent="0.25">
      <c r="E2803" s="31"/>
    </row>
    <row r="2804" spans="5:5" x14ac:dyDescent="0.25">
      <c r="E2804" s="31"/>
    </row>
    <row r="2805" spans="5:5" x14ac:dyDescent="0.25">
      <c r="E2805" s="31"/>
    </row>
    <row r="2806" spans="5:5" x14ac:dyDescent="0.25">
      <c r="E2806" s="31"/>
    </row>
    <row r="2807" spans="5:5" x14ac:dyDescent="0.25">
      <c r="E2807" s="31"/>
    </row>
    <row r="2808" spans="5:5" x14ac:dyDescent="0.25">
      <c r="E2808" s="31"/>
    </row>
    <row r="2809" spans="5:5" x14ac:dyDescent="0.25">
      <c r="E2809" s="31"/>
    </row>
    <row r="2810" spans="5:5" x14ac:dyDescent="0.25">
      <c r="E2810" s="31"/>
    </row>
    <row r="2811" spans="5:5" x14ac:dyDescent="0.25">
      <c r="E2811" s="31"/>
    </row>
    <row r="2812" spans="5:5" x14ac:dyDescent="0.25">
      <c r="E2812" s="31"/>
    </row>
    <row r="2813" spans="5:5" x14ac:dyDescent="0.25">
      <c r="E2813" s="31"/>
    </row>
    <row r="2814" spans="5:5" x14ac:dyDescent="0.25">
      <c r="E2814" s="31"/>
    </row>
    <row r="2815" spans="5:5" x14ac:dyDescent="0.25">
      <c r="E2815" s="31"/>
    </row>
    <row r="2816" spans="5:5" x14ac:dyDescent="0.25">
      <c r="E2816" s="31"/>
    </row>
    <row r="2817" spans="5:5" x14ac:dyDescent="0.25">
      <c r="E2817" s="31"/>
    </row>
    <row r="2818" spans="5:5" x14ac:dyDescent="0.25">
      <c r="E2818" s="31"/>
    </row>
    <row r="2819" spans="5:5" x14ac:dyDescent="0.25">
      <c r="E2819" s="31"/>
    </row>
    <row r="2820" spans="5:5" x14ac:dyDescent="0.25">
      <c r="E2820" s="31"/>
    </row>
    <row r="2821" spans="5:5" x14ac:dyDescent="0.25">
      <c r="E2821" s="31"/>
    </row>
    <row r="2822" spans="5:5" x14ac:dyDescent="0.25">
      <c r="E2822" s="31"/>
    </row>
    <row r="2823" spans="5:5" x14ac:dyDescent="0.25">
      <c r="E2823" s="31"/>
    </row>
    <row r="2824" spans="5:5" x14ac:dyDescent="0.25">
      <c r="E2824" s="31"/>
    </row>
    <row r="2825" spans="5:5" x14ac:dyDescent="0.25">
      <c r="E2825" s="31"/>
    </row>
    <row r="2826" spans="5:5" x14ac:dyDescent="0.25">
      <c r="E2826" s="31"/>
    </row>
    <row r="2827" spans="5:5" x14ac:dyDescent="0.25">
      <c r="E2827" s="31"/>
    </row>
    <row r="2828" spans="5:5" x14ac:dyDescent="0.25">
      <c r="E2828" s="31"/>
    </row>
    <row r="2829" spans="5:5" x14ac:dyDescent="0.25">
      <c r="E2829" s="31"/>
    </row>
    <row r="2830" spans="5:5" x14ac:dyDescent="0.25">
      <c r="E2830" s="31"/>
    </row>
    <row r="2831" spans="5:5" x14ac:dyDescent="0.25">
      <c r="E2831" s="31"/>
    </row>
    <row r="2832" spans="5:5" x14ac:dyDescent="0.25">
      <c r="E2832" s="31"/>
    </row>
    <row r="2833" spans="5:5" x14ac:dyDescent="0.25">
      <c r="E2833" s="31"/>
    </row>
    <row r="2834" spans="5:5" x14ac:dyDescent="0.25">
      <c r="E2834" s="31"/>
    </row>
    <row r="2835" spans="5:5" x14ac:dyDescent="0.25">
      <c r="E2835" s="31"/>
    </row>
    <row r="2836" spans="5:5" x14ac:dyDescent="0.25">
      <c r="E2836" s="31"/>
    </row>
    <row r="2837" spans="5:5" x14ac:dyDescent="0.25">
      <c r="E2837" s="31"/>
    </row>
    <row r="2838" spans="5:5" x14ac:dyDescent="0.25">
      <c r="E2838" s="31"/>
    </row>
    <row r="2839" spans="5:5" x14ac:dyDescent="0.25">
      <c r="E2839" s="31"/>
    </row>
    <row r="2840" spans="5:5" x14ac:dyDescent="0.25">
      <c r="E2840" s="31"/>
    </row>
    <row r="2841" spans="5:5" x14ac:dyDescent="0.25">
      <c r="E2841" s="31"/>
    </row>
    <row r="2842" spans="5:5" x14ac:dyDescent="0.25">
      <c r="E2842" s="31"/>
    </row>
    <row r="2843" spans="5:5" x14ac:dyDescent="0.25">
      <c r="E2843" s="31"/>
    </row>
    <row r="2844" spans="5:5" x14ac:dyDescent="0.25">
      <c r="E2844" s="31"/>
    </row>
    <row r="2845" spans="5:5" x14ac:dyDescent="0.25">
      <c r="E2845" s="31"/>
    </row>
    <row r="2846" spans="5:5" x14ac:dyDescent="0.25">
      <c r="E2846" s="31"/>
    </row>
    <row r="2847" spans="5:5" x14ac:dyDescent="0.25">
      <c r="E2847" s="31"/>
    </row>
    <row r="2848" spans="5:5" x14ac:dyDescent="0.25">
      <c r="E2848" s="31"/>
    </row>
    <row r="2849" spans="5:5" x14ac:dyDescent="0.25">
      <c r="E2849" s="31"/>
    </row>
    <row r="2850" spans="5:5" x14ac:dyDescent="0.25">
      <c r="E2850" s="31"/>
    </row>
    <row r="2851" spans="5:5" x14ac:dyDescent="0.25">
      <c r="E2851" s="31"/>
    </row>
    <row r="2852" spans="5:5" x14ac:dyDescent="0.25">
      <c r="E2852" s="31"/>
    </row>
    <row r="2853" spans="5:5" x14ac:dyDescent="0.25">
      <c r="E2853" s="31"/>
    </row>
    <row r="2854" spans="5:5" x14ac:dyDescent="0.25">
      <c r="E2854" s="31"/>
    </row>
    <row r="2855" spans="5:5" x14ac:dyDescent="0.25">
      <c r="E2855" s="31"/>
    </row>
    <row r="2856" spans="5:5" x14ac:dyDescent="0.25">
      <c r="E2856" s="31"/>
    </row>
    <row r="2857" spans="5:5" x14ac:dyDescent="0.25">
      <c r="E2857" s="31"/>
    </row>
    <row r="2858" spans="5:5" x14ac:dyDescent="0.25">
      <c r="E2858" s="31"/>
    </row>
    <row r="2859" spans="5:5" x14ac:dyDescent="0.25">
      <c r="E2859" s="31"/>
    </row>
    <row r="2860" spans="5:5" x14ac:dyDescent="0.25">
      <c r="E2860" s="31"/>
    </row>
    <row r="2861" spans="5:5" x14ac:dyDescent="0.25">
      <c r="E2861" s="31"/>
    </row>
    <row r="2862" spans="5:5" x14ac:dyDescent="0.25">
      <c r="E2862" s="31"/>
    </row>
    <row r="2863" spans="5:5" x14ac:dyDescent="0.25">
      <c r="E2863" s="31"/>
    </row>
    <row r="2864" spans="5:5" x14ac:dyDescent="0.25">
      <c r="E2864" s="31"/>
    </row>
    <row r="2865" spans="5:5" x14ac:dyDescent="0.25">
      <c r="E2865" s="31"/>
    </row>
    <row r="2866" spans="5:5" x14ac:dyDescent="0.25">
      <c r="E2866" s="31"/>
    </row>
    <row r="2867" spans="5:5" x14ac:dyDescent="0.25">
      <c r="E2867" s="31"/>
    </row>
    <row r="2868" spans="5:5" x14ac:dyDescent="0.25">
      <c r="E2868" s="31"/>
    </row>
    <row r="2869" spans="5:5" x14ac:dyDescent="0.25">
      <c r="E2869" s="31"/>
    </row>
    <row r="2870" spans="5:5" x14ac:dyDescent="0.25">
      <c r="E2870" s="31"/>
    </row>
    <row r="2871" spans="5:5" x14ac:dyDescent="0.25">
      <c r="E2871" s="31"/>
    </row>
    <row r="2872" spans="5:5" x14ac:dyDescent="0.25">
      <c r="E2872" s="31"/>
    </row>
    <row r="2873" spans="5:5" x14ac:dyDescent="0.25">
      <c r="E2873" s="31"/>
    </row>
    <row r="2874" spans="5:5" x14ac:dyDescent="0.25">
      <c r="E2874" s="31"/>
    </row>
    <row r="2875" spans="5:5" x14ac:dyDescent="0.25">
      <c r="E2875" s="31"/>
    </row>
    <row r="2876" spans="5:5" x14ac:dyDescent="0.25">
      <c r="E2876" s="31"/>
    </row>
    <row r="2877" spans="5:5" x14ac:dyDescent="0.25">
      <c r="E2877" s="31"/>
    </row>
    <row r="2878" spans="5:5" x14ac:dyDescent="0.25">
      <c r="E2878" s="31"/>
    </row>
    <row r="2879" spans="5:5" x14ac:dyDescent="0.25">
      <c r="E2879" s="31"/>
    </row>
    <row r="2880" spans="5:5" x14ac:dyDescent="0.25">
      <c r="E2880" s="31"/>
    </row>
    <row r="2881" spans="5:5" x14ac:dyDescent="0.25">
      <c r="E2881" s="31"/>
    </row>
    <row r="2882" spans="5:5" x14ac:dyDescent="0.25">
      <c r="E2882" s="31"/>
    </row>
    <row r="2883" spans="5:5" x14ac:dyDescent="0.25">
      <c r="E2883" s="31"/>
    </row>
    <row r="2884" spans="5:5" x14ac:dyDescent="0.25">
      <c r="E2884" s="31"/>
    </row>
    <row r="2885" spans="5:5" x14ac:dyDescent="0.25">
      <c r="E2885" s="31"/>
    </row>
    <row r="2886" spans="5:5" x14ac:dyDescent="0.25">
      <c r="E2886" s="31"/>
    </row>
    <row r="2887" spans="5:5" x14ac:dyDescent="0.25">
      <c r="E2887" s="31"/>
    </row>
    <row r="2888" spans="5:5" x14ac:dyDescent="0.25">
      <c r="E2888" s="31"/>
    </row>
    <row r="2889" spans="5:5" x14ac:dyDescent="0.25">
      <c r="E2889" s="31"/>
    </row>
    <row r="2890" spans="5:5" x14ac:dyDescent="0.25">
      <c r="E2890" s="31"/>
    </row>
    <row r="2891" spans="5:5" x14ac:dyDescent="0.25">
      <c r="E2891" s="31"/>
    </row>
    <row r="2892" spans="5:5" x14ac:dyDescent="0.25">
      <c r="E2892" s="31"/>
    </row>
    <row r="2893" spans="5:5" x14ac:dyDescent="0.25">
      <c r="E2893" s="31"/>
    </row>
    <row r="2894" spans="5:5" x14ac:dyDescent="0.25">
      <c r="E2894" s="31"/>
    </row>
    <row r="2895" spans="5:5" x14ac:dyDescent="0.25">
      <c r="E2895" s="31"/>
    </row>
    <row r="2896" spans="5:5" x14ac:dyDescent="0.25">
      <c r="E2896" s="31"/>
    </row>
    <row r="2897" spans="5:5" x14ac:dyDescent="0.25">
      <c r="E2897" s="31"/>
    </row>
    <row r="2898" spans="5:5" x14ac:dyDescent="0.25">
      <c r="E2898" s="31"/>
    </row>
    <row r="2899" spans="5:5" x14ac:dyDescent="0.25">
      <c r="E2899" s="31"/>
    </row>
    <row r="2900" spans="5:5" x14ac:dyDescent="0.25">
      <c r="E2900" s="31"/>
    </row>
    <row r="2901" spans="5:5" x14ac:dyDescent="0.25">
      <c r="E2901" s="31"/>
    </row>
    <row r="2902" spans="5:5" x14ac:dyDescent="0.25">
      <c r="E2902" s="31"/>
    </row>
    <row r="2903" spans="5:5" x14ac:dyDescent="0.25">
      <c r="E2903" s="31"/>
    </row>
    <row r="2904" spans="5:5" x14ac:dyDescent="0.25">
      <c r="E2904" s="31"/>
    </row>
    <row r="2905" spans="5:5" x14ac:dyDescent="0.25">
      <c r="E2905" s="31"/>
    </row>
    <row r="2906" spans="5:5" x14ac:dyDescent="0.25">
      <c r="E2906" s="31"/>
    </row>
    <row r="2907" spans="5:5" x14ac:dyDescent="0.25">
      <c r="E2907" s="31"/>
    </row>
    <row r="2908" spans="5:5" x14ac:dyDescent="0.25">
      <c r="E2908" s="31"/>
    </row>
    <row r="2909" spans="5:5" x14ac:dyDescent="0.25">
      <c r="E2909" s="31"/>
    </row>
    <row r="2910" spans="5:5" x14ac:dyDescent="0.25">
      <c r="E2910" s="31"/>
    </row>
    <row r="2911" spans="5:5" x14ac:dyDescent="0.25">
      <c r="E2911" s="31"/>
    </row>
    <row r="2912" spans="5:5" x14ac:dyDescent="0.25">
      <c r="E2912" s="31"/>
    </row>
    <row r="2913" spans="5:5" x14ac:dyDescent="0.25">
      <c r="E2913" s="31"/>
    </row>
    <row r="2914" spans="5:5" x14ac:dyDescent="0.25">
      <c r="E2914" s="31"/>
    </row>
    <row r="2915" spans="5:5" x14ac:dyDescent="0.25">
      <c r="E2915" s="31"/>
    </row>
    <row r="2916" spans="5:5" x14ac:dyDescent="0.25">
      <c r="E2916" s="31"/>
    </row>
    <row r="2917" spans="5:5" x14ac:dyDescent="0.25">
      <c r="E2917" s="31"/>
    </row>
    <row r="2918" spans="5:5" x14ac:dyDescent="0.25">
      <c r="E2918" s="31"/>
    </row>
    <row r="2919" spans="5:5" x14ac:dyDescent="0.25">
      <c r="E2919" s="31"/>
    </row>
    <row r="2920" spans="5:5" x14ac:dyDescent="0.25">
      <c r="E2920" s="31"/>
    </row>
    <row r="2921" spans="5:5" x14ac:dyDescent="0.25">
      <c r="E2921" s="31"/>
    </row>
    <row r="2922" spans="5:5" x14ac:dyDescent="0.25">
      <c r="E2922" s="31"/>
    </row>
    <row r="2923" spans="5:5" x14ac:dyDescent="0.25">
      <c r="E2923" s="31"/>
    </row>
    <row r="2924" spans="5:5" x14ac:dyDescent="0.25">
      <c r="E2924" s="31"/>
    </row>
    <row r="2925" spans="5:5" x14ac:dyDescent="0.25">
      <c r="E2925" s="31"/>
    </row>
    <row r="2926" spans="5:5" x14ac:dyDescent="0.25">
      <c r="E2926" s="31"/>
    </row>
    <row r="2927" spans="5:5" x14ac:dyDescent="0.25">
      <c r="E2927" s="31"/>
    </row>
    <row r="2928" spans="5:5" x14ac:dyDescent="0.25">
      <c r="E2928" s="31"/>
    </row>
    <row r="2929" spans="5:5" x14ac:dyDescent="0.25">
      <c r="E2929" s="31"/>
    </row>
    <row r="2930" spans="5:5" x14ac:dyDescent="0.25">
      <c r="E2930" s="31"/>
    </row>
    <row r="2931" spans="5:5" x14ac:dyDescent="0.25">
      <c r="E2931" s="31"/>
    </row>
    <row r="2932" spans="5:5" x14ac:dyDescent="0.25">
      <c r="E2932" s="31"/>
    </row>
    <row r="2933" spans="5:5" x14ac:dyDescent="0.25">
      <c r="E2933" s="31"/>
    </row>
    <row r="2934" spans="5:5" x14ac:dyDescent="0.25">
      <c r="E2934" s="31"/>
    </row>
    <row r="2935" spans="5:5" x14ac:dyDescent="0.25">
      <c r="E2935" s="31"/>
    </row>
    <row r="2936" spans="5:5" x14ac:dyDescent="0.25">
      <c r="E2936" s="31"/>
    </row>
    <row r="2937" spans="5:5" x14ac:dyDescent="0.25">
      <c r="E2937" s="31"/>
    </row>
    <row r="2938" spans="5:5" x14ac:dyDescent="0.25">
      <c r="E2938" s="31"/>
    </row>
    <row r="2939" spans="5:5" x14ac:dyDescent="0.25">
      <c r="E2939" s="31"/>
    </row>
    <row r="2940" spans="5:5" x14ac:dyDescent="0.25">
      <c r="E2940" s="31"/>
    </row>
    <row r="2941" spans="5:5" x14ac:dyDescent="0.25">
      <c r="E2941" s="31"/>
    </row>
    <row r="2942" spans="5:5" x14ac:dyDescent="0.25">
      <c r="E2942" s="31"/>
    </row>
    <row r="2943" spans="5:5" x14ac:dyDescent="0.25">
      <c r="E2943" s="31"/>
    </row>
    <row r="2944" spans="5:5" x14ac:dyDescent="0.25">
      <c r="E2944" s="31"/>
    </row>
    <row r="2945" spans="5:5" x14ac:dyDescent="0.25">
      <c r="E2945" s="31"/>
    </row>
    <row r="2946" spans="5:5" x14ac:dyDescent="0.25">
      <c r="E2946" s="31"/>
    </row>
    <row r="2947" spans="5:5" x14ac:dyDescent="0.25">
      <c r="E2947" s="31"/>
    </row>
    <row r="2948" spans="5:5" x14ac:dyDescent="0.25">
      <c r="E2948" s="31"/>
    </row>
    <row r="2949" spans="5:5" x14ac:dyDescent="0.25">
      <c r="E2949" s="31"/>
    </row>
    <row r="2950" spans="5:5" x14ac:dyDescent="0.25">
      <c r="E2950" s="31"/>
    </row>
    <row r="2951" spans="5:5" x14ac:dyDescent="0.25">
      <c r="E2951" s="31"/>
    </row>
    <row r="2952" spans="5:5" x14ac:dyDescent="0.25">
      <c r="E2952" s="31"/>
    </row>
    <row r="2953" spans="5:5" x14ac:dyDescent="0.25">
      <c r="E2953" s="31"/>
    </row>
    <row r="2954" spans="5:5" x14ac:dyDescent="0.25">
      <c r="E2954" s="31"/>
    </row>
    <row r="2955" spans="5:5" x14ac:dyDescent="0.25">
      <c r="E2955" s="31"/>
    </row>
    <row r="2956" spans="5:5" x14ac:dyDescent="0.25">
      <c r="E2956" s="31"/>
    </row>
    <row r="2957" spans="5:5" x14ac:dyDescent="0.25">
      <c r="E2957" s="31"/>
    </row>
    <row r="2958" spans="5:5" x14ac:dyDescent="0.25">
      <c r="E2958" s="31"/>
    </row>
    <row r="2959" spans="5:5" x14ac:dyDescent="0.25">
      <c r="E2959" s="31"/>
    </row>
    <row r="2960" spans="5:5" x14ac:dyDescent="0.25">
      <c r="E2960" s="31"/>
    </row>
    <row r="2961" spans="5:5" x14ac:dyDescent="0.25">
      <c r="E2961" s="31"/>
    </row>
    <row r="2962" spans="5:5" x14ac:dyDescent="0.25">
      <c r="E2962" s="31"/>
    </row>
    <row r="2963" spans="5:5" x14ac:dyDescent="0.25">
      <c r="E2963" s="31"/>
    </row>
    <row r="2964" spans="5:5" x14ac:dyDescent="0.25">
      <c r="E2964" s="31"/>
    </row>
    <row r="2965" spans="5:5" x14ac:dyDescent="0.25">
      <c r="E2965" s="31"/>
    </row>
    <row r="2966" spans="5:5" x14ac:dyDescent="0.25">
      <c r="E2966" s="31"/>
    </row>
    <row r="2967" spans="5:5" x14ac:dyDescent="0.25">
      <c r="E2967" s="31"/>
    </row>
    <row r="2968" spans="5:5" x14ac:dyDescent="0.25">
      <c r="E2968" s="31"/>
    </row>
    <row r="2969" spans="5:5" x14ac:dyDescent="0.25">
      <c r="E2969" s="31"/>
    </row>
    <row r="2970" spans="5:5" x14ac:dyDescent="0.25">
      <c r="E2970" s="31"/>
    </row>
    <row r="2971" spans="5:5" x14ac:dyDescent="0.25">
      <c r="E2971" s="31"/>
    </row>
    <row r="2972" spans="5:5" x14ac:dyDescent="0.25">
      <c r="E2972" s="31"/>
    </row>
    <row r="2973" spans="5:5" x14ac:dyDescent="0.25">
      <c r="E2973" s="31"/>
    </row>
    <row r="2974" spans="5:5" x14ac:dyDescent="0.25">
      <c r="E2974" s="31"/>
    </row>
    <row r="2975" spans="5:5" x14ac:dyDescent="0.25">
      <c r="E2975" s="31"/>
    </row>
    <row r="2976" spans="5:5" x14ac:dyDescent="0.25">
      <c r="E2976" s="31"/>
    </row>
    <row r="2977" spans="5:5" x14ac:dyDescent="0.25">
      <c r="E2977" s="31"/>
    </row>
    <row r="2978" spans="5:5" x14ac:dyDescent="0.25">
      <c r="E2978" s="31"/>
    </row>
    <row r="2979" spans="5:5" x14ac:dyDescent="0.25">
      <c r="E2979" s="31"/>
    </row>
    <row r="2980" spans="5:5" x14ac:dyDescent="0.25">
      <c r="E2980" s="31"/>
    </row>
    <row r="2981" spans="5:5" x14ac:dyDescent="0.25">
      <c r="E2981" s="31"/>
    </row>
    <row r="2982" spans="5:5" x14ac:dyDescent="0.25">
      <c r="E2982" s="31"/>
    </row>
    <row r="2983" spans="5:5" x14ac:dyDescent="0.25">
      <c r="E2983" s="31"/>
    </row>
    <row r="2984" spans="5:5" x14ac:dyDescent="0.25">
      <c r="E2984" s="31"/>
    </row>
    <row r="2985" spans="5:5" x14ac:dyDescent="0.25">
      <c r="E2985" s="31"/>
    </row>
    <row r="2986" spans="5:5" x14ac:dyDescent="0.25">
      <c r="E2986" s="31"/>
    </row>
    <row r="2987" spans="5:5" x14ac:dyDescent="0.25">
      <c r="E2987" s="31"/>
    </row>
    <row r="2988" spans="5:5" x14ac:dyDescent="0.25">
      <c r="E2988" s="31"/>
    </row>
    <row r="2989" spans="5:5" x14ac:dyDescent="0.25">
      <c r="E2989" s="31"/>
    </row>
    <row r="2990" spans="5:5" x14ac:dyDescent="0.25">
      <c r="E2990" s="31"/>
    </row>
    <row r="2991" spans="5:5" x14ac:dyDescent="0.25">
      <c r="E2991" s="31"/>
    </row>
    <row r="2992" spans="5:5" x14ac:dyDescent="0.25">
      <c r="E2992" s="31"/>
    </row>
    <row r="2993" spans="5:5" x14ac:dyDescent="0.25">
      <c r="E2993" s="31"/>
    </row>
    <row r="2994" spans="5:5" x14ac:dyDescent="0.25">
      <c r="E2994" s="31"/>
    </row>
    <row r="2995" spans="5:5" x14ac:dyDescent="0.25">
      <c r="E2995" s="31"/>
    </row>
    <row r="2996" spans="5:5" x14ac:dyDescent="0.25">
      <c r="E2996" s="31"/>
    </row>
    <row r="2997" spans="5:5" x14ac:dyDescent="0.25">
      <c r="E2997" s="31"/>
    </row>
    <row r="2998" spans="5:5" x14ac:dyDescent="0.25">
      <c r="E2998" s="31"/>
    </row>
    <row r="2999" spans="5:5" x14ac:dyDescent="0.25">
      <c r="E2999" s="31"/>
    </row>
    <row r="3000" spans="5:5" x14ac:dyDescent="0.25">
      <c r="E3000" s="31"/>
    </row>
    <row r="3001" spans="5:5" x14ac:dyDescent="0.25">
      <c r="E3001" s="31"/>
    </row>
    <row r="3002" spans="5:5" x14ac:dyDescent="0.25">
      <c r="E3002" s="31"/>
    </row>
    <row r="3003" spans="5:5" x14ac:dyDescent="0.25">
      <c r="E3003" s="31"/>
    </row>
    <row r="3004" spans="5:5" x14ac:dyDescent="0.25">
      <c r="E3004" s="31"/>
    </row>
    <row r="3005" spans="5:5" x14ac:dyDescent="0.25">
      <c r="E3005" s="31"/>
    </row>
    <row r="3006" spans="5:5" x14ac:dyDescent="0.25">
      <c r="E3006" s="31"/>
    </row>
    <row r="3007" spans="5:5" x14ac:dyDescent="0.25">
      <c r="E3007" s="31"/>
    </row>
    <row r="3008" spans="5:5" x14ac:dyDescent="0.25">
      <c r="E3008" s="31"/>
    </row>
    <row r="3009" spans="5:5" x14ac:dyDescent="0.25">
      <c r="E3009" s="31"/>
    </row>
    <row r="3010" spans="5:5" x14ac:dyDescent="0.25">
      <c r="E3010" s="31"/>
    </row>
    <row r="3011" spans="5:5" x14ac:dyDescent="0.25">
      <c r="E3011" s="31"/>
    </row>
    <row r="3012" spans="5:5" x14ac:dyDescent="0.25">
      <c r="E3012" s="31"/>
    </row>
    <row r="3013" spans="5:5" x14ac:dyDescent="0.25">
      <c r="E3013" s="31"/>
    </row>
    <row r="3014" spans="5:5" x14ac:dyDescent="0.25">
      <c r="E3014" s="31"/>
    </row>
    <row r="3015" spans="5:5" x14ac:dyDescent="0.25">
      <c r="E3015" s="31"/>
    </row>
    <row r="3016" spans="5:5" x14ac:dyDescent="0.25">
      <c r="E3016" s="31"/>
    </row>
    <row r="3017" spans="5:5" x14ac:dyDescent="0.25">
      <c r="E3017" s="31"/>
    </row>
    <row r="3018" spans="5:5" x14ac:dyDescent="0.25">
      <c r="E3018" s="31"/>
    </row>
    <row r="3019" spans="5:5" x14ac:dyDescent="0.25">
      <c r="E3019" s="31"/>
    </row>
    <row r="3020" spans="5:5" x14ac:dyDescent="0.25">
      <c r="E3020" s="31"/>
    </row>
    <row r="3021" spans="5:5" x14ac:dyDescent="0.25">
      <c r="E3021" s="31"/>
    </row>
    <row r="3022" spans="5:5" x14ac:dyDescent="0.25">
      <c r="E3022" s="31"/>
    </row>
    <row r="3023" spans="5:5" x14ac:dyDescent="0.25">
      <c r="E3023" s="31"/>
    </row>
    <row r="3024" spans="5:5" x14ac:dyDescent="0.25">
      <c r="E3024" s="31"/>
    </row>
    <row r="3025" spans="5:5" x14ac:dyDescent="0.25">
      <c r="E3025" s="31"/>
    </row>
    <row r="3026" spans="5:5" x14ac:dyDescent="0.25">
      <c r="E3026" s="31"/>
    </row>
    <row r="3027" spans="5:5" x14ac:dyDescent="0.25">
      <c r="E3027" s="31"/>
    </row>
    <row r="3028" spans="5:5" x14ac:dyDescent="0.25">
      <c r="E3028" s="31"/>
    </row>
    <row r="3029" spans="5:5" x14ac:dyDescent="0.25">
      <c r="E3029" s="31"/>
    </row>
    <row r="3030" spans="5:5" x14ac:dyDescent="0.25">
      <c r="E3030" s="31"/>
    </row>
    <row r="3031" spans="5:5" x14ac:dyDescent="0.25">
      <c r="E3031" s="31"/>
    </row>
    <row r="3032" spans="5:5" x14ac:dyDescent="0.25">
      <c r="E3032" s="31"/>
    </row>
    <row r="3033" spans="5:5" x14ac:dyDescent="0.25">
      <c r="E3033" s="31"/>
    </row>
    <row r="3034" spans="5:5" x14ac:dyDescent="0.25">
      <c r="E3034" s="31"/>
    </row>
    <row r="3035" spans="5:5" x14ac:dyDescent="0.25">
      <c r="E3035" s="31"/>
    </row>
    <row r="3036" spans="5:5" x14ac:dyDescent="0.25">
      <c r="E3036" s="31"/>
    </row>
    <row r="3037" spans="5:5" x14ac:dyDescent="0.25">
      <c r="E3037" s="31"/>
    </row>
    <row r="3038" spans="5:5" x14ac:dyDescent="0.25">
      <c r="E3038" s="31"/>
    </row>
    <row r="3039" spans="5:5" x14ac:dyDescent="0.25">
      <c r="E3039" s="31"/>
    </row>
    <row r="3040" spans="5:5" x14ac:dyDescent="0.25">
      <c r="E3040" s="31"/>
    </row>
    <row r="3041" spans="5:5" x14ac:dyDescent="0.25">
      <c r="E3041" s="31"/>
    </row>
    <row r="3042" spans="5:5" x14ac:dyDescent="0.25">
      <c r="E3042" s="31"/>
    </row>
    <row r="3043" spans="5:5" x14ac:dyDescent="0.25">
      <c r="E3043" s="31"/>
    </row>
    <row r="3044" spans="5:5" x14ac:dyDescent="0.25">
      <c r="E3044" s="31"/>
    </row>
    <row r="3045" spans="5:5" x14ac:dyDescent="0.25">
      <c r="E3045" s="31"/>
    </row>
    <row r="3046" spans="5:5" x14ac:dyDescent="0.25">
      <c r="E3046" s="31"/>
    </row>
    <row r="3047" spans="5:5" x14ac:dyDescent="0.25">
      <c r="E3047" s="31"/>
    </row>
    <row r="3048" spans="5:5" x14ac:dyDescent="0.25">
      <c r="E3048" s="31"/>
    </row>
    <row r="3049" spans="5:5" x14ac:dyDescent="0.25">
      <c r="E3049" s="31"/>
    </row>
    <row r="3050" spans="5:5" x14ac:dyDescent="0.25">
      <c r="E3050" s="31"/>
    </row>
    <row r="3051" spans="5:5" x14ac:dyDescent="0.25">
      <c r="E3051" s="31"/>
    </row>
    <row r="3052" spans="5:5" x14ac:dyDescent="0.25">
      <c r="E3052" s="31"/>
    </row>
    <row r="3053" spans="5:5" x14ac:dyDescent="0.25">
      <c r="E3053" s="31"/>
    </row>
    <row r="3054" spans="5:5" x14ac:dyDescent="0.25">
      <c r="E3054" s="31"/>
    </row>
    <row r="3055" spans="5:5" x14ac:dyDescent="0.25">
      <c r="E3055" s="31"/>
    </row>
    <row r="3056" spans="5:5" x14ac:dyDescent="0.25">
      <c r="E3056" s="31"/>
    </row>
    <row r="3057" spans="5:5" x14ac:dyDescent="0.25">
      <c r="E3057" s="31"/>
    </row>
    <row r="3058" spans="5:5" x14ac:dyDescent="0.25">
      <c r="E3058" s="31"/>
    </row>
    <row r="3059" spans="5:5" x14ac:dyDescent="0.25">
      <c r="E3059" s="31"/>
    </row>
    <row r="3060" spans="5:5" x14ac:dyDescent="0.25">
      <c r="E3060" s="31"/>
    </row>
    <row r="3061" spans="5:5" x14ac:dyDescent="0.25">
      <c r="E3061" s="31"/>
    </row>
    <row r="3062" spans="5:5" x14ac:dyDescent="0.25">
      <c r="E3062" s="31"/>
    </row>
    <row r="3063" spans="5:5" x14ac:dyDescent="0.25">
      <c r="E3063" s="31"/>
    </row>
    <row r="3064" spans="5:5" x14ac:dyDescent="0.25">
      <c r="E3064" s="31"/>
    </row>
    <row r="3065" spans="5:5" x14ac:dyDescent="0.25">
      <c r="E3065" s="31"/>
    </row>
  </sheetData>
  <mergeCells count="18">
    <mergeCell ref="A191:H191"/>
    <mergeCell ref="A192:H192"/>
    <mergeCell ref="A309:H309"/>
    <mergeCell ref="A310:H310"/>
    <mergeCell ref="G5:H5"/>
    <mergeCell ref="G6:H6"/>
    <mergeCell ref="G7:H7"/>
    <mergeCell ref="G9:H9"/>
    <mergeCell ref="A363:H363"/>
    <mergeCell ref="A364:H364"/>
    <mergeCell ref="A2:H2"/>
    <mergeCell ref="A70:H70"/>
    <mergeCell ref="A241:H241"/>
    <mergeCell ref="A242:H242"/>
    <mergeCell ref="A71:H71"/>
    <mergeCell ref="A3:H3"/>
    <mergeCell ref="A136:H136"/>
    <mergeCell ref="A137:H137"/>
  </mergeCells>
  <printOptions horizontalCentered="1"/>
  <pageMargins left="0.5" right="0.5" top="0.5" bottom="0.5" header="0.5" footer="0.5"/>
  <pageSetup scale="73" fitToHeight="7" orientation="portrait" r:id="rId1"/>
  <headerFooter alignWithMargins="0">
    <oddHeader xml:space="preserve">&amp;CATTACHMENT A </oddHeader>
    <oddFooter>&amp;L&amp;F&amp;C&amp;A&amp;RSDGE --- &amp;D</oddFooter>
  </headerFooter>
  <rowBreaks count="1" manualBreakCount="1">
    <brk id="23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45"/>
  <sheetViews>
    <sheetView zoomScaleNormal="100" workbookViewId="0">
      <selection activeCell="A17" sqref="A17:H17"/>
    </sheetView>
  </sheetViews>
  <sheetFormatPr defaultColWidth="1.88671875" defaultRowHeight="13.2" x14ac:dyDescent="0.25"/>
  <cols>
    <col min="1" max="1" width="58.6640625" style="6" customWidth="1"/>
    <col min="2" max="2" width="12.6640625" style="6" customWidth="1"/>
    <col min="3" max="3" width="11.6640625" style="6" customWidth="1"/>
    <col min="4" max="5" width="8.6640625" style="6" customWidth="1"/>
    <col min="6" max="6" width="9.6640625" style="6" customWidth="1"/>
    <col min="7" max="8" width="11.6640625" style="6" customWidth="1"/>
    <col min="9" max="11" width="1.88671875" style="6" customWidth="1"/>
    <col min="12" max="12" width="33" style="6" bestFit="1" customWidth="1"/>
    <col min="13" max="13" width="12.5546875" style="6" bestFit="1" customWidth="1"/>
    <col min="14" max="14" width="1.6640625" style="6" customWidth="1"/>
    <col min="15" max="15" width="15.33203125" style="6" bestFit="1" customWidth="1"/>
    <col min="16" max="16" width="11.109375" style="6" bestFit="1" customWidth="1"/>
    <col min="17" max="17" width="15.33203125" style="6" bestFit="1" customWidth="1"/>
    <col min="18" max="18" width="12" style="6" bestFit="1" customWidth="1"/>
    <col min="19" max="16384" width="1.88671875" style="6"/>
  </cols>
  <sheetData>
    <row r="1" spans="1:8" x14ac:dyDescent="0.25">
      <c r="H1" s="37" t="s">
        <v>12</v>
      </c>
    </row>
    <row r="2" spans="1:8" ht="21" x14ac:dyDescent="0.4">
      <c r="A2" s="229" t="s">
        <v>2</v>
      </c>
      <c r="B2" s="229"/>
      <c r="C2" s="229"/>
      <c r="D2" s="229"/>
      <c r="E2" s="229"/>
      <c r="F2" s="229"/>
      <c r="G2" s="229"/>
      <c r="H2" s="229"/>
    </row>
    <row r="3" spans="1:8" ht="21" x14ac:dyDescent="0.4">
      <c r="A3" s="229" t="s">
        <v>50</v>
      </c>
      <c r="B3" s="229"/>
      <c r="C3" s="229"/>
      <c r="D3" s="229"/>
      <c r="E3" s="229"/>
      <c r="F3" s="229"/>
      <c r="G3" s="229"/>
      <c r="H3" s="229"/>
    </row>
    <row r="4" spans="1:8" ht="13.8" thickBot="1" x14ac:dyDescent="0.3">
      <c r="A4" s="52"/>
      <c r="B4" s="52"/>
      <c r="C4" s="52"/>
      <c r="D4" s="52"/>
      <c r="E4" s="52"/>
      <c r="F4" s="52"/>
      <c r="G4" s="52"/>
      <c r="H4" s="52"/>
    </row>
    <row r="5" spans="1:8" x14ac:dyDescent="0.25">
      <c r="A5" s="55" t="s">
        <v>51</v>
      </c>
      <c r="B5" s="50"/>
      <c r="C5" s="51"/>
      <c r="D5" s="1"/>
      <c r="G5" s="230" t="s">
        <v>115</v>
      </c>
      <c r="H5" s="231"/>
    </row>
    <row r="6" spans="1:8" x14ac:dyDescent="0.25">
      <c r="A6" s="8"/>
      <c r="B6" s="28"/>
      <c r="C6" s="56"/>
      <c r="E6" s="54"/>
      <c r="F6" s="54"/>
      <c r="G6" s="232" t="s">
        <v>113</v>
      </c>
      <c r="H6" s="233"/>
    </row>
    <row r="7" spans="1:8" x14ac:dyDescent="0.25">
      <c r="A7" s="8" t="s">
        <v>52</v>
      </c>
      <c r="B7" s="28"/>
      <c r="C7" s="213">
        <f>G37-C37</f>
        <v>2.8392385566187297</v>
      </c>
      <c r="E7" s="33"/>
      <c r="F7" s="33"/>
      <c r="G7" s="234" t="s">
        <v>114</v>
      </c>
      <c r="H7" s="235"/>
    </row>
    <row r="8" spans="1:8" x14ac:dyDescent="0.25">
      <c r="A8" s="8"/>
      <c r="B8" s="28"/>
      <c r="C8" s="29"/>
      <c r="E8" s="33"/>
      <c r="F8" s="33"/>
      <c r="G8" s="197"/>
      <c r="H8" s="196"/>
    </row>
    <row r="9" spans="1:8" ht="13.8" thickBot="1" x14ac:dyDescent="0.3">
      <c r="A9" s="40" t="s">
        <v>53</v>
      </c>
      <c r="B9" s="30"/>
      <c r="C9" s="199">
        <f>E37</f>
        <v>2.6995822324576944</v>
      </c>
      <c r="E9" s="33"/>
      <c r="F9" s="33"/>
      <c r="G9" s="236">
        <f>Agricultural!G48-Agricultural!C48</f>
        <v>2.9094911132643055</v>
      </c>
      <c r="H9" s="237"/>
    </row>
    <row r="10" spans="1:8" ht="13.8" thickBot="1" x14ac:dyDescent="0.3">
      <c r="A10" s="5"/>
      <c r="B10" s="27"/>
      <c r="C10" s="84"/>
      <c r="E10" s="33"/>
      <c r="F10" s="33"/>
      <c r="G10" s="198"/>
      <c r="H10" s="195"/>
    </row>
    <row r="11" spans="1:8" x14ac:dyDescent="0.25">
      <c r="A11" s="8" t="s">
        <v>85</v>
      </c>
      <c r="B11" s="28"/>
      <c r="C11" s="29"/>
      <c r="E11" s="33"/>
      <c r="F11" s="33"/>
      <c r="G11" s="28"/>
      <c r="H11" s="34"/>
    </row>
    <row r="12" spans="1:8" x14ac:dyDescent="0.25">
      <c r="A12" s="35" t="s">
        <v>117</v>
      </c>
      <c r="B12" s="28"/>
      <c r="C12" s="163">
        <f>O26*100</f>
        <v>15.991749499493773</v>
      </c>
      <c r="E12" s="220"/>
      <c r="F12" s="33"/>
      <c r="G12" s="28"/>
      <c r="H12" s="34"/>
    </row>
    <row r="13" spans="1:8" x14ac:dyDescent="0.25">
      <c r="A13" s="35" t="s">
        <v>119</v>
      </c>
      <c r="B13" s="28"/>
      <c r="C13" s="163">
        <f>O27*100</f>
        <v>7.9958747497468865</v>
      </c>
      <c r="E13" s="33"/>
      <c r="F13" s="33"/>
      <c r="G13" s="28"/>
      <c r="H13" s="34"/>
    </row>
    <row r="14" spans="1:8" x14ac:dyDescent="0.25">
      <c r="A14" s="35"/>
      <c r="B14" s="28"/>
      <c r="C14" s="29"/>
      <c r="E14" s="33"/>
      <c r="F14" s="33"/>
      <c r="G14" s="28"/>
      <c r="H14" s="34"/>
    </row>
    <row r="15" spans="1:8" ht="15.6" thickBot="1" x14ac:dyDescent="0.3">
      <c r="A15" s="40" t="s">
        <v>95</v>
      </c>
      <c r="B15" s="62"/>
      <c r="C15" s="122">
        <v>2</v>
      </c>
      <c r="E15" s="33"/>
      <c r="F15" s="33"/>
      <c r="G15" s="28"/>
      <c r="H15" s="34"/>
    </row>
    <row r="16" spans="1:8" ht="13.8" thickBot="1" x14ac:dyDescent="0.3">
      <c r="A16" s="85"/>
      <c r="B16" s="28"/>
      <c r="C16" s="39"/>
      <c r="E16" s="33"/>
      <c r="F16" s="33"/>
      <c r="G16" s="28"/>
      <c r="H16" s="34"/>
    </row>
    <row r="17" spans="1:18" ht="53.4" thickBot="1" x14ac:dyDescent="0.3">
      <c r="A17" s="2" t="s">
        <v>0</v>
      </c>
      <c r="B17" s="9" t="s">
        <v>30</v>
      </c>
      <c r="C17" s="9" t="s">
        <v>121</v>
      </c>
      <c r="D17" s="9" t="s">
        <v>35</v>
      </c>
      <c r="E17" s="9" t="s">
        <v>122</v>
      </c>
      <c r="F17" s="9" t="s">
        <v>1</v>
      </c>
      <c r="G17" s="9" t="s">
        <v>31</v>
      </c>
      <c r="H17" s="3" t="s">
        <v>32</v>
      </c>
    </row>
    <row r="18" spans="1:18" x14ac:dyDescent="0.25">
      <c r="A18" s="10"/>
      <c r="B18" s="11"/>
      <c r="C18" s="11"/>
      <c r="D18" s="11"/>
      <c r="E18" s="11"/>
      <c r="F18" s="11"/>
      <c r="G18" s="11"/>
      <c r="H18" s="10"/>
      <c r="L18" s="221"/>
      <c r="M18" s="28"/>
      <c r="N18" s="28"/>
      <c r="O18" s="28"/>
      <c r="P18" s="28"/>
      <c r="Q18" s="28"/>
    </row>
    <row r="19" spans="1:18" x14ac:dyDescent="0.25">
      <c r="A19" s="36" t="s">
        <v>54</v>
      </c>
      <c r="B19" s="13"/>
      <c r="C19" s="14"/>
      <c r="D19" s="15"/>
      <c r="E19" s="16"/>
      <c r="F19" s="16"/>
      <c r="G19" s="14"/>
      <c r="H19" s="10"/>
      <c r="L19" s="222"/>
      <c r="M19" s="28"/>
      <c r="N19" s="28"/>
      <c r="O19" s="28"/>
      <c r="P19" s="41"/>
      <c r="Q19" s="223"/>
    </row>
    <row r="20" spans="1:18" x14ac:dyDescent="0.25">
      <c r="A20" s="65" t="s">
        <v>55</v>
      </c>
      <c r="B20" s="68"/>
      <c r="C20" s="215">
        <f>D20/B24*100</f>
        <v>0.5025204498105883</v>
      </c>
      <c r="D20" s="107">
        <v>0.47512680505664007</v>
      </c>
      <c r="E20" s="107">
        <f>F20-D20</f>
        <v>0</v>
      </c>
      <c r="F20" s="107">
        <v>0.47512680505664007</v>
      </c>
      <c r="G20" s="215">
        <f>F20/B24*100</f>
        <v>0.5025204498105883</v>
      </c>
      <c r="H20" s="18"/>
      <c r="L20" s="224"/>
      <c r="M20" s="28"/>
      <c r="N20" s="28"/>
      <c r="O20" s="28"/>
      <c r="P20" s="41"/>
      <c r="Q20" s="212"/>
    </row>
    <row r="21" spans="1:18" x14ac:dyDescent="0.25">
      <c r="A21" s="74"/>
      <c r="B21" s="68"/>
      <c r="C21" s="68"/>
      <c r="D21" s="143"/>
      <c r="E21" s="107"/>
      <c r="F21" s="107"/>
      <c r="G21" s="124"/>
      <c r="H21" s="18"/>
      <c r="L21" s="189"/>
      <c r="M21" s="28"/>
      <c r="N21" s="28"/>
      <c r="O21" s="28"/>
      <c r="P21" s="41"/>
      <c r="Q21" s="212"/>
    </row>
    <row r="22" spans="1:18" x14ac:dyDescent="0.25">
      <c r="A22" s="52" t="s">
        <v>3</v>
      </c>
      <c r="B22" s="68">
        <f>95.0238696*0.995</f>
        <v>94.548750251999991</v>
      </c>
      <c r="C22" s="76">
        <f>6.242+6.5</f>
        <v>12.742000000000001</v>
      </c>
      <c r="D22" s="143">
        <f>C22*B22/100</f>
        <v>12.04740175710984</v>
      </c>
      <c r="E22" s="107">
        <f>('Large C&amp;I (ABX1 43)'!L52-0.00719)*B22</f>
        <v>2.684690003871431</v>
      </c>
      <c r="F22" s="107">
        <f>D22+E22</f>
        <v>14.732091760981271</v>
      </c>
      <c r="G22" s="76">
        <f>F22/B22*100</f>
        <v>15.581476985910392</v>
      </c>
      <c r="H22" s="19"/>
      <c r="L22" s="28"/>
      <c r="M22" s="28"/>
      <c r="N22" s="28"/>
      <c r="O22" s="28"/>
      <c r="P22" s="28"/>
      <c r="Q22" s="28"/>
    </row>
    <row r="23" spans="1:18" x14ac:dyDescent="0.25">
      <c r="A23" s="12"/>
      <c r="B23" s="68"/>
      <c r="C23" s="76"/>
      <c r="D23" s="143"/>
      <c r="E23" s="107"/>
      <c r="F23" s="107"/>
      <c r="G23" s="76"/>
      <c r="H23" s="19"/>
    </row>
    <row r="24" spans="1:18" ht="13.8" thickBot="1" x14ac:dyDescent="0.3">
      <c r="A24" s="105" t="s">
        <v>56</v>
      </c>
      <c r="B24" s="120">
        <f>B22</f>
        <v>94.548750251999991</v>
      </c>
      <c r="C24" s="165">
        <f>D24/B24*100</f>
        <v>13.24452044981059</v>
      </c>
      <c r="D24" s="205">
        <f>D20+D22</f>
        <v>12.52252856216648</v>
      </c>
      <c r="E24" s="205">
        <f>E20+E22</f>
        <v>2.684690003871431</v>
      </c>
      <c r="F24" s="205">
        <f>SUM(F20:F22)</f>
        <v>15.207218566037911</v>
      </c>
      <c r="G24" s="165">
        <f>F24/B24*100</f>
        <v>16.083997435720978</v>
      </c>
      <c r="H24" s="77">
        <f>(G24-C24)/C24</f>
        <v>0.21438881057796205</v>
      </c>
      <c r="M24" s="90" t="s">
        <v>94</v>
      </c>
      <c r="N24" s="73"/>
      <c r="O24" s="90" t="s">
        <v>65</v>
      </c>
      <c r="Q24" s="6" t="s">
        <v>66</v>
      </c>
    </row>
    <row r="25" spans="1:18" ht="13.8" thickTop="1" x14ac:dyDescent="0.25">
      <c r="A25" s="12"/>
      <c r="B25" s="127"/>
      <c r="C25" s="171"/>
      <c r="D25" s="22"/>
      <c r="E25" s="22"/>
      <c r="F25" s="22"/>
      <c r="G25" s="171"/>
      <c r="H25" s="21"/>
      <c r="M25" s="91" t="s">
        <v>67</v>
      </c>
      <c r="N25" s="93"/>
      <c r="O25" s="91" t="s">
        <v>68</v>
      </c>
      <c r="Q25" s="91" t="s">
        <v>69</v>
      </c>
    </row>
    <row r="26" spans="1:18" x14ac:dyDescent="0.25">
      <c r="A26" s="45"/>
      <c r="B26" s="70"/>
      <c r="C26" s="172"/>
      <c r="D26" s="143"/>
      <c r="E26" s="155"/>
      <c r="F26" s="218"/>
      <c r="G26" s="172"/>
      <c r="H26" s="23"/>
      <c r="L26" s="44" t="s">
        <v>76</v>
      </c>
      <c r="M26" s="113">
        <f>B31</f>
        <v>0.13992995778299999</v>
      </c>
      <c r="O26" s="142">
        <f>O27*2</f>
        <v>0.15991749499493774</v>
      </c>
      <c r="Q26" s="82">
        <f>O26*M26</f>
        <v>2.237724832340475E-2</v>
      </c>
      <c r="R26" s="82"/>
    </row>
    <row r="27" spans="1:18" x14ac:dyDescent="0.25">
      <c r="A27" s="10" t="s">
        <v>60</v>
      </c>
      <c r="B27" s="70"/>
      <c r="C27" s="172"/>
      <c r="D27" s="143"/>
      <c r="E27" s="155"/>
      <c r="F27" s="107"/>
      <c r="G27" s="172"/>
      <c r="H27" s="23"/>
      <c r="L27" s="44" t="s">
        <v>78</v>
      </c>
      <c r="M27" s="113">
        <f>B32</f>
        <v>0.39252479021699999</v>
      </c>
      <c r="O27" s="142">
        <f>0.095*R34</f>
        <v>7.9958747497468868E-2</v>
      </c>
      <c r="Q27" s="114">
        <f>O27*M27</f>
        <v>3.1385790587458037E-2</v>
      </c>
    </row>
    <row r="28" spans="1:18" x14ac:dyDescent="0.25">
      <c r="A28" s="65" t="s">
        <v>61</v>
      </c>
      <c r="B28" s="70"/>
      <c r="C28" s="216">
        <f>D28/B34*100</f>
        <v>0.44813075608070269</v>
      </c>
      <c r="D28" s="143">
        <v>2.3860934879999999E-3</v>
      </c>
      <c r="E28" s="107">
        <f>F28-D28</f>
        <v>0</v>
      </c>
      <c r="F28" s="107">
        <v>2.3860934879999999E-3</v>
      </c>
      <c r="G28" s="216">
        <f>F28/B34*100</f>
        <v>0.44813075608070269</v>
      </c>
      <c r="H28" s="23"/>
      <c r="L28" s="44"/>
      <c r="M28" s="113">
        <f>SUM(M26:M27)</f>
        <v>0.53245474799999992</v>
      </c>
      <c r="Q28" s="113">
        <f>SUM(Q26:Q27)</f>
        <v>5.3763038910862787E-2</v>
      </c>
    </row>
    <row r="29" spans="1:18" x14ac:dyDescent="0.25">
      <c r="A29" s="65"/>
      <c r="B29" s="70"/>
      <c r="C29" s="172"/>
      <c r="D29" s="143"/>
      <c r="E29" s="155"/>
      <c r="F29" s="107"/>
      <c r="G29" s="172"/>
      <c r="H29" s="23"/>
      <c r="L29" s="44"/>
    </row>
    <row r="30" spans="1:18" x14ac:dyDescent="0.25">
      <c r="A30" s="52" t="s">
        <v>3</v>
      </c>
      <c r="B30" s="70"/>
      <c r="C30" s="172"/>
      <c r="D30" s="143"/>
      <c r="E30" s="107"/>
      <c r="F30" s="107"/>
      <c r="G30" s="166"/>
      <c r="H30" s="18"/>
      <c r="L30" s="21" t="s">
        <v>70</v>
      </c>
      <c r="M30" s="149">
        <f>M28</f>
        <v>0.53245474799999992</v>
      </c>
      <c r="N30" s="94"/>
      <c r="O30" s="152">
        <f>0.065+'Large C&amp;I (ABX1 43)'!L52</f>
        <v>0.10058476985910389</v>
      </c>
      <c r="P30" s="95"/>
      <c r="Q30" s="159">
        <f>M30*O30</f>
        <v>5.3556838287967153E-2</v>
      </c>
      <c r="R30" s="82"/>
    </row>
    <row r="31" spans="1:18" x14ac:dyDescent="0.25">
      <c r="A31" s="37" t="s">
        <v>42</v>
      </c>
      <c r="B31" s="67">
        <f>0.1406331234*0.995</f>
        <v>0.13992995778299999</v>
      </c>
      <c r="C31" s="168">
        <f>7.346+6.5</f>
        <v>13.846</v>
      </c>
      <c r="D31" s="143">
        <f>C31*B31/100</f>
        <v>1.9374701954634178E-2</v>
      </c>
      <c r="E31" s="226">
        <f>((O26-0.065)-0.0148)*B31</f>
        <v>1.1210837692321349E-2</v>
      </c>
      <c r="F31" s="107">
        <f>D31+E31</f>
        <v>3.0585539646955526E-2</v>
      </c>
      <c r="G31" s="76">
        <f>F31/B31*100</f>
        <v>21.857749499493771</v>
      </c>
      <c r="H31" s="217"/>
      <c r="L31" s="21"/>
      <c r="M31" s="94"/>
      <c r="N31" s="94"/>
      <c r="O31" s="17"/>
      <c r="P31" s="95"/>
      <c r="R31" s="82"/>
    </row>
    <row r="32" spans="1:18" x14ac:dyDescent="0.25">
      <c r="A32" s="37" t="s">
        <v>11</v>
      </c>
      <c r="B32" s="67">
        <f>0.3944972766*0.995</f>
        <v>0.39252479021699999</v>
      </c>
      <c r="C32" s="168">
        <f>6.424+6.5</f>
        <v>12.923999999999999</v>
      </c>
      <c r="D32" s="143">
        <f>C32*B32/100</f>
        <v>5.0729903887645075E-2</v>
      </c>
      <c r="E32" s="226">
        <f>((O27-0.065)-0.00558)*B32</f>
        <v>3.6813908939421804E-3</v>
      </c>
      <c r="F32" s="107">
        <f>D32+E32</f>
        <v>5.4411294781587252E-2</v>
      </c>
      <c r="G32" s="76">
        <f>F32/B32*100</f>
        <v>13.861874749746885</v>
      </c>
      <c r="H32" s="218"/>
      <c r="L32" s="96" t="s">
        <v>71</v>
      </c>
      <c r="M32" s="97"/>
      <c r="N32" s="97"/>
      <c r="O32" s="97"/>
      <c r="P32" s="97"/>
      <c r="Q32" s="97"/>
      <c r="R32" s="98">
        <f>Q28-Q30</f>
        <v>2.0620062289563451E-4</v>
      </c>
    </row>
    <row r="33" spans="1:18" x14ac:dyDescent="0.25">
      <c r="A33" s="42"/>
      <c r="B33" s="70"/>
      <c r="C33" s="172"/>
      <c r="D33" s="143"/>
      <c r="E33" s="107"/>
      <c r="F33" s="107"/>
      <c r="G33" s="76"/>
      <c r="H33" s="19"/>
      <c r="L33" s="99" t="s">
        <v>72</v>
      </c>
      <c r="M33" s="28"/>
      <c r="N33" s="28"/>
      <c r="O33" s="28"/>
      <c r="P33" s="28"/>
      <c r="Q33" s="28"/>
      <c r="R33" s="100">
        <f>R28-R32</f>
        <v>-2.0620062289563451E-4</v>
      </c>
    </row>
    <row r="34" spans="1:18" ht="13.8" thickBot="1" x14ac:dyDescent="0.3">
      <c r="A34" s="105" t="s">
        <v>62</v>
      </c>
      <c r="B34" s="129">
        <f>B31+B32</f>
        <v>0.53245474799999992</v>
      </c>
      <c r="C34" s="165">
        <f>D34/B34*100</f>
        <v>13.614433827957765</v>
      </c>
      <c r="D34" s="157">
        <f>SUM(D28:D32)</f>
        <v>7.2490699330279254E-2</v>
      </c>
      <c r="E34" s="157">
        <f>SUM(E28:E32)</f>
        <v>1.4892228586263529E-2</v>
      </c>
      <c r="F34" s="205">
        <f>SUM(F28:F32)</f>
        <v>8.7382927916542785E-2</v>
      </c>
      <c r="G34" s="165">
        <f>F34/B34*100</f>
        <v>16.41133415464309</v>
      </c>
      <c r="H34" s="77">
        <f>(G34-C34)/C34</f>
        <v>0.20543640389523818</v>
      </c>
      <c r="L34" s="99" t="s">
        <v>73</v>
      </c>
      <c r="M34" s="28"/>
      <c r="N34" s="28"/>
      <c r="O34" s="28"/>
      <c r="P34" s="28"/>
      <c r="Q34" s="92"/>
      <c r="R34" s="219">
        <v>0.84167102628914603</v>
      </c>
    </row>
    <row r="35" spans="1:18" ht="13.8" thickTop="1" x14ac:dyDescent="0.25">
      <c r="A35" s="12"/>
      <c r="B35" s="70"/>
      <c r="D35" s="209"/>
      <c r="E35" s="22"/>
      <c r="F35" s="22"/>
      <c r="G35" s="171"/>
      <c r="H35" s="21"/>
      <c r="L35" s="99"/>
      <c r="M35" s="28"/>
      <c r="N35" s="28"/>
      <c r="O35" s="28"/>
      <c r="P35" s="28"/>
      <c r="Q35" s="92"/>
      <c r="R35" s="101"/>
    </row>
    <row r="36" spans="1:18" ht="13.8" thickBot="1" x14ac:dyDescent="0.3">
      <c r="A36" s="12"/>
      <c r="B36" s="70"/>
      <c r="C36" s="172"/>
      <c r="D36" s="143"/>
      <c r="E36" s="155"/>
      <c r="F36" s="107"/>
      <c r="G36" s="173"/>
      <c r="H36" s="58"/>
      <c r="L36" s="102" t="s">
        <v>74</v>
      </c>
      <c r="M36" s="103"/>
      <c r="N36" s="103"/>
      <c r="O36" s="103"/>
      <c r="P36" s="103"/>
      <c r="Q36" s="103"/>
      <c r="R36" s="104"/>
    </row>
    <row r="37" spans="1:18" ht="13.8" thickBot="1" x14ac:dyDescent="0.3">
      <c r="A37" s="86" t="s">
        <v>63</v>
      </c>
      <c r="B37" s="87">
        <f>B24+B34</f>
        <v>95.081204999999997</v>
      </c>
      <c r="C37" s="183">
        <f>D37/B37*100</f>
        <v>13.246591964728212</v>
      </c>
      <c r="D37" s="210">
        <f>D24+D34</f>
        <v>12.595019261496759</v>
      </c>
      <c r="E37" s="210">
        <f>E24+E34</f>
        <v>2.6995822324576944</v>
      </c>
      <c r="F37" s="210">
        <f>F24+F34</f>
        <v>15.294601493954454</v>
      </c>
      <c r="G37" s="184">
        <f>F37/B37*100</f>
        <v>16.085830521346942</v>
      </c>
      <c r="H37" s="154">
        <f>(G37-C37)/C37</f>
        <v>0.21433728495440857</v>
      </c>
    </row>
    <row r="38" spans="1:18" x14ac:dyDescent="0.25">
      <c r="A38" s="153"/>
      <c r="B38" s="145"/>
      <c r="C38" s="171"/>
      <c r="D38" s="211"/>
      <c r="E38" s="211"/>
      <c r="F38" s="211"/>
      <c r="G38" s="174"/>
      <c r="H38" s="21"/>
    </row>
    <row r="39" spans="1:18" x14ac:dyDescent="0.25">
      <c r="A39" s="153"/>
      <c r="B39" s="145"/>
      <c r="C39" s="171"/>
      <c r="D39" s="211"/>
      <c r="E39" s="211"/>
      <c r="F39" s="211"/>
      <c r="G39" s="174"/>
      <c r="H39" s="21"/>
    </row>
    <row r="40" spans="1:18" x14ac:dyDescent="0.25">
      <c r="A40" s="153"/>
      <c r="B40" s="145"/>
      <c r="C40" s="171"/>
      <c r="D40" s="211"/>
      <c r="E40" s="211"/>
      <c r="F40" s="211"/>
      <c r="G40" s="174"/>
      <c r="H40" s="21"/>
    </row>
    <row r="41" spans="1:18" x14ac:dyDescent="0.25">
      <c r="A41" s="141" t="s">
        <v>84</v>
      </c>
      <c r="B41" s="13"/>
      <c r="C41" s="170"/>
      <c r="D41" s="143"/>
      <c r="E41" s="107"/>
      <c r="F41" s="107"/>
      <c r="G41" s="185"/>
      <c r="H41" s="12"/>
    </row>
    <row r="42" spans="1:18" x14ac:dyDescent="0.25">
      <c r="A42" s="28" t="s">
        <v>97</v>
      </c>
      <c r="B42" s="28"/>
      <c r="C42" s="174"/>
      <c r="D42" s="22"/>
      <c r="E42" s="22"/>
      <c r="F42" s="22"/>
      <c r="G42" s="174"/>
      <c r="H42" s="21"/>
    </row>
    <row r="43" spans="1:18" x14ac:dyDescent="0.25">
      <c r="A43" s="141" t="s">
        <v>111</v>
      </c>
      <c r="B43" s="28"/>
      <c r="C43" s="174"/>
      <c r="D43" s="22"/>
      <c r="E43" s="22"/>
      <c r="F43" s="22"/>
      <c r="G43" s="174"/>
      <c r="H43" s="21"/>
    </row>
    <row r="44" spans="1:18" x14ac:dyDescent="0.25">
      <c r="A44" s="141" t="s">
        <v>112</v>
      </c>
      <c r="B44" s="28"/>
      <c r="C44" s="174"/>
      <c r="D44" s="22"/>
      <c r="E44" s="22"/>
      <c r="F44" s="22"/>
      <c r="G44" s="174"/>
      <c r="H44" s="21"/>
    </row>
    <row r="45" spans="1:18" x14ac:dyDescent="0.25">
      <c r="A45" s="28"/>
      <c r="B45" s="28"/>
      <c r="C45" s="174"/>
      <c r="D45" s="22"/>
      <c r="E45" s="22"/>
      <c r="F45" s="22"/>
      <c r="G45" s="174"/>
      <c r="H45" s="21"/>
    </row>
    <row r="46" spans="1:18" x14ac:dyDescent="0.25">
      <c r="C46" s="81"/>
      <c r="D46" s="212"/>
      <c r="E46" s="108"/>
      <c r="F46" s="212"/>
      <c r="G46" s="81"/>
      <c r="H46" s="28"/>
    </row>
    <row r="47" spans="1:18" ht="13.8" thickBot="1" x14ac:dyDescent="0.3">
      <c r="C47" s="81"/>
      <c r="D47" s="212"/>
      <c r="E47" s="108"/>
      <c r="F47" s="212"/>
      <c r="G47" s="81"/>
      <c r="H47" s="28"/>
    </row>
    <row r="48" spans="1:18" ht="13.8" thickBot="1" x14ac:dyDescent="0.3">
      <c r="A48" s="86" t="s">
        <v>98</v>
      </c>
      <c r="B48" s="87">
        <f>'Large C&amp;I (ABX1 43)'!B396+B37</f>
        <v>5496.3449017549374</v>
      </c>
      <c r="C48" s="183">
        <f>D48/B48*100</f>
        <v>10.11441856449839</v>
      </c>
      <c r="D48" s="210">
        <f>'Large C&amp;I (ABX1 43)'!D396+D37</f>
        <v>555.92332911196218</v>
      </c>
      <c r="E48" s="210">
        <f>'Large C&amp;I (ABX1 43)'!E396+Agricultural!E37</f>
        <v>159.91566647091582</v>
      </c>
      <c r="F48" s="210">
        <f>'Large C&amp;I (ABX1 43)'!F396+Agricultural!F37</f>
        <v>715.83899558287783</v>
      </c>
      <c r="G48" s="183">
        <f>F48/B48*100</f>
        <v>13.023909677762695</v>
      </c>
      <c r="H48" s="88">
        <f>(G48-C48)/C48</f>
        <v>0.2876577723880856</v>
      </c>
    </row>
    <row r="49" spans="1:8" x14ac:dyDescent="0.25">
      <c r="A49" s="28"/>
      <c r="B49" s="28"/>
      <c r="C49" s="188"/>
      <c r="D49" s="28"/>
      <c r="E49" s="38"/>
      <c r="F49" s="28"/>
      <c r="G49" s="28"/>
      <c r="H49" s="28"/>
    </row>
    <row r="50" spans="1:8" x14ac:dyDescent="0.25">
      <c r="A50" s="28"/>
      <c r="B50" s="28"/>
      <c r="C50" s="81"/>
      <c r="D50" s="189"/>
      <c r="E50" s="225"/>
      <c r="F50" s="28"/>
      <c r="G50" s="81"/>
      <c r="H50" s="28"/>
    </row>
    <row r="51" spans="1:8" x14ac:dyDescent="0.25">
      <c r="A51" s="28"/>
      <c r="B51" s="28"/>
      <c r="C51" s="28"/>
      <c r="D51" s="190"/>
      <c r="E51" s="38"/>
      <c r="F51" s="28"/>
      <c r="G51" s="81"/>
      <c r="H51" s="28"/>
    </row>
    <row r="52" spans="1:8" x14ac:dyDescent="0.25">
      <c r="A52" s="28"/>
      <c r="B52" s="28"/>
      <c r="C52" s="28"/>
      <c r="D52" s="28"/>
      <c r="E52" s="211"/>
      <c r="F52" s="28"/>
      <c r="G52" s="194"/>
      <c r="H52" s="28"/>
    </row>
    <row r="53" spans="1:8" x14ac:dyDescent="0.25">
      <c r="D53" s="191"/>
      <c r="E53" s="204"/>
    </row>
    <row r="54" spans="1:8" x14ac:dyDescent="0.25">
      <c r="D54" s="191"/>
      <c r="E54" s="31"/>
    </row>
    <row r="55" spans="1:8" x14ac:dyDescent="0.25">
      <c r="E55" s="31"/>
    </row>
    <row r="56" spans="1:8" x14ac:dyDescent="0.25">
      <c r="E56" s="204"/>
    </row>
    <row r="57" spans="1:8" x14ac:dyDescent="0.25">
      <c r="E57" s="31"/>
    </row>
    <row r="58" spans="1:8" x14ac:dyDescent="0.25">
      <c r="E58" s="31"/>
    </row>
    <row r="59" spans="1:8" x14ac:dyDescent="0.25">
      <c r="E59" s="31"/>
    </row>
    <row r="60" spans="1:8" x14ac:dyDescent="0.25">
      <c r="E60" s="31"/>
    </row>
    <row r="61" spans="1:8" x14ac:dyDescent="0.25">
      <c r="E61" s="31"/>
    </row>
    <row r="62" spans="1:8" x14ac:dyDescent="0.25">
      <c r="E62" s="31"/>
    </row>
    <row r="63" spans="1:8" x14ac:dyDescent="0.25">
      <c r="E63" s="31"/>
    </row>
    <row r="64" spans="1:8" x14ac:dyDescent="0.25">
      <c r="E64" s="31"/>
    </row>
    <row r="65" spans="5:5" x14ac:dyDescent="0.25">
      <c r="E65" s="31"/>
    </row>
    <row r="66" spans="5:5" x14ac:dyDescent="0.25">
      <c r="E66" s="31"/>
    </row>
    <row r="67" spans="5:5" x14ac:dyDescent="0.25">
      <c r="E67" s="31"/>
    </row>
    <row r="68" spans="5:5" x14ac:dyDescent="0.25">
      <c r="E68" s="31"/>
    </row>
    <row r="69" spans="5:5" x14ac:dyDescent="0.25">
      <c r="E69" s="31"/>
    </row>
    <row r="70" spans="5:5" x14ac:dyDescent="0.25">
      <c r="E70" s="31"/>
    </row>
    <row r="71" spans="5:5" x14ac:dyDescent="0.25">
      <c r="E71" s="31"/>
    </row>
    <row r="72" spans="5:5" x14ac:dyDescent="0.25">
      <c r="E72" s="31"/>
    </row>
    <row r="73" spans="5:5" x14ac:dyDescent="0.25">
      <c r="E73" s="31"/>
    </row>
    <row r="74" spans="5:5" x14ac:dyDescent="0.25">
      <c r="E74" s="31"/>
    </row>
    <row r="75" spans="5:5" x14ac:dyDescent="0.25">
      <c r="E75" s="31"/>
    </row>
    <row r="76" spans="5:5" x14ac:dyDescent="0.25">
      <c r="E76" s="31"/>
    </row>
    <row r="77" spans="5:5" x14ac:dyDescent="0.25">
      <c r="E77" s="31"/>
    </row>
    <row r="78" spans="5:5" x14ac:dyDescent="0.25">
      <c r="E78" s="31"/>
    </row>
    <row r="79" spans="5:5" x14ac:dyDescent="0.25">
      <c r="E79" s="31"/>
    </row>
    <row r="80" spans="5:5" x14ac:dyDescent="0.25">
      <c r="E80" s="31"/>
    </row>
    <row r="81" spans="5:5" x14ac:dyDescent="0.25">
      <c r="E81" s="31"/>
    </row>
    <row r="82" spans="5:5" x14ac:dyDescent="0.25">
      <c r="E82" s="31"/>
    </row>
    <row r="83" spans="5:5" x14ac:dyDescent="0.25">
      <c r="E83" s="31"/>
    </row>
    <row r="84" spans="5:5" x14ac:dyDescent="0.25">
      <c r="E84" s="31"/>
    </row>
    <row r="85" spans="5:5" x14ac:dyDescent="0.25">
      <c r="E85" s="31"/>
    </row>
    <row r="86" spans="5:5" x14ac:dyDescent="0.25">
      <c r="E86" s="31"/>
    </row>
    <row r="87" spans="5:5" x14ac:dyDescent="0.25">
      <c r="E87" s="31"/>
    </row>
    <row r="88" spans="5:5" x14ac:dyDescent="0.25">
      <c r="E88" s="31"/>
    </row>
    <row r="89" spans="5:5" x14ac:dyDescent="0.25">
      <c r="E89" s="31"/>
    </row>
    <row r="90" spans="5:5" x14ac:dyDescent="0.25">
      <c r="E90" s="31"/>
    </row>
    <row r="91" spans="5:5" x14ac:dyDescent="0.25">
      <c r="E91" s="31"/>
    </row>
    <row r="92" spans="5:5" x14ac:dyDescent="0.25">
      <c r="E92" s="31"/>
    </row>
    <row r="93" spans="5:5" x14ac:dyDescent="0.25">
      <c r="E93" s="31"/>
    </row>
    <row r="94" spans="5:5" x14ac:dyDescent="0.25">
      <c r="E94" s="31"/>
    </row>
    <row r="95" spans="5:5" x14ac:dyDescent="0.25">
      <c r="E95" s="31"/>
    </row>
    <row r="96" spans="5:5" x14ac:dyDescent="0.25">
      <c r="E96" s="31"/>
    </row>
    <row r="97" spans="5:5" x14ac:dyDescent="0.25">
      <c r="E97" s="31"/>
    </row>
    <row r="98" spans="5:5" x14ac:dyDescent="0.25">
      <c r="E98" s="31"/>
    </row>
    <row r="99" spans="5:5" x14ac:dyDescent="0.25">
      <c r="E99" s="31"/>
    </row>
    <row r="100" spans="5:5" x14ac:dyDescent="0.25">
      <c r="E100" s="31"/>
    </row>
    <row r="101" spans="5:5" x14ac:dyDescent="0.25">
      <c r="E101" s="31"/>
    </row>
    <row r="102" spans="5:5" x14ac:dyDescent="0.25">
      <c r="E102" s="31"/>
    </row>
    <row r="103" spans="5:5" x14ac:dyDescent="0.25">
      <c r="E103" s="31"/>
    </row>
    <row r="104" spans="5:5" x14ac:dyDescent="0.25">
      <c r="E104" s="31"/>
    </row>
    <row r="105" spans="5:5" x14ac:dyDescent="0.25">
      <c r="E105" s="31"/>
    </row>
    <row r="106" spans="5:5" x14ac:dyDescent="0.25">
      <c r="E106" s="31"/>
    </row>
    <row r="107" spans="5:5" x14ac:dyDescent="0.25">
      <c r="E107" s="31"/>
    </row>
    <row r="108" spans="5:5" x14ac:dyDescent="0.25">
      <c r="E108" s="31"/>
    </row>
    <row r="109" spans="5:5" x14ac:dyDescent="0.25">
      <c r="E109" s="31"/>
    </row>
    <row r="110" spans="5:5" x14ac:dyDescent="0.25">
      <c r="E110" s="31"/>
    </row>
    <row r="111" spans="5:5" x14ac:dyDescent="0.25">
      <c r="E111" s="31"/>
    </row>
    <row r="112" spans="5:5" x14ac:dyDescent="0.25">
      <c r="E112" s="31"/>
    </row>
    <row r="113" spans="5:5" x14ac:dyDescent="0.25">
      <c r="E113" s="31"/>
    </row>
    <row r="114" spans="5:5" x14ac:dyDescent="0.25">
      <c r="E114" s="31"/>
    </row>
    <row r="115" spans="5:5" x14ac:dyDescent="0.25">
      <c r="E115" s="31"/>
    </row>
    <row r="116" spans="5:5" x14ac:dyDescent="0.25">
      <c r="E116" s="31"/>
    </row>
    <row r="117" spans="5:5" x14ac:dyDescent="0.25">
      <c r="E117" s="31"/>
    </row>
    <row r="118" spans="5:5" x14ac:dyDescent="0.25">
      <c r="E118" s="31"/>
    </row>
    <row r="119" spans="5:5" x14ac:dyDescent="0.25">
      <c r="E119" s="31"/>
    </row>
    <row r="120" spans="5:5" x14ac:dyDescent="0.25">
      <c r="E120" s="31"/>
    </row>
    <row r="121" spans="5:5" x14ac:dyDescent="0.25">
      <c r="E121" s="31"/>
    </row>
    <row r="122" spans="5:5" x14ac:dyDescent="0.25">
      <c r="E122" s="31"/>
    </row>
    <row r="123" spans="5:5" x14ac:dyDescent="0.25">
      <c r="E123" s="31"/>
    </row>
    <row r="124" spans="5:5" x14ac:dyDescent="0.25">
      <c r="E124" s="31"/>
    </row>
    <row r="125" spans="5:5" x14ac:dyDescent="0.25">
      <c r="E125" s="31"/>
    </row>
    <row r="126" spans="5:5" x14ac:dyDescent="0.25">
      <c r="E126" s="31"/>
    </row>
    <row r="127" spans="5:5" x14ac:dyDescent="0.25">
      <c r="E127" s="31"/>
    </row>
    <row r="128" spans="5:5" x14ac:dyDescent="0.25">
      <c r="E128" s="31"/>
    </row>
    <row r="129" spans="5:5" x14ac:dyDescent="0.25">
      <c r="E129" s="31"/>
    </row>
    <row r="130" spans="5:5" x14ac:dyDescent="0.25">
      <c r="E130" s="31"/>
    </row>
    <row r="131" spans="5:5" x14ac:dyDescent="0.25">
      <c r="E131" s="31"/>
    </row>
    <row r="132" spans="5:5" x14ac:dyDescent="0.25">
      <c r="E132" s="31"/>
    </row>
    <row r="133" spans="5:5" x14ac:dyDescent="0.25">
      <c r="E133" s="31"/>
    </row>
    <row r="134" spans="5:5" x14ac:dyDescent="0.25">
      <c r="E134" s="31"/>
    </row>
    <row r="135" spans="5:5" x14ac:dyDescent="0.25">
      <c r="E135" s="31"/>
    </row>
    <row r="136" spans="5:5" x14ac:dyDescent="0.25">
      <c r="E136" s="31"/>
    </row>
    <row r="137" spans="5:5" x14ac:dyDescent="0.25">
      <c r="E137" s="31"/>
    </row>
    <row r="138" spans="5:5" x14ac:dyDescent="0.25">
      <c r="E138" s="31"/>
    </row>
    <row r="139" spans="5:5" x14ac:dyDescent="0.25">
      <c r="E139" s="31"/>
    </row>
    <row r="140" spans="5:5" x14ac:dyDescent="0.25">
      <c r="E140" s="31"/>
    </row>
    <row r="141" spans="5:5" x14ac:dyDescent="0.25">
      <c r="E141" s="31"/>
    </row>
    <row r="142" spans="5:5" x14ac:dyDescent="0.25">
      <c r="E142" s="31"/>
    </row>
    <row r="143" spans="5:5" x14ac:dyDescent="0.25">
      <c r="E143" s="31"/>
    </row>
    <row r="144" spans="5:5" x14ac:dyDescent="0.25">
      <c r="E144" s="31"/>
    </row>
    <row r="145" spans="5:5" x14ac:dyDescent="0.25">
      <c r="E145" s="31"/>
    </row>
    <row r="146" spans="5:5" x14ac:dyDescent="0.25">
      <c r="E146" s="31"/>
    </row>
    <row r="147" spans="5:5" x14ac:dyDescent="0.25">
      <c r="E147" s="31"/>
    </row>
    <row r="148" spans="5:5" x14ac:dyDescent="0.25">
      <c r="E148" s="31"/>
    </row>
    <row r="149" spans="5:5" x14ac:dyDescent="0.25">
      <c r="E149" s="31"/>
    </row>
    <row r="150" spans="5:5" x14ac:dyDescent="0.25">
      <c r="E150" s="31"/>
    </row>
    <row r="151" spans="5:5" x14ac:dyDescent="0.25">
      <c r="E151" s="31"/>
    </row>
    <row r="152" spans="5:5" x14ac:dyDescent="0.25">
      <c r="E152" s="31"/>
    </row>
    <row r="153" spans="5:5" x14ac:dyDescent="0.25">
      <c r="E153" s="31"/>
    </row>
    <row r="154" spans="5:5" x14ac:dyDescent="0.25">
      <c r="E154" s="31"/>
    </row>
    <row r="155" spans="5:5" x14ac:dyDescent="0.25">
      <c r="E155" s="31"/>
    </row>
    <row r="156" spans="5:5" x14ac:dyDescent="0.25">
      <c r="E156" s="31"/>
    </row>
    <row r="157" spans="5:5" x14ac:dyDescent="0.25">
      <c r="E157" s="31"/>
    </row>
    <row r="158" spans="5:5" x14ac:dyDescent="0.25">
      <c r="E158" s="31"/>
    </row>
    <row r="159" spans="5:5" x14ac:dyDescent="0.25">
      <c r="E159" s="31"/>
    </row>
    <row r="160" spans="5:5" x14ac:dyDescent="0.25">
      <c r="E160" s="31"/>
    </row>
    <row r="161" spans="5:5" x14ac:dyDescent="0.25">
      <c r="E161" s="31"/>
    </row>
    <row r="162" spans="5:5" x14ac:dyDescent="0.25">
      <c r="E162" s="31"/>
    </row>
    <row r="163" spans="5:5" x14ac:dyDescent="0.25">
      <c r="E163" s="31"/>
    </row>
    <row r="164" spans="5:5" x14ac:dyDescent="0.25">
      <c r="E164" s="31"/>
    </row>
    <row r="165" spans="5:5" x14ac:dyDescent="0.25">
      <c r="E165" s="31"/>
    </row>
    <row r="166" spans="5:5" x14ac:dyDescent="0.25">
      <c r="E166" s="31"/>
    </row>
    <row r="167" spans="5:5" x14ac:dyDescent="0.25">
      <c r="E167" s="31"/>
    </row>
    <row r="168" spans="5:5" x14ac:dyDescent="0.25">
      <c r="E168" s="31"/>
    </row>
    <row r="169" spans="5:5" x14ac:dyDescent="0.25">
      <c r="E169" s="31"/>
    </row>
    <row r="170" spans="5:5" x14ac:dyDescent="0.25">
      <c r="E170" s="31"/>
    </row>
    <row r="171" spans="5:5" x14ac:dyDescent="0.25">
      <c r="E171" s="31"/>
    </row>
    <row r="172" spans="5:5" x14ac:dyDescent="0.25">
      <c r="E172" s="31"/>
    </row>
    <row r="173" spans="5:5" x14ac:dyDescent="0.25">
      <c r="E173" s="31"/>
    </row>
    <row r="174" spans="5:5" x14ac:dyDescent="0.25">
      <c r="E174" s="31"/>
    </row>
    <row r="175" spans="5:5" x14ac:dyDescent="0.25">
      <c r="E175" s="31"/>
    </row>
    <row r="176" spans="5:5" x14ac:dyDescent="0.25">
      <c r="E176" s="31"/>
    </row>
    <row r="177" spans="5:5" x14ac:dyDescent="0.25">
      <c r="E177" s="31"/>
    </row>
    <row r="178" spans="5:5" x14ac:dyDescent="0.25">
      <c r="E178" s="31"/>
    </row>
    <row r="179" spans="5:5" x14ac:dyDescent="0.25">
      <c r="E179" s="31"/>
    </row>
    <row r="180" spans="5:5" x14ac:dyDescent="0.25">
      <c r="E180" s="31"/>
    </row>
    <row r="181" spans="5:5" x14ac:dyDescent="0.25">
      <c r="E181" s="31"/>
    </row>
    <row r="182" spans="5:5" x14ac:dyDescent="0.25">
      <c r="E182" s="31"/>
    </row>
    <row r="183" spans="5:5" x14ac:dyDescent="0.25">
      <c r="E183" s="31"/>
    </row>
    <row r="184" spans="5:5" x14ac:dyDescent="0.25">
      <c r="E184" s="31"/>
    </row>
    <row r="185" spans="5:5" x14ac:dyDescent="0.25">
      <c r="E185" s="31"/>
    </row>
    <row r="186" spans="5:5" x14ac:dyDescent="0.25">
      <c r="E186" s="31"/>
    </row>
    <row r="187" spans="5:5" x14ac:dyDescent="0.25">
      <c r="E187" s="31"/>
    </row>
    <row r="188" spans="5:5" x14ac:dyDescent="0.25">
      <c r="E188" s="31"/>
    </row>
    <row r="189" spans="5:5" x14ac:dyDescent="0.25">
      <c r="E189" s="31"/>
    </row>
    <row r="190" spans="5:5" x14ac:dyDescent="0.25">
      <c r="E190" s="31"/>
    </row>
    <row r="191" spans="5:5" x14ac:dyDescent="0.25">
      <c r="E191" s="31"/>
    </row>
    <row r="192" spans="5:5" x14ac:dyDescent="0.25">
      <c r="E192" s="31"/>
    </row>
    <row r="193" spans="5:5" x14ac:dyDescent="0.25">
      <c r="E193" s="31"/>
    </row>
    <row r="194" spans="5:5" x14ac:dyDescent="0.25">
      <c r="E194" s="31"/>
    </row>
    <row r="195" spans="5:5" x14ac:dyDescent="0.25">
      <c r="E195" s="31"/>
    </row>
    <row r="196" spans="5:5" x14ac:dyDescent="0.25">
      <c r="E196" s="31"/>
    </row>
    <row r="197" spans="5:5" x14ac:dyDescent="0.25">
      <c r="E197" s="31"/>
    </row>
    <row r="198" spans="5:5" x14ac:dyDescent="0.25">
      <c r="E198" s="31"/>
    </row>
    <row r="199" spans="5:5" x14ac:dyDescent="0.25">
      <c r="E199" s="31"/>
    </row>
    <row r="200" spans="5:5" x14ac:dyDescent="0.25">
      <c r="E200" s="31"/>
    </row>
    <row r="201" spans="5:5" x14ac:dyDescent="0.25">
      <c r="E201" s="31"/>
    </row>
    <row r="202" spans="5:5" x14ac:dyDescent="0.25">
      <c r="E202" s="31"/>
    </row>
    <row r="203" spans="5:5" x14ac:dyDescent="0.25">
      <c r="E203" s="31"/>
    </row>
    <row r="204" spans="5:5" x14ac:dyDescent="0.25">
      <c r="E204" s="31"/>
    </row>
    <row r="205" spans="5:5" x14ac:dyDescent="0.25">
      <c r="E205" s="31"/>
    </row>
    <row r="206" spans="5:5" x14ac:dyDescent="0.25">
      <c r="E206" s="31"/>
    </row>
    <row r="207" spans="5:5" x14ac:dyDescent="0.25">
      <c r="E207" s="31"/>
    </row>
    <row r="208" spans="5:5" x14ac:dyDescent="0.25">
      <c r="E208" s="31"/>
    </row>
    <row r="209" spans="5:5" x14ac:dyDescent="0.25">
      <c r="E209" s="31"/>
    </row>
    <row r="210" spans="5:5" x14ac:dyDescent="0.25">
      <c r="E210" s="31"/>
    </row>
    <row r="211" spans="5:5" x14ac:dyDescent="0.25">
      <c r="E211" s="31"/>
    </row>
    <row r="212" spans="5:5" x14ac:dyDescent="0.25">
      <c r="E212" s="31"/>
    </row>
    <row r="213" spans="5:5" x14ac:dyDescent="0.25">
      <c r="E213" s="31"/>
    </row>
    <row r="214" spans="5:5" x14ac:dyDescent="0.25">
      <c r="E214" s="31"/>
    </row>
    <row r="215" spans="5:5" x14ac:dyDescent="0.25">
      <c r="E215" s="31"/>
    </row>
    <row r="216" spans="5:5" x14ac:dyDescent="0.25">
      <c r="E216" s="31"/>
    </row>
    <row r="217" spans="5:5" x14ac:dyDescent="0.25">
      <c r="E217" s="31"/>
    </row>
    <row r="218" spans="5:5" x14ac:dyDescent="0.25">
      <c r="E218" s="31"/>
    </row>
    <row r="219" spans="5:5" x14ac:dyDescent="0.25">
      <c r="E219" s="31"/>
    </row>
    <row r="220" spans="5:5" x14ac:dyDescent="0.25">
      <c r="E220" s="31"/>
    </row>
    <row r="221" spans="5:5" x14ac:dyDescent="0.25">
      <c r="E221" s="31"/>
    </row>
    <row r="222" spans="5:5" x14ac:dyDescent="0.25">
      <c r="E222" s="31"/>
    </row>
    <row r="223" spans="5:5" x14ac:dyDescent="0.25">
      <c r="E223" s="31"/>
    </row>
    <row r="224" spans="5:5" x14ac:dyDescent="0.25">
      <c r="E224" s="31"/>
    </row>
    <row r="225" spans="5:5" x14ac:dyDescent="0.25">
      <c r="E225" s="31"/>
    </row>
    <row r="226" spans="5:5" x14ac:dyDescent="0.25">
      <c r="E226" s="31"/>
    </row>
    <row r="227" spans="5:5" x14ac:dyDescent="0.25">
      <c r="E227" s="31"/>
    </row>
    <row r="228" spans="5:5" x14ac:dyDescent="0.25">
      <c r="E228" s="31"/>
    </row>
    <row r="229" spans="5:5" x14ac:dyDescent="0.25">
      <c r="E229" s="31"/>
    </row>
    <row r="230" spans="5:5" x14ac:dyDescent="0.25">
      <c r="E230" s="31"/>
    </row>
    <row r="231" spans="5:5" x14ac:dyDescent="0.25">
      <c r="E231" s="31"/>
    </row>
    <row r="232" spans="5:5" x14ac:dyDescent="0.25">
      <c r="E232" s="31"/>
    </row>
    <row r="233" spans="5:5" x14ac:dyDescent="0.25">
      <c r="E233" s="31"/>
    </row>
    <row r="234" spans="5:5" x14ac:dyDescent="0.25">
      <c r="E234" s="31"/>
    </row>
    <row r="235" spans="5:5" x14ac:dyDescent="0.25">
      <c r="E235" s="31"/>
    </row>
    <row r="236" spans="5:5" x14ac:dyDescent="0.25">
      <c r="E236" s="31"/>
    </row>
    <row r="237" spans="5:5" x14ac:dyDescent="0.25">
      <c r="E237" s="31"/>
    </row>
    <row r="238" spans="5:5" x14ac:dyDescent="0.25">
      <c r="E238" s="31"/>
    </row>
    <row r="239" spans="5:5" x14ac:dyDescent="0.25">
      <c r="E239" s="31"/>
    </row>
    <row r="240" spans="5:5" x14ac:dyDescent="0.25">
      <c r="E240" s="31"/>
    </row>
    <row r="241" spans="5:5" x14ac:dyDescent="0.25">
      <c r="E241" s="31"/>
    </row>
    <row r="242" spans="5:5" x14ac:dyDescent="0.25">
      <c r="E242" s="31"/>
    </row>
    <row r="243" spans="5:5" x14ac:dyDescent="0.25">
      <c r="E243" s="31"/>
    </row>
    <row r="244" spans="5:5" x14ac:dyDescent="0.25">
      <c r="E244" s="31"/>
    </row>
    <row r="245" spans="5:5" x14ac:dyDescent="0.25">
      <c r="E245" s="31"/>
    </row>
    <row r="246" spans="5:5" x14ac:dyDescent="0.25">
      <c r="E246" s="31"/>
    </row>
    <row r="247" spans="5:5" x14ac:dyDescent="0.25">
      <c r="E247" s="31"/>
    </row>
    <row r="248" spans="5:5" x14ac:dyDescent="0.25">
      <c r="E248" s="31"/>
    </row>
    <row r="249" spans="5:5" x14ac:dyDescent="0.25">
      <c r="E249" s="31"/>
    </row>
    <row r="250" spans="5:5" x14ac:dyDescent="0.25">
      <c r="E250" s="31"/>
    </row>
    <row r="251" spans="5:5" x14ac:dyDescent="0.25">
      <c r="E251" s="31"/>
    </row>
    <row r="252" spans="5:5" x14ac:dyDescent="0.25">
      <c r="E252" s="31"/>
    </row>
    <row r="253" spans="5:5" x14ac:dyDescent="0.25">
      <c r="E253" s="31"/>
    </row>
    <row r="254" spans="5:5" x14ac:dyDescent="0.25">
      <c r="E254" s="31"/>
    </row>
    <row r="255" spans="5:5" x14ac:dyDescent="0.25">
      <c r="E255" s="31"/>
    </row>
    <row r="256" spans="5:5" x14ac:dyDescent="0.25">
      <c r="E256" s="31"/>
    </row>
    <row r="257" spans="5:5" x14ac:dyDescent="0.25">
      <c r="E257" s="31"/>
    </row>
    <row r="258" spans="5:5" x14ac:dyDescent="0.25">
      <c r="E258" s="31"/>
    </row>
    <row r="259" spans="5:5" x14ac:dyDescent="0.25">
      <c r="E259" s="31"/>
    </row>
    <row r="260" spans="5:5" x14ac:dyDescent="0.25">
      <c r="E260" s="31"/>
    </row>
    <row r="261" spans="5:5" x14ac:dyDescent="0.25">
      <c r="E261" s="31"/>
    </row>
    <row r="262" spans="5:5" x14ac:dyDescent="0.25">
      <c r="E262" s="31"/>
    </row>
    <row r="263" spans="5:5" x14ac:dyDescent="0.25">
      <c r="E263" s="31"/>
    </row>
    <row r="264" spans="5:5" x14ac:dyDescent="0.25">
      <c r="E264" s="31"/>
    </row>
    <row r="265" spans="5:5" x14ac:dyDescent="0.25">
      <c r="E265" s="31"/>
    </row>
    <row r="266" spans="5:5" x14ac:dyDescent="0.25">
      <c r="E266" s="31"/>
    </row>
    <row r="267" spans="5:5" x14ac:dyDescent="0.25">
      <c r="E267" s="31"/>
    </row>
    <row r="268" spans="5:5" x14ac:dyDescent="0.25">
      <c r="E268" s="31"/>
    </row>
    <row r="269" spans="5:5" x14ac:dyDescent="0.25">
      <c r="E269" s="31"/>
    </row>
    <row r="270" spans="5:5" x14ac:dyDescent="0.25">
      <c r="E270" s="31"/>
    </row>
    <row r="271" spans="5:5" x14ac:dyDescent="0.25">
      <c r="E271" s="31"/>
    </row>
    <row r="272" spans="5:5" x14ac:dyDescent="0.25">
      <c r="E272" s="31"/>
    </row>
    <row r="273" spans="5:5" x14ac:dyDescent="0.25">
      <c r="E273" s="31"/>
    </row>
    <row r="274" spans="5:5" x14ac:dyDescent="0.25">
      <c r="E274" s="31"/>
    </row>
    <row r="275" spans="5:5" x14ac:dyDescent="0.25">
      <c r="E275" s="31"/>
    </row>
    <row r="276" spans="5:5" x14ac:dyDescent="0.25">
      <c r="E276" s="31"/>
    </row>
    <row r="277" spans="5:5" x14ac:dyDescent="0.25">
      <c r="E277" s="31"/>
    </row>
    <row r="278" spans="5:5" x14ac:dyDescent="0.25">
      <c r="E278" s="31"/>
    </row>
    <row r="279" spans="5:5" x14ac:dyDescent="0.25">
      <c r="E279" s="31"/>
    </row>
    <row r="280" spans="5:5" x14ac:dyDescent="0.25">
      <c r="E280" s="31"/>
    </row>
    <row r="281" spans="5:5" x14ac:dyDescent="0.25">
      <c r="E281" s="31"/>
    </row>
    <row r="282" spans="5:5" x14ac:dyDescent="0.25">
      <c r="E282" s="31"/>
    </row>
    <row r="283" spans="5:5" x14ac:dyDescent="0.25">
      <c r="E283" s="31"/>
    </row>
    <row r="284" spans="5:5" x14ac:dyDescent="0.25">
      <c r="E284" s="31"/>
    </row>
    <row r="285" spans="5:5" x14ac:dyDescent="0.25">
      <c r="E285" s="31"/>
    </row>
    <row r="286" spans="5:5" x14ac:dyDescent="0.25">
      <c r="E286" s="31"/>
    </row>
    <row r="287" spans="5:5" x14ac:dyDescent="0.25">
      <c r="E287" s="31"/>
    </row>
    <row r="288" spans="5:5" x14ac:dyDescent="0.25">
      <c r="E288" s="31"/>
    </row>
    <row r="289" spans="5:5" x14ac:dyDescent="0.25">
      <c r="E289" s="31"/>
    </row>
    <row r="290" spans="5:5" x14ac:dyDescent="0.25">
      <c r="E290" s="31"/>
    </row>
    <row r="291" spans="5:5" x14ac:dyDescent="0.25">
      <c r="E291" s="31"/>
    </row>
    <row r="292" spans="5:5" x14ac:dyDescent="0.25">
      <c r="E292" s="31"/>
    </row>
    <row r="293" spans="5:5" x14ac:dyDescent="0.25">
      <c r="E293" s="31"/>
    </row>
    <row r="294" spans="5:5" x14ac:dyDescent="0.25">
      <c r="E294" s="31"/>
    </row>
    <row r="295" spans="5:5" x14ac:dyDescent="0.25">
      <c r="E295" s="31"/>
    </row>
    <row r="296" spans="5:5" x14ac:dyDescent="0.25">
      <c r="E296" s="31"/>
    </row>
    <row r="297" spans="5:5" x14ac:dyDescent="0.25">
      <c r="E297" s="31"/>
    </row>
    <row r="298" spans="5:5" x14ac:dyDescent="0.25">
      <c r="E298" s="31"/>
    </row>
    <row r="299" spans="5:5" x14ac:dyDescent="0.25">
      <c r="E299" s="31"/>
    </row>
    <row r="300" spans="5:5" x14ac:dyDescent="0.25">
      <c r="E300" s="31"/>
    </row>
    <row r="301" spans="5:5" x14ac:dyDescent="0.25">
      <c r="E301" s="31"/>
    </row>
    <row r="302" spans="5:5" x14ac:dyDescent="0.25">
      <c r="E302" s="31"/>
    </row>
    <row r="303" spans="5:5" x14ac:dyDescent="0.25">
      <c r="E303" s="31"/>
    </row>
    <row r="304" spans="5:5" x14ac:dyDescent="0.25">
      <c r="E304" s="31"/>
    </row>
    <row r="305" spans="5:5" x14ac:dyDescent="0.25">
      <c r="E305" s="31"/>
    </row>
    <row r="306" spans="5:5" x14ac:dyDescent="0.25">
      <c r="E306" s="31"/>
    </row>
    <row r="307" spans="5:5" x14ac:dyDescent="0.25">
      <c r="E307" s="31"/>
    </row>
    <row r="308" spans="5:5" x14ac:dyDescent="0.25">
      <c r="E308" s="31"/>
    </row>
    <row r="309" spans="5:5" x14ac:dyDescent="0.25">
      <c r="E309" s="31"/>
    </row>
    <row r="310" spans="5:5" x14ac:dyDescent="0.25">
      <c r="E310" s="31"/>
    </row>
    <row r="311" spans="5:5" x14ac:dyDescent="0.25">
      <c r="E311" s="31"/>
    </row>
    <row r="312" spans="5:5" x14ac:dyDescent="0.25">
      <c r="E312" s="31"/>
    </row>
    <row r="313" spans="5:5" x14ac:dyDescent="0.25">
      <c r="E313" s="31"/>
    </row>
    <row r="314" spans="5:5" x14ac:dyDescent="0.25">
      <c r="E314" s="31"/>
    </row>
    <row r="315" spans="5:5" x14ac:dyDescent="0.25">
      <c r="E315" s="31"/>
    </row>
    <row r="316" spans="5:5" x14ac:dyDescent="0.25">
      <c r="E316" s="31"/>
    </row>
    <row r="317" spans="5:5" x14ac:dyDescent="0.25">
      <c r="E317" s="31"/>
    </row>
    <row r="318" spans="5:5" x14ac:dyDescent="0.25">
      <c r="E318" s="31"/>
    </row>
    <row r="319" spans="5:5" x14ac:dyDescent="0.25">
      <c r="E319" s="31"/>
    </row>
    <row r="320" spans="5:5" x14ac:dyDescent="0.25">
      <c r="E320" s="31"/>
    </row>
    <row r="321" spans="5:5" x14ac:dyDescent="0.25">
      <c r="E321" s="31"/>
    </row>
    <row r="322" spans="5:5" x14ac:dyDescent="0.25">
      <c r="E322" s="31"/>
    </row>
    <row r="323" spans="5:5" x14ac:dyDescent="0.25">
      <c r="E323" s="31"/>
    </row>
    <row r="324" spans="5:5" x14ac:dyDescent="0.25">
      <c r="E324" s="31"/>
    </row>
    <row r="325" spans="5:5" x14ac:dyDescent="0.25">
      <c r="E325" s="31"/>
    </row>
    <row r="326" spans="5:5" x14ac:dyDescent="0.25">
      <c r="E326" s="31"/>
    </row>
    <row r="327" spans="5:5" x14ac:dyDescent="0.25">
      <c r="E327" s="31"/>
    </row>
    <row r="328" spans="5:5" x14ac:dyDescent="0.25">
      <c r="E328" s="31"/>
    </row>
    <row r="329" spans="5:5" x14ac:dyDescent="0.25">
      <c r="E329" s="31"/>
    </row>
    <row r="330" spans="5:5" x14ac:dyDescent="0.25">
      <c r="E330" s="31"/>
    </row>
    <row r="331" spans="5:5" x14ac:dyDescent="0.25">
      <c r="E331" s="31"/>
    </row>
    <row r="332" spans="5:5" x14ac:dyDescent="0.25">
      <c r="E332" s="31"/>
    </row>
    <row r="333" spans="5:5" x14ac:dyDescent="0.25">
      <c r="E333" s="31"/>
    </row>
    <row r="334" spans="5:5" x14ac:dyDescent="0.25">
      <c r="E334" s="31"/>
    </row>
    <row r="335" spans="5:5" x14ac:dyDescent="0.25">
      <c r="E335" s="31"/>
    </row>
    <row r="336" spans="5:5" x14ac:dyDescent="0.25">
      <c r="E336" s="31"/>
    </row>
    <row r="337" spans="5:5" x14ac:dyDescent="0.25">
      <c r="E337" s="31"/>
    </row>
    <row r="338" spans="5:5" x14ac:dyDescent="0.25">
      <c r="E338" s="31"/>
    </row>
    <row r="339" spans="5:5" x14ac:dyDescent="0.25">
      <c r="E339" s="31"/>
    </row>
    <row r="340" spans="5:5" x14ac:dyDescent="0.25">
      <c r="E340" s="31"/>
    </row>
    <row r="341" spans="5:5" x14ac:dyDescent="0.25">
      <c r="E341" s="31"/>
    </row>
    <row r="342" spans="5:5" x14ac:dyDescent="0.25">
      <c r="E342" s="31"/>
    </row>
    <row r="343" spans="5:5" x14ac:dyDescent="0.25">
      <c r="E343" s="31"/>
    </row>
    <row r="344" spans="5:5" x14ac:dyDescent="0.25">
      <c r="E344" s="31"/>
    </row>
    <row r="345" spans="5:5" x14ac:dyDescent="0.25">
      <c r="E345" s="31"/>
    </row>
    <row r="346" spans="5:5" x14ac:dyDescent="0.25">
      <c r="E346" s="31"/>
    </row>
    <row r="347" spans="5:5" x14ac:dyDescent="0.25">
      <c r="E347" s="31"/>
    </row>
    <row r="348" spans="5:5" x14ac:dyDescent="0.25">
      <c r="E348" s="31"/>
    </row>
    <row r="349" spans="5:5" x14ac:dyDescent="0.25">
      <c r="E349" s="31"/>
    </row>
    <row r="350" spans="5:5" x14ac:dyDescent="0.25">
      <c r="E350" s="31"/>
    </row>
    <row r="351" spans="5:5" x14ac:dyDescent="0.25">
      <c r="E351" s="31"/>
    </row>
    <row r="352" spans="5:5" x14ac:dyDescent="0.25">
      <c r="E352" s="31"/>
    </row>
    <row r="353" spans="5:5" x14ac:dyDescent="0.25">
      <c r="E353" s="31"/>
    </row>
    <row r="354" spans="5:5" x14ac:dyDescent="0.25">
      <c r="E354" s="31"/>
    </row>
    <row r="355" spans="5:5" x14ac:dyDescent="0.25">
      <c r="E355" s="31"/>
    </row>
    <row r="356" spans="5:5" x14ac:dyDescent="0.25">
      <c r="E356" s="31"/>
    </row>
    <row r="357" spans="5:5" x14ac:dyDescent="0.25">
      <c r="E357" s="31"/>
    </row>
    <row r="358" spans="5:5" x14ac:dyDescent="0.25">
      <c r="E358" s="31"/>
    </row>
    <row r="359" spans="5:5" x14ac:dyDescent="0.25">
      <c r="E359" s="31"/>
    </row>
    <row r="360" spans="5:5" x14ac:dyDescent="0.25">
      <c r="E360" s="31"/>
    </row>
    <row r="361" spans="5:5" x14ac:dyDescent="0.25">
      <c r="E361" s="31"/>
    </row>
    <row r="362" spans="5:5" x14ac:dyDescent="0.25">
      <c r="E362" s="31"/>
    </row>
    <row r="363" spans="5:5" x14ac:dyDescent="0.25">
      <c r="E363" s="31"/>
    </row>
    <row r="364" spans="5:5" x14ac:dyDescent="0.25">
      <c r="E364" s="31"/>
    </row>
    <row r="365" spans="5:5" x14ac:dyDescent="0.25">
      <c r="E365" s="31"/>
    </row>
    <row r="366" spans="5:5" x14ac:dyDescent="0.25">
      <c r="E366" s="31"/>
    </row>
    <row r="367" spans="5:5" x14ac:dyDescent="0.25">
      <c r="E367" s="31"/>
    </row>
    <row r="368" spans="5:5" x14ac:dyDescent="0.25">
      <c r="E368" s="31"/>
    </row>
    <row r="369" spans="5:5" x14ac:dyDescent="0.25">
      <c r="E369" s="31"/>
    </row>
    <row r="370" spans="5:5" x14ac:dyDescent="0.25">
      <c r="E370" s="31"/>
    </row>
    <row r="371" spans="5:5" x14ac:dyDescent="0.25">
      <c r="E371" s="31"/>
    </row>
    <row r="372" spans="5:5" x14ac:dyDescent="0.25">
      <c r="E372" s="31"/>
    </row>
    <row r="373" spans="5:5" x14ac:dyDescent="0.25">
      <c r="E373" s="31"/>
    </row>
    <row r="374" spans="5:5" x14ac:dyDescent="0.25">
      <c r="E374" s="31"/>
    </row>
    <row r="375" spans="5:5" x14ac:dyDescent="0.25">
      <c r="E375" s="31"/>
    </row>
    <row r="376" spans="5:5" x14ac:dyDescent="0.25">
      <c r="E376" s="31"/>
    </row>
    <row r="377" spans="5:5" x14ac:dyDescent="0.25">
      <c r="E377" s="31"/>
    </row>
    <row r="378" spans="5:5" x14ac:dyDescent="0.25">
      <c r="E378" s="31"/>
    </row>
    <row r="379" spans="5:5" x14ac:dyDescent="0.25">
      <c r="E379" s="31"/>
    </row>
    <row r="380" spans="5:5" x14ac:dyDescent="0.25">
      <c r="E380" s="31"/>
    </row>
    <row r="381" spans="5:5" x14ac:dyDescent="0.25">
      <c r="E381" s="31"/>
    </row>
    <row r="382" spans="5:5" x14ac:dyDescent="0.25">
      <c r="E382" s="31"/>
    </row>
    <row r="383" spans="5:5" x14ac:dyDescent="0.25">
      <c r="E383" s="31"/>
    </row>
    <row r="384" spans="5:5" x14ac:dyDescent="0.25">
      <c r="E384" s="31"/>
    </row>
    <row r="385" spans="5:5" x14ac:dyDescent="0.25">
      <c r="E385" s="31"/>
    </row>
    <row r="386" spans="5:5" x14ac:dyDescent="0.25">
      <c r="E386" s="31"/>
    </row>
    <row r="387" spans="5:5" x14ac:dyDescent="0.25">
      <c r="E387" s="31"/>
    </row>
    <row r="388" spans="5:5" x14ac:dyDescent="0.25">
      <c r="E388" s="31"/>
    </row>
    <row r="389" spans="5:5" x14ac:dyDescent="0.25">
      <c r="E389" s="31"/>
    </row>
    <row r="390" spans="5:5" x14ac:dyDescent="0.25">
      <c r="E390" s="31"/>
    </row>
    <row r="391" spans="5:5" x14ac:dyDescent="0.25">
      <c r="E391" s="31"/>
    </row>
    <row r="392" spans="5:5" x14ac:dyDescent="0.25">
      <c r="E392" s="31"/>
    </row>
    <row r="393" spans="5:5" x14ac:dyDescent="0.25">
      <c r="E393" s="31"/>
    </row>
    <row r="394" spans="5:5" x14ac:dyDescent="0.25">
      <c r="E394" s="31"/>
    </row>
    <row r="395" spans="5:5" x14ac:dyDescent="0.25">
      <c r="E395" s="31"/>
    </row>
    <row r="396" spans="5:5" x14ac:dyDescent="0.25">
      <c r="E396" s="31"/>
    </row>
    <row r="397" spans="5:5" x14ac:dyDescent="0.25">
      <c r="E397" s="31"/>
    </row>
    <row r="398" spans="5:5" x14ac:dyDescent="0.25">
      <c r="E398" s="31"/>
    </row>
    <row r="399" spans="5:5" x14ac:dyDescent="0.25">
      <c r="E399" s="31"/>
    </row>
    <row r="400" spans="5:5" x14ac:dyDescent="0.25">
      <c r="E400" s="31"/>
    </row>
    <row r="401" spans="5:5" x14ac:dyDescent="0.25">
      <c r="E401" s="31"/>
    </row>
    <row r="402" spans="5:5" x14ac:dyDescent="0.25">
      <c r="E402" s="31"/>
    </row>
    <row r="403" spans="5:5" x14ac:dyDescent="0.25">
      <c r="E403" s="31"/>
    </row>
    <row r="404" spans="5:5" x14ac:dyDescent="0.25">
      <c r="E404" s="31"/>
    </row>
    <row r="405" spans="5:5" x14ac:dyDescent="0.25">
      <c r="E405" s="31"/>
    </row>
    <row r="406" spans="5:5" x14ac:dyDescent="0.25">
      <c r="E406" s="31"/>
    </row>
    <row r="407" spans="5:5" x14ac:dyDescent="0.25">
      <c r="E407" s="31"/>
    </row>
    <row r="408" spans="5:5" x14ac:dyDescent="0.25">
      <c r="E408" s="31"/>
    </row>
    <row r="409" spans="5:5" x14ac:dyDescent="0.25">
      <c r="E409" s="31"/>
    </row>
    <row r="410" spans="5:5" x14ac:dyDescent="0.25">
      <c r="E410" s="31"/>
    </row>
    <row r="411" spans="5:5" x14ac:dyDescent="0.25">
      <c r="E411" s="31"/>
    </row>
    <row r="412" spans="5:5" x14ac:dyDescent="0.25">
      <c r="E412" s="31"/>
    </row>
    <row r="413" spans="5:5" x14ac:dyDescent="0.25">
      <c r="E413" s="31"/>
    </row>
    <row r="414" spans="5:5" x14ac:dyDescent="0.25">
      <c r="E414" s="31"/>
    </row>
    <row r="415" spans="5:5" x14ac:dyDescent="0.25">
      <c r="E415" s="31"/>
    </row>
    <row r="416" spans="5:5" x14ac:dyDescent="0.25">
      <c r="E416" s="31"/>
    </row>
    <row r="417" spans="5:5" x14ac:dyDescent="0.25">
      <c r="E417" s="31"/>
    </row>
    <row r="418" spans="5:5" x14ac:dyDescent="0.25">
      <c r="E418" s="31"/>
    </row>
    <row r="419" spans="5:5" x14ac:dyDescent="0.25">
      <c r="E419" s="31"/>
    </row>
    <row r="420" spans="5:5" x14ac:dyDescent="0.25">
      <c r="E420" s="31"/>
    </row>
    <row r="421" spans="5:5" x14ac:dyDescent="0.25">
      <c r="E421" s="31"/>
    </row>
    <row r="422" spans="5:5" x14ac:dyDescent="0.25">
      <c r="E422" s="31"/>
    </row>
    <row r="423" spans="5:5" x14ac:dyDescent="0.25">
      <c r="E423" s="31"/>
    </row>
    <row r="424" spans="5:5" x14ac:dyDescent="0.25">
      <c r="E424" s="31"/>
    </row>
    <row r="425" spans="5:5" x14ac:dyDescent="0.25">
      <c r="E425" s="31"/>
    </row>
    <row r="426" spans="5:5" x14ac:dyDescent="0.25">
      <c r="E426" s="31"/>
    </row>
    <row r="427" spans="5:5" x14ac:dyDescent="0.25">
      <c r="E427" s="31"/>
    </row>
    <row r="428" spans="5:5" x14ac:dyDescent="0.25">
      <c r="E428" s="31"/>
    </row>
    <row r="429" spans="5:5" x14ac:dyDescent="0.25">
      <c r="E429" s="31"/>
    </row>
    <row r="430" spans="5:5" x14ac:dyDescent="0.25">
      <c r="E430" s="31"/>
    </row>
    <row r="431" spans="5:5" x14ac:dyDescent="0.25">
      <c r="E431" s="31"/>
    </row>
    <row r="432" spans="5:5" x14ac:dyDescent="0.25">
      <c r="E432" s="31"/>
    </row>
    <row r="433" spans="5:5" x14ac:dyDescent="0.25">
      <c r="E433" s="31"/>
    </row>
    <row r="434" spans="5:5" x14ac:dyDescent="0.25">
      <c r="E434" s="31"/>
    </row>
    <row r="435" spans="5:5" x14ac:dyDescent="0.25">
      <c r="E435" s="31"/>
    </row>
    <row r="436" spans="5:5" x14ac:dyDescent="0.25">
      <c r="E436" s="31"/>
    </row>
    <row r="437" spans="5:5" x14ac:dyDescent="0.25">
      <c r="E437" s="31"/>
    </row>
    <row r="438" spans="5:5" x14ac:dyDescent="0.25">
      <c r="E438" s="31"/>
    </row>
    <row r="439" spans="5:5" x14ac:dyDescent="0.25">
      <c r="E439" s="31"/>
    </row>
    <row r="440" spans="5:5" x14ac:dyDescent="0.25">
      <c r="E440" s="31"/>
    </row>
    <row r="441" spans="5:5" x14ac:dyDescent="0.25">
      <c r="E441" s="31"/>
    </row>
    <row r="442" spans="5:5" x14ac:dyDescent="0.25">
      <c r="E442" s="31"/>
    </row>
    <row r="443" spans="5:5" x14ac:dyDescent="0.25">
      <c r="E443" s="31"/>
    </row>
    <row r="444" spans="5:5" x14ac:dyDescent="0.25">
      <c r="E444" s="31"/>
    </row>
    <row r="445" spans="5:5" x14ac:dyDescent="0.25">
      <c r="E445" s="31"/>
    </row>
    <row r="446" spans="5:5" x14ac:dyDescent="0.25">
      <c r="E446" s="31"/>
    </row>
    <row r="447" spans="5:5" x14ac:dyDescent="0.25">
      <c r="E447" s="31"/>
    </row>
    <row r="448" spans="5:5" x14ac:dyDescent="0.25">
      <c r="E448" s="31"/>
    </row>
    <row r="449" spans="5:5" x14ac:dyDescent="0.25">
      <c r="E449" s="31"/>
    </row>
    <row r="450" spans="5:5" x14ac:dyDescent="0.25">
      <c r="E450" s="31"/>
    </row>
    <row r="451" spans="5:5" x14ac:dyDescent="0.25">
      <c r="E451" s="31"/>
    </row>
    <row r="452" spans="5:5" x14ac:dyDescent="0.25">
      <c r="E452" s="31"/>
    </row>
    <row r="453" spans="5:5" x14ac:dyDescent="0.25">
      <c r="E453" s="31"/>
    </row>
    <row r="454" spans="5:5" x14ac:dyDescent="0.25">
      <c r="E454" s="31"/>
    </row>
    <row r="455" spans="5:5" x14ac:dyDescent="0.25">
      <c r="E455" s="31"/>
    </row>
    <row r="456" spans="5:5" x14ac:dyDescent="0.25">
      <c r="E456" s="31"/>
    </row>
    <row r="457" spans="5:5" x14ac:dyDescent="0.25">
      <c r="E457" s="31"/>
    </row>
    <row r="458" spans="5:5" x14ac:dyDescent="0.25">
      <c r="E458" s="31"/>
    </row>
    <row r="459" spans="5:5" x14ac:dyDescent="0.25">
      <c r="E459" s="31"/>
    </row>
    <row r="460" spans="5:5" x14ac:dyDescent="0.25">
      <c r="E460" s="31"/>
    </row>
    <row r="461" spans="5:5" x14ac:dyDescent="0.25">
      <c r="E461" s="31"/>
    </row>
    <row r="462" spans="5:5" x14ac:dyDescent="0.25">
      <c r="E462" s="31"/>
    </row>
    <row r="463" spans="5:5" x14ac:dyDescent="0.25">
      <c r="E463" s="31"/>
    </row>
    <row r="464" spans="5:5" x14ac:dyDescent="0.25">
      <c r="E464" s="31"/>
    </row>
    <row r="465" spans="5:5" x14ac:dyDescent="0.25">
      <c r="E465" s="31"/>
    </row>
    <row r="466" spans="5:5" x14ac:dyDescent="0.25">
      <c r="E466" s="31"/>
    </row>
    <row r="467" spans="5:5" x14ac:dyDescent="0.25">
      <c r="E467" s="31"/>
    </row>
    <row r="468" spans="5:5" x14ac:dyDescent="0.25">
      <c r="E468" s="31"/>
    </row>
    <row r="469" spans="5:5" x14ac:dyDescent="0.25">
      <c r="E469" s="31"/>
    </row>
    <row r="470" spans="5:5" x14ac:dyDescent="0.25">
      <c r="E470" s="31"/>
    </row>
    <row r="471" spans="5:5" x14ac:dyDescent="0.25">
      <c r="E471" s="31"/>
    </row>
    <row r="472" spans="5:5" x14ac:dyDescent="0.25">
      <c r="E472" s="31"/>
    </row>
    <row r="473" spans="5:5" x14ac:dyDescent="0.25">
      <c r="E473" s="31"/>
    </row>
    <row r="474" spans="5:5" x14ac:dyDescent="0.25">
      <c r="E474" s="31"/>
    </row>
    <row r="475" spans="5:5" x14ac:dyDescent="0.25">
      <c r="E475" s="31"/>
    </row>
    <row r="476" spans="5:5" x14ac:dyDescent="0.25">
      <c r="E476" s="31"/>
    </row>
    <row r="477" spans="5:5" x14ac:dyDescent="0.25">
      <c r="E477" s="31"/>
    </row>
    <row r="478" spans="5:5" x14ac:dyDescent="0.25">
      <c r="E478" s="31"/>
    </row>
    <row r="479" spans="5:5" x14ac:dyDescent="0.25">
      <c r="E479" s="31"/>
    </row>
    <row r="480" spans="5:5" x14ac:dyDescent="0.25">
      <c r="E480" s="31"/>
    </row>
    <row r="481" spans="5:5" x14ac:dyDescent="0.25">
      <c r="E481" s="31"/>
    </row>
    <row r="482" spans="5:5" x14ac:dyDescent="0.25">
      <c r="E482" s="31"/>
    </row>
    <row r="483" spans="5:5" x14ac:dyDescent="0.25">
      <c r="E483" s="31"/>
    </row>
    <row r="484" spans="5:5" x14ac:dyDescent="0.25">
      <c r="E484" s="31"/>
    </row>
    <row r="485" spans="5:5" x14ac:dyDescent="0.25">
      <c r="E485" s="31"/>
    </row>
    <row r="486" spans="5:5" x14ac:dyDescent="0.25">
      <c r="E486" s="31"/>
    </row>
    <row r="487" spans="5:5" x14ac:dyDescent="0.25">
      <c r="E487" s="31"/>
    </row>
    <row r="488" spans="5:5" x14ac:dyDescent="0.25">
      <c r="E488" s="31"/>
    </row>
    <row r="489" spans="5:5" x14ac:dyDescent="0.25">
      <c r="E489" s="31"/>
    </row>
    <row r="490" spans="5:5" x14ac:dyDescent="0.25">
      <c r="E490" s="31"/>
    </row>
    <row r="491" spans="5:5" x14ac:dyDescent="0.25">
      <c r="E491" s="31"/>
    </row>
    <row r="492" spans="5:5" x14ac:dyDescent="0.25">
      <c r="E492" s="31"/>
    </row>
    <row r="493" spans="5:5" x14ac:dyDescent="0.25">
      <c r="E493" s="31"/>
    </row>
    <row r="494" spans="5:5" x14ac:dyDescent="0.25">
      <c r="E494" s="31"/>
    </row>
    <row r="495" spans="5:5" x14ac:dyDescent="0.25">
      <c r="E495" s="31"/>
    </row>
    <row r="496" spans="5:5" x14ac:dyDescent="0.25">
      <c r="E496" s="31"/>
    </row>
    <row r="497" spans="5:5" x14ac:dyDescent="0.25">
      <c r="E497" s="31"/>
    </row>
    <row r="498" spans="5:5" x14ac:dyDescent="0.25">
      <c r="E498" s="31"/>
    </row>
    <row r="499" spans="5:5" x14ac:dyDescent="0.25">
      <c r="E499" s="31"/>
    </row>
    <row r="500" spans="5:5" x14ac:dyDescent="0.25">
      <c r="E500" s="31"/>
    </row>
    <row r="501" spans="5:5" x14ac:dyDescent="0.25">
      <c r="E501" s="31"/>
    </row>
    <row r="502" spans="5:5" x14ac:dyDescent="0.25">
      <c r="E502" s="31"/>
    </row>
    <row r="503" spans="5:5" x14ac:dyDescent="0.25">
      <c r="E503" s="31"/>
    </row>
    <row r="504" spans="5:5" x14ac:dyDescent="0.25">
      <c r="E504" s="31"/>
    </row>
    <row r="505" spans="5:5" x14ac:dyDescent="0.25">
      <c r="E505" s="31"/>
    </row>
    <row r="506" spans="5:5" x14ac:dyDescent="0.25">
      <c r="E506" s="31"/>
    </row>
    <row r="507" spans="5:5" x14ac:dyDescent="0.25">
      <c r="E507" s="31"/>
    </row>
    <row r="508" spans="5:5" x14ac:dyDescent="0.25">
      <c r="E508" s="31"/>
    </row>
    <row r="509" spans="5:5" x14ac:dyDescent="0.25">
      <c r="E509" s="31"/>
    </row>
    <row r="510" spans="5:5" x14ac:dyDescent="0.25">
      <c r="E510" s="31"/>
    </row>
    <row r="511" spans="5:5" x14ac:dyDescent="0.25">
      <c r="E511" s="31"/>
    </row>
    <row r="512" spans="5:5" x14ac:dyDescent="0.25">
      <c r="E512" s="31"/>
    </row>
    <row r="513" spans="5:5" x14ac:dyDescent="0.25">
      <c r="E513" s="31"/>
    </row>
    <row r="514" spans="5:5" x14ac:dyDescent="0.25">
      <c r="E514" s="31"/>
    </row>
    <row r="515" spans="5:5" x14ac:dyDescent="0.25">
      <c r="E515" s="31"/>
    </row>
    <row r="516" spans="5:5" x14ac:dyDescent="0.25">
      <c r="E516" s="31"/>
    </row>
    <row r="517" spans="5:5" x14ac:dyDescent="0.25">
      <c r="E517" s="31"/>
    </row>
    <row r="518" spans="5:5" x14ac:dyDescent="0.25">
      <c r="E518" s="31"/>
    </row>
    <row r="519" spans="5:5" x14ac:dyDescent="0.25">
      <c r="E519" s="31"/>
    </row>
    <row r="520" spans="5:5" x14ac:dyDescent="0.25">
      <c r="E520" s="31"/>
    </row>
    <row r="521" spans="5:5" x14ac:dyDescent="0.25">
      <c r="E521" s="31"/>
    </row>
    <row r="522" spans="5:5" x14ac:dyDescent="0.25">
      <c r="E522" s="31"/>
    </row>
    <row r="523" spans="5:5" x14ac:dyDescent="0.25">
      <c r="E523" s="31"/>
    </row>
    <row r="524" spans="5:5" x14ac:dyDescent="0.25">
      <c r="E524" s="31"/>
    </row>
    <row r="525" spans="5:5" x14ac:dyDescent="0.25">
      <c r="E525" s="31"/>
    </row>
    <row r="526" spans="5:5" x14ac:dyDescent="0.25">
      <c r="E526" s="31"/>
    </row>
    <row r="527" spans="5:5" x14ac:dyDescent="0.25">
      <c r="E527" s="31"/>
    </row>
    <row r="528" spans="5:5" x14ac:dyDescent="0.25">
      <c r="E528" s="31"/>
    </row>
    <row r="529" spans="5:5" x14ac:dyDescent="0.25">
      <c r="E529" s="31"/>
    </row>
    <row r="530" spans="5:5" x14ac:dyDescent="0.25">
      <c r="E530" s="31"/>
    </row>
    <row r="531" spans="5:5" x14ac:dyDescent="0.25">
      <c r="E531" s="31"/>
    </row>
    <row r="532" spans="5:5" x14ac:dyDescent="0.25">
      <c r="E532" s="31"/>
    </row>
    <row r="533" spans="5:5" x14ac:dyDescent="0.25">
      <c r="E533" s="31"/>
    </row>
    <row r="534" spans="5:5" x14ac:dyDescent="0.25">
      <c r="E534" s="31"/>
    </row>
    <row r="535" spans="5:5" x14ac:dyDescent="0.25">
      <c r="E535" s="31"/>
    </row>
    <row r="536" spans="5:5" x14ac:dyDescent="0.25">
      <c r="E536" s="31"/>
    </row>
    <row r="537" spans="5:5" x14ac:dyDescent="0.25">
      <c r="E537" s="31"/>
    </row>
    <row r="538" spans="5:5" x14ac:dyDescent="0.25">
      <c r="E538" s="31"/>
    </row>
    <row r="539" spans="5:5" x14ac:dyDescent="0.25">
      <c r="E539" s="31"/>
    </row>
    <row r="540" spans="5:5" x14ac:dyDescent="0.25">
      <c r="E540" s="31"/>
    </row>
    <row r="541" spans="5:5" x14ac:dyDescent="0.25">
      <c r="E541" s="31"/>
    </row>
    <row r="542" spans="5:5" x14ac:dyDescent="0.25">
      <c r="E542" s="31"/>
    </row>
    <row r="543" spans="5:5" x14ac:dyDescent="0.25">
      <c r="E543" s="31"/>
    </row>
    <row r="544" spans="5:5" x14ac:dyDescent="0.25">
      <c r="E544" s="31"/>
    </row>
    <row r="545" spans="5:5" x14ac:dyDescent="0.25">
      <c r="E545" s="31"/>
    </row>
    <row r="546" spans="5:5" x14ac:dyDescent="0.25">
      <c r="E546" s="31"/>
    </row>
    <row r="547" spans="5:5" x14ac:dyDescent="0.25">
      <c r="E547" s="31"/>
    </row>
    <row r="548" spans="5:5" x14ac:dyDescent="0.25">
      <c r="E548" s="31"/>
    </row>
    <row r="549" spans="5:5" x14ac:dyDescent="0.25">
      <c r="E549" s="31"/>
    </row>
    <row r="550" spans="5:5" x14ac:dyDescent="0.25">
      <c r="E550" s="31"/>
    </row>
    <row r="551" spans="5:5" x14ac:dyDescent="0.25">
      <c r="E551" s="31"/>
    </row>
    <row r="552" spans="5:5" x14ac:dyDescent="0.25">
      <c r="E552" s="31"/>
    </row>
    <row r="553" spans="5:5" x14ac:dyDescent="0.25">
      <c r="E553" s="31"/>
    </row>
    <row r="554" spans="5:5" x14ac:dyDescent="0.25">
      <c r="E554" s="31"/>
    </row>
    <row r="555" spans="5:5" x14ac:dyDescent="0.25">
      <c r="E555" s="31"/>
    </row>
    <row r="556" spans="5:5" x14ac:dyDescent="0.25">
      <c r="E556" s="31"/>
    </row>
    <row r="557" spans="5:5" x14ac:dyDescent="0.25">
      <c r="E557" s="31"/>
    </row>
    <row r="558" spans="5:5" x14ac:dyDescent="0.25">
      <c r="E558" s="31"/>
    </row>
    <row r="559" spans="5:5" x14ac:dyDescent="0.25">
      <c r="E559" s="31"/>
    </row>
    <row r="560" spans="5:5" x14ac:dyDescent="0.25">
      <c r="E560" s="31"/>
    </row>
    <row r="561" spans="5:5" x14ac:dyDescent="0.25">
      <c r="E561" s="31"/>
    </row>
    <row r="562" spans="5:5" x14ac:dyDescent="0.25">
      <c r="E562" s="31"/>
    </row>
    <row r="563" spans="5:5" x14ac:dyDescent="0.25">
      <c r="E563" s="31"/>
    </row>
    <row r="564" spans="5:5" x14ac:dyDescent="0.25">
      <c r="E564" s="31"/>
    </row>
    <row r="565" spans="5:5" x14ac:dyDescent="0.25">
      <c r="E565" s="31"/>
    </row>
    <row r="566" spans="5:5" x14ac:dyDescent="0.25">
      <c r="E566" s="31"/>
    </row>
    <row r="567" spans="5:5" x14ac:dyDescent="0.25">
      <c r="E567" s="31"/>
    </row>
    <row r="568" spans="5:5" x14ac:dyDescent="0.25">
      <c r="E568" s="31"/>
    </row>
    <row r="569" spans="5:5" x14ac:dyDescent="0.25">
      <c r="E569" s="31"/>
    </row>
    <row r="570" spans="5:5" x14ac:dyDescent="0.25">
      <c r="E570" s="31"/>
    </row>
    <row r="571" spans="5:5" x14ac:dyDescent="0.25">
      <c r="E571" s="31"/>
    </row>
    <row r="572" spans="5:5" x14ac:dyDescent="0.25">
      <c r="E572" s="31"/>
    </row>
    <row r="573" spans="5:5" x14ac:dyDescent="0.25">
      <c r="E573" s="31"/>
    </row>
    <row r="574" spans="5:5" x14ac:dyDescent="0.25">
      <c r="E574" s="31"/>
    </row>
    <row r="575" spans="5:5" x14ac:dyDescent="0.25">
      <c r="E575" s="31"/>
    </row>
    <row r="576" spans="5:5" x14ac:dyDescent="0.25">
      <c r="E576" s="31"/>
    </row>
    <row r="577" spans="5:5" x14ac:dyDescent="0.25">
      <c r="E577" s="31"/>
    </row>
    <row r="578" spans="5:5" x14ac:dyDescent="0.25">
      <c r="E578" s="31"/>
    </row>
    <row r="579" spans="5:5" x14ac:dyDescent="0.25">
      <c r="E579" s="31"/>
    </row>
    <row r="580" spans="5:5" x14ac:dyDescent="0.25">
      <c r="E580" s="31"/>
    </row>
    <row r="581" spans="5:5" x14ac:dyDescent="0.25">
      <c r="E581" s="31"/>
    </row>
    <row r="582" spans="5:5" x14ac:dyDescent="0.25">
      <c r="E582" s="31"/>
    </row>
    <row r="583" spans="5:5" x14ac:dyDescent="0.25">
      <c r="E583" s="31"/>
    </row>
    <row r="584" spans="5:5" x14ac:dyDescent="0.25">
      <c r="E584" s="31"/>
    </row>
    <row r="585" spans="5:5" x14ac:dyDescent="0.25">
      <c r="E585" s="31"/>
    </row>
    <row r="586" spans="5:5" x14ac:dyDescent="0.25">
      <c r="E586" s="31"/>
    </row>
    <row r="587" spans="5:5" x14ac:dyDescent="0.25">
      <c r="E587" s="31"/>
    </row>
    <row r="588" spans="5:5" x14ac:dyDescent="0.25">
      <c r="E588" s="31"/>
    </row>
    <row r="589" spans="5:5" x14ac:dyDescent="0.25">
      <c r="E589" s="31"/>
    </row>
    <row r="590" spans="5:5" x14ac:dyDescent="0.25">
      <c r="E590" s="31"/>
    </row>
    <row r="591" spans="5:5" x14ac:dyDescent="0.25">
      <c r="E591" s="31"/>
    </row>
    <row r="592" spans="5:5" x14ac:dyDescent="0.25">
      <c r="E592" s="31"/>
    </row>
    <row r="593" spans="5:5" x14ac:dyDescent="0.25">
      <c r="E593" s="31"/>
    </row>
    <row r="594" spans="5:5" x14ac:dyDescent="0.25">
      <c r="E594" s="31"/>
    </row>
    <row r="595" spans="5:5" x14ac:dyDescent="0.25">
      <c r="E595" s="31"/>
    </row>
    <row r="596" spans="5:5" x14ac:dyDescent="0.25">
      <c r="E596" s="31"/>
    </row>
    <row r="597" spans="5:5" x14ac:dyDescent="0.25">
      <c r="E597" s="31"/>
    </row>
    <row r="598" spans="5:5" x14ac:dyDescent="0.25">
      <c r="E598" s="31"/>
    </row>
    <row r="599" spans="5:5" x14ac:dyDescent="0.25">
      <c r="E599" s="31"/>
    </row>
    <row r="600" spans="5:5" x14ac:dyDescent="0.25">
      <c r="E600" s="31"/>
    </row>
    <row r="601" spans="5:5" x14ac:dyDescent="0.25">
      <c r="E601" s="31"/>
    </row>
    <row r="602" spans="5:5" x14ac:dyDescent="0.25">
      <c r="E602" s="31"/>
    </row>
    <row r="603" spans="5:5" x14ac:dyDescent="0.25">
      <c r="E603" s="31"/>
    </row>
    <row r="604" spans="5:5" x14ac:dyDescent="0.25">
      <c r="E604" s="31"/>
    </row>
    <row r="605" spans="5:5" x14ac:dyDescent="0.25">
      <c r="E605" s="31"/>
    </row>
    <row r="606" spans="5:5" x14ac:dyDescent="0.25">
      <c r="E606" s="31"/>
    </row>
    <row r="607" spans="5:5" x14ac:dyDescent="0.25">
      <c r="E607" s="31"/>
    </row>
    <row r="608" spans="5:5" x14ac:dyDescent="0.25">
      <c r="E608" s="31"/>
    </row>
    <row r="609" spans="5:5" x14ac:dyDescent="0.25">
      <c r="E609" s="31"/>
    </row>
    <row r="610" spans="5:5" x14ac:dyDescent="0.25">
      <c r="E610" s="31"/>
    </row>
    <row r="611" spans="5:5" x14ac:dyDescent="0.25">
      <c r="E611" s="31"/>
    </row>
    <row r="612" spans="5:5" x14ac:dyDescent="0.25">
      <c r="E612" s="31"/>
    </row>
    <row r="613" spans="5:5" x14ac:dyDescent="0.25">
      <c r="E613" s="31"/>
    </row>
    <row r="614" spans="5:5" x14ac:dyDescent="0.25">
      <c r="E614" s="31"/>
    </row>
    <row r="615" spans="5:5" x14ac:dyDescent="0.25">
      <c r="E615" s="31"/>
    </row>
    <row r="616" spans="5:5" x14ac:dyDescent="0.25">
      <c r="E616" s="31"/>
    </row>
    <row r="617" spans="5:5" x14ac:dyDescent="0.25">
      <c r="E617" s="31"/>
    </row>
    <row r="618" spans="5:5" x14ac:dyDescent="0.25">
      <c r="E618" s="31"/>
    </row>
    <row r="619" spans="5:5" x14ac:dyDescent="0.25">
      <c r="E619" s="31"/>
    </row>
    <row r="620" spans="5:5" x14ac:dyDescent="0.25">
      <c r="E620" s="31"/>
    </row>
    <row r="621" spans="5:5" x14ac:dyDescent="0.25">
      <c r="E621" s="31"/>
    </row>
    <row r="622" spans="5:5" x14ac:dyDescent="0.25">
      <c r="E622" s="31"/>
    </row>
    <row r="623" spans="5:5" x14ac:dyDescent="0.25">
      <c r="E623" s="31"/>
    </row>
    <row r="624" spans="5:5" x14ac:dyDescent="0.25">
      <c r="E624" s="31"/>
    </row>
    <row r="625" spans="5:5" x14ac:dyDescent="0.25">
      <c r="E625" s="31"/>
    </row>
    <row r="626" spans="5:5" x14ac:dyDescent="0.25">
      <c r="E626" s="31"/>
    </row>
    <row r="627" spans="5:5" x14ac:dyDescent="0.25">
      <c r="E627" s="31"/>
    </row>
    <row r="628" spans="5:5" x14ac:dyDescent="0.25">
      <c r="E628" s="31"/>
    </row>
    <row r="629" spans="5:5" x14ac:dyDescent="0.25">
      <c r="E629" s="31"/>
    </row>
    <row r="630" spans="5:5" x14ac:dyDescent="0.25">
      <c r="E630" s="31"/>
    </row>
    <row r="631" spans="5:5" x14ac:dyDescent="0.25">
      <c r="E631" s="31"/>
    </row>
    <row r="632" spans="5:5" x14ac:dyDescent="0.25">
      <c r="E632" s="31"/>
    </row>
    <row r="633" spans="5:5" x14ac:dyDescent="0.25">
      <c r="E633" s="31"/>
    </row>
    <row r="634" spans="5:5" x14ac:dyDescent="0.25">
      <c r="E634" s="31"/>
    </row>
    <row r="635" spans="5:5" x14ac:dyDescent="0.25">
      <c r="E635" s="31"/>
    </row>
    <row r="636" spans="5:5" x14ac:dyDescent="0.25">
      <c r="E636" s="31"/>
    </row>
    <row r="637" spans="5:5" x14ac:dyDescent="0.25">
      <c r="E637" s="31"/>
    </row>
    <row r="638" spans="5:5" x14ac:dyDescent="0.25">
      <c r="E638" s="31"/>
    </row>
    <row r="639" spans="5:5" x14ac:dyDescent="0.25">
      <c r="E639" s="31"/>
    </row>
    <row r="640" spans="5:5" x14ac:dyDescent="0.25">
      <c r="E640" s="31"/>
    </row>
    <row r="641" spans="5:5" x14ac:dyDescent="0.25">
      <c r="E641" s="31"/>
    </row>
    <row r="642" spans="5:5" x14ac:dyDescent="0.25">
      <c r="E642" s="31"/>
    </row>
    <row r="643" spans="5:5" x14ac:dyDescent="0.25">
      <c r="E643" s="31"/>
    </row>
    <row r="644" spans="5:5" x14ac:dyDescent="0.25">
      <c r="E644" s="31"/>
    </row>
    <row r="645" spans="5:5" x14ac:dyDescent="0.25">
      <c r="E645" s="31"/>
    </row>
    <row r="646" spans="5:5" x14ac:dyDescent="0.25">
      <c r="E646" s="31"/>
    </row>
    <row r="647" spans="5:5" x14ac:dyDescent="0.25">
      <c r="E647" s="31"/>
    </row>
    <row r="648" spans="5:5" x14ac:dyDescent="0.25">
      <c r="E648" s="31"/>
    </row>
    <row r="649" spans="5:5" x14ac:dyDescent="0.25">
      <c r="E649" s="31"/>
    </row>
    <row r="650" spans="5:5" x14ac:dyDescent="0.25">
      <c r="E650" s="31"/>
    </row>
    <row r="651" spans="5:5" x14ac:dyDescent="0.25">
      <c r="E651" s="31"/>
    </row>
    <row r="652" spans="5:5" x14ac:dyDescent="0.25">
      <c r="E652" s="31"/>
    </row>
    <row r="653" spans="5:5" x14ac:dyDescent="0.25">
      <c r="E653" s="31"/>
    </row>
    <row r="654" spans="5:5" x14ac:dyDescent="0.25">
      <c r="E654" s="31"/>
    </row>
    <row r="655" spans="5:5" x14ac:dyDescent="0.25">
      <c r="E655" s="31"/>
    </row>
    <row r="656" spans="5:5" x14ac:dyDescent="0.25">
      <c r="E656" s="31"/>
    </row>
    <row r="657" spans="5:5" x14ac:dyDescent="0.25">
      <c r="E657" s="31"/>
    </row>
    <row r="658" spans="5:5" x14ac:dyDescent="0.25">
      <c r="E658" s="31"/>
    </row>
    <row r="659" spans="5:5" x14ac:dyDescent="0.25">
      <c r="E659" s="31"/>
    </row>
    <row r="660" spans="5:5" x14ac:dyDescent="0.25">
      <c r="E660" s="31"/>
    </row>
    <row r="661" spans="5:5" x14ac:dyDescent="0.25">
      <c r="E661" s="31"/>
    </row>
    <row r="662" spans="5:5" x14ac:dyDescent="0.25">
      <c r="E662" s="31"/>
    </row>
    <row r="663" spans="5:5" x14ac:dyDescent="0.25">
      <c r="E663" s="31"/>
    </row>
    <row r="664" spans="5:5" x14ac:dyDescent="0.25">
      <c r="E664" s="31"/>
    </row>
    <row r="665" spans="5:5" x14ac:dyDescent="0.25">
      <c r="E665" s="31"/>
    </row>
    <row r="666" spans="5:5" x14ac:dyDescent="0.25">
      <c r="E666" s="31"/>
    </row>
    <row r="667" spans="5:5" x14ac:dyDescent="0.25">
      <c r="E667" s="31"/>
    </row>
    <row r="668" spans="5:5" x14ac:dyDescent="0.25">
      <c r="E668" s="31"/>
    </row>
    <row r="669" spans="5:5" x14ac:dyDescent="0.25">
      <c r="E669" s="31"/>
    </row>
    <row r="670" spans="5:5" x14ac:dyDescent="0.25">
      <c r="E670" s="31"/>
    </row>
    <row r="671" spans="5:5" x14ac:dyDescent="0.25">
      <c r="E671" s="31"/>
    </row>
    <row r="672" spans="5:5" x14ac:dyDescent="0.25">
      <c r="E672" s="31"/>
    </row>
    <row r="673" spans="5:5" x14ac:dyDescent="0.25">
      <c r="E673" s="31"/>
    </row>
    <row r="674" spans="5:5" x14ac:dyDescent="0.25">
      <c r="E674" s="31"/>
    </row>
    <row r="675" spans="5:5" x14ac:dyDescent="0.25">
      <c r="E675" s="31"/>
    </row>
    <row r="676" spans="5:5" x14ac:dyDescent="0.25">
      <c r="E676" s="31"/>
    </row>
    <row r="677" spans="5:5" x14ac:dyDescent="0.25">
      <c r="E677" s="31"/>
    </row>
    <row r="678" spans="5:5" x14ac:dyDescent="0.25">
      <c r="E678" s="31"/>
    </row>
    <row r="679" spans="5:5" x14ac:dyDescent="0.25">
      <c r="E679" s="31"/>
    </row>
    <row r="680" spans="5:5" x14ac:dyDescent="0.25">
      <c r="E680" s="31"/>
    </row>
    <row r="681" spans="5:5" x14ac:dyDescent="0.25">
      <c r="E681" s="31"/>
    </row>
    <row r="682" spans="5:5" x14ac:dyDescent="0.25">
      <c r="E682" s="31"/>
    </row>
    <row r="683" spans="5:5" x14ac:dyDescent="0.25">
      <c r="E683" s="31"/>
    </row>
    <row r="684" spans="5:5" x14ac:dyDescent="0.25">
      <c r="E684" s="31"/>
    </row>
    <row r="685" spans="5:5" x14ac:dyDescent="0.25">
      <c r="E685" s="31"/>
    </row>
    <row r="686" spans="5:5" x14ac:dyDescent="0.25">
      <c r="E686" s="31"/>
    </row>
    <row r="687" spans="5:5" x14ac:dyDescent="0.25">
      <c r="E687" s="31"/>
    </row>
    <row r="688" spans="5:5" x14ac:dyDescent="0.25">
      <c r="E688" s="31"/>
    </row>
    <row r="689" spans="5:5" x14ac:dyDescent="0.25">
      <c r="E689" s="31"/>
    </row>
    <row r="690" spans="5:5" x14ac:dyDescent="0.25">
      <c r="E690" s="31"/>
    </row>
    <row r="691" spans="5:5" x14ac:dyDescent="0.25">
      <c r="E691" s="31"/>
    </row>
    <row r="692" spans="5:5" x14ac:dyDescent="0.25">
      <c r="E692" s="31"/>
    </row>
    <row r="693" spans="5:5" x14ac:dyDescent="0.25">
      <c r="E693" s="31"/>
    </row>
    <row r="694" spans="5:5" x14ac:dyDescent="0.25">
      <c r="E694" s="31"/>
    </row>
    <row r="695" spans="5:5" x14ac:dyDescent="0.25">
      <c r="E695" s="31"/>
    </row>
    <row r="696" spans="5:5" x14ac:dyDescent="0.25">
      <c r="E696" s="31"/>
    </row>
    <row r="697" spans="5:5" x14ac:dyDescent="0.25">
      <c r="E697" s="31"/>
    </row>
    <row r="698" spans="5:5" x14ac:dyDescent="0.25">
      <c r="E698" s="31"/>
    </row>
    <row r="699" spans="5:5" x14ac:dyDescent="0.25">
      <c r="E699" s="31"/>
    </row>
    <row r="700" spans="5:5" x14ac:dyDescent="0.25">
      <c r="E700" s="31"/>
    </row>
    <row r="701" spans="5:5" x14ac:dyDescent="0.25">
      <c r="E701" s="31"/>
    </row>
    <row r="702" spans="5:5" x14ac:dyDescent="0.25">
      <c r="E702" s="31"/>
    </row>
    <row r="703" spans="5:5" x14ac:dyDescent="0.25">
      <c r="E703" s="31"/>
    </row>
    <row r="704" spans="5:5" x14ac:dyDescent="0.25">
      <c r="E704" s="31"/>
    </row>
    <row r="705" spans="5:5" x14ac:dyDescent="0.25">
      <c r="E705" s="31"/>
    </row>
    <row r="706" spans="5:5" x14ac:dyDescent="0.25">
      <c r="E706" s="31"/>
    </row>
    <row r="707" spans="5:5" x14ac:dyDescent="0.25">
      <c r="E707" s="31"/>
    </row>
    <row r="708" spans="5:5" x14ac:dyDescent="0.25">
      <c r="E708" s="31"/>
    </row>
    <row r="709" spans="5:5" x14ac:dyDescent="0.25">
      <c r="E709" s="31"/>
    </row>
    <row r="710" spans="5:5" x14ac:dyDescent="0.25">
      <c r="E710" s="31"/>
    </row>
    <row r="711" spans="5:5" x14ac:dyDescent="0.25">
      <c r="E711" s="31"/>
    </row>
    <row r="712" spans="5:5" x14ac:dyDescent="0.25">
      <c r="E712" s="31"/>
    </row>
    <row r="713" spans="5:5" x14ac:dyDescent="0.25">
      <c r="E713" s="31"/>
    </row>
    <row r="714" spans="5:5" x14ac:dyDescent="0.25">
      <c r="E714" s="31"/>
    </row>
    <row r="715" spans="5:5" x14ac:dyDescent="0.25">
      <c r="E715" s="31"/>
    </row>
    <row r="716" spans="5:5" x14ac:dyDescent="0.25">
      <c r="E716" s="31"/>
    </row>
    <row r="717" spans="5:5" x14ac:dyDescent="0.25">
      <c r="E717" s="31"/>
    </row>
    <row r="718" spans="5:5" x14ac:dyDescent="0.25">
      <c r="E718" s="31"/>
    </row>
    <row r="719" spans="5:5" x14ac:dyDescent="0.25">
      <c r="E719" s="31"/>
    </row>
    <row r="720" spans="5:5" x14ac:dyDescent="0.25">
      <c r="E720" s="31"/>
    </row>
    <row r="721" spans="5:5" x14ac:dyDescent="0.25">
      <c r="E721" s="31"/>
    </row>
    <row r="722" spans="5:5" x14ac:dyDescent="0.25">
      <c r="E722" s="31"/>
    </row>
    <row r="723" spans="5:5" x14ac:dyDescent="0.25">
      <c r="E723" s="31"/>
    </row>
    <row r="724" spans="5:5" x14ac:dyDescent="0.25">
      <c r="E724" s="31"/>
    </row>
    <row r="725" spans="5:5" x14ac:dyDescent="0.25">
      <c r="E725" s="31"/>
    </row>
    <row r="726" spans="5:5" x14ac:dyDescent="0.25">
      <c r="E726" s="31"/>
    </row>
    <row r="727" spans="5:5" x14ac:dyDescent="0.25">
      <c r="E727" s="31"/>
    </row>
    <row r="728" spans="5:5" x14ac:dyDescent="0.25">
      <c r="E728" s="31"/>
    </row>
    <row r="729" spans="5:5" x14ac:dyDescent="0.25">
      <c r="E729" s="31"/>
    </row>
    <row r="730" spans="5:5" x14ac:dyDescent="0.25">
      <c r="E730" s="31"/>
    </row>
    <row r="731" spans="5:5" x14ac:dyDescent="0.25">
      <c r="E731" s="31"/>
    </row>
    <row r="732" spans="5:5" x14ac:dyDescent="0.25">
      <c r="E732" s="31"/>
    </row>
    <row r="733" spans="5:5" x14ac:dyDescent="0.25">
      <c r="E733" s="31"/>
    </row>
    <row r="734" spans="5:5" x14ac:dyDescent="0.25">
      <c r="E734" s="31"/>
    </row>
    <row r="735" spans="5:5" x14ac:dyDescent="0.25">
      <c r="E735" s="31"/>
    </row>
    <row r="736" spans="5:5" x14ac:dyDescent="0.25">
      <c r="E736" s="31"/>
    </row>
    <row r="737" spans="5:5" x14ac:dyDescent="0.25">
      <c r="E737" s="31"/>
    </row>
    <row r="738" spans="5:5" x14ac:dyDescent="0.25">
      <c r="E738" s="31"/>
    </row>
    <row r="739" spans="5:5" x14ac:dyDescent="0.25">
      <c r="E739" s="31"/>
    </row>
    <row r="740" spans="5:5" x14ac:dyDescent="0.25">
      <c r="E740" s="31"/>
    </row>
    <row r="741" spans="5:5" x14ac:dyDescent="0.25">
      <c r="E741" s="31"/>
    </row>
    <row r="742" spans="5:5" x14ac:dyDescent="0.25">
      <c r="E742" s="31"/>
    </row>
    <row r="743" spans="5:5" x14ac:dyDescent="0.25">
      <c r="E743" s="31"/>
    </row>
    <row r="744" spans="5:5" x14ac:dyDescent="0.25">
      <c r="E744" s="31"/>
    </row>
    <row r="745" spans="5:5" x14ac:dyDescent="0.25">
      <c r="E745" s="31"/>
    </row>
    <row r="746" spans="5:5" x14ac:dyDescent="0.25">
      <c r="E746" s="31"/>
    </row>
    <row r="747" spans="5:5" x14ac:dyDescent="0.25">
      <c r="E747" s="31"/>
    </row>
    <row r="748" spans="5:5" x14ac:dyDescent="0.25">
      <c r="E748" s="31"/>
    </row>
    <row r="749" spans="5:5" x14ac:dyDescent="0.25">
      <c r="E749" s="31"/>
    </row>
    <row r="750" spans="5:5" x14ac:dyDescent="0.25">
      <c r="E750" s="31"/>
    </row>
    <row r="751" spans="5:5" x14ac:dyDescent="0.25">
      <c r="E751" s="31"/>
    </row>
    <row r="752" spans="5:5" x14ac:dyDescent="0.25">
      <c r="E752" s="31"/>
    </row>
    <row r="753" spans="5:5" x14ac:dyDescent="0.25">
      <c r="E753" s="31"/>
    </row>
    <row r="754" spans="5:5" x14ac:dyDescent="0.25">
      <c r="E754" s="31"/>
    </row>
    <row r="755" spans="5:5" x14ac:dyDescent="0.25">
      <c r="E755" s="31"/>
    </row>
    <row r="756" spans="5:5" x14ac:dyDescent="0.25">
      <c r="E756" s="31"/>
    </row>
    <row r="757" spans="5:5" x14ac:dyDescent="0.25">
      <c r="E757" s="31"/>
    </row>
    <row r="758" spans="5:5" x14ac:dyDescent="0.25">
      <c r="E758" s="31"/>
    </row>
    <row r="759" spans="5:5" x14ac:dyDescent="0.25">
      <c r="E759" s="31"/>
    </row>
    <row r="760" spans="5:5" x14ac:dyDescent="0.25">
      <c r="E760" s="31"/>
    </row>
    <row r="761" spans="5:5" x14ac:dyDescent="0.25">
      <c r="E761" s="31"/>
    </row>
    <row r="762" spans="5:5" x14ac:dyDescent="0.25">
      <c r="E762" s="31"/>
    </row>
    <row r="763" spans="5:5" x14ac:dyDescent="0.25">
      <c r="E763" s="31"/>
    </row>
    <row r="764" spans="5:5" x14ac:dyDescent="0.25">
      <c r="E764" s="31"/>
    </row>
    <row r="765" spans="5:5" x14ac:dyDescent="0.25">
      <c r="E765" s="31"/>
    </row>
    <row r="766" spans="5:5" x14ac:dyDescent="0.25">
      <c r="E766" s="31"/>
    </row>
    <row r="767" spans="5:5" x14ac:dyDescent="0.25">
      <c r="E767" s="31"/>
    </row>
    <row r="768" spans="5:5" x14ac:dyDescent="0.25">
      <c r="E768" s="31"/>
    </row>
    <row r="769" spans="5:5" x14ac:dyDescent="0.25">
      <c r="E769" s="31"/>
    </row>
    <row r="770" spans="5:5" x14ac:dyDescent="0.25">
      <c r="E770" s="31"/>
    </row>
    <row r="771" spans="5:5" x14ac:dyDescent="0.25">
      <c r="E771" s="31"/>
    </row>
    <row r="772" spans="5:5" x14ac:dyDescent="0.25">
      <c r="E772" s="31"/>
    </row>
    <row r="773" spans="5:5" x14ac:dyDescent="0.25">
      <c r="E773" s="31"/>
    </row>
    <row r="774" spans="5:5" x14ac:dyDescent="0.25">
      <c r="E774" s="31"/>
    </row>
    <row r="775" spans="5:5" x14ac:dyDescent="0.25">
      <c r="E775" s="31"/>
    </row>
    <row r="776" spans="5:5" x14ac:dyDescent="0.25">
      <c r="E776" s="31"/>
    </row>
    <row r="777" spans="5:5" x14ac:dyDescent="0.25">
      <c r="E777" s="31"/>
    </row>
    <row r="778" spans="5:5" x14ac:dyDescent="0.25">
      <c r="E778" s="31"/>
    </row>
    <row r="779" spans="5:5" x14ac:dyDescent="0.25">
      <c r="E779" s="31"/>
    </row>
    <row r="780" spans="5:5" x14ac:dyDescent="0.25">
      <c r="E780" s="31"/>
    </row>
    <row r="781" spans="5:5" x14ac:dyDescent="0.25">
      <c r="E781" s="31"/>
    </row>
    <row r="782" spans="5:5" x14ac:dyDescent="0.25">
      <c r="E782" s="31"/>
    </row>
    <row r="783" spans="5:5" x14ac:dyDescent="0.25">
      <c r="E783" s="31"/>
    </row>
    <row r="784" spans="5:5" x14ac:dyDescent="0.25">
      <c r="E784" s="31"/>
    </row>
    <row r="785" spans="5:5" x14ac:dyDescent="0.25">
      <c r="E785" s="31"/>
    </row>
    <row r="786" spans="5:5" x14ac:dyDescent="0.25">
      <c r="E786" s="31"/>
    </row>
    <row r="787" spans="5:5" x14ac:dyDescent="0.25">
      <c r="E787" s="31"/>
    </row>
    <row r="788" spans="5:5" x14ac:dyDescent="0.25">
      <c r="E788" s="31"/>
    </row>
    <row r="789" spans="5:5" x14ac:dyDescent="0.25">
      <c r="E789" s="31"/>
    </row>
    <row r="790" spans="5:5" x14ac:dyDescent="0.25">
      <c r="E790" s="31"/>
    </row>
    <row r="791" spans="5:5" x14ac:dyDescent="0.25">
      <c r="E791" s="31"/>
    </row>
    <row r="792" spans="5:5" x14ac:dyDescent="0.25">
      <c r="E792" s="31"/>
    </row>
    <row r="793" spans="5:5" x14ac:dyDescent="0.25">
      <c r="E793" s="31"/>
    </row>
    <row r="794" spans="5:5" x14ac:dyDescent="0.25">
      <c r="E794" s="31"/>
    </row>
    <row r="795" spans="5:5" x14ac:dyDescent="0.25">
      <c r="E795" s="31"/>
    </row>
    <row r="796" spans="5:5" x14ac:dyDescent="0.25">
      <c r="E796" s="31"/>
    </row>
    <row r="797" spans="5:5" x14ac:dyDescent="0.25">
      <c r="E797" s="31"/>
    </row>
    <row r="798" spans="5:5" x14ac:dyDescent="0.25">
      <c r="E798" s="31"/>
    </row>
    <row r="799" spans="5:5" x14ac:dyDescent="0.25">
      <c r="E799" s="31"/>
    </row>
    <row r="800" spans="5:5" x14ac:dyDescent="0.25">
      <c r="E800" s="31"/>
    </row>
    <row r="801" spans="5:5" x14ac:dyDescent="0.25">
      <c r="E801" s="31"/>
    </row>
    <row r="802" spans="5:5" x14ac:dyDescent="0.25">
      <c r="E802" s="31"/>
    </row>
    <row r="803" spans="5:5" x14ac:dyDescent="0.25">
      <c r="E803" s="31"/>
    </row>
    <row r="804" spans="5:5" x14ac:dyDescent="0.25">
      <c r="E804" s="31"/>
    </row>
    <row r="805" spans="5:5" x14ac:dyDescent="0.25">
      <c r="E805" s="31"/>
    </row>
    <row r="806" spans="5:5" x14ac:dyDescent="0.25">
      <c r="E806" s="31"/>
    </row>
    <row r="807" spans="5:5" x14ac:dyDescent="0.25">
      <c r="E807" s="31"/>
    </row>
    <row r="808" spans="5:5" x14ac:dyDescent="0.25">
      <c r="E808" s="31"/>
    </row>
    <row r="809" spans="5:5" x14ac:dyDescent="0.25">
      <c r="E809" s="31"/>
    </row>
    <row r="810" spans="5:5" x14ac:dyDescent="0.25">
      <c r="E810" s="31"/>
    </row>
    <row r="811" spans="5:5" x14ac:dyDescent="0.25">
      <c r="E811" s="31"/>
    </row>
    <row r="812" spans="5:5" x14ac:dyDescent="0.25">
      <c r="E812" s="31"/>
    </row>
    <row r="813" spans="5:5" x14ac:dyDescent="0.25">
      <c r="E813" s="31"/>
    </row>
    <row r="814" spans="5:5" x14ac:dyDescent="0.25">
      <c r="E814" s="31"/>
    </row>
    <row r="815" spans="5:5" x14ac:dyDescent="0.25">
      <c r="E815" s="31"/>
    </row>
    <row r="816" spans="5:5" x14ac:dyDescent="0.25">
      <c r="E816" s="31"/>
    </row>
    <row r="817" spans="5:5" x14ac:dyDescent="0.25">
      <c r="E817" s="31"/>
    </row>
    <row r="818" spans="5:5" x14ac:dyDescent="0.25">
      <c r="E818" s="31"/>
    </row>
    <row r="819" spans="5:5" x14ac:dyDescent="0.25">
      <c r="E819" s="31"/>
    </row>
    <row r="820" spans="5:5" x14ac:dyDescent="0.25">
      <c r="E820" s="31"/>
    </row>
    <row r="821" spans="5:5" x14ac:dyDescent="0.25">
      <c r="E821" s="31"/>
    </row>
    <row r="822" spans="5:5" x14ac:dyDescent="0.25">
      <c r="E822" s="31"/>
    </row>
    <row r="823" spans="5:5" x14ac:dyDescent="0.25">
      <c r="E823" s="31"/>
    </row>
    <row r="824" spans="5:5" x14ac:dyDescent="0.25">
      <c r="E824" s="31"/>
    </row>
    <row r="825" spans="5:5" x14ac:dyDescent="0.25">
      <c r="E825" s="31"/>
    </row>
    <row r="826" spans="5:5" x14ac:dyDescent="0.25">
      <c r="E826" s="31"/>
    </row>
    <row r="827" spans="5:5" x14ac:dyDescent="0.25">
      <c r="E827" s="31"/>
    </row>
    <row r="828" spans="5:5" x14ac:dyDescent="0.25">
      <c r="E828" s="31"/>
    </row>
    <row r="829" spans="5:5" x14ac:dyDescent="0.25">
      <c r="E829" s="31"/>
    </row>
    <row r="830" spans="5:5" x14ac:dyDescent="0.25">
      <c r="E830" s="31"/>
    </row>
    <row r="831" spans="5:5" x14ac:dyDescent="0.25">
      <c r="E831" s="31"/>
    </row>
    <row r="832" spans="5:5" x14ac:dyDescent="0.25">
      <c r="E832" s="31"/>
    </row>
    <row r="833" spans="5:5" x14ac:dyDescent="0.25">
      <c r="E833" s="31"/>
    </row>
    <row r="834" spans="5:5" x14ac:dyDescent="0.25">
      <c r="E834" s="31"/>
    </row>
    <row r="835" spans="5:5" x14ac:dyDescent="0.25">
      <c r="E835" s="31"/>
    </row>
    <row r="836" spans="5:5" x14ac:dyDescent="0.25">
      <c r="E836" s="31"/>
    </row>
    <row r="837" spans="5:5" x14ac:dyDescent="0.25">
      <c r="E837" s="31"/>
    </row>
    <row r="838" spans="5:5" x14ac:dyDescent="0.25">
      <c r="E838" s="31"/>
    </row>
    <row r="839" spans="5:5" x14ac:dyDescent="0.25">
      <c r="E839" s="31"/>
    </row>
    <row r="840" spans="5:5" x14ac:dyDescent="0.25">
      <c r="E840" s="31"/>
    </row>
    <row r="841" spans="5:5" x14ac:dyDescent="0.25">
      <c r="E841" s="31"/>
    </row>
    <row r="842" spans="5:5" x14ac:dyDescent="0.25">
      <c r="E842" s="31"/>
    </row>
    <row r="843" spans="5:5" x14ac:dyDescent="0.25">
      <c r="E843" s="31"/>
    </row>
    <row r="844" spans="5:5" x14ac:dyDescent="0.25">
      <c r="E844" s="31"/>
    </row>
    <row r="845" spans="5:5" x14ac:dyDescent="0.25">
      <c r="E845" s="31"/>
    </row>
    <row r="846" spans="5:5" x14ac:dyDescent="0.25">
      <c r="E846" s="31"/>
    </row>
    <row r="847" spans="5:5" x14ac:dyDescent="0.25">
      <c r="E847" s="31"/>
    </row>
    <row r="848" spans="5:5" x14ac:dyDescent="0.25">
      <c r="E848" s="31"/>
    </row>
    <row r="849" spans="5:5" x14ac:dyDescent="0.25">
      <c r="E849" s="31"/>
    </row>
    <row r="850" spans="5:5" x14ac:dyDescent="0.25">
      <c r="E850" s="31"/>
    </row>
    <row r="851" spans="5:5" x14ac:dyDescent="0.25">
      <c r="E851" s="31"/>
    </row>
    <row r="852" spans="5:5" x14ac:dyDescent="0.25">
      <c r="E852" s="31"/>
    </row>
    <row r="853" spans="5:5" x14ac:dyDescent="0.25">
      <c r="E853" s="31"/>
    </row>
    <row r="854" spans="5:5" x14ac:dyDescent="0.25">
      <c r="E854" s="31"/>
    </row>
    <row r="855" spans="5:5" x14ac:dyDescent="0.25">
      <c r="E855" s="31"/>
    </row>
    <row r="856" spans="5:5" x14ac:dyDescent="0.25">
      <c r="E856" s="31"/>
    </row>
    <row r="857" spans="5:5" x14ac:dyDescent="0.25">
      <c r="E857" s="31"/>
    </row>
    <row r="858" spans="5:5" x14ac:dyDescent="0.25">
      <c r="E858" s="31"/>
    </row>
    <row r="859" spans="5:5" x14ac:dyDescent="0.25">
      <c r="E859" s="31"/>
    </row>
    <row r="860" spans="5:5" x14ac:dyDescent="0.25">
      <c r="E860" s="31"/>
    </row>
    <row r="861" spans="5:5" x14ac:dyDescent="0.25">
      <c r="E861" s="31"/>
    </row>
    <row r="862" spans="5:5" x14ac:dyDescent="0.25">
      <c r="E862" s="31"/>
    </row>
    <row r="863" spans="5:5" x14ac:dyDescent="0.25">
      <c r="E863" s="31"/>
    </row>
    <row r="864" spans="5:5" x14ac:dyDescent="0.25">
      <c r="E864" s="31"/>
    </row>
    <row r="865" spans="5:5" x14ac:dyDescent="0.25">
      <c r="E865" s="31"/>
    </row>
    <row r="866" spans="5:5" x14ac:dyDescent="0.25">
      <c r="E866" s="31"/>
    </row>
    <row r="867" spans="5:5" x14ac:dyDescent="0.25">
      <c r="E867" s="31"/>
    </row>
    <row r="868" spans="5:5" x14ac:dyDescent="0.25">
      <c r="E868" s="31"/>
    </row>
    <row r="869" spans="5:5" x14ac:dyDescent="0.25">
      <c r="E869" s="31"/>
    </row>
    <row r="870" spans="5:5" x14ac:dyDescent="0.25">
      <c r="E870" s="31"/>
    </row>
    <row r="871" spans="5:5" x14ac:dyDescent="0.25">
      <c r="E871" s="31"/>
    </row>
    <row r="872" spans="5:5" x14ac:dyDescent="0.25">
      <c r="E872" s="31"/>
    </row>
    <row r="873" spans="5:5" x14ac:dyDescent="0.25">
      <c r="E873" s="31"/>
    </row>
    <row r="874" spans="5:5" x14ac:dyDescent="0.25">
      <c r="E874" s="31"/>
    </row>
    <row r="875" spans="5:5" x14ac:dyDescent="0.25">
      <c r="E875" s="31"/>
    </row>
    <row r="876" spans="5:5" x14ac:dyDescent="0.25">
      <c r="E876" s="31"/>
    </row>
    <row r="877" spans="5:5" x14ac:dyDescent="0.25">
      <c r="E877" s="31"/>
    </row>
    <row r="878" spans="5:5" x14ac:dyDescent="0.25">
      <c r="E878" s="31"/>
    </row>
    <row r="879" spans="5:5" x14ac:dyDescent="0.25">
      <c r="E879" s="31"/>
    </row>
    <row r="880" spans="5:5" x14ac:dyDescent="0.25">
      <c r="E880" s="31"/>
    </row>
    <row r="881" spans="5:5" x14ac:dyDescent="0.25">
      <c r="E881" s="31"/>
    </row>
    <row r="882" spans="5:5" x14ac:dyDescent="0.25">
      <c r="E882" s="31"/>
    </row>
    <row r="883" spans="5:5" x14ac:dyDescent="0.25">
      <c r="E883" s="31"/>
    </row>
    <row r="884" spans="5:5" x14ac:dyDescent="0.25">
      <c r="E884" s="31"/>
    </row>
    <row r="885" spans="5:5" x14ac:dyDescent="0.25">
      <c r="E885" s="31"/>
    </row>
    <row r="886" spans="5:5" x14ac:dyDescent="0.25">
      <c r="E886" s="31"/>
    </row>
    <row r="887" spans="5:5" x14ac:dyDescent="0.25">
      <c r="E887" s="31"/>
    </row>
    <row r="888" spans="5:5" x14ac:dyDescent="0.25">
      <c r="E888" s="31"/>
    </row>
    <row r="889" spans="5:5" x14ac:dyDescent="0.25">
      <c r="E889" s="31"/>
    </row>
    <row r="890" spans="5:5" x14ac:dyDescent="0.25">
      <c r="E890" s="31"/>
    </row>
    <row r="891" spans="5:5" x14ac:dyDescent="0.25">
      <c r="E891" s="31"/>
    </row>
    <row r="892" spans="5:5" x14ac:dyDescent="0.25">
      <c r="E892" s="31"/>
    </row>
    <row r="893" spans="5:5" x14ac:dyDescent="0.25">
      <c r="E893" s="31"/>
    </row>
    <row r="894" spans="5:5" x14ac:dyDescent="0.25">
      <c r="E894" s="31"/>
    </row>
    <row r="895" spans="5:5" x14ac:dyDescent="0.25">
      <c r="E895" s="31"/>
    </row>
    <row r="896" spans="5:5" x14ac:dyDescent="0.25">
      <c r="E896" s="31"/>
    </row>
    <row r="897" spans="5:5" x14ac:dyDescent="0.25">
      <c r="E897" s="31"/>
    </row>
    <row r="898" spans="5:5" x14ac:dyDescent="0.25">
      <c r="E898" s="31"/>
    </row>
    <row r="899" spans="5:5" x14ac:dyDescent="0.25">
      <c r="E899" s="31"/>
    </row>
    <row r="900" spans="5:5" x14ac:dyDescent="0.25">
      <c r="E900" s="31"/>
    </row>
    <row r="901" spans="5:5" x14ac:dyDescent="0.25">
      <c r="E901" s="31"/>
    </row>
    <row r="902" spans="5:5" x14ac:dyDescent="0.25">
      <c r="E902" s="31"/>
    </row>
    <row r="903" spans="5:5" x14ac:dyDescent="0.25">
      <c r="E903" s="31"/>
    </row>
    <row r="904" spans="5:5" x14ac:dyDescent="0.25">
      <c r="E904" s="31"/>
    </row>
    <row r="905" spans="5:5" x14ac:dyDescent="0.25">
      <c r="E905" s="31"/>
    </row>
    <row r="906" spans="5:5" x14ac:dyDescent="0.25">
      <c r="E906" s="31"/>
    </row>
    <row r="907" spans="5:5" x14ac:dyDescent="0.25">
      <c r="E907" s="31"/>
    </row>
    <row r="908" spans="5:5" x14ac:dyDescent="0.25">
      <c r="E908" s="31"/>
    </row>
    <row r="909" spans="5:5" x14ac:dyDescent="0.25">
      <c r="E909" s="31"/>
    </row>
    <row r="910" spans="5:5" x14ac:dyDescent="0.25">
      <c r="E910" s="31"/>
    </row>
    <row r="911" spans="5:5" x14ac:dyDescent="0.25">
      <c r="E911" s="31"/>
    </row>
    <row r="912" spans="5:5" x14ac:dyDescent="0.25">
      <c r="E912" s="31"/>
    </row>
    <row r="913" spans="5:5" x14ac:dyDescent="0.25">
      <c r="E913" s="31"/>
    </row>
    <row r="914" spans="5:5" x14ac:dyDescent="0.25">
      <c r="E914" s="31"/>
    </row>
    <row r="915" spans="5:5" x14ac:dyDescent="0.25">
      <c r="E915" s="31"/>
    </row>
    <row r="916" spans="5:5" x14ac:dyDescent="0.25">
      <c r="E916" s="31"/>
    </row>
    <row r="917" spans="5:5" x14ac:dyDescent="0.25">
      <c r="E917" s="31"/>
    </row>
    <row r="918" spans="5:5" x14ac:dyDescent="0.25">
      <c r="E918" s="31"/>
    </row>
    <row r="919" spans="5:5" x14ac:dyDescent="0.25">
      <c r="E919" s="31"/>
    </row>
    <row r="920" spans="5:5" x14ac:dyDescent="0.25">
      <c r="E920" s="31"/>
    </row>
    <row r="921" spans="5:5" x14ac:dyDescent="0.25">
      <c r="E921" s="31"/>
    </row>
    <row r="922" spans="5:5" x14ac:dyDescent="0.25">
      <c r="E922" s="31"/>
    </row>
    <row r="923" spans="5:5" x14ac:dyDescent="0.25">
      <c r="E923" s="31"/>
    </row>
    <row r="924" spans="5:5" x14ac:dyDescent="0.25">
      <c r="E924" s="31"/>
    </row>
    <row r="925" spans="5:5" x14ac:dyDescent="0.25">
      <c r="E925" s="31"/>
    </row>
    <row r="926" spans="5:5" x14ac:dyDescent="0.25">
      <c r="E926" s="31"/>
    </row>
    <row r="927" spans="5:5" x14ac:dyDescent="0.25">
      <c r="E927" s="31"/>
    </row>
    <row r="928" spans="5:5" x14ac:dyDescent="0.25">
      <c r="E928" s="31"/>
    </row>
    <row r="929" spans="5:5" x14ac:dyDescent="0.25">
      <c r="E929" s="31"/>
    </row>
    <row r="930" spans="5:5" x14ac:dyDescent="0.25">
      <c r="E930" s="31"/>
    </row>
    <row r="931" spans="5:5" x14ac:dyDescent="0.25">
      <c r="E931" s="31"/>
    </row>
    <row r="932" spans="5:5" x14ac:dyDescent="0.25">
      <c r="E932" s="31"/>
    </row>
    <row r="933" spans="5:5" x14ac:dyDescent="0.25">
      <c r="E933" s="31"/>
    </row>
    <row r="934" spans="5:5" x14ac:dyDescent="0.25">
      <c r="E934" s="31"/>
    </row>
    <row r="935" spans="5:5" x14ac:dyDescent="0.25">
      <c r="E935" s="31"/>
    </row>
    <row r="936" spans="5:5" x14ac:dyDescent="0.25">
      <c r="E936" s="31"/>
    </row>
    <row r="937" spans="5:5" x14ac:dyDescent="0.25">
      <c r="E937" s="31"/>
    </row>
    <row r="938" spans="5:5" x14ac:dyDescent="0.25">
      <c r="E938" s="31"/>
    </row>
    <row r="939" spans="5:5" x14ac:dyDescent="0.25">
      <c r="E939" s="31"/>
    </row>
    <row r="940" spans="5:5" x14ac:dyDescent="0.25">
      <c r="E940" s="31"/>
    </row>
    <row r="941" spans="5:5" x14ac:dyDescent="0.25">
      <c r="E941" s="31"/>
    </row>
    <row r="942" spans="5:5" x14ac:dyDescent="0.25">
      <c r="E942" s="31"/>
    </row>
    <row r="943" spans="5:5" x14ac:dyDescent="0.25">
      <c r="E943" s="31"/>
    </row>
    <row r="944" spans="5:5" x14ac:dyDescent="0.25">
      <c r="E944" s="31"/>
    </row>
    <row r="945" spans="5:5" x14ac:dyDescent="0.25">
      <c r="E945" s="31"/>
    </row>
    <row r="946" spans="5:5" x14ac:dyDescent="0.25">
      <c r="E946" s="31"/>
    </row>
    <row r="947" spans="5:5" x14ac:dyDescent="0.25">
      <c r="E947" s="31"/>
    </row>
    <row r="948" spans="5:5" x14ac:dyDescent="0.25">
      <c r="E948" s="31"/>
    </row>
    <row r="949" spans="5:5" x14ac:dyDescent="0.25">
      <c r="E949" s="31"/>
    </row>
    <row r="950" spans="5:5" x14ac:dyDescent="0.25">
      <c r="E950" s="31"/>
    </row>
    <row r="951" spans="5:5" x14ac:dyDescent="0.25">
      <c r="E951" s="31"/>
    </row>
    <row r="952" spans="5:5" x14ac:dyDescent="0.25">
      <c r="E952" s="31"/>
    </row>
    <row r="953" spans="5:5" x14ac:dyDescent="0.25">
      <c r="E953" s="31"/>
    </row>
    <row r="954" spans="5:5" x14ac:dyDescent="0.25">
      <c r="E954" s="31"/>
    </row>
    <row r="955" spans="5:5" x14ac:dyDescent="0.25">
      <c r="E955" s="31"/>
    </row>
    <row r="956" spans="5:5" x14ac:dyDescent="0.25">
      <c r="E956" s="31"/>
    </row>
    <row r="957" spans="5:5" x14ac:dyDescent="0.25">
      <c r="E957" s="31"/>
    </row>
    <row r="958" spans="5:5" x14ac:dyDescent="0.25">
      <c r="E958" s="31"/>
    </row>
    <row r="959" spans="5:5" x14ac:dyDescent="0.25">
      <c r="E959" s="31"/>
    </row>
    <row r="960" spans="5:5" x14ac:dyDescent="0.25">
      <c r="E960" s="31"/>
    </row>
    <row r="961" spans="5:5" x14ac:dyDescent="0.25">
      <c r="E961" s="31"/>
    </row>
    <row r="962" spans="5:5" x14ac:dyDescent="0.25">
      <c r="E962" s="31"/>
    </row>
    <row r="963" spans="5:5" x14ac:dyDescent="0.25">
      <c r="E963" s="31"/>
    </row>
    <row r="964" spans="5:5" x14ac:dyDescent="0.25">
      <c r="E964" s="31"/>
    </row>
    <row r="965" spans="5:5" x14ac:dyDescent="0.25">
      <c r="E965" s="31"/>
    </row>
    <row r="966" spans="5:5" x14ac:dyDescent="0.25">
      <c r="E966" s="31"/>
    </row>
    <row r="967" spans="5:5" x14ac:dyDescent="0.25">
      <c r="E967" s="31"/>
    </row>
    <row r="968" spans="5:5" x14ac:dyDescent="0.25">
      <c r="E968" s="31"/>
    </row>
    <row r="969" spans="5:5" x14ac:dyDescent="0.25">
      <c r="E969" s="31"/>
    </row>
    <row r="970" spans="5:5" x14ac:dyDescent="0.25">
      <c r="E970" s="31"/>
    </row>
    <row r="971" spans="5:5" x14ac:dyDescent="0.25">
      <c r="E971" s="31"/>
    </row>
    <row r="972" spans="5:5" x14ac:dyDescent="0.25">
      <c r="E972" s="31"/>
    </row>
    <row r="973" spans="5:5" x14ac:dyDescent="0.25">
      <c r="E973" s="31"/>
    </row>
    <row r="974" spans="5:5" x14ac:dyDescent="0.25">
      <c r="E974" s="31"/>
    </row>
    <row r="975" spans="5:5" x14ac:dyDescent="0.25">
      <c r="E975" s="31"/>
    </row>
    <row r="976" spans="5:5" x14ac:dyDescent="0.25">
      <c r="E976" s="31"/>
    </row>
    <row r="977" spans="5:5" x14ac:dyDescent="0.25">
      <c r="E977" s="31"/>
    </row>
    <row r="978" spans="5:5" x14ac:dyDescent="0.25">
      <c r="E978" s="31"/>
    </row>
    <row r="979" spans="5:5" x14ac:dyDescent="0.25">
      <c r="E979" s="31"/>
    </row>
    <row r="980" spans="5:5" x14ac:dyDescent="0.25">
      <c r="E980" s="31"/>
    </row>
    <row r="981" spans="5:5" x14ac:dyDescent="0.25">
      <c r="E981" s="31"/>
    </row>
    <row r="982" spans="5:5" x14ac:dyDescent="0.25">
      <c r="E982" s="31"/>
    </row>
    <row r="983" spans="5:5" x14ac:dyDescent="0.25">
      <c r="E983" s="31"/>
    </row>
    <row r="984" spans="5:5" x14ac:dyDescent="0.25">
      <c r="E984" s="31"/>
    </row>
    <row r="985" spans="5:5" x14ac:dyDescent="0.25">
      <c r="E985" s="31"/>
    </row>
    <row r="986" spans="5:5" x14ac:dyDescent="0.25">
      <c r="E986" s="31"/>
    </row>
    <row r="987" spans="5:5" x14ac:dyDescent="0.25">
      <c r="E987" s="31"/>
    </row>
    <row r="988" spans="5:5" x14ac:dyDescent="0.25">
      <c r="E988" s="31"/>
    </row>
    <row r="989" spans="5:5" x14ac:dyDescent="0.25">
      <c r="E989" s="31"/>
    </row>
    <row r="990" spans="5:5" x14ac:dyDescent="0.25">
      <c r="E990" s="31"/>
    </row>
    <row r="991" spans="5:5" x14ac:dyDescent="0.25">
      <c r="E991" s="31"/>
    </row>
    <row r="992" spans="5:5" x14ac:dyDescent="0.25">
      <c r="E992" s="31"/>
    </row>
    <row r="993" spans="5:5" x14ac:dyDescent="0.25">
      <c r="E993" s="31"/>
    </row>
    <row r="994" spans="5:5" x14ac:dyDescent="0.25">
      <c r="E994" s="31"/>
    </row>
    <row r="995" spans="5:5" x14ac:dyDescent="0.25">
      <c r="E995" s="31"/>
    </row>
    <row r="996" spans="5:5" x14ac:dyDescent="0.25">
      <c r="E996" s="31"/>
    </row>
    <row r="997" spans="5:5" x14ac:dyDescent="0.25">
      <c r="E997" s="31"/>
    </row>
    <row r="998" spans="5:5" x14ac:dyDescent="0.25">
      <c r="E998" s="31"/>
    </row>
    <row r="999" spans="5:5" x14ac:dyDescent="0.25">
      <c r="E999" s="31"/>
    </row>
    <row r="1000" spans="5:5" x14ac:dyDescent="0.25">
      <c r="E1000" s="31"/>
    </row>
    <row r="1001" spans="5:5" x14ac:dyDescent="0.25">
      <c r="E1001" s="31"/>
    </row>
    <row r="1002" spans="5:5" x14ac:dyDescent="0.25">
      <c r="E1002" s="31"/>
    </row>
    <row r="1003" spans="5:5" x14ac:dyDescent="0.25">
      <c r="E1003" s="31"/>
    </row>
    <row r="1004" spans="5:5" x14ac:dyDescent="0.25">
      <c r="E1004" s="31"/>
    </row>
    <row r="1005" spans="5:5" x14ac:dyDescent="0.25">
      <c r="E1005" s="31"/>
    </row>
    <row r="1006" spans="5:5" x14ac:dyDescent="0.25">
      <c r="E1006" s="31"/>
    </row>
    <row r="1007" spans="5:5" x14ac:dyDescent="0.25">
      <c r="E1007" s="31"/>
    </row>
    <row r="1008" spans="5:5" x14ac:dyDescent="0.25">
      <c r="E1008" s="31"/>
    </row>
    <row r="1009" spans="5:5" x14ac:dyDescent="0.25">
      <c r="E1009" s="31"/>
    </row>
    <row r="1010" spans="5:5" x14ac:dyDescent="0.25">
      <c r="E1010" s="31"/>
    </row>
    <row r="1011" spans="5:5" x14ac:dyDescent="0.25">
      <c r="E1011" s="31"/>
    </row>
    <row r="1012" spans="5:5" x14ac:dyDescent="0.25">
      <c r="E1012" s="31"/>
    </row>
    <row r="1013" spans="5:5" x14ac:dyDescent="0.25">
      <c r="E1013" s="31"/>
    </row>
    <row r="1014" spans="5:5" x14ac:dyDescent="0.25">
      <c r="E1014" s="31"/>
    </row>
    <row r="1015" spans="5:5" x14ac:dyDescent="0.25">
      <c r="E1015" s="31"/>
    </row>
    <row r="1016" spans="5:5" x14ac:dyDescent="0.25">
      <c r="E1016" s="31"/>
    </row>
    <row r="1017" spans="5:5" x14ac:dyDescent="0.25">
      <c r="E1017" s="31"/>
    </row>
    <row r="1018" spans="5:5" x14ac:dyDescent="0.25">
      <c r="E1018" s="31"/>
    </row>
    <row r="1019" spans="5:5" x14ac:dyDescent="0.25">
      <c r="E1019" s="31"/>
    </row>
    <row r="1020" spans="5:5" x14ac:dyDescent="0.25">
      <c r="E1020" s="31"/>
    </row>
    <row r="1021" spans="5:5" x14ac:dyDescent="0.25">
      <c r="E1021" s="31"/>
    </row>
    <row r="1022" spans="5:5" x14ac:dyDescent="0.25">
      <c r="E1022" s="31"/>
    </row>
    <row r="1023" spans="5:5" x14ac:dyDescent="0.25">
      <c r="E1023" s="31"/>
    </row>
    <row r="1024" spans="5:5" x14ac:dyDescent="0.25">
      <c r="E1024" s="31"/>
    </row>
    <row r="1025" spans="5:5" x14ac:dyDescent="0.25">
      <c r="E1025" s="31"/>
    </row>
    <row r="1026" spans="5:5" x14ac:dyDescent="0.25">
      <c r="E1026" s="31"/>
    </row>
    <row r="1027" spans="5:5" x14ac:dyDescent="0.25">
      <c r="E1027" s="31"/>
    </row>
    <row r="1028" spans="5:5" x14ac:dyDescent="0.25">
      <c r="E1028" s="31"/>
    </row>
    <row r="1029" spans="5:5" x14ac:dyDescent="0.25">
      <c r="E1029" s="31"/>
    </row>
    <row r="1030" spans="5:5" x14ac:dyDescent="0.25">
      <c r="E1030" s="31"/>
    </row>
    <row r="1031" spans="5:5" x14ac:dyDescent="0.25">
      <c r="E1031" s="31"/>
    </row>
    <row r="1032" spans="5:5" x14ac:dyDescent="0.25">
      <c r="E1032" s="31"/>
    </row>
    <row r="1033" spans="5:5" x14ac:dyDescent="0.25">
      <c r="E1033" s="31"/>
    </row>
    <row r="1034" spans="5:5" x14ac:dyDescent="0.25">
      <c r="E1034" s="31"/>
    </row>
    <row r="1035" spans="5:5" x14ac:dyDescent="0.25">
      <c r="E1035" s="31"/>
    </row>
    <row r="1036" spans="5:5" x14ac:dyDescent="0.25">
      <c r="E1036" s="31"/>
    </row>
    <row r="1037" spans="5:5" x14ac:dyDescent="0.25">
      <c r="E1037" s="31"/>
    </row>
    <row r="1038" spans="5:5" x14ac:dyDescent="0.25">
      <c r="E1038" s="31"/>
    </row>
    <row r="1039" spans="5:5" x14ac:dyDescent="0.25">
      <c r="E1039" s="31"/>
    </row>
    <row r="1040" spans="5:5" x14ac:dyDescent="0.25">
      <c r="E1040" s="31"/>
    </row>
    <row r="1041" spans="5:5" x14ac:dyDescent="0.25">
      <c r="E1041" s="31"/>
    </row>
    <row r="1042" spans="5:5" x14ac:dyDescent="0.25">
      <c r="E1042" s="31"/>
    </row>
    <row r="1043" spans="5:5" x14ac:dyDescent="0.25">
      <c r="E1043" s="31"/>
    </row>
    <row r="1044" spans="5:5" x14ac:dyDescent="0.25">
      <c r="E1044" s="31"/>
    </row>
    <row r="1045" spans="5:5" x14ac:dyDescent="0.25">
      <c r="E1045" s="31"/>
    </row>
    <row r="1046" spans="5:5" x14ac:dyDescent="0.25">
      <c r="E1046" s="31"/>
    </row>
    <row r="1047" spans="5:5" x14ac:dyDescent="0.25">
      <c r="E1047" s="31"/>
    </row>
    <row r="1048" spans="5:5" x14ac:dyDescent="0.25">
      <c r="E1048" s="31"/>
    </row>
    <row r="1049" spans="5:5" x14ac:dyDescent="0.25">
      <c r="E1049" s="31"/>
    </row>
    <row r="1050" spans="5:5" x14ac:dyDescent="0.25">
      <c r="E1050" s="31"/>
    </row>
    <row r="1051" spans="5:5" x14ac:dyDescent="0.25">
      <c r="E1051" s="31"/>
    </row>
    <row r="1052" spans="5:5" x14ac:dyDescent="0.25">
      <c r="E1052" s="31"/>
    </row>
    <row r="1053" spans="5:5" x14ac:dyDescent="0.25">
      <c r="E1053" s="31"/>
    </row>
    <row r="1054" spans="5:5" x14ac:dyDescent="0.25">
      <c r="E1054" s="31"/>
    </row>
    <row r="1055" spans="5:5" x14ac:dyDescent="0.25">
      <c r="E1055" s="31"/>
    </row>
    <row r="1056" spans="5:5" x14ac:dyDescent="0.25">
      <c r="E1056" s="31"/>
    </row>
    <row r="1057" spans="5:5" x14ac:dyDescent="0.25">
      <c r="E1057" s="31"/>
    </row>
    <row r="1058" spans="5:5" x14ac:dyDescent="0.25">
      <c r="E1058" s="31"/>
    </row>
    <row r="1059" spans="5:5" x14ac:dyDescent="0.25">
      <c r="E1059" s="31"/>
    </row>
    <row r="1060" spans="5:5" x14ac:dyDescent="0.25">
      <c r="E1060" s="31"/>
    </row>
    <row r="1061" spans="5:5" x14ac:dyDescent="0.25">
      <c r="E1061" s="31"/>
    </row>
    <row r="1062" spans="5:5" x14ac:dyDescent="0.25">
      <c r="E1062" s="31"/>
    </row>
    <row r="1063" spans="5:5" x14ac:dyDescent="0.25">
      <c r="E1063" s="31"/>
    </row>
    <row r="1064" spans="5:5" x14ac:dyDescent="0.25">
      <c r="E1064" s="31"/>
    </row>
    <row r="1065" spans="5:5" x14ac:dyDescent="0.25">
      <c r="E1065" s="31"/>
    </row>
    <row r="1066" spans="5:5" x14ac:dyDescent="0.25">
      <c r="E1066" s="31"/>
    </row>
    <row r="1067" spans="5:5" x14ac:dyDescent="0.25">
      <c r="E1067" s="31"/>
    </row>
    <row r="1068" spans="5:5" x14ac:dyDescent="0.25">
      <c r="E1068" s="31"/>
    </row>
    <row r="1069" spans="5:5" x14ac:dyDescent="0.25">
      <c r="E1069" s="31"/>
    </row>
    <row r="1070" spans="5:5" x14ac:dyDescent="0.25">
      <c r="E1070" s="31"/>
    </row>
    <row r="1071" spans="5:5" x14ac:dyDescent="0.25">
      <c r="E1071" s="31"/>
    </row>
    <row r="1072" spans="5:5" x14ac:dyDescent="0.25">
      <c r="E1072" s="31"/>
    </row>
    <row r="1073" spans="5:5" x14ac:dyDescent="0.25">
      <c r="E1073" s="31"/>
    </row>
    <row r="1074" spans="5:5" x14ac:dyDescent="0.25">
      <c r="E1074" s="31"/>
    </row>
    <row r="1075" spans="5:5" x14ac:dyDescent="0.25">
      <c r="E1075" s="31"/>
    </row>
    <row r="1076" spans="5:5" x14ac:dyDescent="0.25">
      <c r="E1076" s="31"/>
    </row>
    <row r="1077" spans="5:5" x14ac:dyDescent="0.25">
      <c r="E1077" s="31"/>
    </row>
    <row r="1078" spans="5:5" x14ac:dyDescent="0.25">
      <c r="E1078" s="31"/>
    </row>
    <row r="1079" spans="5:5" x14ac:dyDescent="0.25">
      <c r="E1079" s="31"/>
    </row>
    <row r="1080" spans="5:5" x14ac:dyDescent="0.25">
      <c r="E1080" s="31"/>
    </row>
    <row r="1081" spans="5:5" x14ac:dyDescent="0.25">
      <c r="E1081" s="31"/>
    </row>
    <row r="1082" spans="5:5" x14ac:dyDescent="0.25">
      <c r="E1082" s="31"/>
    </row>
    <row r="1083" spans="5:5" x14ac:dyDescent="0.25">
      <c r="E1083" s="31"/>
    </row>
    <row r="1084" spans="5:5" x14ac:dyDescent="0.25">
      <c r="E1084" s="31"/>
    </row>
    <row r="1085" spans="5:5" x14ac:dyDescent="0.25">
      <c r="E1085" s="31"/>
    </row>
    <row r="1086" spans="5:5" x14ac:dyDescent="0.25">
      <c r="E1086" s="31"/>
    </row>
    <row r="1087" spans="5:5" x14ac:dyDescent="0.25">
      <c r="E1087" s="31"/>
    </row>
    <row r="1088" spans="5:5" x14ac:dyDescent="0.25">
      <c r="E1088" s="31"/>
    </row>
    <row r="1089" spans="5:5" x14ac:dyDescent="0.25">
      <c r="E1089" s="31"/>
    </row>
    <row r="1090" spans="5:5" x14ac:dyDescent="0.25">
      <c r="E1090" s="31"/>
    </row>
    <row r="1091" spans="5:5" x14ac:dyDescent="0.25">
      <c r="E1091" s="31"/>
    </row>
    <row r="1092" spans="5:5" x14ac:dyDescent="0.25">
      <c r="E1092" s="31"/>
    </row>
    <row r="1093" spans="5:5" x14ac:dyDescent="0.25">
      <c r="E1093" s="31"/>
    </row>
    <row r="1094" spans="5:5" x14ac:dyDescent="0.25">
      <c r="E1094" s="31"/>
    </row>
    <row r="1095" spans="5:5" x14ac:dyDescent="0.25">
      <c r="E1095" s="31"/>
    </row>
    <row r="1096" spans="5:5" x14ac:dyDescent="0.25">
      <c r="E1096" s="31"/>
    </row>
    <row r="1097" spans="5:5" x14ac:dyDescent="0.25">
      <c r="E1097" s="31"/>
    </row>
    <row r="1098" spans="5:5" x14ac:dyDescent="0.25">
      <c r="E1098" s="31"/>
    </row>
    <row r="1099" spans="5:5" x14ac:dyDescent="0.25">
      <c r="E1099" s="31"/>
    </row>
    <row r="1100" spans="5:5" x14ac:dyDescent="0.25">
      <c r="E1100" s="31"/>
    </row>
    <row r="1101" spans="5:5" x14ac:dyDescent="0.25">
      <c r="E1101" s="31"/>
    </row>
    <row r="1102" spans="5:5" x14ac:dyDescent="0.25">
      <c r="E1102" s="31"/>
    </row>
    <row r="1103" spans="5:5" x14ac:dyDescent="0.25">
      <c r="E1103" s="31"/>
    </row>
    <row r="1104" spans="5:5" x14ac:dyDescent="0.25">
      <c r="E1104" s="31"/>
    </row>
    <row r="1105" spans="5:5" x14ac:dyDescent="0.25">
      <c r="E1105" s="31"/>
    </row>
    <row r="1106" spans="5:5" x14ac:dyDescent="0.25">
      <c r="E1106" s="31"/>
    </row>
    <row r="1107" spans="5:5" x14ac:dyDescent="0.25">
      <c r="E1107" s="31"/>
    </row>
    <row r="1108" spans="5:5" x14ac:dyDescent="0.25">
      <c r="E1108" s="31"/>
    </row>
    <row r="1109" spans="5:5" x14ac:dyDescent="0.25">
      <c r="E1109" s="31"/>
    </row>
    <row r="1110" spans="5:5" x14ac:dyDescent="0.25">
      <c r="E1110" s="31"/>
    </row>
    <row r="1111" spans="5:5" x14ac:dyDescent="0.25">
      <c r="E1111" s="31"/>
    </row>
    <row r="1112" spans="5:5" x14ac:dyDescent="0.25">
      <c r="E1112" s="31"/>
    </row>
    <row r="1113" spans="5:5" x14ac:dyDescent="0.25">
      <c r="E1113" s="31"/>
    </row>
    <row r="1114" spans="5:5" x14ac:dyDescent="0.25">
      <c r="E1114" s="31"/>
    </row>
    <row r="1115" spans="5:5" x14ac:dyDescent="0.25">
      <c r="E1115" s="31"/>
    </row>
    <row r="1116" spans="5:5" x14ac:dyDescent="0.25">
      <c r="E1116" s="31"/>
    </row>
    <row r="1117" spans="5:5" x14ac:dyDescent="0.25">
      <c r="E1117" s="31"/>
    </row>
    <row r="1118" spans="5:5" x14ac:dyDescent="0.25">
      <c r="E1118" s="31"/>
    </row>
    <row r="1119" spans="5:5" x14ac:dyDescent="0.25">
      <c r="E1119" s="31"/>
    </row>
    <row r="1120" spans="5:5" x14ac:dyDescent="0.25">
      <c r="E1120" s="31"/>
    </row>
    <row r="1121" spans="5:5" x14ac:dyDescent="0.25">
      <c r="E1121" s="31"/>
    </row>
    <row r="1122" spans="5:5" x14ac:dyDescent="0.25">
      <c r="E1122" s="31"/>
    </row>
    <row r="1123" spans="5:5" x14ac:dyDescent="0.25">
      <c r="E1123" s="31"/>
    </row>
    <row r="1124" spans="5:5" x14ac:dyDescent="0.25">
      <c r="E1124" s="31"/>
    </row>
    <row r="1125" spans="5:5" x14ac:dyDescent="0.25">
      <c r="E1125" s="31"/>
    </row>
    <row r="1126" spans="5:5" x14ac:dyDescent="0.25">
      <c r="E1126" s="31"/>
    </row>
    <row r="1127" spans="5:5" x14ac:dyDescent="0.25">
      <c r="E1127" s="31"/>
    </row>
    <row r="1128" spans="5:5" x14ac:dyDescent="0.25">
      <c r="E1128" s="31"/>
    </row>
    <row r="1129" spans="5:5" x14ac:dyDescent="0.25">
      <c r="E1129" s="31"/>
    </row>
    <row r="1130" spans="5:5" x14ac:dyDescent="0.25">
      <c r="E1130" s="31"/>
    </row>
    <row r="1131" spans="5:5" x14ac:dyDescent="0.25">
      <c r="E1131" s="31"/>
    </row>
    <row r="1132" spans="5:5" x14ac:dyDescent="0.25">
      <c r="E1132" s="31"/>
    </row>
    <row r="1133" spans="5:5" x14ac:dyDescent="0.25">
      <c r="E1133" s="31"/>
    </row>
    <row r="1134" spans="5:5" x14ac:dyDescent="0.25">
      <c r="E1134" s="31"/>
    </row>
    <row r="1135" spans="5:5" x14ac:dyDescent="0.25">
      <c r="E1135" s="31"/>
    </row>
    <row r="1136" spans="5:5" x14ac:dyDescent="0.25">
      <c r="E1136" s="31"/>
    </row>
    <row r="1137" spans="5:5" x14ac:dyDescent="0.25">
      <c r="E1137" s="31"/>
    </row>
    <row r="1138" spans="5:5" x14ac:dyDescent="0.25">
      <c r="E1138" s="31"/>
    </row>
    <row r="1139" spans="5:5" x14ac:dyDescent="0.25">
      <c r="E1139" s="31"/>
    </row>
    <row r="1140" spans="5:5" x14ac:dyDescent="0.25">
      <c r="E1140" s="31"/>
    </row>
    <row r="1141" spans="5:5" x14ac:dyDescent="0.25">
      <c r="E1141" s="31"/>
    </row>
    <row r="1142" spans="5:5" x14ac:dyDescent="0.25">
      <c r="E1142" s="31"/>
    </row>
    <row r="1143" spans="5:5" x14ac:dyDescent="0.25">
      <c r="E1143" s="31"/>
    </row>
    <row r="1144" spans="5:5" x14ac:dyDescent="0.25">
      <c r="E1144" s="31"/>
    </row>
    <row r="1145" spans="5:5" x14ac:dyDescent="0.25">
      <c r="E1145" s="31"/>
    </row>
    <row r="1146" spans="5:5" x14ac:dyDescent="0.25">
      <c r="E1146" s="31"/>
    </row>
    <row r="1147" spans="5:5" x14ac:dyDescent="0.25">
      <c r="E1147" s="31"/>
    </row>
    <row r="1148" spans="5:5" x14ac:dyDescent="0.25">
      <c r="E1148" s="31"/>
    </row>
    <row r="1149" spans="5:5" x14ac:dyDescent="0.25">
      <c r="E1149" s="31"/>
    </row>
    <row r="1150" spans="5:5" x14ac:dyDescent="0.25">
      <c r="E1150" s="31"/>
    </row>
    <row r="1151" spans="5:5" x14ac:dyDescent="0.25">
      <c r="E1151" s="31"/>
    </row>
    <row r="1152" spans="5:5" x14ac:dyDescent="0.25">
      <c r="E1152" s="31"/>
    </row>
    <row r="1153" spans="5:5" x14ac:dyDescent="0.25">
      <c r="E1153" s="31"/>
    </row>
    <row r="1154" spans="5:5" x14ac:dyDescent="0.25">
      <c r="E1154" s="31"/>
    </row>
    <row r="1155" spans="5:5" x14ac:dyDescent="0.25">
      <c r="E1155" s="31"/>
    </row>
    <row r="1156" spans="5:5" x14ac:dyDescent="0.25">
      <c r="E1156" s="31"/>
    </row>
    <row r="1157" spans="5:5" x14ac:dyDescent="0.25">
      <c r="E1157" s="31"/>
    </row>
    <row r="1158" spans="5:5" x14ac:dyDescent="0.25">
      <c r="E1158" s="31"/>
    </row>
    <row r="1159" spans="5:5" x14ac:dyDescent="0.25">
      <c r="E1159" s="31"/>
    </row>
    <row r="1160" spans="5:5" x14ac:dyDescent="0.25">
      <c r="E1160" s="31"/>
    </row>
    <row r="1161" spans="5:5" x14ac:dyDescent="0.25">
      <c r="E1161" s="31"/>
    </row>
    <row r="1162" spans="5:5" x14ac:dyDescent="0.25">
      <c r="E1162" s="31"/>
    </row>
    <row r="1163" spans="5:5" x14ac:dyDescent="0.25">
      <c r="E1163" s="31"/>
    </row>
    <row r="1164" spans="5:5" x14ac:dyDescent="0.25">
      <c r="E1164" s="31"/>
    </row>
    <row r="1165" spans="5:5" x14ac:dyDescent="0.25">
      <c r="E1165" s="31"/>
    </row>
    <row r="1166" spans="5:5" x14ac:dyDescent="0.25">
      <c r="E1166" s="31"/>
    </row>
    <row r="1167" spans="5:5" x14ac:dyDescent="0.25">
      <c r="E1167" s="31"/>
    </row>
    <row r="1168" spans="5:5" x14ac:dyDescent="0.25">
      <c r="E1168" s="31"/>
    </row>
    <row r="1169" spans="5:5" x14ac:dyDescent="0.25">
      <c r="E1169" s="31"/>
    </row>
    <row r="1170" spans="5:5" x14ac:dyDescent="0.25">
      <c r="E1170" s="31"/>
    </row>
    <row r="1171" spans="5:5" x14ac:dyDescent="0.25">
      <c r="E1171" s="31"/>
    </row>
    <row r="1172" spans="5:5" x14ac:dyDescent="0.25">
      <c r="E1172" s="31"/>
    </row>
    <row r="1173" spans="5:5" x14ac:dyDescent="0.25">
      <c r="E1173" s="31"/>
    </row>
    <row r="1174" spans="5:5" x14ac:dyDescent="0.25">
      <c r="E1174" s="31"/>
    </row>
    <row r="1175" spans="5:5" x14ac:dyDescent="0.25">
      <c r="E1175" s="31"/>
    </row>
    <row r="1176" spans="5:5" x14ac:dyDescent="0.25">
      <c r="E1176" s="31"/>
    </row>
    <row r="1177" spans="5:5" x14ac:dyDescent="0.25">
      <c r="E1177" s="31"/>
    </row>
    <row r="1178" spans="5:5" x14ac:dyDescent="0.25">
      <c r="E1178" s="31"/>
    </row>
    <row r="1179" spans="5:5" x14ac:dyDescent="0.25">
      <c r="E1179" s="31"/>
    </row>
    <row r="1180" spans="5:5" x14ac:dyDescent="0.25">
      <c r="E1180" s="31"/>
    </row>
    <row r="1181" spans="5:5" x14ac:dyDescent="0.25">
      <c r="E1181" s="31"/>
    </row>
    <row r="1182" spans="5:5" x14ac:dyDescent="0.25">
      <c r="E1182" s="31"/>
    </row>
    <row r="1183" spans="5:5" x14ac:dyDescent="0.25">
      <c r="E1183" s="31"/>
    </row>
    <row r="1184" spans="5:5" x14ac:dyDescent="0.25">
      <c r="E1184" s="31"/>
    </row>
    <row r="1185" spans="5:5" x14ac:dyDescent="0.25">
      <c r="E1185" s="31"/>
    </row>
    <row r="1186" spans="5:5" x14ac:dyDescent="0.25">
      <c r="E1186" s="31"/>
    </row>
    <row r="1187" spans="5:5" x14ac:dyDescent="0.25">
      <c r="E1187" s="31"/>
    </row>
    <row r="1188" spans="5:5" x14ac:dyDescent="0.25">
      <c r="E1188" s="31"/>
    </row>
    <row r="1189" spans="5:5" x14ac:dyDescent="0.25">
      <c r="E1189" s="31"/>
    </row>
    <row r="1190" spans="5:5" x14ac:dyDescent="0.25">
      <c r="E1190" s="31"/>
    </row>
    <row r="1191" spans="5:5" x14ac:dyDescent="0.25">
      <c r="E1191" s="31"/>
    </row>
    <row r="1192" spans="5:5" x14ac:dyDescent="0.25">
      <c r="E1192" s="31"/>
    </row>
    <row r="1193" spans="5:5" x14ac:dyDescent="0.25">
      <c r="E1193" s="31"/>
    </row>
    <row r="1194" spans="5:5" x14ac:dyDescent="0.25">
      <c r="E1194" s="31"/>
    </row>
    <row r="1195" spans="5:5" x14ac:dyDescent="0.25">
      <c r="E1195" s="31"/>
    </row>
    <row r="1196" spans="5:5" x14ac:dyDescent="0.25">
      <c r="E1196" s="31"/>
    </row>
    <row r="1197" spans="5:5" x14ac:dyDescent="0.25">
      <c r="E1197" s="31"/>
    </row>
    <row r="1198" spans="5:5" x14ac:dyDescent="0.25">
      <c r="E1198" s="31"/>
    </row>
    <row r="1199" spans="5:5" x14ac:dyDescent="0.25">
      <c r="E1199" s="31"/>
    </row>
    <row r="1200" spans="5:5" x14ac:dyDescent="0.25">
      <c r="E1200" s="31"/>
    </row>
    <row r="1201" spans="5:5" x14ac:dyDescent="0.25">
      <c r="E1201" s="31"/>
    </row>
    <row r="1202" spans="5:5" x14ac:dyDescent="0.25">
      <c r="E1202" s="31"/>
    </row>
    <row r="1203" spans="5:5" x14ac:dyDescent="0.25">
      <c r="E1203" s="31"/>
    </row>
    <row r="1204" spans="5:5" x14ac:dyDescent="0.25">
      <c r="E1204" s="31"/>
    </row>
    <row r="1205" spans="5:5" x14ac:dyDescent="0.25">
      <c r="E1205" s="31"/>
    </row>
    <row r="1206" spans="5:5" x14ac:dyDescent="0.25">
      <c r="E1206" s="31"/>
    </row>
    <row r="1207" spans="5:5" x14ac:dyDescent="0.25">
      <c r="E1207" s="31"/>
    </row>
    <row r="1208" spans="5:5" x14ac:dyDescent="0.25">
      <c r="E1208" s="31"/>
    </row>
    <row r="1209" spans="5:5" x14ac:dyDescent="0.25">
      <c r="E1209" s="31"/>
    </row>
    <row r="1210" spans="5:5" x14ac:dyDescent="0.25">
      <c r="E1210" s="31"/>
    </row>
    <row r="1211" spans="5:5" x14ac:dyDescent="0.25">
      <c r="E1211" s="31"/>
    </row>
    <row r="1212" spans="5:5" x14ac:dyDescent="0.25">
      <c r="E1212" s="31"/>
    </row>
    <row r="1213" spans="5:5" x14ac:dyDescent="0.25">
      <c r="E1213" s="31"/>
    </row>
    <row r="1214" spans="5:5" x14ac:dyDescent="0.25">
      <c r="E1214" s="31"/>
    </row>
    <row r="1215" spans="5:5" x14ac:dyDescent="0.25">
      <c r="E1215" s="31"/>
    </row>
    <row r="1216" spans="5:5" x14ac:dyDescent="0.25">
      <c r="E1216" s="31"/>
    </row>
    <row r="1217" spans="5:5" x14ac:dyDescent="0.25">
      <c r="E1217" s="31"/>
    </row>
    <row r="1218" spans="5:5" x14ac:dyDescent="0.25">
      <c r="E1218" s="31"/>
    </row>
    <row r="1219" spans="5:5" x14ac:dyDescent="0.25">
      <c r="E1219" s="31"/>
    </row>
    <row r="1220" spans="5:5" x14ac:dyDescent="0.25">
      <c r="E1220" s="31"/>
    </row>
    <row r="1221" spans="5:5" x14ac:dyDescent="0.25">
      <c r="E1221" s="31"/>
    </row>
    <row r="1222" spans="5:5" x14ac:dyDescent="0.25">
      <c r="E1222" s="31"/>
    </row>
    <row r="1223" spans="5:5" x14ac:dyDescent="0.25">
      <c r="E1223" s="31"/>
    </row>
    <row r="1224" spans="5:5" x14ac:dyDescent="0.25">
      <c r="E1224" s="31"/>
    </row>
    <row r="1225" spans="5:5" x14ac:dyDescent="0.25">
      <c r="E1225" s="31"/>
    </row>
    <row r="1226" spans="5:5" x14ac:dyDescent="0.25">
      <c r="E1226" s="31"/>
    </row>
    <row r="1227" spans="5:5" x14ac:dyDescent="0.25">
      <c r="E1227" s="31"/>
    </row>
    <row r="1228" spans="5:5" x14ac:dyDescent="0.25">
      <c r="E1228" s="31"/>
    </row>
    <row r="1229" spans="5:5" x14ac:dyDescent="0.25">
      <c r="E1229" s="31"/>
    </row>
    <row r="1230" spans="5:5" x14ac:dyDescent="0.25">
      <c r="E1230" s="31"/>
    </row>
    <row r="1231" spans="5:5" x14ac:dyDescent="0.25">
      <c r="E1231" s="31"/>
    </row>
    <row r="1232" spans="5:5" x14ac:dyDescent="0.25">
      <c r="E1232" s="31"/>
    </row>
    <row r="1233" spans="5:5" x14ac:dyDescent="0.25">
      <c r="E1233" s="31"/>
    </row>
    <row r="1234" spans="5:5" x14ac:dyDescent="0.25">
      <c r="E1234" s="31"/>
    </row>
    <row r="1235" spans="5:5" x14ac:dyDescent="0.25">
      <c r="E1235" s="31"/>
    </row>
    <row r="1236" spans="5:5" x14ac:dyDescent="0.25">
      <c r="E1236" s="31"/>
    </row>
    <row r="1237" spans="5:5" x14ac:dyDescent="0.25">
      <c r="E1237" s="31"/>
    </row>
    <row r="1238" spans="5:5" x14ac:dyDescent="0.25">
      <c r="E1238" s="31"/>
    </row>
    <row r="1239" spans="5:5" x14ac:dyDescent="0.25">
      <c r="E1239" s="31"/>
    </row>
    <row r="1240" spans="5:5" x14ac:dyDescent="0.25">
      <c r="E1240" s="31"/>
    </row>
    <row r="1241" spans="5:5" x14ac:dyDescent="0.25">
      <c r="E1241" s="31"/>
    </row>
    <row r="1242" spans="5:5" x14ac:dyDescent="0.25">
      <c r="E1242" s="31"/>
    </row>
    <row r="1243" spans="5:5" x14ac:dyDescent="0.25">
      <c r="E1243" s="31"/>
    </row>
    <row r="1244" spans="5:5" x14ac:dyDescent="0.25">
      <c r="E1244" s="31"/>
    </row>
    <row r="1245" spans="5:5" x14ac:dyDescent="0.25">
      <c r="E1245" s="31"/>
    </row>
    <row r="1246" spans="5:5" x14ac:dyDescent="0.25">
      <c r="E1246" s="31"/>
    </row>
    <row r="1247" spans="5:5" x14ac:dyDescent="0.25">
      <c r="E1247" s="31"/>
    </row>
    <row r="1248" spans="5:5" x14ac:dyDescent="0.25">
      <c r="E1248" s="31"/>
    </row>
    <row r="1249" spans="5:5" x14ac:dyDescent="0.25">
      <c r="E1249" s="31"/>
    </row>
    <row r="1250" spans="5:5" x14ac:dyDescent="0.25">
      <c r="E1250" s="31"/>
    </row>
    <row r="1251" spans="5:5" x14ac:dyDescent="0.25">
      <c r="E1251" s="31"/>
    </row>
    <row r="1252" spans="5:5" x14ac:dyDescent="0.25">
      <c r="E1252" s="31"/>
    </row>
    <row r="1253" spans="5:5" x14ac:dyDescent="0.25">
      <c r="E1253" s="31"/>
    </row>
    <row r="1254" spans="5:5" x14ac:dyDescent="0.25">
      <c r="E1254" s="31"/>
    </row>
    <row r="1255" spans="5:5" x14ac:dyDescent="0.25">
      <c r="E1255" s="31"/>
    </row>
    <row r="1256" spans="5:5" x14ac:dyDescent="0.25">
      <c r="E1256" s="31"/>
    </row>
    <row r="1257" spans="5:5" x14ac:dyDescent="0.25">
      <c r="E1257" s="31"/>
    </row>
    <row r="1258" spans="5:5" x14ac:dyDescent="0.25">
      <c r="E1258" s="31"/>
    </row>
    <row r="1259" spans="5:5" x14ac:dyDescent="0.25">
      <c r="E1259" s="31"/>
    </row>
    <row r="1260" spans="5:5" x14ac:dyDescent="0.25">
      <c r="E1260" s="31"/>
    </row>
    <row r="1261" spans="5:5" x14ac:dyDescent="0.25">
      <c r="E1261" s="31"/>
    </row>
    <row r="1262" spans="5:5" x14ac:dyDescent="0.25">
      <c r="E1262" s="31"/>
    </row>
    <row r="1263" spans="5:5" x14ac:dyDescent="0.25">
      <c r="E1263" s="31"/>
    </row>
    <row r="1264" spans="5:5" x14ac:dyDescent="0.25">
      <c r="E1264" s="31"/>
    </row>
    <row r="1265" spans="5:5" x14ac:dyDescent="0.25">
      <c r="E1265" s="31"/>
    </row>
    <row r="1266" spans="5:5" x14ac:dyDescent="0.25">
      <c r="E1266" s="31"/>
    </row>
    <row r="1267" spans="5:5" x14ac:dyDescent="0.25">
      <c r="E1267" s="31"/>
    </row>
    <row r="1268" spans="5:5" x14ac:dyDescent="0.25">
      <c r="E1268" s="31"/>
    </row>
    <row r="1269" spans="5:5" x14ac:dyDescent="0.25">
      <c r="E1269" s="31"/>
    </row>
    <row r="1270" spans="5:5" x14ac:dyDescent="0.25">
      <c r="E1270" s="31"/>
    </row>
    <row r="1271" spans="5:5" x14ac:dyDescent="0.25">
      <c r="E1271" s="31"/>
    </row>
    <row r="1272" spans="5:5" x14ac:dyDescent="0.25">
      <c r="E1272" s="31"/>
    </row>
    <row r="1273" spans="5:5" x14ac:dyDescent="0.25">
      <c r="E1273" s="31"/>
    </row>
    <row r="1274" spans="5:5" x14ac:dyDescent="0.25">
      <c r="E1274" s="31"/>
    </row>
    <row r="1275" spans="5:5" x14ac:dyDescent="0.25">
      <c r="E1275" s="31"/>
    </row>
    <row r="1276" spans="5:5" x14ac:dyDescent="0.25">
      <c r="E1276" s="31"/>
    </row>
    <row r="1277" spans="5:5" x14ac:dyDescent="0.25">
      <c r="E1277" s="31"/>
    </row>
    <row r="1278" spans="5:5" x14ac:dyDescent="0.25">
      <c r="E1278" s="31"/>
    </row>
    <row r="1279" spans="5:5" x14ac:dyDescent="0.25">
      <c r="E1279" s="31"/>
    </row>
    <row r="1280" spans="5:5" x14ac:dyDescent="0.25">
      <c r="E1280" s="31"/>
    </row>
    <row r="1281" spans="5:5" x14ac:dyDescent="0.25">
      <c r="E1281" s="31"/>
    </row>
    <row r="1282" spans="5:5" x14ac:dyDescent="0.25">
      <c r="E1282" s="31"/>
    </row>
    <row r="1283" spans="5:5" x14ac:dyDescent="0.25">
      <c r="E1283" s="31"/>
    </row>
    <row r="1284" spans="5:5" x14ac:dyDescent="0.25">
      <c r="E1284" s="31"/>
    </row>
    <row r="1285" spans="5:5" x14ac:dyDescent="0.25">
      <c r="E1285" s="31"/>
    </row>
    <row r="1286" spans="5:5" x14ac:dyDescent="0.25">
      <c r="E1286" s="31"/>
    </row>
    <row r="1287" spans="5:5" x14ac:dyDescent="0.25">
      <c r="E1287" s="31"/>
    </row>
    <row r="1288" spans="5:5" x14ac:dyDescent="0.25">
      <c r="E1288" s="31"/>
    </row>
    <row r="1289" spans="5:5" x14ac:dyDescent="0.25">
      <c r="E1289" s="31"/>
    </row>
    <row r="1290" spans="5:5" x14ac:dyDescent="0.25">
      <c r="E1290" s="31"/>
    </row>
    <row r="1291" spans="5:5" x14ac:dyDescent="0.25">
      <c r="E1291" s="31"/>
    </row>
    <row r="1292" spans="5:5" x14ac:dyDescent="0.25">
      <c r="E1292" s="31"/>
    </row>
    <row r="1293" spans="5:5" x14ac:dyDescent="0.25">
      <c r="E1293" s="31"/>
    </row>
    <row r="1294" spans="5:5" x14ac:dyDescent="0.25">
      <c r="E1294" s="31"/>
    </row>
    <row r="1295" spans="5:5" x14ac:dyDescent="0.25">
      <c r="E1295" s="31"/>
    </row>
    <row r="1296" spans="5:5" x14ac:dyDescent="0.25">
      <c r="E1296" s="31"/>
    </row>
    <row r="1297" spans="5:5" x14ac:dyDescent="0.25">
      <c r="E1297" s="31"/>
    </row>
    <row r="1298" spans="5:5" x14ac:dyDescent="0.25">
      <c r="E1298" s="31"/>
    </row>
    <row r="1299" spans="5:5" x14ac:dyDescent="0.25">
      <c r="E1299" s="31"/>
    </row>
    <row r="1300" spans="5:5" x14ac:dyDescent="0.25">
      <c r="E1300" s="31"/>
    </row>
    <row r="1301" spans="5:5" x14ac:dyDescent="0.25">
      <c r="E1301" s="31"/>
    </row>
    <row r="1302" spans="5:5" x14ac:dyDescent="0.25">
      <c r="E1302" s="31"/>
    </row>
    <row r="1303" spans="5:5" x14ac:dyDescent="0.25">
      <c r="E1303" s="31"/>
    </row>
    <row r="1304" spans="5:5" x14ac:dyDescent="0.25">
      <c r="E1304" s="31"/>
    </row>
    <row r="1305" spans="5:5" x14ac:dyDescent="0.25">
      <c r="E1305" s="31"/>
    </row>
    <row r="1306" spans="5:5" x14ac:dyDescent="0.25">
      <c r="E1306" s="31"/>
    </row>
    <row r="1307" spans="5:5" x14ac:dyDescent="0.25">
      <c r="E1307" s="31"/>
    </row>
    <row r="1308" spans="5:5" x14ac:dyDescent="0.25">
      <c r="E1308" s="31"/>
    </row>
    <row r="1309" spans="5:5" x14ac:dyDescent="0.25">
      <c r="E1309" s="31"/>
    </row>
    <row r="1310" spans="5:5" x14ac:dyDescent="0.25">
      <c r="E1310" s="31"/>
    </row>
    <row r="1311" spans="5:5" x14ac:dyDescent="0.25">
      <c r="E1311" s="31"/>
    </row>
    <row r="1312" spans="5:5" x14ac:dyDescent="0.25">
      <c r="E1312" s="31"/>
    </row>
    <row r="1313" spans="5:5" x14ac:dyDescent="0.25">
      <c r="E1313" s="31"/>
    </row>
    <row r="1314" spans="5:5" x14ac:dyDescent="0.25">
      <c r="E1314" s="31"/>
    </row>
    <row r="1315" spans="5:5" x14ac:dyDescent="0.25">
      <c r="E1315" s="31"/>
    </row>
    <row r="1316" spans="5:5" x14ac:dyDescent="0.25">
      <c r="E1316" s="31"/>
    </row>
    <row r="1317" spans="5:5" x14ac:dyDescent="0.25">
      <c r="E1317" s="31"/>
    </row>
    <row r="1318" spans="5:5" x14ac:dyDescent="0.25">
      <c r="E1318" s="31"/>
    </row>
    <row r="1319" spans="5:5" x14ac:dyDescent="0.25">
      <c r="E1319" s="31"/>
    </row>
    <row r="1320" spans="5:5" x14ac:dyDescent="0.25">
      <c r="E1320" s="31"/>
    </row>
    <row r="1321" spans="5:5" x14ac:dyDescent="0.25">
      <c r="E1321" s="31"/>
    </row>
    <row r="1322" spans="5:5" x14ac:dyDescent="0.25">
      <c r="E1322" s="31"/>
    </row>
    <row r="1323" spans="5:5" x14ac:dyDescent="0.25">
      <c r="E1323" s="31"/>
    </row>
    <row r="1324" spans="5:5" x14ac:dyDescent="0.25">
      <c r="E1324" s="31"/>
    </row>
    <row r="1325" spans="5:5" x14ac:dyDescent="0.25">
      <c r="E1325" s="31"/>
    </row>
    <row r="1326" spans="5:5" x14ac:dyDescent="0.25">
      <c r="E1326" s="31"/>
    </row>
    <row r="1327" spans="5:5" x14ac:dyDescent="0.25">
      <c r="E1327" s="31"/>
    </row>
    <row r="1328" spans="5:5" x14ac:dyDescent="0.25">
      <c r="E1328" s="31"/>
    </row>
    <row r="1329" spans="5:5" x14ac:dyDescent="0.25">
      <c r="E1329" s="31"/>
    </row>
    <row r="1330" spans="5:5" x14ac:dyDescent="0.25">
      <c r="E1330" s="31"/>
    </row>
    <row r="1331" spans="5:5" x14ac:dyDescent="0.25">
      <c r="E1331" s="31"/>
    </row>
    <row r="1332" spans="5:5" x14ac:dyDescent="0.25">
      <c r="E1332" s="31"/>
    </row>
    <row r="1333" spans="5:5" x14ac:dyDescent="0.25">
      <c r="E1333" s="31"/>
    </row>
    <row r="1334" spans="5:5" x14ac:dyDescent="0.25">
      <c r="E1334" s="31"/>
    </row>
    <row r="1335" spans="5:5" x14ac:dyDescent="0.25">
      <c r="E1335" s="31"/>
    </row>
    <row r="1336" spans="5:5" x14ac:dyDescent="0.25">
      <c r="E1336" s="31"/>
    </row>
    <row r="1337" spans="5:5" x14ac:dyDescent="0.25">
      <c r="E1337" s="31"/>
    </row>
    <row r="1338" spans="5:5" x14ac:dyDescent="0.25">
      <c r="E1338" s="31"/>
    </row>
    <row r="1339" spans="5:5" x14ac:dyDescent="0.25">
      <c r="E1339" s="31"/>
    </row>
    <row r="1340" spans="5:5" x14ac:dyDescent="0.25">
      <c r="E1340" s="31"/>
    </row>
    <row r="1341" spans="5:5" x14ac:dyDescent="0.25">
      <c r="E1341" s="31"/>
    </row>
    <row r="1342" spans="5:5" x14ac:dyDescent="0.25">
      <c r="E1342" s="31"/>
    </row>
    <row r="1343" spans="5:5" x14ac:dyDescent="0.25">
      <c r="E1343" s="31"/>
    </row>
    <row r="1344" spans="5:5" x14ac:dyDescent="0.25">
      <c r="E1344" s="31"/>
    </row>
    <row r="1345" spans="5:5" x14ac:dyDescent="0.25">
      <c r="E1345" s="31"/>
    </row>
    <row r="1346" spans="5:5" x14ac:dyDescent="0.25">
      <c r="E1346" s="31"/>
    </row>
    <row r="1347" spans="5:5" x14ac:dyDescent="0.25">
      <c r="E1347" s="31"/>
    </row>
    <row r="1348" spans="5:5" x14ac:dyDescent="0.25">
      <c r="E1348" s="31"/>
    </row>
    <row r="1349" spans="5:5" x14ac:dyDescent="0.25">
      <c r="E1349" s="31"/>
    </row>
    <row r="1350" spans="5:5" x14ac:dyDescent="0.25">
      <c r="E1350" s="31"/>
    </row>
    <row r="1351" spans="5:5" x14ac:dyDescent="0.25">
      <c r="E1351" s="31"/>
    </row>
    <row r="1352" spans="5:5" x14ac:dyDescent="0.25">
      <c r="E1352" s="31"/>
    </row>
    <row r="1353" spans="5:5" x14ac:dyDescent="0.25">
      <c r="E1353" s="31"/>
    </row>
    <row r="1354" spans="5:5" x14ac:dyDescent="0.25">
      <c r="E1354" s="31"/>
    </row>
    <row r="1355" spans="5:5" x14ac:dyDescent="0.25">
      <c r="E1355" s="31"/>
    </row>
    <row r="1356" spans="5:5" x14ac:dyDescent="0.25">
      <c r="E1356" s="31"/>
    </row>
    <row r="1357" spans="5:5" x14ac:dyDescent="0.25">
      <c r="E1357" s="31"/>
    </row>
    <row r="1358" spans="5:5" x14ac:dyDescent="0.25">
      <c r="E1358" s="31"/>
    </row>
    <row r="1359" spans="5:5" x14ac:dyDescent="0.25">
      <c r="E1359" s="31"/>
    </row>
    <row r="1360" spans="5:5" x14ac:dyDescent="0.25">
      <c r="E1360" s="31"/>
    </row>
    <row r="1361" spans="5:5" x14ac:dyDescent="0.25">
      <c r="E1361" s="31"/>
    </row>
    <row r="1362" spans="5:5" x14ac:dyDescent="0.25">
      <c r="E1362" s="31"/>
    </row>
    <row r="1363" spans="5:5" x14ac:dyDescent="0.25">
      <c r="E1363" s="31"/>
    </row>
    <row r="1364" spans="5:5" x14ac:dyDescent="0.25">
      <c r="E1364" s="31"/>
    </row>
    <row r="1365" spans="5:5" x14ac:dyDescent="0.25">
      <c r="E1365" s="31"/>
    </row>
    <row r="1366" spans="5:5" x14ac:dyDescent="0.25">
      <c r="E1366" s="31"/>
    </row>
    <row r="1367" spans="5:5" x14ac:dyDescent="0.25">
      <c r="E1367" s="31"/>
    </row>
    <row r="1368" spans="5:5" x14ac:dyDescent="0.25">
      <c r="E1368" s="31"/>
    </row>
    <row r="1369" spans="5:5" x14ac:dyDescent="0.25">
      <c r="E1369" s="31"/>
    </row>
    <row r="1370" spans="5:5" x14ac:dyDescent="0.25">
      <c r="E1370" s="31"/>
    </row>
    <row r="1371" spans="5:5" x14ac:dyDescent="0.25">
      <c r="E1371" s="31"/>
    </row>
    <row r="1372" spans="5:5" x14ac:dyDescent="0.25">
      <c r="E1372" s="31"/>
    </row>
    <row r="1373" spans="5:5" x14ac:dyDescent="0.25">
      <c r="E1373" s="31"/>
    </row>
    <row r="1374" spans="5:5" x14ac:dyDescent="0.25">
      <c r="E1374" s="31"/>
    </row>
    <row r="1375" spans="5:5" x14ac:dyDescent="0.25">
      <c r="E1375" s="31"/>
    </row>
    <row r="1376" spans="5:5" x14ac:dyDescent="0.25">
      <c r="E1376" s="31"/>
    </row>
    <row r="1377" spans="5:5" x14ac:dyDescent="0.25">
      <c r="E1377" s="31"/>
    </row>
    <row r="1378" spans="5:5" x14ac:dyDescent="0.25">
      <c r="E1378" s="31"/>
    </row>
    <row r="1379" spans="5:5" x14ac:dyDescent="0.25">
      <c r="E1379" s="31"/>
    </row>
    <row r="1380" spans="5:5" x14ac:dyDescent="0.25">
      <c r="E1380" s="31"/>
    </row>
    <row r="1381" spans="5:5" x14ac:dyDescent="0.25">
      <c r="E1381" s="31"/>
    </row>
    <row r="1382" spans="5:5" x14ac:dyDescent="0.25">
      <c r="E1382" s="31"/>
    </row>
    <row r="1383" spans="5:5" x14ac:dyDescent="0.25">
      <c r="E1383" s="31"/>
    </row>
    <row r="1384" spans="5:5" x14ac:dyDescent="0.25">
      <c r="E1384" s="31"/>
    </row>
    <row r="1385" spans="5:5" x14ac:dyDescent="0.25">
      <c r="E1385" s="31"/>
    </row>
    <row r="1386" spans="5:5" x14ac:dyDescent="0.25">
      <c r="E1386" s="31"/>
    </row>
    <row r="1387" spans="5:5" x14ac:dyDescent="0.25">
      <c r="E1387" s="31"/>
    </row>
    <row r="1388" spans="5:5" x14ac:dyDescent="0.25">
      <c r="E1388" s="31"/>
    </row>
    <row r="1389" spans="5:5" x14ac:dyDescent="0.25">
      <c r="E1389" s="31"/>
    </row>
    <row r="1390" spans="5:5" x14ac:dyDescent="0.25">
      <c r="E1390" s="31"/>
    </row>
    <row r="1391" spans="5:5" x14ac:dyDescent="0.25">
      <c r="E1391" s="31"/>
    </row>
    <row r="1392" spans="5:5" x14ac:dyDescent="0.25">
      <c r="E1392" s="31"/>
    </row>
    <row r="1393" spans="5:5" x14ac:dyDescent="0.25">
      <c r="E1393" s="31"/>
    </row>
    <row r="1394" spans="5:5" x14ac:dyDescent="0.25">
      <c r="E1394" s="31"/>
    </row>
    <row r="1395" spans="5:5" x14ac:dyDescent="0.25">
      <c r="E1395" s="31"/>
    </row>
    <row r="1396" spans="5:5" x14ac:dyDescent="0.25">
      <c r="E1396" s="31"/>
    </row>
    <row r="1397" spans="5:5" x14ac:dyDescent="0.25">
      <c r="E1397" s="31"/>
    </row>
    <row r="1398" spans="5:5" x14ac:dyDescent="0.25">
      <c r="E1398" s="31"/>
    </row>
    <row r="1399" spans="5:5" x14ac:dyDescent="0.25">
      <c r="E1399" s="31"/>
    </row>
    <row r="1400" spans="5:5" x14ac:dyDescent="0.25">
      <c r="E1400" s="31"/>
    </row>
    <row r="1401" spans="5:5" x14ac:dyDescent="0.25">
      <c r="E1401" s="31"/>
    </row>
    <row r="1402" spans="5:5" x14ac:dyDescent="0.25">
      <c r="E1402" s="31"/>
    </row>
    <row r="1403" spans="5:5" x14ac:dyDescent="0.25">
      <c r="E1403" s="31"/>
    </row>
    <row r="1404" spans="5:5" x14ac:dyDescent="0.25">
      <c r="E1404" s="31"/>
    </row>
    <row r="1405" spans="5:5" x14ac:dyDescent="0.25">
      <c r="E1405" s="31"/>
    </row>
    <row r="1406" spans="5:5" x14ac:dyDescent="0.25">
      <c r="E1406" s="31"/>
    </row>
    <row r="1407" spans="5:5" x14ac:dyDescent="0.25">
      <c r="E1407" s="31"/>
    </row>
    <row r="1408" spans="5:5" x14ac:dyDescent="0.25">
      <c r="E1408" s="31"/>
    </row>
    <row r="1409" spans="5:5" x14ac:dyDescent="0.25">
      <c r="E1409" s="31"/>
    </row>
    <row r="1410" spans="5:5" x14ac:dyDescent="0.25">
      <c r="E1410" s="31"/>
    </row>
    <row r="1411" spans="5:5" x14ac:dyDescent="0.25">
      <c r="E1411" s="31"/>
    </row>
    <row r="1412" spans="5:5" x14ac:dyDescent="0.25">
      <c r="E1412" s="31"/>
    </row>
    <row r="1413" spans="5:5" x14ac:dyDescent="0.25">
      <c r="E1413" s="31"/>
    </row>
    <row r="1414" spans="5:5" x14ac:dyDescent="0.25">
      <c r="E1414" s="31"/>
    </row>
    <row r="1415" spans="5:5" x14ac:dyDescent="0.25">
      <c r="E1415" s="31"/>
    </row>
    <row r="1416" spans="5:5" x14ac:dyDescent="0.25">
      <c r="E1416" s="31"/>
    </row>
    <row r="1417" spans="5:5" x14ac:dyDescent="0.25">
      <c r="E1417" s="31"/>
    </row>
    <row r="1418" spans="5:5" x14ac:dyDescent="0.25">
      <c r="E1418" s="31"/>
    </row>
    <row r="1419" spans="5:5" x14ac:dyDescent="0.25">
      <c r="E1419" s="31"/>
    </row>
    <row r="1420" spans="5:5" x14ac:dyDescent="0.25">
      <c r="E1420" s="31"/>
    </row>
    <row r="1421" spans="5:5" x14ac:dyDescent="0.25">
      <c r="E1421" s="31"/>
    </row>
    <row r="1422" spans="5:5" x14ac:dyDescent="0.25">
      <c r="E1422" s="31"/>
    </row>
    <row r="1423" spans="5:5" x14ac:dyDescent="0.25">
      <c r="E1423" s="31"/>
    </row>
    <row r="1424" spans="5:5" x14ac:dyDescent="0.25">
      <c r="E1424" s="31"/>
    </row>
    <row r="1425" spans="5:5" x14ac:dyDescent="0.25">
      <c r="E1425" s="31"/>
    </row>
    <row r="1426" spans="5:5" x14ac:dyDescent="0.25">
      <c r="E1426" s="31"/>
    </row>
    <row r="1427" spans="5:5" x14ac:dyDescent="0.25">
      <c r="E1427" s="31"/>
    </row>
    <row r="1428" spans="5:5" x14ac:dyDescent="0.25">
      <c r="E1428" s="31"/>
    </row>
    <row r="1429" spans="5:5" x14ac:dyDescent="0.25">
      <c r="E1429" s="31"/>
    </row>
    <row r="1430" spans="5:5" x14ac:dyDescent="0.25">
      <c r="E1430" s="31"/>
    </row>
    <row r="1431" spans="5:5" x14ac:dyDescent="0.25">
      <c r="E1431" s="31"/>
    </row>
    <row r="1432" spans="5:5" x14ac:dyDescent="0.25">
      <c r="E1432" s="31"/>
    </row>
    <row r="1433" spans="5:5" x14ac:dyDescent="0.25">
      <c r="E1433" s="31"/>
    </row>
    <row r="1434" spans="5:5" x14ac:dyDescent="0.25">
      <c r="E1434" s="31"/>
    </row>
    <row r="1435" spans="5:5" x14ac:dyDescent="0.25">
      <c r="E1435" s="31"/>
    </row>
    <row r="1436" spans="5:5" x14ac:dyDescent="0.25">
      <c r="E1436" s="31"/>
    </row>
    <row r="1437" spans="5:5" x14ac:dyDescent="0.25">
      <c r="E1437" s="31"/>
    </row>
    <row r="1438" spans="5:5" x14ac:dyDescent="0.25">
      <c r="E1438" s="31"/>
    </row>
    <row r="1439" spans="5:5" x14ac:dyDescent="0.25">
      <c r="E1439" s="31"/>
    </row>
    <row r="1440" spans="5:5" x14ac:dyDescent="0.25">
      <c r="E1440" s="31"/>
    </row>
    <row r="1441" spans="5:5" x14ac:dyDescent="0.25">
      <c r="E1441" s="31"/>
    </row>
    <row r="1442" spans="5:5" x14ac:dyDescent="0.25">
      <c r="E1442" s="31"/>
    </row>
    <row r="1443" spans="5:5" x14ac:dyDescent="0.25">
      <c r="E1443" s="31"/>
    </row>
    <row r="1444" spans="5:5" x14ac:dyDescent="0.25">
      <c r="E1444" s="31"/>
    </row>
    <row r="1445" spans="5:5" x14ac:dyDescent="0.25">
      <c r="E1445" s="31"/>
    </row>
    <row r="1446" spans="5:5" x14ac:dyDescent="0.25">
      <c r="E1446" s="31"/>
    </row>
    <row r="1447" spans="5:5" x14ac:dyDescent="0.25">
      <c r="E1447" s="31"/>
    </row>
    <row r="1448" spans="5:5" x14ac:dyDescent="0.25">
      <c r="E1448" s="31"/>
    </row>
    <row r="1449" spans="5:5" x14ac:dyDescent="0.25">
      <c r="E1449" s="31"/>
    </row>
    <row r="1450" spans="5:5" x14ac:dyDescent="0.25">
      <c r="E1450" s="31"/>
    </row>
    <row r="1451" spans="5:5" x14ac:dyDescent="0.25">
      <c r="E1451" s="31"/>
    </row>
    <row r="1452" spans="5:5" x14ac:dyDescent="0.25">
      <c r="E1452" s="31"/>
    </row>
    <row r="1453" spans="5:5" x14ac:dyDescent="0.25">
      <c r="E1453" s="31"/>
    </row>
    <row r="1454" spans="5:5" x14ac:dyDescent="0.25">
      <c r="E1454" s="31"/>
    </row>
    <row r="1455" spans="5:5" x14ac:dyDescent="0.25">
      <c r="E1455" s="31"/>
    </row>
    <row r="1456" spans="5:5" x14ac:dyDescent="0.25">
      <c r="E1456" s="31"/>
    </row>
    <row r="1457" spans="5:5" x14ac:dyDescent="0.25">
      <c r="E1457" s="31"/>
    </row>
    <row r="1458" spans="5:5" x14ac:dyDescent="0.25">
      <c r="E1458" s="31"/>
    </row>
    <row r="1459" spans="5:5" x14ac:dyDescent="0.25">
      <c r="E1459" s="31"/>
    </row>
    <row r="1460" spans="5:5" x14ac:dyDescent="0.25">
      <c r="E1460" s="31"/>
    </row>
    <row r="1461" spans="5:5" x14ac:dyDescent="0.25">
      <c r="E1461" s="31"/>
    </row>
    <row r="1462" spans="5:5" x14ac:dyDescent="0.25">
      <c r="E1462" s="31"/>
    </row>
    <row r="1463" spans="5:5" x14ac:dyDescent="0.25">
      <c r="E1463" s="31"/>
    </row>
    <row r="1464" spans="5:5" x14ac:dyDescent="0.25">
      <c r="E1464" s="31"/>
    </row>
    <row r="1465" spans="5:5" x14ac:dyDescent="0.25">
      <c r="E1465" s="31"/>
    </row>
    <row r="1466" spans="5:5" x14ac:dyDescent="0.25">
      <c r="E1466" s="31"/>
    </row>
    <row r="1467" spans="5:5" x14ac:dyDescent="0.25">
      <c r="E1467" s="31"/>
    </row>
    <row r="1468" spans="5:5" x14ac:dyDescent="0.25">
      <c r="E1468" s="31"/>
    </row>
    <row r="1469" spans="5:5" x14ac:dyDescent="0.25">
      <c r="E1469" s="31"/>
    </row>
    <row r="1470" spans="5:5" x14ac:dyDescent="0.25">
      <c r="E1470" s="31"/>
    </row>
    <row r="1471" spans="5:5" x14ac:dyDescent="0.25">
      <c r="E1471" s="31"/>
    </row>
    <row r="1472" spans="5:5" x14ac:dyDescent="0.25">
      <c r="E1472" s="31"/>
    </row>
    <row r="1473" spans="5:5" x14ac:dyDescent="0.25">
      <c r="E1473" s="31"/>
    </row>
    <row r="1474" spans="5:5" x14ac:dyDescent="0.25">
      <c r="E1474" s="31"/>
    </row>
    <row r="1475" spans="5:5" x14ac:dyDescent="0.25">
      <c r="E1475" s="31"/>
    </row>
    <row r="1476" spans="5:5" x14ac:dyDescent="0.25">
      <c r="E1476" s="31"/>
    </row>
    <row r="1477" spans="5:5" x14ac:dyDescent="0.25">
      <c r="E1477" s="31"/>
    </row>
    <row r="1478" spans="5:5" x14ac:dyDescent="0.25">
      <c r="E1478" s="31"/>
    </row>
    <row r="1479" spans="5:5" x14ac:dyDescent="0.25">
      <c r="E1479" s="31"/>
    </row>
    <row r="1480" spans="5:5" x14ac:dyDescent="0.25">
      <c r="E1480" s="31"/>
    </row>
    <row r="1481" spans="5:5" x14ac:dyDescent="0.25">
      <c r="E1481" s="31"/>
    </row>
    <row r="1482" spans="5:5" x14ac:dyDescent="0.25">
      <c r="E1482" s="31"/>
    </row>
    <row r="1483" spans="5:5" x14ac:dyDescent="0.25">
      <c r="E1483" s="31"/>
    </row>
    <row r="1484" spans="5:5" x14ac:dyDescent="0.25">
      <c r="E1484" s="31"/>
    </row>
    <row r="1485" spans="5:5" x14ac:dyDescent="0.25">
      <c r="E1485" s="31"/>
    </row>
    <row r="1486" spans="5:5" x14ac:dyDescent="0.25">
      <c r="E1486" s="31"/>
    </row>
    <row r="1487" spans="5:5" x14ac:dyDescent="0.25">
      <c r="E1487" s="31"/>
    </row>
    <row r="1488" spans="5:5" x14ac:dyDescent="0.25">
      <c r="E1488" s="31"/>
    </row>
    <row r="1489" spans="5:5" x14ac:dyDescent="0.25">
      <c r="E1489" s="31"/>
    </row>
    <row r="1490" spans="5:5" x14ac:dyDescent="0.25">
      <c r="E1490" s="31"/>
    </row>
    <row r="1491" spans="5:5" x14ac:dyDescent="0.25">
      <c r="E1491" s="31"/>
    </row>
    <row r="1492" spans="5:5" x14ac:dyDescent="0.25">
      <c r="E1492" s="31"/>
    </row>
    <row r="1493" spans="5:5" x14ac:dyDescent="0.25">
      <c r="E1493" s="31"/>
    </row>
    <row r="1494" spans="5:5" x14ac:dyDescent="0.25">
      <c r="E1494" s="31"/>
    </row>
    <row r="1495" spans="5:5" x14ac:dyDescent="0.25">
      <c r="E1495" s="31"/>
    </row>
    <row r="1496" spans="5:5" x14ac:dyDescent="0.25">
      <c r="E1496" s="31"/>
    </row>
    <row r="1497" spans="5:5" x14ac:dyDescent="0.25">
      <c r="E1497" s="31"/>
    </row>
    <row r="1498" spans="5:5" x14ac:dyDescent="0.25">
      <c r="E1498" s="31"/>
    </row>
    <row r="1499" spans="5:5" x14ac:dyDescent="0.25">
      <c r="E1499" s="31"/>
    </row>
    <row r="1500" spans="5:5" x14ac:dyDescent="0.25">
      <c r="E1500" s="31"/>
    </row>
    <row r="1501" spans="5:5" x14ac:dyDescent="0.25">
      <c r="E1501" s="31"/>
    </row>
    <row r="1502" spans="5:5" x14ac:dyDescent="0.25">
      <c r="E1502" s="31"/>
    </row>
    <row r="1503" spans="5:5" x14ac:dyDescent="0.25">
      <c r="E1503" s="31"/>
    </row>
    <row r="1504" spans="5:5" x14ac:dyDescent="0.25">
      <c r="E1504" s="31"/>
    </row>
    <row r="1505" spans="5:5" x14ac:dyDescent="0.25">
      <c r="E1505" s="31"/>
    </row>
    <row r="1506" spans="5:5" x14ac:dyDescent="0.25">
      <c r="E1506" s="31"/>
    </row>
    <row r="1507" spans="5:5" x14ac:dyDescent="0.25">
      <c r="E1507" s="31"/>
    </row>
    <row r="1508" spans="5:5" x14ac:dyDescent="0.25">
      <c r="E1508" s="31"/>
    </row>
    <row r="1509" spans="5:5" x14ac:dyDescent="0.25">
      <c r="E1509" s="31"/>
    </row>
    <row r="1510" spans="5:5" x14ac:dyDescent="0.25">
      <c r="E1510" s="31"/>
    </row>
    <row r="1511" spans="5:5" x14ac:dyDescent="0.25">
      <c r="E1511" s="31"/>
    </row>
    <row r="1512" spans="5:5" x14ac:dyDescent="0.25">
      <c r="E1512" s="31"/>
    </row>
    <row r="1513" spans="5:5" x14ac:dyDescent="0.25">
      <c r="E1513" s="31"/>
    </row>
    <row r="1514" spans="5:5" x14ac:dyDescent="0.25">
      <c r="E1514" s="31"/>
    </row>
    <row r="1515" spans="5:5" x14ac:dyDescent="0.25">
      <c r="E1515" s="31"/>
    </row>
    <row r="1516" spans="5:5" x14ac:dyDescent="0.25">
      <c r="E1516" s="31"/>
    </row>
    <row r="1517" spans="5:5" x14ac:dyDescent="0.25">
      <c r="E1517" s="31"/>
    </row>
    <row r="1518" spans="5:5" x14ac:dyDescent="0.25">
      <c r="E1518" s="31"/>
    </row>
    <row r="1519" spans="5:5" x14ac:dyDescent="0.25">
      <c r="E1519" s="31"/>
    </row>
    <row r="1520" spans="5:5" x14ac:dyDescent="0.25">
      <c r="E1520" s="31"/>
    </row>
    <row r="1521" spans="5:5" x14ac:dyDescent="0.25">
      <c r="E1521" s="31"/>
    </row>
    <row r="1522" spans="5:5" x14ac:dyDescent="0.25">
      <c r="E1522" s="31"/>
    </row>
    <row r="1523" spans="5:5" x14ac:dyDescent="0.25">
      <c r="E1523" s="31"/>
    </row>
    <row r="1524" spans="5:5" x14ac:dyDescent="0.25">
      <c r="E1524" s="31"/>
    </row>
    <row r="1525" spans="5:5" x14ac:dyDescent="0.25">
      <c r="E1525" s="31"/>
    </row>
    <row r="1526" spans="5:5" x14ac:dyDescent="0.25">
      <c r="E1526" s="31"/>
    </row>
    <row r="1527" spans="5:5" x14ac:dyDescent="0.25">
      <c r="E1527" s="31"/>
    </row>
    <row r="1528" spans="5:5" x14ac:dyDescent="0.25">
      <c r="E1528" s="31"/>
    </row>
    <row r="1529" spans="5:5" x14ac:dyDescent="0.25">
      <c r="E1529" s="31"/>
    </row>
    <row r="1530" spans="5:5" x14ac:dyDescent="0.25">
      <c r="E1530" s="31"/>
    </row>
    <row r="1531" spans="5:5" x14ac:dyDescent="0.25">
      <c r="E1531" s="31"/>
    </row>
    <row r="1532" spans="5:5" x14ac:dyDescent="0.25">
      <c r="E1532" s="31"/>
    </row>
    <row r="1533" spans="5:5" x14ac:dyDescent="0.25">
      <c r="E1533" s="31"/>
    </row>
    <row r="1534" spans="5:5" x14ac:dyDescent="0.25">
      <c r="E1534" s="31"/>
    </row>
    <row r="1535" spans="5:5" x14ac:dyDescent="0.25">
      <c r="E1535" s="31"/>
    </row>
    <row r="1536" spans="5:5" x14ac:dyDescent="0.25">
      <c r="E1536" s="31"/>
    </row>
    <row r="1537" spans="5:5" x14ac:dyDescent="0.25">
      <c r="E1537" s="31"/>
    </row>
    <row r="1538" spans="5:5" x14ac:dyDescent="0.25">
      <c r="E1538" s="31"/>
    </row>
    <row r="1539" spans="5:5" x14ac:dyDescent="0.25">
      <c r="E1539" s="31"/>
    </row>
    <row r="1540" spans="5:5" x14ac:dyDescent="0.25">
      <c r="E1540" s="31"/>
    </row>
    <row r="1541" spans="5:5" x14ac:dyDescent="0.25">
      <c r="E1541" s="31"/>
    </row>
    <row r="1542" spans="5:5" x14ac:dyDescent="0.25">
      <c r="E1542" s="31"/>
    </row>
    <row r="1543" spans="5:5" x14ac:dyDescent="0.25">
      <c r="E1543" s="31"/>
    </row>
    <row r="1544" spans="5:5" x14ac:dyDescent="0.25">
      <c r="E1544" s="31"/>
    </row>
    <row r="1545" spans="5:5" x14ac:dyDescent="0.25">
      <c r="E1545" s="31"/>
    </row>
    <row r="1546" spans="5:5" x14ac:dyDescent="0.25">
      <c r="E1546" s="31"/>
    </row>
    <row r="1547" spans="5:5" x14ac:dyDescent="0.25">
      <c r="E1547" s="31"/>
    </row>
    <row r="1548" spans="5:5" x14ac:dyDescent="0.25">
      <c r="E1548" s="31"/>
    </row>
    <row r="1549" spans="5:5" x14ac:dyDescent="0.25">
      <c r="E1549" s="31"/>
    </row>
    <row r="1550" spans="5:5" x14ac:dyDescent="0.25">
      <c r="E1550" s="31"/>
    </row>
    <row r="1551" spans="5:5" x14ac:dyDescent="0.25">
      <c r="E1551" s="31"/>
    </row>
    <row r="1552" spans="5:5" x14ac:dyDescent="0.25">
      <c r="E1552" s="31"/>
    </row>
    <row r="1553" spans="5:5" x14ac:dyDescent="0.25">
      <c r="E1553" s="31"/>
    </row>
    <row r="1554" spans="5:5" x14ac:dyDescent="0.25">
      <c r="E1554" s="31"/>
    </row>
    <row r="1555" spans="5:5" x14ac:dyDescent="0.25">
      <c r="E1555" s="31"/>
    </row>
    <row r="1556" spans="5:5" x14ac:dyDescent="0.25">
      <c r="E1556" s="31"/>
    </row>
    <row r="1557" spans="5:5" x14ac:dyDescent="0.25">
      <c r="E1557" s="31"/>
    </row>
    <row r="1558" spans="5:5" x14ac:dyDescent="0.25">
      <c r="E1558" s="31"/>
    </row>
    <row r="1559" spans="5:5" x14ac:dyDescent="0.25">
      <c r="E1559" s="31"/>
    </row>
    <row r="1560" spans="5:5" x14ac:dyDescent="0.25">
      <c r="E1560" s="31"/>
    </row>
    <row r="1561" spans="5:5" x14ac:dyDescent="0.25">
      <c r="E1561" s="31"/>
    </row>
    <row r="1562" spans="5:5" x14ac:dyDescent="0.25">
      <c r="E1562" s="31"/>
    </row>
    <row r="1563" spans="5:5" x14ac:dyDescent="0.25">
      <c r="E1563" s="31"/>
    </row>
    <row r="1564" spans="5:5" x14ac:dyDescent="0.25">
      <c r="E1564" s="31"/>
    </row>
    <row r="1565" spans="5:5" x14ac:dyDescent="0.25">
      <c r="E1565" s="31"/>
    </row>
    <row r="1566" spans="5:5" x14ac:dyDescent="0.25">
      <c r="E1566" s="31"/>
    </row>
    <row r="1567" spans="5:5" x14ac:dyDescent="0.25">
      <c r="E1567" s="31"/>
    </row>
    <row r="1568" spans="5:5" x14ac:dyDescent="0.25">
      <c r="E1568" s="31"/>
    </row>
    <row r="1569" spans="5:5" x14ac:dyDescent="0.25">
      <c r="E1569" s="31"/>
    </row>
    <row r="1570" spans="5:5" x14ac:dyDescent="0.25">
      <c r="E1570" s="31"/>
    </row>
    <row r="1571" spans="5:5" x14ac:dyDescent="0.25">
      <c r="E1571" s="31"/>
    </row>
    <row r="1572" spans="5:5" x14ac:dyDescent="0.25">
      <c r="E1572" s="31"/>
    </row>
    <row r="1573" spans="5:5" x14ac:dyDescent="0.25">
      <c r="E1573" s="31"/>
    </row>
    <row r="1574" spans="5:5" x14ac:dyDescent="0.25">
      <c r="E1574" s="31"/>
    </row>
    <row r="1575" spans="5:5" x14ac:dyDescent="0.25">
      <c r="E1575" s="31"/>
    </row>
    <row r="1576" spans="5:5" x14ac:dyDescent="0.25">
      <c r="E1576" s="31"/>
    </row>
    <row r="1577" spans="5:5" x14ac:dyDescent="0.25">
      <c r="E1577" s="31"/>
    </row>
    <row r="1578" spans="5:5" x14ac:dyDescent="0.25">
      <c r="E1578" s="31"/>
    </row>
    <row r="1579" spans="5:5" x14ac:dyDescent="0.25">
      <c r="E1579" s="31"/>
    </row>
    <row r="1580" spans="5:5" x14ac:dyDescent="0.25">
      <c r="E1580" s="31"/>
    </row>
    <row r="1581" spans="5:5" x14ac:dyDescent="0.25">
      <c r="E1581" s="31"/>
    </row>
    <row r="1582" spans="5:5" x14ac:dyDescent="0.25">
      <c r="E1582" s="31"/>
    </row>
    <row r="1583" spans="5:5" x14ac:dyDescent="0.25">
      <c r="E1583" s="31"/>
    </row>
    <row r="1584" spans="5:5" x14ac:dyDescent="0.25">
      <c r="E1584" s="31"/>
    </row>
    <row r="1585" spans="5:5" x14ac:dyDescent="0.25">
      <c r="E1585" s="31"/>
    </row>
    <row r="1586" spans="5:5" x14ac:dyDescent="0.25">
      <c r="E1586" s="31"/>
    </row>
    <row r="1587" spans="5:5" x14ac:dyDescent="0.25">
      <c r="E1587" s="31"/>
    </row>
    <row r="1588" spans="5:5" x14ac:dyDescent="0.25">
      <c r="E1588" s="31"/>
    </row>
    <row r="1589" spans="5:5" x14ac:dyDescent="0.25">
      <c r="E1589" s="31"/>
    </row>
    <row r="1590" spans="5:5" x14ac:dyDescent="0.25">
      <c r="E1590" s="31"/>
    </row>
    <row r="1591" spans="5:5" x14ac:dyDescent="0.25">
      <c r="E1591" s="31"/>
    </row>
    <row r="1592" spans="5:5" x14ac:dyDescent="0.25">
      <c r="E1592" s="31"/>
    </row>
    <row r="1593" spans="5:5" x14ac:dyDescent="0.25">
      <c r="E1593" s="31"/>
    </row>
    <row r="1594" spans="5:5" x14ac:dyDescent="0.25">
      <c r="E1594" s="31"/>
    </row>
    <row r="1595" spans="5:5" x14ac:dyDescent="0.25">
      <c r="E1595" s="31"/>
    </row>
    <row r="1596" spans="5:5" x14ac:dyDescent="0.25">
      <c r="E1596" s="31"/>
    </row>
    <row r="1597" spans="5:5" x14ac:dyDescent="0.25">
      <c r="E1597" s="31"/>
    </row>
    <row r="1598" spans="5:5" x14ac:dyDescent="0.25">
      <c r="E1598" s="31"/>
    </row>
    <row r="1599" spans="5:5" x14ac:dyDescent="0.25">
      <c r="E1599" s="31"/>
    </row>
    <row r="1600" spans="5:5" x14ac:dyDescent="0.25">
      <c r="E1600" s="31"/>
    </row>
    <row r="1601" spans="5:5" x14ac:dyDescent="0.25">
      <c r="E1601" s="31"/>
    </row>
    <row r="1602" spans="5:5" x14ac:dyDescent="0.25">
      <c r="E1602" s="31"/>
    </row>
    <row r="1603" spans="5:5" x14ac:dyDescent="0.25">
      <c r="E1603" s="31"/>
    </row>
    <row r="1604" spans="5:5" x14ac:dyDescent="0.25">
      <c r="E1604" s="31"/>
    </row>
    <row r="1605" spans="5:5" x14ac:dyDescent="0.25">
      <c r="E1605" s="31"/>
    </row>
    <row r="1606" spans="5:5" x14ac:dyDescent="0.25">
      <c r="E1606" s="31"/>
    </row>
    <row r="1607" spans="5:5" x14ac:dyDescent="0.25">
      <c r="E1607" s="31"/>
    </row>
    <row r="1608" spans="5:5" x14ac:dyDescent="0.25">
      <c r="E1608" s="31"/>
    </row>
    <row r="1609" spans="5:5" x14ac:dyDescent="0.25">
      <c r="E1609" s="31"/>
    </row>
    <row r="1610" spans="5:5" x14ac:dyDescent="0.25">
      <c r="E1610" s="31"/>
    </row>
    <row r="1611" spans="5:5" x14ac:dyDescent="0.25">
      <c r="E1611" s="31"/>
    </row>
    <row r="1612" spans="5:5" x14ac:dyDescent="0.25">
      <c r="E1612" s="31"/>
    </row>
    <row r="1613" spans="5:5" x14ac:dyDescent="0.25">
      <c r="E1613" s="31"/>
    </row>
    <row r="1614" spans="5:5" x14ac:dyDescent="0.25">
      <c r="E1614" s="31"/>
    </row>
    <row r="1615" spans="5:5" x14ac:dyDescent="0.25">
      <c r="E1615" s="31"/>
    </row>
    <row r="1616" spans="5:5" x14ac:dyDescent="0.25">
      <c r="E1616" s="31"/>
    </row>
    <row r="1617" spans="5:5" x14ac:dyDescent="0.25">
      <c r="E1617" s="31"/>
    </row>
    <row r="1618" spans="5:5" x14ac:dyDescent="0.25">
      <c r="E1618" s="31"/>
    </row>
    <row r="1619" spans="5:5" x14ac:dyDescent="0.25">
      <c r="E1619" s="31"/>
    </row>
    <row r="1620" spans="5:5" x14ac:dyDescent="0.25">
      <c r="E1620" s="31"/>
    </row>
    <row r="1621" spans="5:5" x14ac:dyDescent="0.25">
      <c r="E1621" s="31"/>
    </row>
    <row r="1622" spans="5:5" x14ac:dyDescent="0.25">
      <c r="E1622" s="31"/>
    </row>
    <row r="1623" spans="5:5" x14ac:dyDescent="0.25">
      <c r="E1623" s="31"/>
    </row>
    <row r="1624" spans="5:5" x14ac:dyDescent="0.25">
      <c r="E1624" s="31"/>
    </row>
    <row r="1625" spans="5:5" x14ac:dyDescent="0.25">
      <c r="E1625" s="31"/>
    </row>
    <row r="1626" spans="5:5" x14ac:dyDescent="0.25">
      <c r="E1626" s="31"/>
    </row>
    <row r="1627" spans="5:5" x14ac:dyDescent="0.25">
      <c r="E1627" s="31"/>
    </row>
    <row r="1628" spans="5:5" x14ac:dyDescent="0.25">
      <c r="E1628" s="31"/>
    </row>
    <row r="1629" spans="5:5" x14ac:dyDescent="0.25">
      <c r="E1629" s="31"/>
    </row>
    <row r="1630" spans="5:5" x14ac:dyDescent="0.25">
      <c r="E1630" s="31"/>
    </row>
    <row r="1631" spans="5:5" x14ac:dyDescent="0.25">
      <c r="E1631" s="31"/>
    </row>
    <row r="1632" spans="5:5" x14ac:dyDescent="0.25">
      <c r="E1632" s="31"/>
    </row>
    <row r="1633" spans="5:5" x14ac:dyDescent="0.25">
      <c r="E1633" s="31"/>
    </row>
    <row r="1634" spans="5:5" x14ac:dyDescent="0.25">
      <c r="E1634" s="31"/>
    </row>
    <row r="1635" spans="5:5" x14ac:dyDescent="0.25">
      <c r="E1635" s="31"/>
    </row>
    <row r="1636" spans="5:5" x14ac:dyDescent="0.25">
      <c r="E1636" s="31"/>
    </row>
    <row r="1637" spans="5:5" x14ac:dyDescent="0.25">
      <c r="E1637" s="31"/>
    </row>
    <row r="1638" spans="5:5" x14ac:dyDescent="0.25">
      <c r="E1638" s="31"/>
    </row>
    <row r="1639" spans="5:5" x14ac:dyDescent="0.25">
      <c r="E1639" s="31"/>
    </row>
    <row r="1640" spans="5:5" x14ac:dyDescent="0.25">
      <c r="E1640" s="31"/>
    </row>
    <row r="1641" spans="5:5" x14ac:dyDescent="0.25">
      <c r="E1641" s="31"/>
    </row>
    <row r="1642" spans="5:5" x14ac:dyDescent="0.25">
      <c r="E1642" s="31"/>
    </row>
    <row r="1643" spans="5:5" x14ac:dyDescent="0.25">
      <c r="E1643" s="31"/>
    </row>
    <row r="1644" spans="5:5" x14ac:dyDescent="0.25">
      <c r="E1644" s="31"/>
    </row>
    <row r="1645" spans="5:5" x14ac:dyDescent="0.25">
      <c r="E1645" s="31"/>
    </row>
    <row r="1646" spans="5:5" x14ac:dyDescent="0.25">
      <c r="E1646" s="31"/>
    </row>
    <row r="1647" spans="5:5" x14ac:dyDescent="0.25">
      <c r="E1647" s="31"/>
    </row>
    <row r="1648" spans="5:5" x14ac:dyDescent="0.25">
      <c r="E1648" s="31"/>
    </row>
    <row r="1649" spans="5:5" x14ac:dyDescent="0.25">
      <c r="E1649" s="31"/>
    </row>
    <row r="1650" spans="5:5" x14ac:dyDescent="0.25">
      <c r="E1650" s="31"/>
    </row>
    <row r="1651" spans="5:5" x14ac:dyDescent="0.25">
      <c r="E1651" s="31"/>
    </row>
    <row r="1652" spans="5:5" x14ac:dyDescent="0.25">
      <c r="E1652" s="31"/>
    </row>
    <row r="1653" spans="5:5" x14ac:dyDescent="0.25">
      <c r="E1653" s="31"/>
    </row>
    <row r="1654" spans="5:5" x14ac:dyDescent="0.25">
      <c r="E1654" s="31"/>
    </row>
    <row r="1655" spans="5:5" x14ac:dyDescent="0.25">
      <c r="E1655" s="31"/>
    </row>
    <row r="1656" spans="5:5" x14ac:dyDescent="0.25">
      <c r="E1656" s="31"/>
    </row>
    <row r="1657" spans="5:5" x14ac:dyDescent="0.25">
      <c r="E1657" s="31"/>
    </row>
    <row r="1658" spans="5:5" x14ac:dyDescent="0.25">
      <c r="E1658" s="31"/>
    </row>
    <row r="1659" spans="5:5" x14ac:dyDescent="0.25">
      <c r="E1659" s="31"/>
    </row>
    <row r="1660" spans="5:5" x14ac:dyDescent="0.25">
      <c r="E1660" s="31"/>
    </row>
    <row r="1661" spans="5:5" x14ac:dyDescent="0.25">
      <c r="E1661" s="31"/>
    </row>
    <row r="1662" spans="5:5" x14ac:dyDescent="0.25">
      <c r="E1662" s="31"/>
    </row>
    <row r="1663" spans="5:5" x14ac:dyDescent="0.25">
      <c r="E1663" s="31"/>
    </row>
    <row r="1664" spans="5:5" x14ac:dyDescent="0.25">
      <c r="E1664" s="31"/>
    </row>
    <row r="1665" spans="5:5" x14ac:dyDescent="0.25">
      <c r="E1665" s="31"/>
    </row>
    <row r="1666" spans="5:5" x14ac:dyDescent="0.25">
      <c r="E1666" s="31"/>
    </row>
    <row r="1667" spans="5:5" x14ac:dyDescent="0.25">
      <c r="E1667" s="31"/>
    </row>
    <row r="1668" spans="5:5" x14ac:dyDescent="0.25">
      <c r="E1668" s="31"/>
    </row>
    <row r="1669" spans="5:5" x14ac:dyDescent="0.25">
      <c r="E1669" s="31"/>
    </row>
    <row r="1670" spans="5:5" x14ac:dyDescent="0.25">
      <c r="E1670" s="31"/>
    </row>
    <row r="1671" spans="5:5" x14ac:dyDescent="0.25">
      <c r="E1671" s="31"/>
    </row>
    <row r="1672" spans="5:5" x14ac:dyDescent="0.25">
      <c r="E1672" s="31"/>
    </row>
    <row r="1673" spans="5:5" x14ac:dyDescent="0.25">
      <c r="E1673" s="31"/>
    </row>
    <row r="1674" spans="5:5" x14ac:dyDescent="0.25">
      <c r="E1674" s="31"/>
    </row>
    <row r="1675" spans="5:5" x14ac:dyDescent="0.25">
      <c r="E1675" s="31"/>
    </row>
    <row r="1676" spans="5:5" x14ac:dyDescent="0.25">
      <c r="E1676" s="31"/>
    </row>
    <row r="1677" spans="5:5" x14ac:dyDescent="0.25">
      <c r="E1677" s="31"/>
    </row>
    <row r="1678" spans="5:5" x14ac:dyDescent="0.25">
      <c r="E1678" s="31"/>
    </row>
    <row r="1679" spans="5:5" x14ac:dyDescent="0.25">
      <c r="E1679" s="31"/>
    </row>
    <row r="1680" spans="5:5" x14ac:dyDescent="0.25">
      <c r="E1680" s="31"/>
    </row>
    <row r="1681" spans="5:5" x14ac:dyDescent="0.25">
      <c r="E1681" s="31"/>
    </row>
    <row r="1682" spans="5:5" x14ac:dyDescent="0.25">
      <c r="E1682" s="31"/>
    </row>
    <row r="1683" spans="5:5" x14ac:dyDescent="0.25">
      <c r="E1683" s="31"/>
    </row>
    <row r="1684" spans="5:5" x14ac:dyDescent="0.25">
      <c r="E1684" s="31"/>
    </row>
    <row r="1685" spans="5:5" x14ac:dyDescent="0.25">
      <c r="E1685" s="31"/>
    </row>
    <row r="1686" spans="5:5" x14ac:dyDescent="0.25">
      <c r="E1686" s="31"/>
    </row>
    <row r="1687" spans="5:5" x14ac:dyDescent="0.25">
      <c r="E1687" s="31"/>
    </row>
    <row r="1688" spans="5:5" x14ac:dyDescent="0.25">
      <c r="E1688" s="31"/>
    </row>
    <row r="1689" spans="5:5" x14ac:dyDescent="0.25">
      <c r="E1689" s="31"/>
    </row>
    <row r="1690" spans="5:5" x14ac:dyDescent="0.25">
      <c r="E1690" s="31"/>
    </row>
    <row r="1691" spans="5:5" x14ac:dyDescent="0.25">
      <c r="E1691" s="31"/>
    </row>
    <row r="1692" spans="5:5" x14ac:dyDescent="0.25">
      <c r="E1692" s="31"/>
    </row>
    <row r="1693" spans="5:5" x14ac:dyDescent="0.25">
      <c r="E1693" s="31"/>
    </row>
    <row r="1694" spans="5:5" x14ac:dyDescent="0.25">
      <c r="E1694" s="31"/>
    </row>
    <row r="1695" spans="5:5" x14ac:dyDescent="0.25">
      <c r="E1695" s="31"/>
    </row>
    <row r="1696" spans="5:5" x14ac:dyDescent="0.25">
      <c r="E1696" s="31"/>
    </row>
    <row r="1697" spans="5:5" x14ac:dyDescent="0.25">
      <c r="E1697" s="31"/>
    </row>
    <row r="1698" spans="5:5" x14ac:dyDescent="0.25">
      <c r="E1698" s="31"/>
    </row>
    <row r="1699" spans="5:5" x14ac:dyDescent="0.25">
      <c r="E1699" s="31"/>
    </row>
    <row r="1700" spans="5:5" x14ac:dyDescent="0.25">
      <c r="E1700" s="31"/>
    </row>
    <row r="1701" spans="5:5" x14ac:dyDescent="0.25">
      <c r="E1701" s="31"/>
    </row>
    <row r="1702" spans="5:5" x14ac:dyDescent="0.25">
      <c r="E1702" s="31"/>
    </row>
    <row r="1703" spans="5:5" x14ac:dyDescent="0.25">
      <c r="E1703" s="31"/>
    </row>
    <row r="1704" spans="5:5" x14ac:dyDescent="0.25">
      <c r="E1704" s="31"/>
    </row>
    <row r="1705" spans="5:5" x14ac:dyDescent="0.25">
      <c r="E1705" s="31"/>
    </row>
    <row r="1706" spans="5:5" x14ac:dyDescent="0.25">
      <c r="E1706" s="31"/>
    </row>
    <row r="1707" spans="5:5" x14ac:dyDescent="0.25">
      <c r="E1707" s="31"/>
    </row>
    <row r="1708" spans="5:5" x14ac:dyDescent="0.25">
      <c r="E1708" s="31"/>
    </row>
    <row r="1709" spans="5:5" x14ac:dyDescent="0.25">
      <c r="E1709" s="31"/>
    </row>
    <row r="1710" spans="5:5" x14ac:dyDescent="0.25">
      <c r="E1710" s="31"/>
    </row>
    <row r="1711" spans="5:5" x14ac:dyDescent="0.25">
      <c r="E1711" s="31"/>
    </row>
    <row r="1712" spans="5:5" x14ac:dyDescent="0.25">
      <c r="E1712" s="31"/>
    </row>
    <row r="1713" spans="5:5" x14ac:dyDescent="0.25">
      <c r="E1713" s="31"/>
    </row>
    <row r="1714" spans="5:5" x14ac:dyDescent="0.25">
      <c r="E1714" s="31"/>
    </row>
    <row r="1715" spans="5:5" x14ac:dyDescent="0.25">
      <c r="E1715" s="31"/>
    </row>
    <row r="1716" spans="5:5" x14ac:dyDescent="0.25">
      <c r="E1716" s="31"/>
    </row>
    <row r="1717" spans="5:5" x14ac:dyDescent="0.25">
      <c r="E1717" s="31"/>
    </row>
    <row r="1718" spans="5:5" x14ac:dyDescent="0.25">
      <c r="E1718" s="31"/>
    </row>
    <row r="1719" spans="5:5" x14ac:dyDescent="0.25">
      <c r="E1719" s="31"/>
    </row>
    <row r="1720" spans="5:5" x14ac:dyDescent="0.25">
      <c r="E1720" s="31"/>
    </row>
    <row r="1721" spans="5:5" x14ac:dyDescent="0.25">
      <c r="E1721" s="31"/>
    </row>
    <row r="1722" spans="5:5" x14ac:dyDescent="0.25">
      <c r="E1722" s="31"/>
    </row>
    <row r="1723" spans="5:5" x14ac:dyDescent="0.25">
      <c r="E1723" s="31"/>
    </row>
    <row r="1724" spans="5:5" x14ac:dyDescent="0.25">
      <c r="E1724" s="31"/>
    </row>
    <row r="1725" spans="5:5" x14ac:dyDescent="0.25">
      <c r="E1725" s="31"/>
    </row>
    <row r="1726" spans="5:5" x14ac:dyDescent="0.25">
      <c r="E1726" s="31"/>
    </row>
    <row r="1727" spans="5:5" x14ac:dyDescent="0.25">
      <c r="E1727" s="31"/>
    </row>
    <row r="1728" spans="5:5" x14ac:dyDescent="0.25">
      <c r="E1728" s="31"/>
    </row>
    <row r="1729" spans="5:5" x14ac:dyDescent="0.25">
      <c r="E1729" s="31"/>
    </row>
    <row r="1730" spans="5:5" x14ac:dyDescent="0.25">
      <c r="E1730" s="31"/>
    </row>
    <row r="1731" spans="5:5" x14ac:dyDescent="0.25">
      <c r="E1731" s="31"/>
    </row>
    <row r="1732" spans="5:5" x14ac:dyDescent="0.25">
      <c r="E1732" s="31"/>
    </row>
    <row r="1733" spans="5:5" x14ac:dyDescent="0.25">
      <c r="E1733" s="31"/>
    </row>
    <row r="1734" spans="5:5" x14ac:dyDescent="0.25">
      <c r="E1734" s="31"/>
    </row>
    <row r="1735" spans="5:5" x14ac:dyDescent="0.25">
      <c r="E1735" s="31"/>
    </row>
    <row r="1736" spans="5:5" x14ac:dyDescent="0.25">
      <c r="E1736" s="31"/>
    </row>
    <row r="1737" spans="5:5" x14ac:dyDescent="0.25">
      <c r="E1737" s="31"/>
    </row>
    <row r="1738" spans="5:5" x14ac:dyDescent="0.25">
      <c r="E1738" s="31"/>
    </row>
    <row r="1739" spans="5:5" x14ac:dyDescent="0.25">
      <c r="E1739" s="31"/>
    </row>
    <row r="1740" spans="5:5" x14ac:dyDescent="0.25">
      <c r="E1740" s="31"/>
    </row>
    <row r="1741" spans="5:5" x14ac:dyDescent="0.25">
      <c r="E1741" s="31"/>
    </row>
    <row r="1742" spans="5:5" x14ac:dyDescent="0.25">
      <c r="E1742" s="31"/>
    </row>
    <row r="1743" spans="5:5" x14ac:dyDescent="0.25">
      <c r="E1743" s="31"/>
    </row>
    <row r="1744" spans="5:5" x14ac:dyDescent="0.25">
      <c r="E1744" s="31"/>
    </row>
    <row r="1745" spans="5:5" x14ac:dyDescent="0.25">
      <c r="E1745" s="31"/>
    </row>
    <row r="1746" spans="5:5" x14ac:dyDescent="0.25">
      <c r="E1746" s="31"/>
    </row>
    <row r="1747" spans="5:5" x14ac:dyDescent="0.25">
      <c r="E1747" s="31"/>
    </row>
    <row r="1748" spans="5:5" x14ac:dyDescent="0.25">
      <c r="E1748" s="31"/>
    </row>
    <row r="1749" spans="5:5" x14ac:dyDescent="0.25">
      <c r="E1749" s="31"/>
    </row>
    <row r="1750" spans="5:5" x14ac:dyDescent="0.25">
      <c r="E1750" s="31"/>
    </row>
    <row r="1751" spans="5:5" x14ac:dyDescent="0.25">
      <c r="E1751" s="31"/>
    </row>
    <row r="1752" spans="5:5" x14ac:dyDescent="0.25">
      <c r="E1752" s="31"/>
    </row>
    <row r="1753" spans="5:5" x14ac:dyDescent="0.25">
      <c r="E1753" s="31"/>
    </row>
    <row r="1754" spans="5:5" x14ac:dyDescent="0.25">
      <c r="E1754" s="31"/>
    </row>
    <row r="1755" spans="5:5" x14ac:dyDescent="0.25">
      <c r="E1755" s="31"/>
    </row>
    <row r="1756" spans="5:5" x14ac:dyDescent="0.25">
      <c r="E1756" s="31"/>
    </row>
    <row r="1757" spans="5:5" x14ac:dyDescent="0.25">
      <c r="E1757" s="31"/>
    </row>
    <row r="1758" spans="5:5" x14ac:dyDescent="0.25">
      <c r="E1758" s="31"/>
    </row>
    <row r="1759" spans="5:5" x14ac:dyDescent="0.25">
      <c r="E1759" s="31"/>
    </row>
    <row r="1760" spans="5:5" x14ac:dyDescent="0.25">
      <c r="E1760" s="31"/>
    </row>
    <row r="1761" spans="5:5" x14ac:dyDescent="0.25">
      <c r="E1761" s="31"/>
    </row>
    <row r="1762" spans="5:5" x14ac:dyDescent="0.25">
      <c r="E1762" s="31"/>
    </row>
    <row r="1763" spans="5:5" x14ac:dyDescent="0.25">
      <c r="E1763" s="31"/>
    </row>
    <row r="1764" spans="5:5" x14ac:dyDescent="0.25">
      <c r="E1764" s="31"/>
    </row>
    <row r="1765" spans="5:5" x14ac:dyDescent="0.25">
      <c r="E1765" s="31"/>
    </row>
    <row r="1766" spans="5:5" x14ac:dyDescent="0.25">
      <c r="E1766" s="31"/>
    </row>
    <row r="1767" spans="5:5" x14ac:dyDescent="0.25">
      <c r="E1767" s="31"/>
    </row>
    <row r="1768" spans="5:5" x14ac:dyDescent="0.25">
      <c r="E1768" s="31"/>
    </row>
    <row r="1769" spans="5:5" x14ac:dyDescent="0.25">
      <c r="E1769" s="31"/>
    </row>
    <row r="1770" spans="5:5" x14ac:dyDescent="0.25">
      <c r="E1770" s="31"/>
    </row>
    <row r="1771" spans="5:5" x14ac:dyDescent="0.25">
      <c r="E1771" s="31"/>
    </row>
    <row r="1772" spans="5:5" x14ac:dyDescent="0.25">
      <c r="E1772" s="31"/>
    </row>
    <row r="1773" spans="5:5" x14ac:dyDescent="0.25">
      <c r="E1773" s="31"/>
    </row>
    <row r="1774" spans="5:5" x14ac:dyDescent="0.25">
      <c r="E1774" s="31"/>
    </row>
    <row r="1775" spans="5:5" x14ac:dyDescent="0.25">
      <c r="E1775" s="31"/>
    </row>
    <row r="1776" spans="5:5" x14ac:dyDescent="0.25">
      <c r="E1776" s="31"/>
    </row>
    <row r="1777" spans="5:5" x14ac:dyDescent="0.25">
      <c r="E1777" s="31"/>
    </row>
    <row r="1778" spans="5:5" x14ac:dyDescent="0.25">
      <c r="E1778" s="31"/>
    </row>
    <row r="1779" spans="5:5" x14ac:dyDescent="0.25">
      <c r="E1779" s="31"/>
    </row>
    <row r="1780" spans="5:5" x14ac:dyDescent="0.25">
      <c r="E1780" s="31"/>
    </row>
    <row r="1781" spans="5:5" x14ac:dyDescent="0.25">
      <c r="E1781" s="31"/>
    </row>
    <row r="1782" spans="5:5" x14ac:dyDescent="0.25">
      <c r="E1782" s="31"/>
    </row>
    <row r="1783" spans="5:5" x14ac:dyDescent="0.25">
      <c r="E1783" s="31"/>
    </row>
    <row r="1784" spans="5:5" x14ac:dyDescent="0.25">
      <c r="E1784" s="31"/>
    </row>
    <row r="1785" spans="5:5" x14ac:dyDescent="0.25">
      <c r="E1785" s="31"/>
    </row>
    <row r="1786" spans="5:5" x14ac:dyDescent="0.25">
      <c r="E1786" s="31"/>
    </row>
    <row r="1787" spans="5:5" x14ac:dyDescent="0.25">
      <c r="E1787" s="31"/>
    </row>
    <row r="1788" spans="5:5" x14ac:dyDescent="0.25">
      <c r="E1788" s="31"/>
    </row>
    <row r="1789" spans="5:5" x14ac:dyDescent="0.25">
      <c r="E1789" s="31"/>
    </row>
    <row r="1790" spans="5:5" x14ac:dyDescent="0.25">
      <c r="E1790" s="31"/>
    </row>
    <row r="1791" spans="5:5" x14ac:dyDescent="0.25">
      <c r="E1791" s="31"/>
    </row>
    <row r="1792" spans="5:5" x14ac:dyDescent="0.25">
      <c r="E1792" s="31"/>
    </row>
    <row r="1793" spans="5:5" x14ac:dyDescent="0.25">
      <c r="E1793" s="31"/>
    </row>
    <row r="1794" spans="5:5" x14ac:dyDescent="0.25">
      <c r="E1794" s="31"/>
    </row>
    <row r="1795" spans="5:5" x14ac:dyDescent="0.25">
      <c r="E1795" s="31"/>
    </row>
    <row r="1796" spans="5:5" x14ac:dyDescent="0.25">
      <c r="E1796" s="31"/>
    </row>
    <row r="1797" spans="5:5" x14ac:dyDescent="0.25">
      <c r="E1797" s="31"/>
    </row>
    <row r="1798" spans="5:5" x14ac:dyDescent="0.25">
      <c r="E1798" s="31"/>
    </row>
    <row r="1799" spans="5:5" x14ac:dyDescent="0.25">
      <c r="E1799" s="31"/>
    </row>
    <row r="1800" spans="5:5" x14ac:dyDescent="0.25">
      <c r="E1800" s="31"/>
    </row>
    <row r="1801" spans="5:5" x14ac:dyDescent="0.25">
      <c r="E1801" s="31"/>
    </row>
    <row r="1802" spans="5:5" x14ac:dyDescent="0.25">
      <c r="E1802" s="31"/>
    </row>
    <row r="1803" spans="5:5" x14ac:dyDescent="0.25">
      <c r="E1803" s="31"/>
    </row>
    <row r="1804" spans="5:5" x14ac:dyDescent="0.25">
      <c r="E1804" s="31"/>
    </row>
    <row r="1805" spans="5:5" x14ac:dyDescent="0.25">
      <c r="E1805" s="31"/>
    </row>
    <row r="1806" spans="5:5" x14ac:dyDescent="0.25">
      <c r="E1806" s="31"/>
    </row>
    <row r="1807" spans="5:5" x14ac:dyDescent="0.25">
      <c r="E1807" s="31"/>
    </row>
    <row r="1808" spans="5:5" x14ac:dyDescent="0.25">
      <c r="E1808" s="31"/>
    </row>
    <row r="1809" spans="5:5" x14ac:dyDescent="0.25">
      <c r="E1809" s="31"/>
    </row>
    <row r="1810" spans="5:5" x14ac:dyDescent="0.25">
      <c r="E1810" s="31"/>
    </row>
    <row r="1811" spans="5:5" x14ac:dyDescent="0.25">
      <c r="E1811" s="31"/>
    </row>
    <row r="1812" spans="5:5" x14ac:dyDescent="0.25">
      <c r="E1812" s="31"/>
    </row>
    <row r="1813" spans="5:5" x14ac:dyDescent="0.25">
      <c r="E1813" s="31"/>
    </row>
    <row r="1814" spans="5:5" x14ac:dyDescent="0.25">
      <c r="E1814" s="31"/>
    </row>
    <row r="1815" spans="5:5" x14ac:dyDescent="0.25">
      <c r="E1815" s="31"/>
    </row>
    <row r="1816" spans="5:5" x14ac:dyDescent="0.25">
      <c r="E1816" s="31"/>
    </row>
    <row r="1817" spans="5:5" x14ac:dyDescent="0.25">
      <c r="E1817" s="31"/>
    </row>
    <row r="1818" spans="5:5" x14ac:dyDescent="0.25">
      <c r="E1818" s="31"/>
    </row>
    <row r="1819" spans="5:5" x14ac:dyDescent="0.25">
      <c r="E1819" s="31"/>
    </row>
    <row r="1820" spans="5:5" x14ac:dyDescent="0.25">
      <c r="E1820" s="31"/>
    </row>
    <row r="1821" spans="5:5" x14ac:dyDescent="0.25">
      <c r="E1821" s="31"/>
    </row>
    <row r="1822" spans="5:5" x14ac:dyDescent="0.25">
      <c r="E1822" s="31"/>
    </row>
    <row r="1823" spans="5:5" x14ac:dyDescent="0.25">
      <c r="E1823" s="31"/>
    </row>
    <row r="1824" spans="5:5" x14ac:dyDescent="0.25">
      <c r="E1824" s="31"/>
    </row>
    <row r="1825" spans="5:5" x14ac:dyDescent="0.25">
      <c r="E1825" s="31"/>
    </row>
    <row r="1826" spans="5:5" x14ac:dyDescent="0.25">
      <c r="E1826" s="31"/>
    </row>
    <row r="1827" spans="5:5" x14ac:dyDescent="0.25">
      <c r="E1827" s="31"/>
    </row>
    <row r="1828" spans="5:5" x14ac:dyDescent="0.25">
      <c r="E1828" s="31"/>
    </row>
    <row r="1829" spans="5:5" x14ac:dyDescent="0.25">
      <c r="E1829" s="31"/>
    </row>
    <row r="1830" spans="5:5" x14ac:dyDescent="0.25">
      <c r="E1830" s="31"/>
    </row>
    <row r="1831" spans="5:5" x14ac:dyDescent="0.25">
      <c r="E1831" s="31"/>
    </row>
    <row r="1832" spans="5:5" x14ac:dyDescent="0.25">
      <c r="E1832" s="31"/>
    </row>
    <row r="1833" spans="5:5" x14ac:dyDescent="0.25">
      <c r="E1833" s="31"/>
    </row>
    <row r="1834" spans="5:5" x14ac:dyDescent="0.25">
      <c r="E1834" s="31"/>
    </row>
    <row r="1835" spans="5:5" x14ac:dyDescent="0.25">
      <c r="E1835" s="31"/>
    </row>
    <row r="1836" spans="5:5" x14ac:dyDescent="0.25">
      <c r="E1836" s="31"/>
    </row>
    <row r="1837" spans="5:5" x14ac:dyDescent="0.25">
      <c r="E1837" s="31"/>
    </row>
    <row r="1838" spans="5:5" x14ac:dyDescent="0.25">
      <c r="E1838" s="31"/>
    </row>
    <row r="1839" spans="5:5" x14ac:dyDescent="0.25">
      <c r="E1839" s="31"/>
    </row>
    <row r="1840" spans="5:5" x14ac:dyDescent="0.25">
      <c r="E1840" s="31"/>
    </row>
    <row r="1841" spans="5:5" x14ac:dyDescent="0.25">
      <c r="E1841" s="31"/>
    </row>
    <row r="1842" spans="5:5" x14ac:dyDescent="0.25">
      <c r="E1842" s="31"/>
    </row>
    <row r="1843" spans="5:5" x14ac:dyDescent="0.25">
      <c r="E1843" s="31"/>
    </row>
    <row r="1844" spans="5:5" x14ac:dyDescent="0.25">
      <c r="E1844" s="31"/>
    </row>
    <row r="1845" spans="5:5" x14ac:dyDescent="0.25">
      <c r="E1845" s="31"/>
    </row>
    <row r="1846" spans="5:5" x14ac:dyDescent="0.25">
      <c r="E1846" s="31"/>
    </row>
    <row r="1847" spans="5:5" x14ac:dyDescent="0.25">
      <c r="E1847" s="31"/>
    </row>
    <row r="1848" spans="5:5" x14ac:dyDescent="0.25">
      <c r="E1848" s="31"/>
    </row>
    <row r="1849" spans="5:5" x14ac:dyDescent="0.25">
      <c r="E1849" s="31"/>
    </row>
    <row r="1850" spans="5:5" x14ac:dyDescent="0.25">
      <c r="E1850" s="31"/>
    </row>
    <row r="1851" spans="5:5" x14ac:dyDescent="0.25">
      <c r="E1851" s="31"/>
    </row>
    <row r="1852" spans="5:5" x14ac:dyDescent="0.25">
      <c r="E1852" s="31"/>
    </row>
    <row r="1853" spans="5:5" x14ac:dyDescent="0.25">
      <c r="E1853" s="31"/>
    </row>
    <row r="1854" spans="5:5" x14ac:dyDescent="0.25">
      <c r="E1854" s="31"/>
    </row>
    <row r="1855" spans="5:5" x14ac:dyDescent="0.25">
      <c r="E1855" s="31"/>
    </row>
    <row r="1856" spans="5:5" x14ac:dyDescent="0.25">
      <c r="E1856" s="31"/>
    </row>
    <row r="1857" spans="5:5" x14ac:dyDescent="0.25">
      <c r="E1857" s="31"/>
    </row>
    <row r="1858" spans="5:5" x14ac:dyDescent="0.25">
      <c r="E1858" s="31"/>
    </row>
    <row r="1859" spans="5:5" x14ac:dyDescent="0.25">
      <c r="E1859" s="31"/>
    </row>
    <row r="1860" spans="5:5" x14ac:dyDescent="0.25">
      <c r="E1860" s="31"/>
    </row>
    <row r="1861" spans="5:5" x14ac:dyDescent="0.25">
      <c r="E1861" s="31"/>
    </row>
    <row r="1862" spans="5:5" x14ac:dyDescent="0.25">
      <c r="E1862" s="31"/>
    </row>
    <row r="1863" spans="5:5" x14ac:dyDescent="0.25">
      <c r="E1863" s="31"/>
    </row>
    <row r="1864" spans="5:5" x14ac:dyDescent="0.25">
      <c r="E1864" s="31"/>
    </row>
    <row r="1865" spans="5:5" x14ac:dyDescent="0.25">
      <c r="E1865" s="31"/>
    </row>
    <row r="1866" spans="5:5" x14ac:dyDescent="0.25">
      <c r="E1866" s="31"/>
    </row>
    <row r="1867" spans="5:5" x14ac:dyDescent="0.25">
      <c r="E1867" s="31"/>
    </row>
    <row r="1868" spans="5:5" x14ac:dyDescent="0.25">
      <c r="E1868" s="31"/>
    </row>
    <row r="1869" spans="5:5" x14ac:dyDescent="0.25">
      <c r="E1869" s="31"/>
    </row>
    <row r="1870" spans="5:5" x14ac:dyDescent="0.25">
      <c r="E1870" s="31"/>
    </row>
    <row r="1871" spans="5:5" x14ac:dyDescent="0.25">
      <c r="E1871" s="31"/>
    </row>
    <row r="1872" spans="5:5" x14ac:dyDescent="0.25">
      <c r="E1872" s="31"/>
    </row>
    <row r="1873" spans="5:5" x14ac:dyDescent="0.25">
      <c r="E1873" s="31"/>
    </row>
    <row r="1874" spans="5:5" x14ac:dyDescent="0.25">
      <c r="E1874" s="31"/>
    </row>
    <row r="1875" spans="5:5" x14ac:dyDescent="0.25">
      <c r="E1875" s="31"/>
    </row>
    <row r="1876" spans="5:5" x14ac:dyDescent="0.25">
      <c r="E1876" s="31"/>
    </row>
    <row r="1877" spans="5:5" x14ac:dyDescent="0.25">
      <c r="E1877" s="31"/>
    </row>
    <row r="1878" spans="5:5" x14ac:dyDescent="0.25">
      <c r="E1878" s="31"/>
    </row>
    <row r="1879" spans="5:5" x14ac:dyDescent="0.25">
      <c r="E1879" s="31"/>
    </row>
    <row r="1880" spans="5:5" x14ac:dyDescent="0.25">
      <c r="E1880" s="31"/>
    </row>
    <row r="1881" spans="5:5" x14ac:dyDescent="0.25">
      <c r="E1881" s="31"/>
    </row>
    <row r="1882" spans="5:5" x14ac:dyDescent="0.25">
      <c r="E1882" s="31"/>
    </row>
    <row r="1883" spans="5:5" x14ac:dyDescent="0.25">
      <c r="E1883" s="31"/>
    </row>
    <row r="1884" spans="5:5" x14ac:dyDescent="0.25">
      <c r="E1884" s="31"/>
    </row>
    <row r="1885" spans="5:5" x14ac:dyDescent="0.25">
      <c r="E1885" s="31"/>
    </row>
    <row r="1886" spans="5:5" x14ac:dyDescent="0.25">
      <c r="E1886" s="31"/>
    </row>
    <row r="1887" spans="5:5" x14ac:dyDescent="0.25">
      <c r="E1887" s="31"/>
    </row>
    <row r="1888" spans="5:5" x14ac:dyDescent="0.25">
      <c r="E1888" s="31"/>
    </row>
    <row r="1889" spans="5:5" x14ac:dyDescent="0.25">
      <c r="E1889" s="31"/>
    </row>
    <row r="1890" spans="5:5" x14ac:dyDescent="0.25">
      <c r="E1890" s="31"/>
    </row>
    <row r="1891" spans="5:5" x14ac:dyDescent="0.25">
      <c r="E1891" s="31"/>
    </row>
    <row r="1892" spans="5:5" x14ac:dyDescent="0.25">
      <c r="E1892" s="31"/>
    </row>
    <row r="1893" spans="5:5" x14ac:dyDescent="0.25">
      <c r="E1893" s="31"/>
    </row>
    <row r="1894" spans="5:5" x14ac:dyDescent="0.25">
      <c r="E1894" s="31"/>
    </row>
    <row r="1895" spans="5:5" x14ac:dyDescent="0.25">
      <c r="E1895" s="31"/>
    </row>
    <row r="1896" spans="5:5" x14ac:dyDescent="0.25">
      <c r="E1896" s="31"/>
    </row>
    <row r="1897" spans="5:5" x14ac:dyDescent="0.25">
      <c r="E1897" s="31"/>
    </row>
    <row r="1898" spans="5:5" x14ac:dyDescent="0.25">
      <c r="E1898" s="31"/>
    </row>
    <row r="1899" spans="5:5" x14ac:dyDescent="0.25">
      <c r="E1899" s="31"/>
    </row>
    <row r="1900" spans="5:5" x14ac:dyDescent="0.25">
      <c r="E1900" s="31"/>
    </row>
    <row r="1901" spans="5:5" x14ac:dyDescent="0.25">
      <c r="E1901" s="31"/>
    </row>
    <row r="1902" spans="5:5" x14ac:dyDescent="0.25">
      <c r="E1902" s="31"/>
    </row>
    <row r="1903" spans="5:5" x14ac:dyDescent="0.25">
      <c r="E1903" s="31"/>
    </row>
    <row r="1904" spans="5:5" x14ac:dyDescent="0.25">
      <c r="E1904" s="31"/>
    </row>
    <row r="1905" spans="5:5" x14ac:dyDescent="0.25">
      <c r="E1905" s="31"/>
    </row>
    <row r="1906" spans="5:5" x14ac:dyDescent="0.25">
      <c r="E1906" s="31"/>
    </row>
    <row r="1907" spans="5:5" x14ac:dyDescent="0.25">
      <c r="E1907" s="31"/>
    </row>
    <row r="1908" spans="5:5" x14ac:dyDescent="0.25">
      <c r="E1908" s="31"/>
    </row>
    <row r="1909" spans="5:5" x14ac:dyDescent="0.25">
      <c r="E1909" s="31"/>
    </row>
    <row r="1910" spans="5:5" x14ac:dyDescent="0.25">
      <c r="E1910" s="31"/>
    </row>
    <row r="1911" spans="5:5" x14ac:dyDescent="0.25">
      <c r="E1911" s="31"/>
    </row>
    <row r="1912" spans="5:5" x14ac:dyDescent="0.25">
      <c r="E1912" s="31"/>
    </row>
    <row r="1913" spans="5:5" x14ac:dyDescent="0.25">
      <c r="E1913" s="31"/>
    </row>
    <row r="1914" spans="5:5" x14ac:dyDescent="0.25">
      <c r="E1914" s="31"/>
    </row>
    <row r="1915" spans="5:5" x14ac:dyDescent="0.25">
      <c r="E1915" s="31"/>
    </row>
    <row r="1916" spans="5:5" x14ac:dyDescent="0.25">
      <c r="E1916" s="31"/>
    </row>
    <row r="1917" spans="5:5" x14ac:dyDescent="0.25">
      <c r="E1917" s="31"/>
    </row>
    <row r="1918" spans="5:5" x14ac:dyDescent="0.25">
      <c r="E1918" s="31"/>
    </row>
    <row r="1919" spans="5:5" x14ac:dyDescent="0.25">
      <c r="E1919" s="31"/>
    </row>
    <row r="1920" spans="5:5" x14ac:dyDescent="0.25">
      <c r="E1920" s="31"/>
    </row>
    <row r="1921" spans="5:5" x14ac:dyDescent="0.25">
      <c r="E1921" s="31"/>
    </row>
    <row r="1922" spans="5:5" x14ac:dyDescent="0.25">
      <c r="E1922" s="31"/>
    </row>
    <row r="1923" spans="5:5" x14ac:dyDescent="0.25">
      <c r="E1923" s="31"/>
    </row>
    <row r="1924" spans="5:5" x14ac:dyDescent="0.25">
      <c r="E1924" s="31"/>
    </row>
    <row r="1925" spans="5:5" x14ac:dyDescent="0.25">
      <c r="E1925" s="31"/>
    </row>
    <row r="1926" spans="5:5" x14ac:dyDescent="0.25">
      <c r="E1926" s="31"/>
    </row>
    <row r="1927" spans="5:5" x14ac:dyDescent="0.25">
      <c r="E1927" s="31"/>
    </row>
    <row r="1928" spans="5:5" x14ac:dyDescent="0.25">
      <c r="E1928" s="31"/>
    </row>
    <row r="1929" spans="5:5" x14ac:dyDescent="0.25">
      <c r="E1929" s="31"/>
    </row>
    <row r="1930" spans="5:5" x14ac:dyDescent="0.25">
      <c r="E1930" s="31"/>
    </row>
    <row r="1931" spans="5:5" x14ac:dyDescent="0.25">
      <c r="E1931" s="31"/>
    </row>
    <row r="1932" spans="5:5" x14ac:dyDescent="0.25">
      <c r="E1932" s="31"/>
    </row>
    <row r="1933" spans="5:5" x14ac:dyDescent="0.25">
      <c r="E1933" s="31"/>
    </row>
    <row r="1934" spans="5:5" x14ac:dyDescent="0.25">
      <c r="E1934" s="31"/>
    </row>
    <row r="1935" spans="5:5" x14ac:dyDescent="0.25">
      <c r="E1935" s="31"/>
    </row>
    <row r="1936" spans="5:5" x14ac:dyDescent="0.25">
      <c r="E1936" s="31"/>
    </row>
    <row r="1937" spans="5:5" x14ac:dyDescent="0.25">
      <c r="E1937" s="31"/>
    </row>
    <row r="1938" spans="5:5" x14ac:dyDescent="0.25">
      <c r="E1938" s="31"/>
    </row>
    <row r="1939" spans="5:5" x14ac:dyDescent="0.25">
      <c r="E1939" s="31"/>
    </row>
    <row r="1940" spans="5:5" x14ac:dyDescent="0.25">
      <c r="E1940" s="31"/>
    </row>
    <row r="1941" spans="5:5" x14ac:dyDescent="0.25">
      <c r="E1941" s="31"/>
    </row>
    <row r="1942" spans="5:5" x14ac:dyDescent="0.25">
      <c r="E1942" s="31"/>
    </row>
    <row r="1943" spans="5:5" x14ac:dyDescent="0.25">
      <c r="E1943" s="31"/>
    </row>
    <row r="1944" spans="5:5" x14ac:dyDescent="0.25">
      <c r="E1944" s="31"/>
    </row>
    <row r="1945" spans="5:5" x14ac:dyDescent="0.25">
      <c r="E1945" s="31"/>
    </row>
    <row r="1946" spans="5:5" x14ac:dyDescent="0.25">
      <c r="E1946" s="31"/>
    </row>
    <row r="1947" spans="5:5" x14ac:dyDescent="0.25">
      <c r="E1947" s="31"/>
    </row>
    <row r="1948" spans="5:5" x14ac:dyDescent="0.25">
      <c r="E1948" s="31"/>
    </row>
    <row r="1949" spans="5:5" x14ac:dyDescent="0.25">
      <c r="E1949" s="31"/>
    </row>
    <row r="1950" spans="5:5" x14ac:dyDescent="0.25">
      <c r="E1950" s="31"/>
    </row>
    <row r="1951" spans="5:5" x14ac:dyDescent="0.25">
      <c r="E1951" s="31"/>
    </row>
    <row r="1952" spans="5:5" x14ac:dyDescent="0.25">
      <c r="E1952" s="31"/>
    </row>
    <row r="1953" spans="5:5" x14ac:dyDescent="0.25">
      <c r="E1953" s="31"/>
    </row>
    <row r="1954" spans="5:5" x14ac:dyDescent="0.25">
      <c r="E1954" s="31"/>
    </row>
    <row r="1955" spans="5:5" x14ac:dyDescent="0.25">
      <c r="E1955" s="31"/>
    </row>
    <row r="1956" spans="5:5" x14ac:dyDescent="0.25">
      <c r="E1956" s="31"/>
    </row>
    <row r="1957" spans="5:5" x14ac:dyDescent="0.25">
      <c r="E1957" s="31"/>
    </row>
    <row r="1958" spans="5:5" x14ac:dyDescent="0.25">
      <c r="E1958" s="31"/>
    </row>
    <row r="1959" spans="5:5" x14ac:dyDescent="0.25">
      <c r="E1959" s="31"/>
    </row>
    <row r="1960" spans="5:5" x14ac:dyDescent="0.25">
      <c r="E1960" s="31"/>
    </row>
    <row r="1961" spans="5:5" x14ac:dyDescent="0.25">
      <c r="E1961" s="31"/>
    </row>
    <row r="1962" spans="5:5" x14ac:dyDescent="0.25">
      <c r="E1962" s="31"/>
    </row>
    <row r="1963" spans="5:5" x14ac:dyDescent="0.25">
      <c r="E1963" s="31"/>
    </row>
    <row r="1964" spans="5:5" x14ac:dyDescent="0.25">
      <c r="E1964" s="31"/>
    </row>
    <row r="1965" spans="5:5" x14ac:dyDescent="0.25">
      <c r="E1965" s="31"/>
    </row>
    <row r="1966" spans="5:5" x14ac:dyDescent="0.25">
      <c r="E1966" s="31"/>
    </row>
    <row r="1967" spans="5:5" x14ac:dyDescent="0.25">
      <c r="E1967" s="31"/>
    </row>
    <row r="1968" spans="5:5" x14ac:dyDescent="0.25">
      <c r="E1968" s="31"/>
    </row>
    <row r="1969" spans="5:5" x14ac:dyDescent="0.25">
      <c r="E1969" s="31"/>
    </row>
    <row r="1970" spans="5:5" x14ac:dyDescent="0.25">
      <c r="E1970" s="31"/>
    </row>
    <row r="1971" spans="5:5" x14ac:dyDescent="0.25">
      <c r="E1971" s="31"/>
    </row>
    <row r="1972" spans="5:5" x14ac:dyDescent="0.25">
      <c r="E1972" s="31"/>
    </row>
    <row r="1973" spans="5:5" x14ac:dyDescent="0.25">
      <c r="E1973" s="31"/>
    </row>
    <row r="1974" spans="5:5" x14ac:dyDescent="0.25">
      <c r="E1974" s="31"/>
    </row>
    <row r="1975" spans="5:5" x14ac:dyDescent="0.25">
      <c r="E1975" s="31"/>
    </row>
    <row r="1976" spans="5:5" x14ac:dyDescent="0.25">
      <c r="E1976" s="31"/>
    </row>
    <row r="1977" spans="5:5" x14ac:dyDescent="0.25">
      <c r="E1977" s="31"/>
    </row>
    <row r="1978" spans="5:5" x14ac:dyDescent="0.25">
      <c r="E1978" s="31"/>
    </row>
    <row r="1979" spans="5:5" x14ac:dyDescent="0.25">
      <c r="E1979" s="31"/>
    </row>
    <row r="1980" spans="5:5" x14ac:dyDescent="0.25">
      <c r="E1980" s="31"/>
    </row>
    <row r="1981" spans="5:5" x14ac:dyDescent="0.25">
      <c r="E1981" s="31"/>
    </row>
    <row r="1982" spans="5:5" x14ac:dyDescent="0.25">
      <c r="E1982" s="31"/>
    </row>
    <row r="1983" spans="5:5" x14ac:dyDescent="0.25">
      <c r="E1983" s="31"/>
    </row>
    <row r="1984" spans="5:5" x14ac:dyDescent="0.25">
      <c r="E1984" s="31"/>
    </row>
    <row r="1985" spans="5:5" x14ac:dyDescent="0.25">
      <c r="E1985" s="31"/>
    </row>
    <row r="1986" spans="5:5" x14ac:dyDescent="0.25">
      <c r="E1986" s="31"/>
    </row>
    <row r="1987" spans="5:5" x14ac:dyDescent="0.25">
      <c r="E1987" s="31"/>
    </row>
    <row r="1988" spans="5:5" x14ac:dyDescent="0.25">
      <c r="E1988" s="31"/>
    </row>
    <row r="1989" spans="5:5" x14ac:dyDescent="0.25">
      <c r="E1989" s="31"/>
    </row>
    <row r="1990" spans="5:5" x14ac:dyDescent="0.25">
      <c r="E1990" s="31"/>
    </row>
    <row r="1991" spans="5:5" x14ac:dyDescent="0.25">
      <c r="E1991" s="31"/>
    </row>
    <row r="1992" spans="5:5" x14ac:dyDescent="0.25">
      <c r="E1992" s="31"/>
    </row>
    <row r="1993" spans="5:5" x14ac:dyDescent="0.25">
      <c r="E1993" s="31"/>
    </row>
    <row r="1994" spans="5:5" x14ac:dyDescent="0.25">
      <c r="E1994" s="31"/>
    </row>
    <row r="1995" spans="5:5" x14ac:dyDescent="0.25">
      <c r="E1995" s="31"/>
    </row>
    <row r="1996" spans="5:5" x14ac:dyDescent="0.25">
      <c r="E1996" s="31"/>
    </row>
    <row r="1997" spans="5:5" x14ac:dyDescent="0.25">
      <c r="E1997" s="31"/>
    </row>
    <row r="1998" spans="5:5" x14ac:dyDescent="0.25">
      <c r="E1998" s="31"/>
    </row>
    <row r="1999" spans="5:5" x14ac:dyDescent="0.25">
      <c r="E1999" s="31"/>
    </row>
    <row r="2000" spans="5:5" x14ac:dyDescent="0.25">
      <c r="E2000" s="31"/>
    </row>
    <row r="2001" spans="5:5" x14ac:dyDescent="0.25">
      <c r="E2001" s="31"/>
    </row>
    <row r="2002" spans="5:5" x14ac:dyDescent="0.25">
      <c r="E2002" s="31"/>
    </row>
    <row r="2003" spans="5:5" x14ac:dyDescent="0.25">
      <c r="E2003" s="31"/>
    </row>
    <row r="2004" spans="5:5" x14ac:dyDescent="0.25">
      <c r="E2004" s="31"/>
    </row>
    <row r="2005" spans="5:5" x14ac:dyDescent="0.25">
      <c r="E2005" s="31"/>
    </row>
    <row r="2006" spans="5:5" x14ac:dyDescent="0.25">
      <c r="E2006" s="31"/>
    </row>
    <row r="2007" spans="5:5" x14ac:dyDescent="0.25">
      <c r="E2007" s="31"/>
    </row>
    <row r="2008" spans="5:5" x14ac:dyDescent="0.25">
      <c r="E2008" s="31"/>
    </row>
    <row r="2009" spans="5:5" x14ac:dyDescent="0.25">
      <c r="E2009" s="31"/>
    </row>
    <row r="2010" spans="5:5" x14ac:dyDescent="0.25">
      <c r="E2010" s="31"/>
    </row>
    <row r="2011" spans="5:5" x14ac:dyDescent="0.25">
      <c r="E2011" s="31"/>
    </row>
    <row r="2012" spans="5:5" x14ac:dyDescent="0.25">
      <c r="E2012" s="31"/>
    </row>
    <row r="2013" spans="5:5" x14ac:dyDescent="0.25">
      <c r="E2013" s="31"/>
    </row>
    <row r="2014" spans="5:5" x14ac:dyDescent="0.25">
      <c r="E2014" s="31"/>
    </row>
    <row r="2015" spans="5:5" x14ac:dyDescent="0.25">
      <c r="E2015" s="31"/>
    </row>
    <row r="2016" spans="5:5" x14ac:dyDescent="0.25">
      <c r="E2016" s="31"/>
    </row>
    <row r="2017" spans="5:5" x14ac:dyDescent="0.25">
      <c r="E2017" s="31"/>
    </row>
    <row r="2018" spans="5:5" x14ac:dyDescent="0.25">
      <c r="E2018" s="31"/>
    </row>
    <row r="2019" spans="5:5" x14ac:dyDescent="0.25">
      <c r="E2019" s="31"/>
    </row>
    <row r="2020" spans="5:5" x14ac:dyDescent="0.25">
      <c r="E2020" s="31"/>
    </row>
    <row r="2021" spans="5:5" x14ac:dyDescent="0.25">
      <c r="E2021" s="31"/>
    </row>
    <row r="2022" spans="5:5" x14ac:dyDescent="0.25">
      <c r="E2022" s="31"/>
    </row>
    <row r="2023" spans="5:5" x14ac:dyDescent="0.25">
      <c r="E2023" s="31"/>
    </row>
    <row r="2024" spans="5:5" x14ac:dyDescent="0.25">
      <c r="E2024" s="31"/>
    </row>
    <row r="2025" spans="5:5" x14ac:dyDescent="0.25">
      <c r="E2025" s="31"/>
    </row>
    <row r="2026" spans="5:5" x14ac:dyDescent="0.25">
      <c r="E2026" s="31"/>
    </row>
    <row r="2027" spans="5:5" x14ac:dyDescent="0.25">
      <c r="E2027" s="31"/>
    </row>
    <row r="2028" spans="5:5" x14ac:dyDescent="0.25">
      <c r="E2028" s="31"/>
    </row>
    <row r="2029" spans="5:5" x14ac:dyDescent="0.25">
      <c r="E2029" s="31"/>
    </row>
    <row r="2030" spans="5:5" x14ac:dyDescent="0.25">
      <c r="E2030" s="31"/>
    </row>
    <row r="2031" spans="5:5" x14ac:dyDescent="0.25">
      <c r="E2031" s="31"/>
    </row>
    <row r="2032" spans="5:5" x14ac:dyDescent="0.25">
      <c r="E2032" s="31"/>
    </row>
    <row r="2033" spans="5:5" x14ac:dyDescent="0.25">
      <c r="E2033" s="31"/>
    </row>
    <row r="2034" spans="5:5" x14ac:dyDescent="0.25">
      <c r="E2034" s="31"/>
    </row>
    <row r="2035" spans="5:5" x14ac:dyDescent="0.25">
      <c r="E2035" s="31"/>
    </row>
    <row r="2036" spans="5:5" x14ac:dyDescent="0.25">
      <c r="E2036" s="31"/>
    </row>
    <row r="2037" spans="5:5" x14ac:dyDescent="0.25">
      <c r="E2037" s="31"/>
    </row>
    <row r="2038" spans="5:5" x14ac:dyDescent="0.25">
      <c r="E2038" s="31"/>
    </row>
    <row r="2039" spans="5:5" x14ac:dyDescent="0.25">
      <c r="E2039" s="31"/>
    </row>
    <row r="2040" spans="5:5" x14ac:dyDescent="0.25">
      <c r="E2040" s="31"/>
    </row>
    <row r="2041" spans="5:5" x14ac:dyDescent="0.25">
      <c r="E2041" s="31"/>
    </row>
    <row r="2042" spans="5:5" x14ac:dyDescent="0.25">
      <c r="E2042" s="31"/>
    </row>
    <row r="2043" spans="5:5" x14ac:dyDescent="0.25">
      <c r="E2043" s="31"/>
    </row>
    <row r="2044" spans="5:5" x14ac:dyDescent="0.25">
      <c r="E2044" s="31"/>
    </row>
    <row r="2045" spans="5:5" x14ac:dyDescent="0.25">
      <c r="E2045" s="31"/>
    </row>
    <row r="2046" spans="5:5" x14ac:dyDescent="0.25">
      <c r="E2046" s="31"/>
    </row>
    <row r="2047" spans="5:5" x14ac:dyDescent="0.25">
      <c r="E2047" s="31"/>
    </row>
    <row r="2048" spans="5:5" x14ac:dyDescent="0.25">
      <c r="E2048" s="31"/>
    </row>
    <row r="2049" spans="5:5" x14ac:dyDescent="0.25">
      <c r="E2049" s="31"/>
    </row>
    <row r="2050" spans="5:5" x14ac:dyDescent="0.25">
      <c r="E2050" s="31"/>
    </row>
    <row r="2051" spans="5:5" x14ac:dyDescent="0.25">
      <c r="E2051" s="31"/>
    </row>
    <row r="2052" spans="5:5" x14ac:dyDescent="0.25">
      <c r="E2052" s="31"/>
    </row>
    <row r="2053" spans="5:5" x14ac:dyDescent="0.25">
      <c r="E2053" s="31"/>
    </row>
    <row r="2054" spans="5:5" x14ac:dyDescent="0.25">
      <c r="E2054" s="31"/>
    </row>
    <row r="2055" spans="5:5" x14ac:dyDescent="0.25">
      <c r="E2055" s="31"/>
    </row>
    <row r="2056" spans="5:5" x14ac:dyDescent="0.25">
      <c r="E2056" s="31"/>
    </row>
    <row r="2057" spans="5:5" x14ac:dyDescent="0.25">
      <c r="E2057" s="31"/>
    </row>
    <row r="2058" spans="5:5" x14ac:dyDescent="0.25">
      <c r="E2058" s="31"/>
    </row>
    <row r="2059" spans="5:5" x14ac:dyDescent="0.25">
      <c r="E2059" s="31"/>
    </row>
    <row r="2060" spans="5:5" x14ac:dyDescent="0.25">
      <c r="E2060" s="31"/>
    </row>
    <row r="2061" spans="5:5" x14ac:dyDescent="0.25">
      <c r="E2061" s="31"/>
    </row>
    <row r="2062" spans="5:5" x14ac:dyDescent="0.25">
      <c r="E2062" s="31"/>
    </row>
    <row r="2063" spans="5:5" x14ac:dyDescent="0.25">
      <c r="E2063" s="31"/>
    </row>
    <row r="2064" spans="5:5" x14ac:dyDescent="0.25">
      <c r="E2064" s="31"/>
    </row>
    <row r="2065" spans="5:5" x14ac:dyDescent="0.25">
      <c r="E2065" s="31"/>
    </row>
    <row r="2066" spans="5:5" x14ac:dyDescent="0.25">
      <c r="E2066" s="31"/>
    </row>
    <row r="2067" spans="5:5" x14ac:dyDescent="0.25">
      <c r="E2067" s="31"/>
    </row>
    <row r="2068" spans="5:5" x14ac:dyDescent="0.25">
      <c r="E2068" s="31"/>
    </row>
    <row r="2069" spans="5:5" x14ac:dyDescent="0.25">
      <c r="E2069" s="31"/>
    </row>
    <row r="2070" spans="5:5" x14ac:dyDescent="0.25">
      <c r="E2070" s="31"/>
    </row>
    <row r="2071" spans="5:5" x14ac:dyDescent="0.25">
      <c r="E2071" s="31"/>
    </row>
    <row r="2072" spans="5:5" x14ac:dyDescent="0.25">
      <c r="E2072" s="31"/>
    </row>
    <row r="2073" spans="5:5" x14ac:dyDescent="0.25">
      <c r="E2073" s="31"/>
    </row>
    <row r="2074" spans="5:5" x14ac:dyDescent="0.25">
      <c r="E2074" s="31"/>
    </row>
    <row r="2075" spans="5:5" x14ac:dyDescent="0.25">
      <c r="E2075" s="31"/>
    </row>
    <row r="2076" spans="5:5" x14ac:dyDescent="0.25">
      <c r="E2076" s="31"/>
    </row>
    <row r="2077" spans="5:5" x14ac:dyDescent="0.25">
      <c r="E2077" s="31"/>
    </row>
    <row r="2078" spans="5:5" x14ac:dyDescent="0.25">
      <c r="E2078" s="31"/>
    </row>
    <row r="2079" spans="5:5" x14ac:dyDescent="0.25">
      <c r="E2079" s="31"/>
    </row>
    <row r="2080" spans="5:5" x14ac:dyDescent="0.25">
      <c r="E2080" s="31"/>
    </row>
    <row r="2081" spans="5:5" x14ac:dyDescent="0.25">
      <c r="E2081" s="31"/>
    </row>
    <row r="2082" spans="5:5" x14ac:dyDescent="0.25">
      <c r="E2082" s="31"/>
    </row>
    <row r="2083" spans="5:5" x14ac:dyDescent="0.25">
      <c r="E2083" s="31"/>
    </row>
    <row r="2084" spans="5:5" x14ac:dyDescent="0.25">
      <c r="E2084" s="31"/>
    </row>
    <row r="2085" spans="5:5" x14ac:dyDescent="0.25">
      <c r="E2085" s="31"/>
    </row>
    <row r="2086" spans="5:5" x14ac:dyDescent="0.25">
      <c r="E2086" s="31"/>
    </row>
    <row r="2087" spans="5:5" x14ac:dyDescent="0.25">
      <c r="E2087" s="31"/>
    </row>
    <row r="2088" spans="5:5" x14ac:dyDescent="0.25">
      <c r="E2088" s="31"/>
    </row>
    <row r="2089" spans="5:5" x14ac:dyDescent="0.25">
      <c r="E2089" s="31"/>
    </row>
    <row r="2090" spans="5:5" x14ac:dyDescent="0.25">
      <c r="E2090" s="31"/>
    </row>
    <row r="2091" spans="5:5" x14ac:dyDescent="0.25">
      <c r="E2091" s="31"/>
    </row>
    <row r="2092" spans="5:5" x14ac:dyDescent="0.25">
      <c r="E2092" s="31"/>
    </row>
    <row r="2093" spans="5:5" x14ac:dyDescent="0.25">
      <c r="E2093" s="31"/>
    </row>
    <row r="2094" spans="5:5" x14ac:dyDescent="0.25">
      <c r="E2094" s="31"/>
    </row>
    <row r="2095" spans="5:5" x14ac:dyDescent="0.25">
      <c r="E2095" s="31"/>
    </row>
    <row r="2096" spans="5:5" x14ac:dyDescent="0.25">
      <c r="E2096" s="31"/>
    </row>
    <row r="2097" spans="5:5" x14ac:dyDescent="0.25">
      <c r="E2097" s="31"/>
    </row>
    <row r="2098" spans="5:5" x14ac:dyDescent="0.25">
      <c r="E2098" s="31"/>
    </row>
    <row r="2099" spans="5:5" x14ac:dyDescent="0.25">
      <c r="E2099" s="31"/>
    </row>
    <row r="2100" spans="5:5" x14ac:dyDescent="0.25">
      <c r="E2100" s="31"/>
    </row>
    <row r="2101" spans="5:5" x14ac:dyDescent="0.25">
      <c r="E2101" s="31"/>
    </row>
    <row r="2102" spans="5:5" x14ac:dyDescent="0.25">
      <c r="E2102" s="31"/>
    </row>
    <row r="2103" spans="5:5" x14ac:dyDescent="0.25">
      <c r="E2103" s="31"/>
    </row>
    <row r="2104" spans="5:5" x14ac:dyDescent="0.25">
      <c r="E2104" s="31"/>
    </row>
    <row r="2105" spans="5:5" x14ac:dyDescent="0.25">
      <c r="E2105" s="31"/>
    </row>
    <row r="2106" spans="5:5" x14ac:dyDescent="0.25">
      <c r="E2106" s="31"/>
    </row>
    <row r="2107" spans="5:5" x14ac:dyDescent="0.25">
      <c r="E2107" s="31"/>
    </row>
    <row r="2108" spans="5:5" x14ac:dyDescent="0.25">
      <c r="E2108" s="31"/>
    </row>
    <row r="2109" spans="5:5" x14ac:dyDescent="0.25">
      <c r="E2109" s="31"/>
    </row>
    <row r="2110" spans="5:5" x14ac:dyDescent="0.25">
      <c r="E2110" s="31"/>
    </row>
    <row r="2111" spans="5:5" x14ac:dyDescent="0.25">
      <c r="E2111" s="31"/>
    </row>
    <row r="2112" spans="5:5" x14ac:dyDescent="0.25">
      <c r="E2112" s="31"/>
    </row>
    <row r="2113" spans="5:5" x14ac:dyDescent="0.25">
      <c r="E2113" s="31"/>
    </row>
    <row r="2114" spans="5:5" x14ac:dyDescent="0.25">
      <c r="E2114" s="31"/>
    </row>
    <row r="2115" spans="5:5" x14ac:dyDescent="0.25">
      <c r="E2115" s="31"/>
    </row>
    <row r="2116" spans="5:5" x14ac:dyDescent="0.25">
      <c r="E2116" s="31"/>
    </row>
    <row r="2117" spans="5:5" x14ac:dyDescent="0.25">
      <c r="E2117" s="31"/>
    </row>
    <row r="2118" spans="5:5" x14ac:dyDescent="0.25">
      <c r="E2118" s="31"/>
    </row>
    <row r="2119" spans="5:5" x14ac:dyDescent="0.25">
      <c r="E2119" s="31"/>
    </row>
    <row r="2120" spans="5:5" x14ac:dyDescent="0.25">
      <c r="E2120" s="31"/>
    </row>
    <row r="2121" spans="5:5" x14ac:dyDescent="0.25">
      <c r="E2121" s="31"/>
    </row>
    <row r="2122" spans="5:5" x14ac:dyDescent="0.25">
      <c r="E2122" s="31"/>
    </row>
    <row r="2123" spans="5:5" x14ac:dyDescent="0.25">
      <c r="E2123" s="31"/>
    </row>
    <row r="2124" spans="5:5" x14ac:dyDescent="0.25">
      <c r="E2124" s="31"/>
    </row>
    <row r="2125" spans="5:5" x14ac:dyDescent="0.25">
      <c r="E2125" s="31"/>
    </row>
    <row r="2126" spans="5:5" x14ac:dyDescent="0.25">
      <c r="E2126" s="31"/>
    </row>
    <row r="2127" spans="5:5" x14ac:dyDescent="0.25">
      <c r="E2127" s="31"/>
    </row>
    <row r="2128" spans="5:5" x14ac:dyDescent="0.25">
      <c r="E2128" s="31"/>
    </row>
    <row r="2129" spans="5:5" x14ac:dyDescent="0.25">
      <c r="E2129" s="31"/>
    </row>
    <row r="2130" spans="5:5" x14ac:dyDescent="0.25">
      <c r="E2130" s="31"/>
    </row>
    <row r="2131" spans="5:5" x14ac:dyDescent="0.25">
      <c r="E2131" s="31"/>
    </row>
    <row r="2132" spans="5:5" x14ac:dyDescent="0.25">
      <c r="E2132" s="31"/>
    </row>
    <row r="2133" spans="5:5" x14ac:dyDescent="0.25">
      <c r="E2133" s="31"/>
    </row>
    <row r="2134" spans="5:5" x14ac:dyDescent="0.25">
      <c r="E2134" s="31"/>
    </row>
    <row r="2135" spans="5:5" x14ac:dyDescent="0.25">
      <c r="E2135" s="31"/>
    </row>
    <row r="2136" spans="5:5" x14ac:dyDescent="0.25">
      <c r="E2136" s="31"/>
    </row>
    <row r="2137" spans="5:5" x14ac:dyDescent="0.25">
      <c r="E2137" s="31"/>
    </row>
    <row r="2138" spans="5:5" x14ac:dyDescent="0.25">
      <c r="E2138" s="31"/>
    </row>
    <row r="2139" spans="5:5" x14ac:dyDescent="0.25">
      <c r="E2139" s="31"/>
    </row>
    <row r="2140" spans="5:5" x14ac:dyDescent="0.25">
      <c r="E2140" s="31"/>
    </row>
    <row r="2141" spans="5:5" x14ac:dyDescent="0.25">
      <c r="E2141" s="31"/>
    </row>
    <row r="2142" spans="5:5" x14ac:dyDescent="0.25">
      <c r="E2142" s="31"/>
    </row>
    <row r="2143" spans="5:5" x14ac:dyDescent="0.25">
      <c r="E2143" s="31"/>
    </row>
    <row r="2144" spans="5:5" x14ac:dyDescent="0.25">
      <c r="E2144" s="31"/>
    </row>
    <row r="2145" spans="5:5" x14ac:dyDescent="0.25">
      <c r="E2145" s="31"/>
    </row>
    <row r="2146" spans="5:5" x14ac:dyDescent="0.25">
      <c r="E2146" s="31"/>
    </row>
    <row r="2147" spans="5:5" x14ac:dyDescent="0.25">
      <c r="E2147" s="31"/>
    </row>
    <row r="2148" spans="5:5" x14ac:dyDescent="0.25">
      <c r="E2148" s="31"/>
    </row>
    <row r="2149" spans="5:5" x14ac:dyDescent="0.25">
      <c r="E2149" s="31"/>
    </row>
    <row r="2150" spans="5:5" x14ac:dyDescent="0.25">
      <c r="E2150" s="31"/>
    </row>
    <row r="2151" spans="5:5" x14ac:dyDescent="0.25">
      <c r="E2151" s="31"/>
    </row>
    <row r="2152" spans="5:5" x14ac:dyDescent="0.25">
      <c r="E2152" s="31"/>
    </row>
    <row r="2153" spans="5:5" x14ac:dyDescent="0.25">
      <c r="E2153" s="31"/>
    </row>
    <row r="2154" spans="5:5" x14ac:dyDescent="0.25">
      <c r="E2154" s="31"/>
    </row>
    <row r="2155" spans="5:5" x14ac:dyDescent="0.25">
      <c r="E2155" s="31"/>
    </row>
    <row r="2156" spans="5:5" x14ac:dyDescent="0.25">
      <c r="E2156" s="31"/>
    </row>
    <row r="2157" spans="5:5" x14ac:dyDescent="0.25">
      <c r="E2157" s="31"/>
    </row>
    <row r="2158" spans="5:5" x14ac:dyDescent="0.25">
      <c r="E2158" s="31"/>
    </row>
    <row r="2159" spans="5:5" x14ac:dyDescent="0.25">
      <c r="E2159" s="31"/>
    </row>
    <row r="2160" spans="5:5" x14ac:dyDescent="0.25">
      <c r="E2160" s="31"/>
    </row>
    <row r="2161" spans="5:5" x14ac:dyDescent="0.25">
      <c r="E2161" s="31"/>
    </row>
    <row r="2162" spans="5:5" x14ac:dyDescent="0.25">
      <c r="E2162" s="31"/>
    </row>
    <row r="2163" spans="5:5" x14ac:dyDescent="0.25">
      <c r="E2163" s="31"/>
    </row>
    <row r="2164" spans="5:5" x14ac:dyDescent="0.25">
      <c r="E2164" s="31"/>
    </row>
    <row r="2165" spans="5:5" x14ac:dyDescent="0.25">
      <c r="E2165" s="31"/>
    </row>
    <row r="2166" spans="5:5" x14ac:dyDescent="0.25">
      <c r="E2166" s="31"/>
    </row>
    <row r="2167" spans="5:5" x14ac:dyDescent="0.25">
      <c r="E2167" s="31"/>
    </row>
    <row r="2168" spans="5:5" x14ac:dyDescent="0.25">
      <c r="E2168" s="31"/>
    </row>
    <row r="2169" spans="5:5" x14ac:dyDescent="0.25">
      <c r="E2169" s="31"/>
    </row>
    <row r="2170" spans="5:5" x14ac:dyDescent="0.25">
      <c r="E2170" s="31"/>
    </row>
    <row r="2171" spans="5:5" x14ac:dyDescent="0.25">
      <c r="E2171" s="31"/>
    </row>
    <row r="2172" spans="5:5" x14ac:dyDescent="0.25">
      <c r="E2172" s="31"/>
    </row>
    <row r="2173" spans="5:5" x14ac:dyDescent="0.25">
      <c r="E2173" s="31"/>
    </row>
    <row r="2174" spans="5:5" x14ac:dyDescent="0.25">
      <c r="E2174" s="31"/>
    </row>
    <row r="2175" spans="5:5" x14ac:dyDescent="0.25">
      <c r="E2175" s="31"/>
    </row>
    <row r="2176" spans="5:5" x14ac:dyDescent="0.25">
      <c r="E2176" s="31"/>
    </row>
    <row r="2177" spans="5:5" x14ac:dyDescent="0.25">
      <c r="E2177" s="31"/>
    </row>
    <row r="2178" spans="5:5" x14ac:dyDescent="0.25">
      <c r="E2178" s="31"/>
    </row>
    <row r="2179" spans="5:5" x14ac:dyDescent="0.25">
      <c r="E2179" s="31"/>
    </row>
    <row r="2180" spans="5:5" x14ac:dyDescent="0.25">
      <c r="E2180" s="31"/>
    </row>
    <row r="2181" spans="5:5" x14ac:dyDescent="0.25">
      <c r="E2181" s="31"/>
    </row>
    <row r="2182" spans="5:5" x14ac:dyDescent="0.25">
      <c r="E2182" s="31"/>
    </row>
    <row r="2183" spans="5:5" x14ac:dyDescent="0.25">
      <c r="E2183" s="31"/>
    </row>
    <row r="2184" spans="5:5" x14ac:dyDescent="0.25">
      <c r="E2184" s="31"/>
    </row>
    <row r="2185" spans="5:5" x14ac:dyDescent="0.25">
      <c r="E2185" s="31"/>
    </row>
    <row r="2186" spans="5:5" x14ac:dyDescent="0.25">
      <c r="E2186" s="31"/>
    </row>
    <row r="2187" spans="5:5" x14ac:dyDescent="0.25">
      <c r="E2187" s="31"/>
    </row>
    <row r="2188" spans="5:5" x14ac:dyDescent="0.25">
      <c r="E2188" s="31"/>
    </row>
    <row r="2189" spans="5:5" x14ac:dyDescent="0.25">
      <c r="E2189" s="31"/>
    </row>
    <row r="2190" spans="5:5" x14ac:dyDescent="0.25">
      <c r="E2190" s="31"/>
    </row>
    <row r="2191" spans="5:5" x14ac:dyDescent="0.25">
      <c r="E2191" s="31"/>
    </row>
    <row r="2192" spans="5:5" x14ac:dyDescent="0.25">
      <c r="E2192" s="31"/>
    </row>
    <row r="2193" spans="5:5" x14ac:dyDescent="0.25">
      <c r="E2193" s="31"/>
    </row>
    <row r="2194" spans="5:5" x14ac:dyDescent="0.25">
      <c r="E2194" s="31"/>
    </row>
    <row r="2195" spans="5:5" x14ac:dyDescent="0.25">
      <c r="E2195" s="31"/>
    </row>
    <row r="2196" spans="5:5" x14ac:dyDescent="0.25">
      <c r="E2196" s="31"/>
    </row>
    <row r="2197" spans="5:5" x14ac:dyDescent="0.25">
      <c r="E2197" s="31"/>
    </row>
    <row r="2198" spans="5:5" x14ac:dyDescent="0.25">
      <c r="E2198" s="31"/>
    </row>
    <row r="2199" spans="5:5" x14ac:dyDescent="0.25">
      <c r="E2199" s="31"/>
    </row>
    <row r="2200" spans="5:5" x14ac:dyDescent="0.25">
      <c r="E2200" s="31"/>
    </row>
    <row r="2201" spans="5:5" x14ac:dyDescent="0.25">
      <c r="E2201" s="31"/>
    </row>
    <row r="2202" spans="5:5" x14ac:dyDescent="0.25">
      <c r="E2202" s="31"/>
    </row>
    <row r="2203" spans="5:5" x14ac:dyDescent="0.25">
      <c r="E2203" s="31"/>
    </row>
    <row r="2204" spans="5:5" x14ac:dyDescent="0.25">
      <c r="E2204" s="31"/>
    </row>
    <row r="2205" spans="5:5" x14ac:dyDescent="0.25">
      <c r="E2205" s="31"/>
    </row>
    <row r="2206" spans="5:5" x14ac:dyDescent="0.25">
      <c r="E2206" s="31"/>
    </row>
    <row r="2207" spans="5:5" x14ac:dyDescent="0.25">
      <c r="E2207" s="31"/>
    </row>
    <row r="2208" spans="5:5" x14ac:dyDescent="0.25">
      <c r="E2208" s="31"/>
    </row>
    <row r="2209" spans="5:5" x14ac:dyDescent="0.25">
      <c r="E2209" s="31"/>
    </row>
    <row r="2210" spans="5:5" x14ac:dyDescent="0.25">
      <c r="E2210" s="31"/>
    </row>
    <row r="2211" spans="5:5" x14ac:dyDescent="0.25">
      <c r="E2211" s="31"/>
    </row>
    <row r="2212" spans="5:5" x14ac:dyDescent="0.25">
      <c r="E2212" s="31"/>
    </row>
    <row r="2213" spans="5:5" x14ac:dyDescent="0.25">
      <c r="E2213" s="31"/>
    </row>
    <row r="2214" spans="5:5" x14ac:dyDescent="0.25">
      <c r="E2214" s="31"/>
    </row>
    <row r="2215" spans="5:5" x14ac:dyDescent="0.25">
      <c r="E2215" s="31"/>
    </row>
    <row r="2216" spans="5:5" x14ac:dyDescent="0.25">
      <c r="E2216" s="31"/>
    </row>
    <row r="2217" spans="5:5" x14ac:dyDescent="0.25">
      <c r="E2217" s="31"/>
    </row>
    <row r="2218" spans="5:5" x14ac:dyDescent="0.25">
      <c r="E2218" s="31"/>
    </row>
    <row r="2219" spans="5:5" x14ac:dyDescent="0.25">
      <c r="E2219" s="31"/>
    </row>
    <row r="2220" spans="5:5" x14ac:dyDescent="0.25">
      <c r="E2220" s="31"/>
    </row>
    <row r="2221" spans="5:5" x14ac:dyDescent="0.25">
      <c r="E2221" s="31"/>
    </row>
    <row r="2222" spans="5:5" x14ac:dyDescent="0.25">
      <c r="E2222" s="31"/>
    </row>
    <row r="2223" spans="5:5" x14ac:dyDescent="0.25">
      <c r="E2223" s="31"/>
    </row>
    <row r="2224" spans="5:5" x14ac:dyDescent="0.25">
      <c r="E2224" s="31"/>
    </row>
    <row r="2225" spans="5:5" x14ac:dyDescent="0.25">
      <c r="E2225" s="31"/>
    </row>
    <row r="2226" spans="5:5" x14ac:dyDescent="0.25">
      <c r="E2226" s="31"/>
    </row>
    <row r="2227" spans="5:5" x14ac:dyDescent="0.25">
      <c r="E2227" s="31"/>
    </row>
    <row r="2228" spans="5:5" x14ac:dyDescent="0.25">
      <c r="E2228" s="31"/>
    </row>
    <row r="2229" spans="5:5" x14ac:dyDescent="0.25">
      <c r="E2229" s="31"/>
    </row>
    <row r="2230" spans="5:5" x14ac:dyDescent="0.25">
      <c r="E2230" s="31"/>
    </row>
    <row r="2231" spans="5:5" x14ac:dyDescent="0.25">
      <c r="E2231" s="31"/>
    </row>
    <row r="2232" spans="5:5" x14ac:dyDescent="0.25">
      <c r="E2232" s="31"/>
    </row>
    <row r="2233" spans="5:5" x14ac:dyDescent="0.25">
      <c r="E2233" s="31"/>
    </row>
    <row r="2234" spans="5:5" x14ac:dyDescent="0.25">
      <c r="E2234" s="31"/>
    </row>
    <row r="2235" spans="5:5" x14ac:dyDescent="0.25">
      <c r="E2235" s="31"/>
    </row>
    <row r="2236" spans="5:5" x14ac:dyDescent="0.25">
      <c r="E2236" s="31"/>
    </row>
    <row r="2237" spans="5:5" x14ac:dyDescent="0.25">
      <c r="E2237" s="31"/>
    </row>
    <row r="2238" spans="5:5" x14ac:dyDescent="0.25">
      <c r="E2238" s="31"/>
    </row>
    <row r="2239" spans="5:5" x14ac:dyDescent="0.25">
      <c r="E2239" s="31"/>
    </row>
    <row r="2240" spans="5:5" x14ac:dyDescent="0.25">
      <c r="E2240" s="31"/>
    </row>
    <row r="2241" spans="5:5" x14ac:dyDescent="0.25">
      <c r="E2241" s="31"/>
    </row>
    <row r="2242" spans="5:5" x14ac:dyDescent="0.25">
      <c r="E2242" s="31"/>
    </row>
    <row r="2243" spans="5:5" x14ac:dyDescent="0.25">
      <c r="E2243" s="31"/>
    </row>
    <row r="2244" spans="5:5" x14ac:dyDescent="0.25">
      <c r="E2244" s="31"/>
    </row>
    <row r="2245" spans="5:5" x14ac:dyDescent="0.25">
      <c r="E2245" s="31"/>
    </row>
    <row r="2246" spans="5:5" x14ac:dyDescent="0.25">
      <c r="E2246" s="31"/>
    </row>
    <row r="2247" spans="5:5" x14ac:dyDescent="0.25">
      <c r="E2247" s="31"/>
    </row>
    <row r="2248" spans="5:5" x14ac:dyDescent="0.25">
      <c r="E2248" s="31"/>
    </row>
    <row r="2249" spans="5:5" x14ac:dyDescent="0.25">
      <c r="E2249" s="31"/>
    </row>
    <row r="2250" spans="5:5" x14ac:dyDescent="0.25">
      <c r="E2250" s="31"/>
    </row>
    <row r="2251" spans="5:5" x14ac:dyDescent="0.25">
      <c r="E2251" s="31"/>
    </row>
    <row r="2252" spans="5:5" x14ac:dyDescent="0.25">
      <c r="E2252" s="31"/>
    </row>
    <row r="2253" spans="5:5" x14ac:dyDescent="0.25">
      <c r="E2253" s="31"/>
    </row>
    <row r="2254" spans="5:5" x14ac:dyDescent="0.25">
      <c r="E2254" s="31"/>
    </row>
    <row r="2255" spans="5:5" x14ac:dyDescent="0.25">
      <c r="E2255" s="31"/>
    </row>
    <row r="2256" spans="5:5" x14ac:dyDescent="0.25">
      <c r="E2256" s="31"/>
    </row>
    <row r="2257" spans="5:5" x14ac:dyDescent="0.25">
      <c r="E2257" s="31"/>
    </row>
    <row r="2258" spans="5:5" x14ac:dyDescent="0.25">
      <c r="E2258" s="31"/>
    </row>
    <row r="2259" spans="5:5" x14ac:dyDescent="0.25">
      <c r="E2259" s="31"/>
    </row>
    <row r="2260" spans="5:5" x14ac:dyDescent="0.25">
      <c r="E2260" s="31"/>
    </row>
    <row r="2261" spans="5:5" x14ac:dyDescent="0.25">
      <c r="E2261" s="31"/>
    </row>
    <row r="2262" spans="5:5" x14ac:dyDescent="0.25">
      <c r="E2262" s="31"/>
    </row>
    <row r="2263" spans="5:5" x14ac:dyDescent="0.25">
      <c r="E2263" s="31"/>
    </row>
    <row r="2264" spans="5:5" x14ac:dyDescent="0.25">
      <c r="E2264" s="31"/>
    </row>
    <row r="2265" spans="5:5" x14ac:dyDescent="0.25">
      <c r="E2265" s="31"/>
    </row>
    <row r="2266" spans="5:5" x14ac:dyDescent="0.25">
      <c r="E2266" s="31"/>
    </row>
    <row r="2267" spans="5:5" x14ac:dyDescent="0.25">
      <c r="E2267" s="31"/>
    </row>
    <row r="2268" spans="5:5" x14ac:dyDescent="0.25">
      <c r="E2268" s="31"/>
    </row>
    <row r="2269" spans="5:5" x14ac:dyDescent="0.25">
      <c r="E2269" s="31"/>
    </row>
    <row r="2270" spans="5:5" x14ac:dyDescent="0.25">
      <c r="E2270" s="31"/>
    </row>
    <row r="2271" spans="5:5" x14ac:dyDescent="0.25">
      <c r="E2271" s="31"/>
    </row>
    <row r="2272" spans="5:5" x14ac:dyDescent="0.25">
      <c r="E2272" s="31"/>
    </row>
    <row r="2273" spans="5:5" x14ac:dyDescent="0.25">
      <c r="E2273" s="31"/>
    </row>
    <row r="2274" spans="5:5" x14ac:dyDescent="0.25">
      <c r="E2274" s="31"/>
    </row>
    <row r="2275" spans="5:5" x14ac:dyDescent="0.25">
      <c r="E2275" s="31"/>
    </row>
    <row r="2276" spans="5:5" x14ac:dyDescent="0.25">
      <c r="E2276" s="31"/>
    </row>
    <row r="2277" spans="5:5" x14ac:dyDescent="0.25">
      <c r="E2277" s="31"/>
    </row>
    <row r="2278" spans="5:5" x14ac:dyDescent="0.25">
      <c r="E2278" s="31"/>
    </row>
    <row r="2279" spans="5:5" x14ac:dyDescent="0.25">
      <c r="E2279" s="31"/>
    </row>
    <row r="2280" spans="5:5" x14ac:dyDescent="0.25">
      <c r="E2280" s="31"/>
    </row>
    <row r="2281" spans="5:5" x14ac:dyDescent="0.25">
      <c r="E2281" s="31"/>
    </row>
    <row r="2282" spans="5:5" x14ac:dyDescent="0.25">
      <c r="E2282" s="31"/>
    </row>
    <row r="2283" spans="5:5" x14ac:dyDescent="0.25">
      <c r="E2283" s="31"/>
    </row>
    <row r="2284" spans="5:5" x14ac:dyDescent="0.25">
      <c r="E2284" s="31"/>
    </row>
    <row r="2285" spans="5:5" x14ac:dyDescent="0.25">
      <c r="E2285" s="31"/>
    </row>
    <row r="2286" spans="5:5" x14ac:dyDescent="0.25">
      <c r="E2286" s="31"/>
    </row>
    <row r="2287" spans="5:5" x14ac:dyDescent="0.25">
      <c r="E2287" s="31"/>
    </row>
    <row r="2288" spans="5:5" x14ac:dyDescent="0.25">
      <c r="E2288" s="31"/>
    </row>
    <row r="2289" spans="5:5" x14ac:dyDescent="0.25">
      <c r="E2289" s="31"/>
    </row>
    <row r="2290" spans="5:5" x14ac:dyDescent="0.25">
      <c r="E2290" s="31"/>
    </row>
    <row r="2291" spans="5:5" x14ac:dyDescent="0.25">
      <c r="E2291" s="31"/>
    </row>
    <row r="2292" spans="5:5" x14ac:dyDescent="0.25">
      <c r="E2292" s="31"/>
    </row>
    <row r="2293" spans="5:5" x14ac:dyDescent="0.25">
      <c r="E2293" s="31"/>
    </row>
    <row r="2294" spans="5:5" x14ac:dyDescent="0.25">
      <c r="E2294" s="31"/>
    </row>
    <row r="2295" spans="5:5" x14ac:dyDescent="0.25">
      <c r="E2295" s="31"/>
    </row>
    <row r="2296" spans="5:5" x14ac:dyDescent="0.25">
      <c r="E2296" s="31"/>
    </row>
    <row r="2297" spans="5:5" x14ac:dyDescent="0.25">
      <c r="E2297" s="31"/>
    </row>
    <row r="2298" spans="5:5" x14ac:dyDescent="0.25">
      <c r="E2298" s="31"/>
    </row>
    <row r="2299" spans="5:5" x14ac:dyDescent="0.25">
      <c r="E2299" s="31"/>
    </row>
    <row r="2300" spans="5:5" x14ac:dyDescent="0.25">
      <c r="E2300" s="31"/>
    </row>
    <row r="2301" spans="5:5" x14ac:dyDescent="0.25">
      <c r="E2301" s="31"/>
    </row>
    <row r="2302" spans="5:5" x14ac:dyDescent="0.25">
      <c r="E2302" s="31"/>
    </row>
    <row r="2303" spans="5:5" x14ac:dyDescent="0.25">
      <c r="E2303" s="31"/>
    </row>
    <row r="2304" spans="5:5" x14ac:dyDescent="0.25">
      <c r="E2304" s="31"/>
    </row>
    <row r="2305" spans="5:5" x14ac:dyDescent="0.25">
      <c r="E2305" s="31"/>
    </row>
    <row r="2306" spans="5:5" x14ac:dyDescent="0.25">
      <c r="E2306" s="31"/>
    </row>
    <row r="2307" spans="5:5" x14ac:dyDescent="0.25">
      <c r="E2307" s="31"/>
    </row>
    <row r="2308" spans="5:5" x14ac:dyDescent="0.25">
      <c r="E2308" s="31"/>
    </row>
    <row r="2309" spans="5:5" x14ac:dyDescent="0.25">
      <c r="E2309" s="31"/>
    </row>
    <row r="2310" spans="5:5" x14ac:dyDescent="0.25">
      <c r="E2310" s="31"/>
    </row>
    <row r="2311" spans="5:5" x14ac:dyDescent="0.25">
      <c r="E2311" s="31"/>
    </row>
    <row r="2312" spans="5:5" x14ac:dyDescent="0.25">
      <c r="E2312" s="31"/>
    </row>
    <row r="2313" spans="5:5" x14ac:dyDescent="0.25">
      <c r="E2313" s="31"/>
    </row>
    <row r="2314" spans="5:5" x14ac:dyDescent="0.25">
      <c r="E2314" s="31"/>
    </row>
    <row r="2315" spans="5:5" x14ac:dyDescent="0.25">
      <c r="E2315" s="31"/>
    </row>
    <row r="2316" spans="5:5" x14ac:dyDescent="0.25">
      <c r="E2316" s="31"/>
    </row>
    <row r="2317" spans="5:5" x14ac:dyDescent="0.25">
      <c r="E2317" s="31"/>
    </row>
    <row r="2318" spans="5:5" x14ac:dyDescent="0.25">
      <c r="E2318" s="31"/>
    </row>
    <row r="2319" spans="5:5" x14ac:dyDescent="0.25">
      <c r="E2319" s="31"/>
    </row>
    <row r="2320" spans="5:5" x14ac:dyDescent="0.25">
      <c r="E2320" s="31"/>
    </row>
    <row r="2321" spans="5:5" x14ac:dyDescent="0.25">
      <c r="E2321" s="31"/>
    </row>
    <row r="2322" spans="5:5" x14ac:dyDescent="0.25">
      <c r="E2322" s="31"/>
    </row>
    <row r="2323" spans="5:5" x14ac:dyDescent="0.25">
      <c r="E2323" s="31"/>
    </row>
    <row r="2324" spans="5:5" x14ac:dyDescent="0.25">
      <c r="E2324" s="31"/>
    </row>
    <row r="2325" spans="5:5" x14ac:dyDescent="0.25">
      <c r="E2325" s="31"/>
    </row>
    <row r="2326" spans="5:5" x14ac:dyDescent="0.25">
      <c r="E2326" s="31"/>
    </row>
    <row r="2327" spans="5:5" x14ac:dyDescent="0.25">
      <c r="E2327" s="31"/>
    </row>
    <row r="2328" spans="5:5" x14ac:dyDescent="0.25">
      <c r="E2328" s="31"/>
    </row>
    <row r="2329" spans="5:5" x14ac:dyDescent="0.25">
      <c r="E2329" s="31"/>
    </row>
    <row r="2330" spans="5:5" x14ac:dyDescent="0.25">
      <c r="E2330" s="31"/>
    </row>
    <row r="2331" spans="5:5" x14ac:dyDescent="0.25">
      <c r="E2331" s="31"/>
    </row>
    <row r="2332" spans="5:5" x14ac:dyDescent="0.25">
      <c r="E2332" s="31"/>
    </row>
    <row r="2333" spans="5:5" x14ac:dyDescent="0.25">
      <c r="E2333" s="31"/>
    </row>
    <row r="2334" spans="5:5" x14ac:dyDescent="0.25">
      <c r="E2334" s="31"/>
    </row>
    <row r="2335" spans="5:5" x14ac:dyDescent="0.25">
      <c r="E2335" s="31"/>
    </row>
    <row r="2336" spans="5:5" x14ac:dyDescent="0.25">
      <c r="E2336" s="31"/>
    </row>
    <row r="2337" spans="5:5" x14ac:dyDescent="0.25">
      <c r="E2337" s="31"/>
    </row>
    <row r="2338" spans="5:5" x14ac:dyDescent="0.25">
      <c r="E2338" s="31"/>
    </row>
    <row r="2339" spans="5:5" x14ac:dyDescent="0.25">
      <c r="E2339" s="31"/>
    </row>
    <row r="2340" spans="5:5" x14ac:dyDescent="0.25">
      <c r="E2340" s="31"/>
    </row>
    <row r="2341" spans="5:5" x14ac:dyDescent="0.25">
      <c r="E2341" s="31"/>
    </row>
    <row r="2342" spans="5:5" x14ac:dyDescent="0.25">
      <c r="E2342" s="31"/>
    </row>
    <row r="2343" spans="5:5" x14ac:dyDescent="0.25">
      <c r="E2343" s="31"/>
    </row>
    <row r="2344" spans="5:5" x14ac:dyDescent="0.25">
      <c r="E2344" s="31"/>
    </row>
    <row r="2345" spans="5:5" x14ac:dyDescent="0.25">
      <c r="E2345" s="31"/>
    </row>
    <row r="2346" spans="5:5" x14ac:dyDescent="0.25">
      <c r="E2346" s="31"/>
    </row>
    <row r="2347" spans="5:5" x14ac:dyDescent="0.25">
      <c r="E2347" s="31"/>
    </row>
    <row r="2348" spans="5:5" x14ac:dyDescent="0.25">
      <c r="E2348" s="31"/>
    </row>
    <row r="2349" spans="5:5" x14ac:dyDescent="0.25">
      <c r="E2349" s="31"/>
    </row>
    <row r="2350" spans="5:5" x14ac:dyDescent="0.25">
      <c r="E2350" s="31"/>
    </row>
    <row r="2351" spans="5:5" x14ac:dyDescent="0.25">
      <c r="E2351" s="31"/>
    </row>
    <row r="2352" spans="5:5" x14ac:dyDescent="0.25">
      <c r="E2352" s="31"/>
    </row>
    <row r="2353" spans="5:5" x14ac:dyDescent="0.25">
      <c r="E2353" s="31"/>
    </row>
    <row r="2354" spans="5:5" x14ac:dyDescent="0.25">
      <c r="E2354" s="31"/>
    </row>
    <row r="2355" spans="5:5" x14ac:dyDescent="0.25">
      <c r="E2355" s="31"/>
    </row>
    <row r="2356" spans="5:5" x14ac:dyDescent="0.25">
      <c r="E2356" s="31"/>
    </row>
    <row r="2357" spans="5:5" x14ac:dyDescent="0.25">
      <c r="E2357" s="31"/>
    </row>
    <row r="2358" spans="5:5" x14ac:dyDescent="0.25">
      <c r="E2358" s="31"/>
    </row>
    <row r="2359" spans="5:5" x14ac:dyDescent="0.25">
      <c r="E2359" s="31"/>
    </row>
    <row r="2360" spans="5:5" x14ac:dyDescent="0.25">
      <c r="E2360" s="31"/>
    </row>
    <row r="2361" spans="5:5" x14ac:dyDescent="0.25">
      <c r="E2361" s="31"/>
    </row>
    <row r="2362" spans="5:5" x14ac:dyDescent="0.25">
      <c r="E2362" s="31"/>
    </row>
    <row r="2363" spans="5:5" x14ac:dyDescent="0.25">
      <c r="E2363" s="31"/>
    </row>
    <row r="2364" spans="5:5" x14ac:dyDescent="0.25">
      <c r="E2364" s="31"/>
    </row>
    <row r="2365" spans="5:5" x14ac:dyDescent="0.25">
      <c r="E2365" s="31"/>
    </row>
    <row r="2366" spans="5:5" x14ac:dyDescent="0.25">
      <c r="E2366" s="31"/>
    </row>
    <row r="2367" spans="5:5" x14ac:dyDescent="0.25">
      <c r="E2367" s="31"/>
    </row>
    <row r="2368" spans="5:5" x14ac:dyDescent="0.25">
      <c r="E2368" s="31"/>
    </row>
    <row r="2369" spans="5:5" x14ac:dyDescent="0.25">
      <c r="E2369" s="31"/>
    </row>
    <row r="2370" spans="5:5" x14ac:dyDescent="0.25">
      <c r="E2370" s="31"/>
    </row>
    <row r="2371" spans="5:5" x14ac:dyDescent="0.25">
      <c r="E2371" s="31"/>
    </row>
    <row r="2372" spans="5:5" x14ac:dyDescent="0.25">
      <c r="E2372" s="31"/>
    </row>
    <row r="2373" spans="5:5" x14ac:dyDescent="0.25">
      <c r="E2373" s="31"/>
    </row>
    <row r="2374" spans="5:5" x14ac:dyDescent="0.25">
      <c r="E2374" s="31"/>
    </row>
    <row r="2375" spans="5:5" x14ac:dyDescent="0.25">
      <c r="E2375" s="31"/>
    </row>
    <row r="2376" spans="5:5" x14ac:dyDescent="0.25">
      <c r="E2376" s="31"/>
    </row>
    <row r="2377" spans="5:5" x14ac:dyDescent="0.25">
      <c r="E2377" s="31"/>
    </row>
    <row r="2378" spans="5:5" x14ac:dyDescent="0.25">
      <c r="E2378" s="31"/>
    </row>
    <row r="2379" spans="5:5" x14ac:dyDescent="0.25">
      <c r="E2379" s="31"/>
    </row>
    <row r="2380" spans="5:5" x14ac:dyDescent="0.25">
      <c r="E2380" s="31"/>
    </row>
    <row r="2381" spans="5:5" x14ac:dyDescent="0.25">
      <c r="E2381" s="31"/>
    </row>
    <row r="2382" spans="5:5" x14ac:dyDescent="0.25">
      <c r="E2382" s="31"/>
    </row>
    <row r="2383" spans="5:5" x14ac:dyDescent="0.25">
      <c r="E2383" s="31"/>
    </row>
    <row r="2384" spans="5:5" x14ac:dyDescent="0.25">
      <c r="E2384" s="31"/>
    </row>
    <row r="2385" spans="5:5" x14ac:dyDescent="0.25">
      <c r="E2385" s="31"/>
    </row>
    <row r="2386" spans="5:5" x14ac:dyDescent="0.25">
      <c r="E2386" s="31"/>
    </row>
    <row r="2387" spans="5:5" x14ac:dyDescent="0.25">
      <c r="E2387" s="31"/>
    </row>
    <row r="2388" spans="5:5" x14ac:dyDescent="0.25">
      <c r="E2388" s="31"/>
    </row>
    <row r="2389" spans="5:5" x14ac:dyDescent="0.25">
      <c r="E2389" s="31"/>
    </row>
    <row r="2390" spans="5:5" x14ac:dyDescent="0.25">
      <c r="E2390" s="31"/>
    </row>
    <row r="2391" spans="5:5" x14ac:dyDescent="0.25">
      <c r="E2391" s="31"/>
    </row>
    <row r="2392" spans="5:5" x14ac:dyDescent="0.25">
      <c r="E2392" s="31"/>
    </row>
    <row r="2393" spans="5:5" x14ac:dyDescent="0.25">
      <c r="E2393" s="31"/>
    </row>
    <row r="2394" spans="5:5" x14ac:dyDescent="0.25">
      <c r="E2394" s="31"/>
    </row>
    <row r="2395" spans="5:5" x14ac:dyDescent="0.25">
      <c r="E2395" s="31"/>
    </row>
    <row r="2396" spans="5:5" x14ac:dyDescent="0.25">
      <c r="E2396" s="31"/>
    </row>
    <row r="2397" spans="5:5" x14ac:dyDescent="0.25">
      <c r="E2397" s="31"/>
    </row>
    <row r="2398" spans="5:5" x14ac:dyDescent="0.25">
      <c r="E2398" s="31"/>
    </row>
    <row r="2399" spans="5:5" x14ac:dyDescent="0.25">
      <c r="E2399" s="31"/>
    </row>
    <row r="2400" spans="5:5" x14ac:dyDescent="0.25">
      <c r="E2400" s="31"/>
    </row>
    <row r="2401" spans="5:5" x14ac:dyDescent="0.25">
      <c r="E2401" s="31"/>
    </row>
    <row r="2402" spans="5:5" x14ac:dyDescent="0.25">
      <c r="E2402" s="31"/>
    </row>
    <row r="2403" spans="5:5" x14ac:dyDescent="0.25">
      <c r="E2403" s="31"/>
    </row>
    <row r="2404" spans="5:5" x14ac:dyDescent="0.25">
      <c r="E2404" s="31"/>
    </row>
    <row r="2405" spans="5:5" x14ac:dyDescent="0.25">
      <c r="E2405" s="31"/>
    </row>
    <row r="2406" spans="5:5" x14ac:dyDescent="0.25">
      <c r="E2406" s="31"/>
    </row>
    <row r="2407" spans="5:5" x14ac:dyDescent="0.25">
      <c r="E2407" s="31"/>
    </row>
    <row r="2408" spans="5:5" x14ac:dyDescent="0.25">
      <c r="E2408" s="31"/>
    </row>
    <row r="2409" spans="5:5" x14ac:dyDescent="0.25">
      <c r="E2409" s="31"/>
    </row>
    <row r="2410" spans="5:5" x14ac:dyDescent="0.25">
      <c r="E2410" s="31"/>
    </row>
    <row r="2411" spans="5:5" x14ac:dyDescent="0.25">
      <c r="E2411" s="31"/>
    </row>
    <row r="2412" spans="5:5" x14ac:dyDescent="0.25">
      <c r="E2412" s="31"/>
    </row>
    <row r="2413" spans="5:5" x14ac:dyDescent="0.25">
      <c r="E2413" s="31"/>
    </row>
    <row r="2414" spans="5:5" x14ac:dyDescent="0.25">
      <c r="E2414" s="31"/>
    </row>
    <row r="2415" spans="5:5" x14ac:dyDescent="0.25">
      <c r="E2415" s="31"/>
    </row>
    <row r="2416" spans="5:5" x14ac:dyDescent="0.25">
      <c r="E2416" s="31"/>
    </row>
    <row r="2417" spans="5:5" x14ac:dyDescent="0.25">
      <c r="E2417" s="31"/>
    </row>
    <row r="2418" spans="5:5" x14ac:dyDescent="0.25">
      <c r="E2418" s="31"/>
    </row>
    <row r="2419" spans="5:5" x14ac:dyDescent="0.25">
      <c r="E2419" s="31"/>
    </row>
    <row r="2420" spans="5:5" x14ac:dyDescent="0.25">
      <c r="E2420" s="31"/>
    </row>
    <row r="2421" spans="5:5" x14ac:dyDescent="0.25">
      <c r="E2421" s="31"/>
    </row>
    <row r="2422" spans="5:5" x14ac:dyDescent="0.25">
      <c r="E2422" s="31"/>
    </row>
    <row r="2423" spans="5:5" x14ac:dyDescent="0.25">
      <c r="E2423" s="31"/>
    </row>
    <row r="2424" spans="5:5" x14ac:dyDescent="0.25">
      <c r="E2424" s="31"/>
    </row>
    <row r="2425" spans="5:5" x14ac:dyDescent="0.25">
      <c r="E2425" s="31"/>
    </row>
    <row r="2426" spans="5:5" x14ac:dyDescent="0.25">
      <c r="E2426" s="31"/>
    </row>
    <row r="2427" spans="5:5" x14ac:dyDescent="0.25">
      <c r="E2427" s="31"/>
    </row>
    <row r="2428" spans="5:5" x14ac:dyDescent="0.25">
      <c r="E2428" s="31"/>
    </row>
    <row r="2429" spans="5:5" x14ac:dyDescent="0.25">
      <c r="E2429" s="31"/>
    </row>
    <row r="2430" spans="5:5" x14ac:dyDescent="0.25">
      <c r="E2430" s="31"/>
    </row>
    <row r="2431" spans="5:5" x14ac:dyDescent="0.25">
      <c r="E2431" s="31"/>
    </row>
    <row r="2432" spans="5:5" x14ac:dyDescent="0.25">
      <c r="E2432" s="31"/>
    </row>
    <row r="2433" spans="5:5" x14ac:dyDescent="0.25">
      <c r="E2433" s="31"/>
    </row>
    <row r="2434" spans="5:5" x14ac:dyDescent="0.25">
      <c r="E2434" s="31"/>
    </row>
    <row r="2435" spans="5:5" x14ac:dyDescent="0.25">
      <c r="E2435" s="31"/>
    </row>
    <row r="2436" spans="5:5" x14ac:dyDescent="0.25">
      <c r="E2436" s="31"/>
    </row>
    <row r="2437" spans="5:5" x14ac:dyDescent="0.25">
      <c r="E2437" s="31"/>
    </row>
    <row r="2438" spans="5:5" x14ac:dyDescent="0.25">
      <c r="E2438" s="31"/>
    </row>
    <row r="2439" spans="5:5" x14ac:dyDescent="0.25">
      <c r="E2439" s="31"/>
    </row>
    <row r="2440" spans="5:5" x14ac:dyDescent="0.25">
      <c r="E2440" s="31"/>
    </row>
    <row r="2441" spans="5:5" x14ac:dyDescent="0.25">
      <c r="E2441" s="31"/>
    </row>
    <row r="2442" spans="5:5" x14ac:dyDescent="0.25">
      <c r="E2442" s="31"/>
    </row>
    <row r="2443" spans="5:5" x14ac:dyDescent="0.25">
      <c r="E2443" s="31"/>
    </row>
    <row r="2444" spans="5:5" x14ac:dyDescent="0.25">
      <c r="E2444" s="31"/>
    </row>
    <row r="2445" spans="5:5" x14ac:dyDescent="0.25">
      <c r="E2445" s="31"/>
    </row>
    <row r="2446" spans="5:5" x14ac:dyDescent="0.25">
      <c r="E2446" s="31"/>
    </row>
    <row r="2447" spans="5:5" x14ac:dyDescent="0.25">
      <c r="E2447" s="31"/>
    </row>
    <row r="2448" spans="5:5" x14ac:dyDescent="0.25">
      <c r="E2448" s="31"/>
    </row>
    <row r="2449" spans="5:5" x14ac:dyDescent="0.25">
      <c r="E2449" s="31"/>
    </row>
    <row r="2450" spans="5:5" x14ac:dyDescent="0.25">
      <c r="E2450" s="31"/>
    </row>
    <row r="2451" spans="5:5" x14ac:dyDescent="0.25">
      <c r="E2451" s="31"/>
    </row>
    <row r="2452" spans="5:5" x14ac:dyDescent="0.25">
      <c r="E2452" s="31"/>
    </row>
    <row r="2453" spans="5:5" x14ac:dyDescent="0.25">
      <c r="E2453" s="31"/>
    </row>
    <row r="2454" spans="5:5" x14ac:dyDescent="0.25">
      <c r="E2454" s="31"/>
    </row>
    <row r="2455" spans="5:5" x14ac:dyDescent="0.25">
      <c r="E2455" s="31"/>
    </row>
    <row r="2456" spans="5:5" x14ac:dyDescent="0.25">
      <c r="E2456" s="31"/>
    </row>
    <row r="2457" spans="5:5" x14ac:dyDescent="0.25">
      <c r="E2457" s="31"/>
    </row>
    <row r="2458" spans="5:5" x14ac:dyDescent="0.25">
      <c r="E2458" s="31"/>
    </row>
    <row r="2459" spans="5:5" x14ac:dyDescent="0.25">
      <c r="E2459" s="31"/>
    </row>
    <row r="2460" spans="5:5" x14ac:dyDescent="0.25">
      <c r="E2460" s="31"/>
    </row>
    <row r="2461" spans="5:5" x14ac:dyDescent="0.25">
      <c r="E2461" s="31"/>
    </row>
    <row r="2462" spans="5:5" x14ac:dyDescent="0.25">
      <c r="E2462" s="31"/>
    </row>
    <row r="2463" spans="5:5" x14ac:dyDescent="0.25">
      <c r="E2463" s="31"/>
    </row>
    <row r="2464" spans="5:5" x14ac:dyDescent="0.25">
      <c r="E2464" s="31"/>
    </row>
    <row r="2465" spans="5:5" x14ac:dyDescent="0.25">
      <c r="E2465" s="31"/>
    </row>
    <row r="2466" spans="5:5" x14ac:dyDescent="0.25">
      <c r="E2466" s="31"/>
    </row>
    <row r="2467" spans="5:5" x14ac:dyDescent="0.25">
      <c r="E2467" s="31"/>
    </row>
    <row r="2468" spans="5:5" x14ac:dyDescent="0.25">
      <c r="E2468" s="31"/>
    </row>
    <row r="2469" spans="5:5" x14ac:dyDescent="0.25">
      <c r="E2469" s="31"/>
    </row>
    <row r="2470" spans="5:5" x14ac:dyDescent="0.25">
      <c r="E2470" s="31"/>
    </row>
    <row r="2471" spans="5:5" x14ac:dyDescent="0.25">
      <c r="E2471" s="31"/>
    </row>
    <row r="2472" spans="5:5" x14ac:dyDescent="0.25">
      <c r="E2472" s="31"/>
    </row>
    <row r="2473" spans="5:5" x14ac:dyDescent="0.25">
      <c r="E2473" s="31"/>
    </row>
    <row r="2474" spans="5:5" x14ac:dyDescent="0.25">
      <c r="E2474" s="31"/>
    </row>
    <row r="2475" spans="5:5" x14ac:dyDescent="0.25">
      <c r="E2475" s="31"/>
    </row>
    <row r="2476" spans="5:5" x14ac:dyDescent="0.25">
      <c r="E2476" s="31"/>
    </row>
    <row r="2477" spans="5:5" x14ac:dyDescent="0.25">
      <c r="E2477" s="31"/>
    </row>
    <row r="2478" spans="5:5" x14ac:dyDescent="0.25">
      <c r="E2478" s="31"/>
    </row>
    <row r="2479" spans="5:5" x14ac:dyDescent="0.25">
      <c r="E2479" s="31"/>
    </row>
    <row r="2480" spans="5:5" x14ac:dyDescent="0.25">
      <c r="E2480" s="31"/>
    </row>
    <row r="2481" spans="5:5" x14ac:dyDescent="0.25">
      <c r="E2481" s="31"/>
    </row>
    <row r="2482" spans="5:5" x14ac:dyDescent="0.25">
      <c r="E2482" s="31"/>
    </row>
    <row r="2483" spans="5:5" x14ac:dyDescent="0.25">
      <c r="E2483" s="31"/>
    </row>
    <row r="2484" spans="5:5" x14ac:dyDescent="0.25">
      <c r="E2484" s="31"/>
    </row>
    <row r="2485" spans="5:5" x14ac:dyDescent="0.25">
      <c r="E2485" s="31"/>
    </row>
    <row r="2486" spans="5:5" x14ac:dyDescent="0.25">
      <c r="E2486" s="31"/>
    </row>
    <row r="2487" spans="5:5" x14ac:dyDescent="0.25">
      <c r="E2487" s="31"/>
    </row>
    <row r="2488" spans="5:5" x14ac:dyDescent="0.25">
      <c r="E2488" s="31"/>
    </row>
    <row r="2489" spans="5:5" x14ac:dyDescent="0.25">
      <c r="E2489" s="31"/>
    </row>
    <row r="2490" spans="5:5" x14ac:dyDescent="0.25">
      <c r="E2490" s="31"/>
    </row>
    <row r="2491" spans="5:5" x14ac:dyDescent="0.25">
      <c r="E2491" s="31"/>
    </row>
    <row r="2492" spans="5:5" x14ac:dyDescent="0.25">
      <c r="E2492" s="31"/>
    </row>
    <row r="2493" spans="5:5" x14ac:dyDescent="0.25">
      <c r="E2493" s="31"/>
    </row>
    <row r="2494" spans="5:5" x14ac:dyDescent="0.25">
      <c r="E2494" s="31"/>
    </row>
    <row r="2495" spans="5:5" x14ac:dyDescent="0.25">
      <c r="E2495" s="31"/>
    </row>
    <row r="2496" spans="5:5" x14ac:dyDescent="0.25">
      <c r="E2496" s="31"/>
    </row>
    <row r="2497" spans="5:5" x14ac:dyDescent="0.25">
      <c r="E2497" s="31"/>
    </row>
    <row r="2498" spans="5:5" x14ac:dyDescent="0.25">
      <c r="E2498" s="31"/>
    </row>
    <row r="2499" spans="5:5" x14ac:dyDescent="0.25">
      <c r="E2499" s="31"/>
    </row>
    <row r="2500" spans="5:5" x14ac:dyDescent="0.25">
      <c r="E2500" s="31"/>
    </row>
    <row r="2501" spans="5:5" x14ac:dyDescent="0.25">
      <c r="E2501" s="31"/>
    </row>
    <row r="2502" spans="5:5" x14ac:dyDescent="0.25">
      <c r="E2502" s="31"/>
    </row>
    <row r="2503" spans="5:5" x14ac:dyDescent="0.25">
      <c r="E2503" s="31"/>
    </row>
    <row r="2504" spans="5:5" x14ac:dyDescent="0.25">
      <c r="E2504" s="31"/>
    </row>
    <row r="2505" spans="5:5" x14ac:dyDescent="0.25">
      <c r="E2505" s="31"/>
    </row>
    <row r="2506" spans="5:5" x14ac:dyDescent="0.25">
      <c r="E2506" s="31"/>
    </row>
    <row r="2507" spans="5:5" x14ac:dyDescent="0.25">
      <c r="E2507" s="31"/>
    </row>
    <row r="2508" spans="5:5" x14ac:dyDescent="0.25">
      <c r="E2508" s="31"/>
    </row>
    <row r="2509" spans="5:5" x14ac:dyDescent="0.25">
      <c r="E2509" s="31"/>
    </row>
    <row r="2510" spans="5:5" x14ac:dyDescent="0.25">
      <c r="E2510" s="31"/>
    </row>
    <row r="2511" spans="5:5" x14ac:dyDescent="0.25">
      <c r="E2511" s="31"/>
    </row>
    <row r="2512" spans="5:5" x14ac:dyDescent="0.25">
      <c r="E2512" s="31"/>
    </row>
    <row r="2513" spans="5:5" x14ac:dyDescent="0.25">
      <c r="E2513" s="31"/>
    </row>
    <row r="2514" spans="5:5" x14ac:dyDescent="0.25">
      <c r="E2514" s="31"/>
    </row>
    <row r="2515" spans="5:5" x14ac:dyDescent="0.25">
      <c r="E2515" s="31"/>
    </row>
    <row r="2516" spans="5:5" x14ac:dyDescent="0.25">
      <c r="E2516" s="31"/>
    </row>
    <row r="2517" spans="5:5" x14ac:dyDescent="0.25">
      <c r="E2517" s="31"/>
    </row>
    <row r="2518" spans="5:5" x14ac:dyDescent="0.25">
      <c r="E2518" s="31"/>
    </row>
    <row r="2519" spans="5:5" x14ac:dyDescent="0.25">
      <c r="E2519" s="31"/>
    </row>
    <row r="2520" spans="5:5" x14ac:dyDescent="0.25">
      <c r="E2520" s="31"/>
    </row>
    <row r="2521" spans="5:5" x14ac:dyDescent="0.25">
      <c r="E2521" s="31"/>
    </row>
    <row r="2522" spans="5:5" x14ac:dyDescent="0.25">
      <c r="E2522" s="31"/>
    </row>
    <row r="2523" spans="5:5" x14ac:dyDescent="0.25">
      <c r="E2523" s="31"/>
    </row>
    <row r="2524" spans="5:5" x14ac:dyDescent="0.25">
      <c r="E2524" s="31"/>
    </row>
    <row r="2525" spans="5:5" x14ac:dyDescent="0.25">
      <c r="E2525" s="31"/>
    </row>
    <row r="2526" spans="5:5" x14ac:dyDescent="0.25">
      <c r="E2526" s="31"/>
    </row>
    <row r="2527" spans="5:5" x14ac:dyDescent="0.25">
      <c r="E2527" s="31"/>
    </row>
    <row r="2528" spans="5:5" x14ac:dyDescent="0.25">
      <c r="E2528" s="31"/>
    </row>
    <row r="2529" spans="5:5" x14ac:dyDescent="0.25">
      <c r="E2529" s="31"/>
    </row>
    <row r="2530" spans="5:5" x14ac:dyDescent="0.25">
      <c r="E2530" s="31"/>
    </row>
    <row r="2531" spans="5:5" x14ac:dyDescent="0.25">
      <c r="E2531" s="31"/>
    </row>
    <row r="2532" spans="5:5" x14ac:dyDescent="0.25">
      <c r="E2532" s="31"/>
    </row>
    <row r="2533" spans="5:5" x14ac:dyDescent="0.25">
      <c r="E2533" s="31"/>
    </row>
    <row r="2534" spans="5:5" x14ac:dyDescent="0.25">
      <c r="E2534" s="31"/>
    </row>
    <row r="2535" spans="5:5" x14ac:dyDescent="0.25">
      <c r="E2535" s="31"/>
    </row>
    <row r="2536" spans="5:5" x14ac:dyDescent="0.25">
      <c r="E2536" s="31"/>
    </row>
    <row r="2537" spans="5:5" x14ac:dyDescent="0.25">
      <c r="E2537" s="31"/>
    </row>
    <row r="2538" spans="5:5" x14ac:dyDescent="0.25">
      <c r="E2538" s="31"/>
    </row>
    <row r="2539" spans="5:5" x14ac:dyDescent="0.25">
      <c r="E2539" s="31"/>
    </row>
    <row r="2540" spans="5:5" x14ac:dyDescent="0.25">
      <c r="E2540" s="31"/>
    </row>
    <row r="2541" spans="5:5" x14ac:dyDescent="0.25">
      <c r="E2541" s="31"/>
    </row>
    <row r="2542" spans="5:5" x14ac:dyDescent="0.25">
      <c r="E2542" s="31"/>
    </row>
    <row r="2543" spans="5:5" x14ac:dyDescent="0.25">
      <c r="E2543" s="31"/>
    </row>
    <row r="2544" spans="5:5" x14ac:dyDescent="0.25">
      <c r="E2544" s="31"/>
    </row>
    <row r="2545" spans="5:5" x14ac:dyDescent="0.25">
      <c r="E2545" s="31"/>
    </row>
    <row r="2546" spans="5:5" x14ac:dyDescent="0.25">
      <c r="E2546" s="31"/>
    </row>
    <row r="2547" spans="5:5" x14ac:dyDescent="0.25">
      <c r="E2547" s="31"/>
    </row>
    <row r="2548" spans="5:5" x14ac:dyDescent="0.25">
      <c r="E2548" s="31"/>
    </row>
    <row r="2549" spans="5:5" x14ac:dyDescent="0.25">
      <c r="E2549" s="31"/>
    </row>
    <row r="2550" spans="5:5" x14ac:dyDescent="0.25">
      <c r="E2550" s="31"/>
    </row>
    <row r="2551" spans="5:5" x14ac:dyDescent="0.25">
      <c r="E2551" s="31"/>
    </row>
    <row r="2552" spans="5:5" x14ac:dyDescent="0.25">
      <c r="E2552" s="31"/>
    </row>
    <row r="2553" spans="5:5" x14ac:dyDescent="0.25">
      <c r="E2553" s="31"/>
    </row>
    <row r="2554" spans="5:5" x14ac:dyDescent="0.25">
      <c r="E2554" s="31"/>
    </row>
    <row r="2555" spans="5:5" x14ac:dyDescent="0.25">
      <c r="E2555" s="31"/>
    </row>
    <row r="2556" spans="5:5" x14ac:dyDescent="0.25">
      <c r="E2556" s="31"/>
    </row>
    <row r="2557" spans="5:5" x14ac:dyDescent="0.25">
      <c r="E2557" s="31"/>
    </row>
    <row r="2558" spans="5:5" x14ac:dyDescent="0.25">
      <c r="E2558" s="31"/>
    </row>
    <row r="2559" spans="5:5" x14ac:dyDescent="0.25">
      <c r="E2559" s="31"/>
    </row>
    <row r="2560" spans="5:5" x14ac:dyDescent="0.25">
      <c r="E2560" s="31"/>
    </row>
    <row r="2561" spans="5:5" x14ac:dyDescent="0.25">
      <c r="E2561" s="31"/>
    </row>
    <row r="2562" spans="5:5" x14ac:dyDescent="0.25">
      <c r="E2562" s="31"/>
    </row>
    <row r="2563" spans="5:5" x14ac:dyDescent="0.25">
      <c r="E2563" s="31"/>
    </row>
    <row r="2564" spans="5:5" x14ac:dyDescent="0.25">
      <c r="E2564" s="31"/>
    </row>
    <row r="2565" spans="5:5" x14ac:dyDescent="0.25">
      <c r="E2565" s="31"/>
    </row>
    <row r="2566" spans="5:5" x14ac:dyDescent="0.25">
      <c r="E2566" s="31"/>
    </row>
    <row r="2567" spans="5:5" x14ac:dyDescent="0.25">
      <c r="E2567" s="31"/>
    </row>
    <row r="2568" spans="5:5" x14ac:dyDescent="0.25">
      <c r="E2568" s="31"/>
    </row>
    <row r="2569" spans="5:5" x14ac:dyDescent="0.25">
      <c r="E2569" s="31"/>
    </row>
    <row r="2570" spans="5:5" x14ac:dyDescent="0.25">
      <c r="E2570" s="31"/>
    </row>
    <row r="2571" spans="5:5" x14ac:dyDescent="0.25">
      <c r="E2571" s="31"/>
    </row>
    <row r="2572" spans="5:5" x14ac:dyDescent="0.25">
      <c r="E2572" s="31"/>
    </row>
    <row r="2573" spans="5:5" x14ac:dyDescent="0.25">
      <c r="E2573" s="31"/>
    </row>
    <row r="2574" spans="5:5" x14ac:dyDescent="0.25">
      <c r="E2574" s="31"/>
    </row>
    <row r="2575" spans="5:5" x14ac:dyDescent="0.25">
      <c r="E2575" s="31"/>
    </row>
    <row r="2576" spans="5:5" x14ac:dyDescent="0.25">
      <c r="E2576" s="31"/>
    </row>
    <row r="2577" spans="5:5" x14ac:dyDescent="0.25">
      <c r="E2577" s="31"/>
    </row>
    <row r="2578" spans="5:5" x14ac:dyDescent="0.25">
      <c r="E2578" s="31"/>
    </row>
    <row r="2579" spans="5:5" x14ac:dyDescent="0.25">
      <c r="E2579" s="31"/>
    </row>
    <row r="2580" spans="5:5" x14ac:dyDescent="0.25">
      <c r="E2580" s="31"/>
    </row>
    <row r="2581" spans="5:5" x14ac:dyDescent="0.25">
      <c r="E2581" s="31"/>
    </row>
    <row r="2582" spans="5:5" x14ac:dyDescent="0.25">
      <c r="E2582" s="31"/>
    </row>
    <row r="2583" spans="5:5" x14ac:dyDescent="0.25">
      <c r="E2583" s="31"/>
    </row>
    <row r="2584" spans="5:5" x14ac:dyDescent="0.25">
      <c r="E2584" s="31"/>
    </row>
    <row r="2585" spans="5:5" x14ac:dyDescent="0.25">
      <c r="E2585" s="31"/>
    </row>
    <row r="2586" spans="5:5" x14ac:dyDescent="0.25">
      <c r="E2586" s="31"/>
    </row>
    <row r="2587" spans="5:5" x14ac:dyDescent="0.25">
      <c r="E2587" s="31"/>
    </row>
    <row r="2588" spans="5:5" x14ac:dyDescent="0.25">
      <c r="E2588" s="31"/>
    </row>
    <row r="2589" spans="5:5" x14ac:dyDescent="0.25">
      <c r="E2589" s="31"/>
    </row>
    <row r="2590" spans="5:5" x14ac:dyDescent="0.25">
      <c r="E2590" s="31"/>
    </row>
    <row r="2591" spans="5:5" x14ac:dyDescent="0.25">
      <c r="E2591" s="31"/>
    </row>
    <row r="2592" spans="5:5" x14ac:dyDescent="0.25">
      <c r="E2592" s="31"/>
    </row>
    <row r="2593" spans="5:5" x14ac:dyDescent="0.25">
      <c r="E2593" s="31"/>
    </row>
    <row r="2594" spans="5:5" x14ac:dyDescent="0.25">
      <c r="E2594" s="31"/>
    </row>
    <row r="2595" spans="5:5" x14ac:dyDescent="0.25">
      <c r="E2595" s="31"/>
    </row>
    <row r="2596" spans="5:5" x14ac:dyDescent="0.25">
      <c r="E2596" s="31"/>
    </row>
    <row r="2597" spans="5:5" x14ac:dyDescent="0.25">
      <c r="E2597" s="31"/>
    </row>
    <row r="2598" spans="5:5" x14ac:dyDescent="0.25">
      <c r="E2598" s="31"/>
    </row>
    <row r="2599" spans="5:5" x14ac:dyDescent="0.25">
      <c r="E2599" s="31"/>
    </row>
    <row r="2600" spans="5:5" x14ac:dyDescent="0.25">
      <c r="E2600" s="31"/>
    </row>
    <row r="2601" spans="5:5" x14ac:dyDescent="0.25">
      <c r="E2601" s="31"/>
    </row>
    <row r="2602" spans="5:5" x14ac:dyDescent="0.25">
      <c r="E2602" s="31"/>
    </row>
    <row r="2603" spans="5:5" x14ac:dyDescent="0.25">
      <c r="E2603" s="31"/>
    </row>
    <row r="2604" spans="5:5" x14ac:dyDescent="0.25">
      <c r="E2604" s="31"/>
    </row>
    <row r="2605" spans="5:5" x14ac:dyDescent="0.25">
      <c r="E2605" s="31"/>
    </row>
    <row r="2606" spans="5:5" x14ac:dyDescent="0.25">
      <c r="E2606" s="31"/>
    </row>
    <row r="2607" spans="5:5" x14ac:dyDescent="0.25">
      <c r="E2607" s="31"/>
    </row>
    <row r="2608" spans="5:5" x14ac:dyDescent="0.25">
      <c r="E2608" s="31"/>
    </row>
    <row r="2609" spans="5:5" x14ac:dyDescent="0.25">
      <c r="E2609" s="31"/>
    </row>
    <row r="2610" spans="5:5" x14ac:dyDescent="0.25">
      <c r="E2610" s="31"/>
    </row>
    <row r="2611" spans="5:5" x14ac:dyDescent="0.25">
      <c r="E2611" s="31"/>
    </row>
    <row r="2612" spans="5:5" x14ac:dyDescent="0.25">
      <c r="E2612" s="31"/>
    </row>
    <row r="2613" spans="5:5" x14ac:dyDescent="0.25">
      <c r="E2613" s="31"/>
    </row>
    <row r="2614" spans="5:5" x14ac:dyDescent="0.25">
      <c r="E2614" s="31"/>
    </row>
    <row r="2615" spans="5:5" x14ac:dyDescent="0.25">
      <c r="E2615" s="31"/>
    </row>
    <row r="2616" spans="5:5" x14ac:dyDescent="0.25">
      <c r="E2616" s="31"/>
    </row>
    <row r="2617" spans="5:5" x14ac:dyDescent="0.25">
      <c r="E2617" s="31"/>
    </row>
    <row r="2618" spans="5:5" x14ac:dyDescent="0.25">
      <c r="E2618" s="31"/>
    </row>
    <row r="2619" spans="5:5" x14ac:dyDescent="0.25">
      <c r="E2619" s="31"/>
    </row>
    <row r="2620" spans="5:5" x14ac:dyDescent="0.25">
      <c r="E2620" s="31"/>
    </row>
    <row r="2621" spans="5:5" x14ac:dyDescent="0.25">
      <c r="E2621" s="31"/>
    </row>
    <row r="2622" spans="5:5" x14ac:dyDescent="0.25">
      <c r="E2622" s="31"/>
    </row>
    <row r="2623" spans="5:5" x14ac:dyDescent="0.25">
      <c r="E2623" s="31"/>
    </row>
    <row r="2624" spans="5:5" x14ac:dyDescent="0.25">
      <c r="E2624" s="31"/>
    </row>
    <row r="2625" spans="5:5" x14ac:dyDescent="0.25">
      <c r="E2625" s="31"/>
    </row>
    <row r="2626" spans="5:5" x14ac:dyDescent="0.25">
      <c r="E2626" s="31"/>
    </row>
    <row r="2627" spans="5:5" x14ac:dyDescent="0.25">
      <c r="E2627" s="31"/>
    </row>
    <row r="2628" spans="5:5" x14ac:dyDescent="0.25">
      <c r="E2628" s="31"/>
    </row>
    <row r="2629" spans="5:5" x14ac:dyDescent="0.25">
      <c r="E2629" s="31"/>
    </row>
    <row r="2630" spans="5:5" x14ac:dyDescent="0.25">
      <c r="E2630" s="31"/>
    </row>
    <row r="2631" spans="5:5" x14ac:dyDescent="0.25">
      <c r="E2631" s="31"/>
    </row>
    <row r="2632" spans="5:5" x14ac:dyDescent="0.25">
      <c r="E2632" s="31"/>
    </row>
    <row r="2633" spans="5:5" x14ac:dyDescent="0.25">
      <c r="E2633" s="31"/>
    </row>
    <row r="2634" spans="5:5" x14ac:dyDescent="0.25">
      <c r="E2634" s="31"/>
    </row>
    <row r="2635" spans="5:5" x14ac:dyDescent="0.25">
      <c r="E2635" s="31"/>
    </row>
    <row r="2636" spans="5:5" x14ac:dyDescent="0.25">
      <c r="E2636" s="31"/>
    </row>
    <row r="2637" spans="5:5" x14ac:dyDescent="0.25">
      <c r="E2637" s="31"/>
    </row>
    <row r="2638" spans="5:5" x14ac:dyDescent="0.25">
      <c r="E2638" s="31"/>
    </row>
    <row r="2639" spans="5:5" x14ac:dyDescent="0.25">
      <c r="E2639" s="31"/>
    </row>
    <row r="2640" spans="5:5" x14ac:dyDescent="0.25">
      <c r="E2640" s="31"/>
    </row>
    <row r="2641" spans="5:5" x14ac:dyDescent="0.25">
      <c r="E2641" s="31"/>
    </row>
    <row r="2642" spans="5:5" x14ac:dyDescent="0.25">
      <c r="E2642" s="31"/>
    </row>
    <row r="2643" spans="5:5" x14ac:dyDescent="0.25">
      <c r="E2643" s="31"/>
    </row>
    <row r="2644" spans="5:5" x14ac:dyDescent="0.25">
      <c r="E2644" s="31"/>
    </row>
    <row r="2645" spans="5:5" x14ac:dyDescent="0.25">
      <c r="E2645" s="31"/>
    </row>
    <row r="2646" spans="5:5" x14ac:dyDescent="0.25">
      <c r="E2646" s="31"/>
    </row>
    <row r="2647" spans="5:5" x14ac:dyDescent="0.25">
      <c r="E2647" s="31"/>
    </row>
    <row r="2648" spans="5:5" x14ac:dyDescent="0.25">
      <c r="E2648" s="31"/>
    </row>
    <row r="2649" spans="5:5" x14ac:dyDescent="0.25">
      <c r="E2649" s="31"/>
    </row>
    <row r="2650" spans="5:5" x14ac:dyDescent="0.25">
      <c r="E2650" s="31"/>
    </row>
    <row r="2651" spans="5:5" x14ac:dyDescent="0.25">
      <c r="E2651" s="31"/>
    </row>
    <row r="2652" spans="5:5" x14ac:dyDescent="0.25">
      <c r="E2652" s="31"/>
    </row>
    <row r="2653" spans="5:5" x14ac:dyDescent="0.25">
      <c r="E2653" s="31"/>
    </row>
    <row r="2654" spans="5:5" x14ac:dyDescent="0.25">
      <c r="E2654" s="31"/>
    </row>
    <row r="2655" spans="5:5" x14ac:dyDescent="0.25">
      <c r="E2655" s="31"/>
    </row>
    <row r="2656" spans="5:5" x14ac:dyDescent="0.25">
      <c r="E2656" s="31"/>
    </row>
    <row r="2657" spans="5:5" x14ac:dyDescent="0.25">
      <c r="E2657" s="31"/>
    </row>
    <row r="2658" spans="5:5" x14ac:dyDescent="0.25">
      <c r="E2658" s="31"/>
    </row>
    <row r="2659" spans="5:5" x14ac:dyDescent="0.25">
      <c r="E2659" s="31"/>
    </row>
    <row r="2660" spans="5:5" x14ac:dyDescent="0.25">
      <c r="E2660" s="31"/>
    </row>
    <row r="2661" spans="5:5" x14ac:dyDescent="0.25">
      <c r="E2661" s="31"/>
    </row>
    <row r="2662" spans="5:5" x14ac:dyDescent="0.25">
      <c r="E2662" s="31"/>
    </row>
    <row r="2663" spans="5:5" x14ac:dyDescent="0.25">
      <c r="E2663" s="31"/>
    </row>
    <row r="2664" spans="5:5" x14ac:dyDescent="0.25">
      <c r="E2664" s="31"/>
    </row>
    <row r="2665" spans="5:5" x14ac:dyDescent="0.25">
      <c r="E2665" s="31"/>
    </row>
    <row r="2666" spans="5:5" x14ac:dyDescent="0.25">
      <c r="E2666" s="31"/>
    </row>
    <row r="2667" spans="5:5" x14ac:dyDescent="0.25">
      <c r="E2667" s="31"/>
    </row>
    <row r="2668" spans="5:5" x14ac:dyDescent="0.25">
      <c r="E2668" s="31"/>
    </row>
    <row r="2669" spans="5:5" x14ac:dyDescent="0.25">
      <c r="E2669" s="31"/>
    </row>
    <row r="2670" spans="5:5" x14ac:dyDescent="0.25">
      <c r="E2670" s="31"/>
    </row>
    <row r="2671" spans="5:5" x14ac:dyDescent="0.25">
      <c r="E2671" s="31"/>
    </row>
    <row r="2672" spans="5:5" x14ac:dyDescent="0.25">
      <c r="E2672" s="31"/>
    </row>
    <row r="2673" spans="5:5" x14ac:dyDescent="0.25">
      <c r="E2673" s="31"/>
    </row>
    <row r="2674" spans="5:5" x14ac:dyDescent="0.25">
      <c r="E2674" s="31"/>
    </row>
    <row r="2675" spans="5:5" x14ac:dyDescent="0.25">
      <c r="E2675" s="31"/>
    </row>
    <row r="2676" spans="5:5" x14ac:dyDescent="0.25">
      <c r="E2676" s="31"/>
    </row>
    <row r="2677" spans="5:5" x14ac:dyDescent="0.25">
      <c r="E2677" s="31"/>
    </row>
    <row r="2678" spans="5:5" x14ac:dyDescent="0.25">
      <c r="E2678" s="31"/>
    </row>
    <row r="2679" spans="5:5" x14ac:dyDescent="0.25">
      <c r="E2679" s="31"/>
    </row>
    <row r="2680" spans="5:5" x14ac:dyDescent="0.25">
      <c r="E2680" s="31"/>
    </row>
    <row r="2681" spans="5:5" x14ac:dyDescent="0.25">
      <c r="E2681" s="31"/>
    </row>
    <row r="2682" spans="5:5" x14ac:dyDescent="0.25">
      <c r="E2682" s="31"/>
    </row>
    <row r="2683" spans="5:5" x14ac:dyDescent="0.25">
      <c r="E2683" s="31"/>
    </row>
    <row r="2684" spans="5:5" x14ac:dyDescent="0.25">
      <c r="E2684" s="31"/>
    </row>
    <row r="2685" spans="5:5" x14ac:dyDescent="0.25">
      <c r="E2685" s="31"/>
    </row>
    <row r="2686" spans="5:5" x14ac:dyDescent="0.25">
      <c r="E2686" s="31"/>
    </row>
    <row r="2687" spans="5:5" x14ac:dyDescent="0.25">
      <c r="E2687" s="31"/>
    </row>
    <row r="2688" spans="5:5" x14ac:dyDescent="0.25">
      <c r="E2688" s="31"/>
    </row>
    <row r="2689" spans="5:5" x14ac:dyDescent="0.25">
      <c r="E2689" s="31"/>
    </row>
    <row r="2690" spans="5:5" x14ac:dyDescent="0.25">
      <c r="E2690" s="31"/>
    </row>
    <row r="2691" spans="5:5" x14ac:dyDescent="0.25">
      <c r="E2691" s="31"/>
    </row>
    <row r="2692" spans="5:5" x14ac:dyDescent="0.25">
      <c r="E2692" s="31"/>
    </row>
    <row r="2693" spans="5:5" x14ac:dyDescent="0.25">
      <c r="E2693" s="31"/>
    </row>
    <row r="2694" spans="5:5" x14ac:dyDescent="0.25">
      <c r="E2694" s="31"/>
    </row>
    <row r="2695" spans="5:5" x14ac:dyDescent="0.25">
      <c r="E2695" s="31"/>
    </row>
    <row r="2696" spans="5:5" x14ac:dyDescent="0.25">
      <c r="E2696" s="31"/>
    </row>
    <row r="2697" spans="5:5" x14ac:dyDescent="0.25">
      <c r="E2697" s="31"/>
    </row>
    <row r="2698" spans="5:5" x14ac:dyDescent="0.25">
      <c r="E2698" s="31"/>
    </row>
    <row r="2699" spans="5:5" x14ac:dyDescent="0.25">
      <c r="E2699" s="31"/>
    </row>
    <row r="2700" spans="5:5" x14ac:dyDescent="0.25">
      <c r="E2700" s="31"/>
    </row>
    <row r="2701" spans="5:5" x14ac:dyDescent="0.25">
      <c r="E2701" s="31"/>
    </row>
    <row r="2702" spans="5:5" x14ac:dyDescent="0.25">
      <c r="E2702" s="31"/>
    </row>
    <row r="2703" spans="5:5" x14ac:dyDescent="0.25">
      <c r="E2703" s="31"/>
    </row>
    <row r="2704" spans="5:5" x14ac:dyDescent="0.25">
      <c r="E2704" s="31"/>
    </row>
    <row r="2705" spans="5:5" x14ac:dyDescent="0.25">
      <c r="E2705" s="31"/>
    </row>
    <row r="2706" spans="5:5" x14ac:dyDescent="0.25">
      <c r="E2706" s="31"/>
    </row>
    <row r="2707" spans="5:5" x14ac:dyDescent="0.25">
      <c r="E2707" s="31"/>
    </row>
    <row r="2708" spans="5:5" x14ac:dyDescent="0.25">
      <c r="E2708" s="31"/>
    </row>
    <row r="2709" spans="5:5" x14ac:dyDescent="0.25">
      <c r="E2709" s="31"/>
    </row>
    <row r="2710" spans="5:5" x14ac:dyDescent="0.25">
      <c r="E2710" s="31"/>
    </row>
    <row r="2711" spans="5:5" x14ac:dyDescent="0.25">
      <c r="E2711" s="31"/>
    </row>
    <row r="2712" spans="5:5" x14ac:dyDescent="0.25">
      <c r="E2712" s="31"/>
    </row>
    <row r="2713" spans="5:5" x14ac:dyDescent="0.25">
      <c r="E2713" s="31"/>
    </row>
    <row r="2714" spans="5:5" x14ac:dyDescent="0.25">
      <c r="E2714" s="31"/>
    </row>
    <row r="2715" spans="5:5" x14ac:dyDescent="0.25">
      <c r="E2715" s="31"/>
    </row>
    <row r="2716" spans="5:5" x14ac:dyDescent="0.25">
      <c r="E2716" s="31"/>
    </row>
    <row r="2717" spans="5:5" x14ac:dyDescent="0.25">
      <c r="E2717" s="31"/>
    </row>
    <row r="2718" spans="5:5" x14ac:dyDescent="0.25">
      <c r="E2718" s="31"/>
    </row>
    <row r="2719" spans="5:5" x14ac:dyDescent="0.25">
      <c r="E2719" s="31"/>
    </row>
    <row r="2720" spans="5:5" x14ac:dyDescent="0.25">
      <c r="E2720" s="31"/>
    </row>
    <row r="2721" spans="5:5" x14ac:dyDescent="0.25">
      <c r="E2721" s="31"/>
    </row>
    <row r="2722" spans="5:5" x14ac:dyDescent="0.25">
      <c r="E2722" s="31"/>
    </row>
    <row r="2723" spans="5:5" x14ac:dyDescent="0.25">
      <c r="E2723" s="31"/>
    </row>
    <row r="2724" spans="5:5" x14ac:dyDescent="0.25">
      <c r="E2724" s="31"/>
    </row>
    <row r="2725" spans="5:5" x14ac:dyDescent="0.25">
      <c r="E2725" s="31"/>
    </row>
    <row r="2726" spans="5:5" x14ac:dyDescent="0.25">
      <c r="E2726" s="31"/>
    </row>
    <row r="2727" spans="5:5" x14ac:dyDescent="0.25">
      <c r="E2727" s="31"/>
    </row>
    <row r="2728" spans="5:5" x14ac:dyDescent="0.25">
      <c r="E2728" s="31"/>
    </row>
    <row r="2729" spans="5:5" x14ac:dyDescent="0.25">
      <c r="E2729" s="31"/>
    </row>
    <row r="2730" spans="5:5" x14ac:dyDescent="0.25">
      <c r="E2730" s="31"/>
    </row>
    <row r="2731" spans="5:5" x14ac:dyDescent="0.25">
      <c r="E2731" s="31"/>
    </row>
    <row r="2732" spans="5:5" x14ac:dyDescent="0.25">
      <c r="E2732" s="31"/>
    </row>
    <row r="2733" spans="5:5" x14ac:dyDescent="0.25">
      <c r="E2733" s="31"/>
    </row>
    <row r="2734" spans="5:5" x14ac:dyDescent="0.25">
      <c r="E2734" s="31"/>
    </row>
    <row r="2735" spans="5:5" x14ac:dyDescent="0.25">
      <c r="E2735" s="31"/>
    </row>
    <row r="2736" spans="5:5" x14ac:dyDescent="0.25">
      <c r="E2736" s="31"/>
    </row>
    <row r="2737" spans="5:5" x14ac:dyDescent="0.25">
      <c r="E2737" s="31"/>
    </row>
    <row r="2738" spans="5:5" x14ac:dyDescent="0.25">
      <c r="E2738" s="31"/>
    </row>
    <row r="2739" spans="5:5" x14ac:dyDescent="0.25">
      <c r="E2739" s="31"/>
    </row>
    <row r="2740" spans="5:5" x14ac:dyDescent="0.25">
      <c r="E2740" s="31"/>
    </row>
    <row r="2741" spans="5:5" x14ac:dyDescent="0.25">
      <c r="E2741" s="31"/>
    </row>
    <row r="2742" spans="5:5" x14ac:dyDescent="0.25">
      <c r="E2742" s="31"/>
    </row>
    <row r="2743" spans="5:5" x14ac:dyDescent="0.25">
      <c r="E2743" s="31"/>
    </row>
    <row r="2744" spans="5:5" x14ac:dyDescent="0.25">
      <c r="E2744" s="31"/>
    </row>
    <row r="2745" spans="5:5" x14ac:dyDescent="0.25">
      <c r="E2745" s="31"/>
    </row>
    <row r="2746" spans="5:5" x14ac:dyDescent="0.25">
      <c r="E2746" s="31"/>
    </row>
    <row r="2747" spans="5:5" x14ac:dyDescent="0.25">
      <c r="E2747" s="31"/>
    </row>
    <row r="2748" spans="5:5" x14ac:dyDescent="0.25">
      <c r="E2748" s="31"/>
    </row>
    <row r="2749" spans="5:5" x14ac:dyDescent="0.25">
      <c r="E2749" s="31"/>
    </row>
    <row r="2750" spans="5:5" x14ac:dyDescent="0.25">
      <c r="E2750" s="31"/>
    </row>
    <row r="2751" spans="5:5" x14ac:dyDescent="0.25">
      <c r="E2751" s="31"/>
    </row>
    <row r="2752" spans="5:5" x14ac:dyDescent="0.25">
      <c r="E2752" s="31"/>
    </row>
    <row r="2753" spans="5:5" x14ac:dyDescent="0.25">
      <c r="E2753" s="31"/>
    </row>
    <row r="2754" spans="5:5" x14ac:dyDescent="0.25">
      <c r="E2754" s="31"/>
    </row>
    <row r="2755" spans="5:5" x14ac:dyDescent="0.25">
      <c r="E2755" s="31"/>
    </row>
    <row r="2756" spans="5:5" x14ac:dyDescent="0.25">
      <c r="E2756" s="31"/>
    </row>
    <row r="2757" spans="5:5" x14ac:dyDescent="0.25">
      <c r="E2757" s="31"/>
    </row>
    <row r="2758" spans="5:5" x14ac:dyDescent="0.25">
      <c r="E2758" s="31"/>
    </row>
    <row r="2759" spans="5:5" x14ac:dyDescent="0.25">
      <c r="E2759" s="31"/>
    </row>
    <row r="2760" spans="5:5" x14ac:dyDescent="0.25">
      <c r="E2760" s="31"/>
    </row>
    <row r="2761" spans="5:5" x14ac:dyDescent="0.25">
      <c r="E2761" s="31"/>
    </row>
    <row r="2762" spans="5:5" x14ac:dyDescent="0.25">
      <c r="E2762" s="31"/>
    </row>
    <row r="2763" spans="5:5" x14ac:dyDescent="0.25">
      <c r="E2763" s="31"/>
    </row>
    <row r="2764" spans="5:5" x14ac:dyDescent="0.25">
      <c r="E2764" s="31"/>
    </row>
    <row r="2765" spans="5:5" x14ac:dyDescent="0.25">
      <c r="E2765" s="31"/>
    </row>
    <row r="2766" spans="5:5" x14ac:dyDescent="0.25">
      <c r="E2766" s="31"/>
    </row>
    <row r="2767" spans="5:5" x14ac:dyDescent="0.25">
      <c r="E2767" s="31"/>
    </row>
    <row r="2768" spans="5:5" x14ac:dyDescent="0.25">
      <c r="E2768" s="31"/>
    </row>
    <row r="2769" spans="5:5" x14ac:dyDescent="0.25">
      <c r="E2769" s="31"/>
    </row>
    <row r="2770" spans="5:5" x14ac:dyDescent="0.25">
      <c r="E2770" s="31"/>
    </row>
    <row r="2771" spans="5:5" x14ac:dyDescent="0.25">
      <c r="E2771" s="31"/>
    </row>
    <row r="2772" spans="5:5" x14ac:dyDescent="0.25">
      <c r="E2772" s="31"/>
    </row>
    <row r="2773" spans="5:5" x14ac:dyDescent="0.25">
      <c r="E2773" s="31"/>
    </row>
    <row r="2774" spans="5:5" x14ac:dyDescent="0.25">
      <c r="E2774" s="31"/>
    </row>
    <row r="2775" spans="5:5" x14ac:dyDescent="0.25">
      <c r="E2775" s="31"/>
    </row>
    <row r="2776" spans="5:5" x14ac:dyDescent="0.25">
      <c r="E2776" s="31"/>
    </row>
    <row r="2777" spans="5:5" x14ac:dyDescent="0.25">
      <c r="E2777" s="31"/>
    </row>
    <row r="2778" spans="5:5" x14ac:dyDescent="0.25">
      <c r="E2778" s="31"/>
    </row>
    <row r="2779" spans="5:5" x14ac:dyDescent="0.25">
      <c r="E2779" s="31"/>
    </row>
    <row r="2780" spans="5:5" x14ac:dyDescent="0.25">
      <c r="E2780" s="31"/>
    </row>
    <row r="2781" spans="5:5" x14ac:dyDescent="0.25">
      <c r="E2781" s="31"/>
    </row>
    <row r="2782" spans="5:5" x14ac:dyDescent="0.25">
      <c r="E2782" s="31"/>
    </row>
    <row r="2783" spans="5:5" x14ac:dyDescent="0.25">
      <c r="E2783" s="31"/>
    </row>
    <row r="2784" spans="5:5" x14ac:dyDescent="0.25">
      <c r="E2784" s="31"/>
    </row>
    <row r="2785" spans="5:5" x14ac:dyDescent="0.25">
      <c r="E2785" s="31"/>
    </row>
    <row r="2786" spans="5:5" x14ac:dyDescent="0.25">
      <c r="E2786" s="31"/>
    </row>
    <row r="2787" spans="5:5" x14ac:dyDescent="0.25">
      <c r="E2787" s="31"/>
    </row>
    <row r="2788" spans="5:5" x14ac:dyDescent="0.25">
      <c r="E2788" s="31"/>
    </row>
    <row r="2789" spans="5:5" x14ac:dyDescent="0.25">
      <c r="E2789" s="31"/>
    </row>
    <row r="2790" spans="5:5" x14ac:dyDescent="0.25">
      <c r="E2790" s="31"/>
    </row>
    <row r="2791" spans="5:5" x14ac:dyDescent="0.25">
      <c r="E2791" s="31"/>
    </row>
    <row r="2792" spans="5:5" x14ac:dyDescent="0.25">
      <c r="E2792" s="31"/>
    </row>
    <row r="2793" spans="5:5" x14ac:dyDescent="0.25">
      <c r="E2793" s="31"/>
    </row>
    <row r="2794" spans="5:5" x14ac:dyDescent="0.25">
      <c r="E2794" s="31"/>
    </row>
    <row r="2795" spans="5:5" x14ac:dyDescent="0.25">
      <c r="E2795" s="31"/>
    </row>
    <row r="2796" spans="5:5" x14ac:dyDescent="0.25">
      <c r="E2796" s="31"/>
    </row>
    <row r="2797" spans="5:5" x14ac:dyDescent="0.25">
      <c r="E2797" s="31"/>
    </row>
    <row r="2798" spans="5:5" x14ac:dyDescent="0.25">
      <c r="E2798" s="31"/>
    </row>
    <row r="2799" spans="5:5" x14ac:dyDescent="0.25">
      <c r="E2799" s="31"/>
    </row>
    <row r="2800" spans="5:5" x14ac:dyDescent="0.25">
      <c r="E2800" s="31"/>
    </row>
    <row r="2801" spans="5:5" x14ac:dyDescent="0.25">
      <c r="E2801" s="31"/>
    </row>
    <row r="2802" spans="5:5" x14ac:dyDescent="0.25">
      <c r="E2802" s="31"/>
    </row>
    <row r="2803" spans="5:5" x14ac:dyDescent="0.25">
      <c r="E2803" s="31"/>
    </row>
    <row r="2804" spans="5:5" x14ac:dyDescent="0.25">
      <c r="E2804" s="31"/>
    </row>
    <row r="2805" spans="5:5" x14ac:dyDescent="0.25">
      <c r="E2805" s="31"/>
    </row>
    <row r="2806" spans="5:5" x14ac:dyDescent="0.25">
      <c r="E2806" s="31"/>
    </row>
    <row r="2807" spans="5:5" x14ac:dyDescent="0.25">
      <c r="E2807" s="31"/>
    </row>
    <row r="2808" spans="5:5" x14ac:dyDescent="0.25">
      <c r="E2808" s="31"/>
    </row>
    <row r="2809" spans="5:5" x14ac:dyDescent="0.25">
      <c r="E2809" s="31"/>
    </row>
    <row r="2810" spans="5:5" x14ac:dyDescent="0.25">
      <c r="E2810" s="31"/>
    </row>
    <row r="2811" spans="5:5" x14ac:dyDescent="0.25">
      <c r="E2811" s="31"/>
    </row>
    <row r="2812" spans="5:5" x14ac:dyDescent="0.25">
      <c r="E2812" s="31"/>
    </row>
    <row r="2813" spans="5:5" x14ac:dyDescent="0.25">
      <c r="E2813" s="31"/>
    </row>
    <row r="2814" spans="5:5" x14ac:dyDescent="0.25">
      <c r="E2814" s="31"/>
    </row>
    <row r="2815" spans="5:5" x14ac:dyDescent="0.25">
      <c r="E2815" s="31"/>
    </row>
    <row r="2816" spans="5:5" x14ac:dyDescent="0.25">
      <c r="E2816" s="31"/>
    </row>
    <row r="2817" spans="5:5" x14ac:dyDescent="0.25">
      <c r="E2817" s="31"/>
    </row>
    <row r="2818" spans="5:5" x14ac:dyDescent="0.25">
      <c r="E2818" s="31"/>
    </row>
    <row r="2819" spans="5:5" x14ac:dyDescent="0.25">
      <c r="E2819" s="31"/>
    </row>
    <row r="2820" spans="5:5" x14ac:dyDescent="0.25">
      <c r="E2820" s="31"/>
    </row>
    <row r="2821" spans="5:5" x14ac:dyDescent="0.25">
      <c r="E2821" s="31"/>
    </row>
    <row r="2822" spans="5:5" x14ac:dyDescent="0.25">
      <c r="E2822" s="31"/>
    </row>
    <row r="2823" spans="5:5" x14ac:dyDescent="0.25">
      <c r="E2823" s="31"/>
    </row>
    <row r="2824" spans="5:5" x14ac:dyDescent="0.25">
      <c r="E2824" s="31"/>
    </row>
    <row r="2825" spans="5:5" x14ac:dyDescent="0.25">
      <c r="E2825" s="31"/>
    </row>
    <row r="2826" spans="5:5" x14ac:dyDescent="0.25">
      <c r="E2826" s="31"/>
    </row>
    <row r="2827" spans="5:5" x14ac:dyDescent="0.25">
      <c r="E2827" s="31"/>
    </row>
    <row r="2828" spans="5:5" x14ac:dyDescent="0.25">
      <c r="E2828" s="31"/>
    </row>
    <row r="2829" spans="5:5" x14ac:dyDescent="0.25">
      <c r="E2829" s="31"/>
    </row>
    <row r="2830" spans="5:5" x14ac:dyDescent="0.25">
      <c r="E2830" s="31"/>
    </row>
    <row r="2831" spans="5:5" x14ac:dyDescent="0.25">
      <c r="E2831" s="31"/>
    </row>
    <row r="2832" spans="5:5" x14ac:dyDescent="0.25">
      <c r="E2832" s="31"/>
    </row>
    <row r="2833" spans="5:5" x14ac:dyDescent="0.25">
      <c r="E2833" s="31"/>
    </row>
    <row r="2834" spans="5:5" x14ac:dyDescent="0.25">
      <c r="E2834" s="31"/>
    </row>
    <row r="2835" spans="5:5" x14ac:dyDescent="0.25">
      <c r="E2835" s="31"/>
    </row>
    <row r="2836" spans="5:5" x14ac:dyDescent="0.25">
      <c r="E2836" s="31"/>
    </row>
    <row r="2837" spans="5:5" x14ac:dyDescent="0.25">
      <c r="E2837" s="31"/>
    </row>
    <row r="2838" spans="5:5" x14ac:dyDescent="0.25">
      <c r="E2838" s="31"/>
    </row>
    <row r="2839" spans="5:5" x14ac:dyDescent="0.25">
      <c r="E2839" s="31"/>
    </row>
    <row r="2840" spans="5:5" x14ac:dyDescent="0.25">
      <c r="E2840" s="31"/>
    </row>
    <row r="2841" spans="5:5" x14ac:dyDescent="0.25">
      <c r="E2841" s="31"/>
    </row>
    <row r="2842" spans="5:5" x14ac:dyDescent="0.25">
      <c r="E2842" s="31"/>
    </row>
    <row r="2843" spans="5:5" x14ac:dyDescent="0.25">
      <c r="E2843" s="31"/>
    </row>
    <row r="2844" spans="5:5" x14ac:dyDescent="0.25">
      <c r="E2844" s="31"/>
    </row>
    <row r="2845" spans="5:5" x14ac:dyDescent="0.25">
      <c r="E2845" s="31"/>
    </row>
  </sheetData>
  <mergeCells count="6">
    <mergeCell ref="G7:H7"/>
    <mergeCell ref="G9:H9"/>
    <mergeCell ref="A3:H3"/>
    <mergeCell ref="A2:H2"/>
    <mergeCell ref="G5:H5"/>
    <mergeCell ref="G6:H6"/>
  </mergeCells>
  <printOptions horizontalCentered="1"/>
  <pageMargins left="0.5" right="0.5" top="0.5" bottom="0.5" header="0.5" footer="0.5"/>
  <pageSetup scale="73" fitToHeight="7" orientation="portrait" r:id="rId1"/>
  <headerFooter alignWithMargins="0">
    <oddHeader xml:space="preserve">&amp;CATTACHMENT A </oddHeader>
    <oddFooter>&amp;L&amp;F&amp;C&amp;A&amp;RSDGE ---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Large C&amp;I (ABX1 43)</vt:lpstr>
      <vt:lpstr>Agricultural</vt:lpstr>
      <vt:lpstr>Agricultural!Print_Area</vt:lpstr>
      <vt:lpstr>'Large C&amp;I (ABX1 43)'!Print_Area</vt:lpstr>
    </vt:vector>
  </TitlesOfParts>
  <Company>CPUC  Energy Division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A.01-01-044 Derbas Att. A</dc:title>
  <dc:subject>R:MISC</dc:subject>
  <dc:creator>MELVILLE</dc:creator>
  <dc:description/>
  <cp:lastModifiedBy>Havlíček Jan</cp:lastModifiedBy>
  <cp:lastPrinted>2001-05-18T22:10:48Z</cp:lastPrinted>
  <dcterms:created xsi:type="dcterms:W3CDTF">2001-03-26T07:54:06Z</dcterms:created>
  <dcterms:modified xsi:type="dcterms:W3CDTF">2023-09-13T22:45:28Z</dcterms:modified>
</cp:coreProperties>
</file>