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88" yWindow="300" windowWidth="9168" windowHeight="4368" tabRatio="675" activeTab="1"/>
  </bookViews>
  <sheets>
    <sheet name="PSCO WKST" sheetId="5" r:id="rId1"/>
    <sheet name="CIG  WKST" sheetId="3" r:id="rId2"/>
  </sheets>
  <definedNames>
    <definedName name="_Order1" localSheetId="0" hidden="1">255</definedName>
    <definedName name="CANON">#REF!</definedName>
    <definedName name="cigwire">#REF!</definedName>
    <definedName name="cigwkst">'CIG  WKST'!$A$1:$H$104</definedName>
    <definedName name="PSCO">#REF!</definedName>
    <definedName name="tiffanywire">#REF!</definedName>
    <definedName name="TIFWKSHT">'PSCO WKST'!$B$1:$F$83</definedName>
  </definedNames>
  <calcPr calcId="92512"/>
</workbook>
</file>

<file path=xl/calcChain.xml><?xml version="1.0" encoding="utf-8"?>
<calcChain xmlns="http://schemas.openxmlformats.org/spreadsheetml/2006/main">
  <c r="A3" i="3" l="1"/>
  <c r="B5" i="3"/>
  <c r="D7" i="3"/>
  <c r="E7" i="3"/>
  <c r="F7" i="3"/>
  <c r="L7" i="3"/>
  <c r="D8" i="3"/>
  <c r="E8" i="3"/>
  <c r="F8" i="3"/>
  <c r="D9" i="3"/>
  <c r="E9" i="3"/>
  <c r="F9" i="3"/>
  <c r="E10" i="3"/>
  <c r="F10" i="3"/>
  <c r="D12" i="3"/>
  <c r="E12" i="3"/>
  <c r="F12" i="3"/>
  <c r="D13" i="3"/>
  <c r="E13" i="3"/>
  <c r="F13" i="3"/>
  <c r="K13" i="3"/>
  <c r="E14" i="3"/>
  <c r="F14" i="3"/>
  <c r="L14" i="3"/>
  <c r="E16" i="3"/>
  <c r="F16" i="3"/>
  <c r="D17" i="3"/>
  <c r="E17" i="3"/>
  <c r="F17" i="3"/>
  <c r="G17" i="3"/>
  <c r="H17" i="3"/>
  <c r="D18" i="3"/>
  <c r="F18" i="3"/>
  <c r="K18" i="3"/>
  <c r="D19" i="3"/>
  <c r="E19" i="3"/>
  <c r="F19" i="3"/>
  <c r="G19" i="3"/>
  <c r="H19" i="3"/>
  <c r="K19" i="3"/>
  <c r="D20" i="3"/>
  <c r="E20" i="3"/>
  <c r="F20" i="3"/>
  <c r="G20" i="3"/>
  <c r="H20" i="3"/>
  <c r="E21" i="3"/>
  <c r="F21" i="3"/>
  <c r="G21" i="3"/>
  <c r="H21" i="3"/>
  <c r="M23" i="3"/>
  <c r="B26" i="3"/>
  <c r="D28" i="3"/>
  <c r="E28" i="3"/>
  <c r="F28" i="3"/>
  <c r="D29" i="3"/>
  <c r="E29" i="3"/>
  <c r="F29" i="3"/>
  <c r="D30" i="3"/>
  <c r="E30" i="3"/>
  <c r="F30" i="3"/>
  <c r="L30" i="3"/>
  <c r="E31" i="3"/>
  <c r="F31" i="3"/>
  <c r="M32" i="3"/>
  <c r="D33" i="3"/>
  <c r="E33" i="3"/>
  <c r="F33" i="3"/>
  <c r="M33" i="3"/>
  <c r="D34" i="3"/>
  <c r="E34" i="3"/>
  <c r="F34" i="3"/>
  <c r="K34" i="3"/>
  <c r="E35" i="3"/>
  <c r="F35" i="3"/>
  <c r="E37" i="3"/>
  <c r="F37" i="3"/>
  <c r="D38" i="3"/>
  <c r="E38" i="3"/>
  <c r="F38" i="3"/>
  <c r="G38" i="3"/>
  <c r="H38" i="3"/>
  <c r="D39" i="3"/>
  <c r="E39" i="3"/>
  <c r="F39" i="3"/>
  <c r="G39" i="3"/>
  <c r="H39" i="3"/>
  <c r="K39" i="3"/>
  <c r="D40" i="3"/>
  <c r="E40" i="3"/>
  <c r="F40" i="3"/>
  <c r="G40" i="3"/>
  <c r="H40" i="3"/>
  <c r="D41" i="3"/>
  <c r="E41" i="3"/>
  <c r="F41" i="3"/>
  <c r="G41" i="3"/>
  <c r="H41" i="3"/>
  <c r="D42" i="3"/>
  <c r="E42" i="3"/>
  <c r="F42" i="3"/>
  <c r="G42" i="3"/>
  <c r="H42" i="3"/>
  <c r="E43" i="3"/>
  <c r="F43" i="3"/>
  <c r="H43" i="3"/>
  <c r="K43" i="3"/>
  <c r="B46" i="3"/>
  <c r="D48" i="3"/>
  <c r="E48" i="3"/>
  <c r="F48" i="3"/>
  <c r="D49" i="3"/>
  <c r="E49" i="3"/>
  <c r="F49" i="3"/>
  <c r="D50" i="3"/>
  <c r="E50" i="3"/>
  <c r="F50" i="3"/>
  <c r="E51" i="3"/>
  <c r="F51" i="3"/>
  <c r="K52" i="3"/>
  <c r="D53" i="3"/>
  <c r="E53" i="3"/>
  <c r="F53" i="3"/>
  <c r="D54" i="3"/>
  <c r="E54" i="3"/>
  <c r="F54" i="3"/>
  <c r="E55" i="3"/>
  <c r="F55" i="3"/>
  <c r="E57" i="3"/>
  <c r="F57" i="3"/>
  <c r="D58" i="3"/>
  <c r="E58" i="3"/>
  <c r="F58" i="3"/>
  <c r="G58" i="3"/>
  <c r="H58" i="3"/>
  <c r="D59" i="3"/>
  <c r="E59" i="3"/>
  <c r="F59" i="3"/>
  <c r="G59" i="3"/>
  <c r="H59" i="3"/>
  <c r="D60" i="3"/>
  <c r="E60" i="3"/>
  <c r="F60" i="3"/>
  <c r="G60" i="3"/>
  <c r="H60" i="3"/>
  <c r="E61" i="3"/>
  <c r="F61" i="3"/>
  <c r="H61" i="3"/>
  <c r="E66" i="3"/>
  <c r="F66" i="3"/>
  <c r="E67" i="3"/>
  <c r="F67" i="3"/>
  <c r="E68" i="3"/>
  <c r="F68" i="3"/>
  <c r="E69" i="3"/>
  <c r="F69" i="3"/>
  <c r="E71" i="3"/>
  <c r="F71" i="3"/>
  <c r="E72" i="3"/>
  <c r="F72" i="3"/>
  <c r="E73" i="3"/>
  <c r="F73" i="3"/>
  <c r="E75" i="3"/>
  <c r="F75" i="3"/>
  <c r="E76" i="3"/>
  <c r="F76" i="3"/>
  <c r="G76" i="3"/>
  <c r="H76" i="3"/>
  <c r="E77" i="3"/>
  <c r="F77" i="3"/>
  <c r="G77" i="3"/>
  <c r="H77" i="3"/>
  <c r="H78" i="3"/>
  <c r="E79" i="3"/>
  <c r="F79" i="3"/>
  <c r="G79" i="3"/>
  <c r="H79" i="3"/>
  <c r="E80" i="3"/>
  <c r="F80" i="3"/>
  <c r="G80" i="3"/>
  <c r="H80" i="3"/>
  <c r="E81" i="3"/>
  <c r="F81" i="3"/>
  <c r="H81" i="3"/>
  <c r="E84" i="3"/>
  <c r="H84" i="3"/>
  <c r="E85" i="3"/>
  <c r="H85" i="3"/>
  <c r="E86" i="3"/>
  <c r="H86" i="3"/>
  <c r="E87" i="3"/>
  <c r="H87" i="3"/>
  <c r="H88" i="3"/>
  <c r="B90" i="3"/>
  <c r="C90" i="3"/>
  <c r="F90" i="3"/>
  <c r="F91" i="3"/>
  <c r="F92" i="3"/>
  <c r="G92" i="3"/>
  <c r="H92" i="3"/>
  <c r="H95" i="3"/>
  <c r="H96" i="3"/>
  <c r="H97" i="3"/>
  <c r="H98" i="3"/>
  <c r="H100" i="3"/>
  <c r="F2" i="5"/>
  <c r="F8" i="5"/>
  <c r="F9" i="5"/>
  <c r="F10" i="5"/>
  <c r="F11" i="5"/>
  <c r="C12" i="5"/>
  <c r="F12" i="5"/>
  <c r="H12" i="5"/>
  <c r="F16" i="5"/>
  <c r="F17" i="5"/>
  <c r="F18" i="5"/>
  <c r="F20" i="5"/>
  <c r="F24" i="5"/>
  <c r="C25" i="5"/>
  <c r="F25" i="5"/>
  <c r="C26" i="5"/>
  <c r="F26" i="5"/>
  <c r="F27" i="5"/>
  <c r="C28" i="5"/>
  <c r="F28" i="5"/>
  <c r="H28" i="5"/>
  <c r="F32" i="5"/>
  <c r="F33" i="5"/>
  <c r="F34" i="5"/>
  <c r="F35" i="5"/>
  <c r="F36" i="5"/>
  <c r="F38" i="5"/>
  <c r="D46" i="5"/>
  <c r="D47" i="5"/>
  <c r="D48" i="5"/>
  <c r="D49" i="5"/>
  <c r="C50" i="5"/>
  <c r="F50" i="5"/>
  <c r="H50" i="5"/>
  <c r="F53" i="5"/>
  <c r="D54" i="5"/>
  <c r="F54" i="5"/>
  <c r="D55" i="5"/>
  <c r="F55" i="5"/>
  <c r="D56" i="5"/>
  <c r="F56" i="5"/>
  <c r="F57" i="5"/>
  <c r="F64" i="5"/>
  <c r="F66" i="5"/>
  <c r="F70" i="5"/>
  <c r="F71" i="5"/>
  <c r="F72" i="5"/>
  <c r="H72" i="5"/>
  <c r="F73" i="5"/>
  <c r="F76" i="5"/>
  <c r="H76" i="5"/>
  <c r="C78" i="5"/>
  <c r="D78" i="5"/>
  <c r="F78" i="5"/>
  <c r="F82" i="5"/>
</calcChain>
</file>

<file path=xl/comments1.xml><?xml version="1.0" encoding="utf-8"?>
<comments xmlns="http://schemas.openxmlformats.org/spreadsheetml/2006/main">
  <authors>
    <author>CWLipke</author>
  </authors>
  <commentList>
    <comment ref="F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In tariff or Summary Qtys report, col.6</t>
        </r>
      </text>
    </comment>
    <comment ref="C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From PSCo invoice Firm Cap. Chg volume .</t>
        </r>
      </text>
    </comment>
    <comment ref="H1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H2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 &amp; $ should match PSCo summary invoice</t>
        </r>
      </text>
    </comment>
    <comment ref="F38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Match to PSCo summary inv. Total Transportation Charges total.</t>
        </r>
      </text>
    </comment>
    <comment ref="D4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Firm bkup chg per tariff
Changed from $2.80 to $2.89 6-Jan-00.
</t>
        </r>
      </text>
    </comment>
    <comment ref="H50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Agreement w/pipeline to pay for 400 MMBtu
</t>
        </r>
      </text>
    </comment>
    <comment ref="H7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Should match PSCo summary invoice Total Amount Due less any late charges and Prev Bal Fwd</t>
        </r>
      </text>
    </comment>
  </commentList>
</comments>
</file>

<file path=xl/comments2.xml><?xml version="1.0" encoding="utf-8"?>
<comments xmlns="http://schemas.openxmlformats.org/spreadsheetml/2006/main">
  <authors>
    <author>CWLipke</author>
  </authors>
  <commentList>
    <comment ref="K14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to get vols sched into CIG southern system.</t>
        </r>
      </text>
    </comment>
    <comment ref="K22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This contract does not allow release of unused volumes.</t>
        </r>
      </text>
    </comment>
    <comment ref="K23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Verify w/ tariff. Chgs every quarter.</t>
        </r>
      </text>
    </comment>
    <comment ref="K3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Call Nicole Cortez at ENRON (Denver) to get vols sched into CIG southern system.</t>
        </r>
      </text>
    </comment>
    <comment ref="K65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per current contract, Czn receives a credit of $0.06 /Dth of unused cap. On FT contract #33171000.</t>
        </r>
      </text>
    </comment>
    <comment ref="K76" authorId="0" shapeId="0">
      <text>
        <r>
          <rPr>
            <b/>
            <sz val="8"/>
            <color indexed="81"/>
            <rFont val="Tahoma"/>
          </rPr>
          <t>CWLipke:</t>
        </r>
        <r>
          <rPr>
            <sz val="8"/>
            <color indexed="81"/>
            <rFont val="Tahoma"/>
          </rPr>
          <t xml:space="preserve">
Vols  accounted for above in withdrawl from storage.
</t>
        </r>
      </text>
    </comment>
  </commentList>
</comments>
</file>

<file path=xl/sharedStrings.xml><?xml version="1.0" encoding="utf-8"?>
<sst xmlns="http://schemas.openxmlformats.org/spreadsheetml/2006/main" count="209" uniqueCount="89">
  <si>
    <t>Date:</t>
  </si>
  <si>
    <t>Contract</t>
  </si>
  <si>
    <t>Fuel</t>
  </si>
  <si>
    <t>Receipt</t>
  </si>
  <si>
    <t>Delivered</t>
  </si>
  <si>
    <t>Price</t>
  </si>
  <si>
    <t>Amount</t>
  </si>
  <si>
    <t>Total Volume To White Rock (WRK)</t>
  </si>
  <si>
    <t>Total Volume To Storage (TCS)</t>
  </si>
  <si>
    <t>For Others</t>
  </si>
  <si>
    <t>Net Volume To Citizens Utilities</t>
  </si>
  <si>
    <t>Fixed Pricing</t>
  </si>
  <si>
    <t>North Pricing</t>
  </si>
  <si>
    <t>South Pricing</t>
  </si>
  <si>
    <t>Total All</t>
  </si>
  <si>
    <t>Total Transportation Invoice</t>
  </si>
  <si>
    <t>Total Capacity Available For Release</t>
  </si>
  <si>
    <t>Days</t>
  </si>
  <si>
    <t>Total Capacity Used To Serve Citizens</t>
  </si>
  <si>
    <t>Transportation Credit Due Citizens</t>
  </si>
  <si>
    <t>Net</t>
  </si>
  <si>
    <t>Adjustments</t>
  </si>
  <si>
    <t>Total Due</t>
  </si>
  <si>
    <t>Total Volume To N29</t>
  </si>
  <si>
    <t>N29</t>
  </si>
  <si>
    <t>STORAGE</t>
  </si>
  <si>
    <t>OTHERS/WRK</t>
  </si>
  <si>
    <t>FIXED PRICING</t>
  </si>
  <si>
    <t>NORTH PRICING</t>
  </si>
  <si>
    <t>SOUTH PRICING</t>
  </si>
  <si>
    <t>NORTH VOLUMES</t>
  </si>
  <si>
    <t>FIXED VOLUMES</t>
  </si>
  <si>
    <t>SOUTH VOLUMES</t>
  </si>
  <si>
    <t>INVOICE AMOUNT</t>
  </si>
  <si>
    <t>RESERV. VOLUME</t>
  </si>
  <si>
    <t># DAYS IN MONTH</t>
  </si>
  <si>
    <t>CREDIT DUE CUC</t>
  </si>
  <si>
    <t>DUE DATE:</t>
  </si>
  <si>
    <t>ADJUSTMENTS</t>
  </si>
  <si>
    <t>CIG -NNT</t>
  </si>
  <si>
    <t>Total CIG - NNT Invoice</t>
  </si>
  <si>
    <t>DELIVERED</t>
  </si>
  <si>
    <t>TRANSPORTATION SERVICE</t>
  </si>
  <si>
    <t>PINE</t>
  </si>
  <si>
    <t>BAYFIELD</t>
  </si>
  <si>
    <t>PAGOSA SPRINGS</t>
  </si>
  <si>
    <t>RATE</t>
  </si>
  <si>
    <t>AMOUNT DUE</t>
  </si>
  <si>
    <t>SERVICE &amp; FACILITY CHARGE</t>
  </si>
  <si>
    <t>1 METER  X</t>
  </si>
  <si>
    <t>TRANSPORTATION CHARGE</t>
  </si>
  <si>
    <t>PSCO</t>
  </si>
  <si>
    <t>VOLUME</t>
  </si>
  <si>
    <t>TOTAL TRANSPORTATION CHARGES</t>
  </si>
  <si>
    <t>BACKUP SALES SERVICE</t>
  </si>
  <si>
    <t>FIRM SUPPLY CHARGE</t>
  </si>
  <si>
    <t>GAS SUPPLY COST ADJ.</t>
  </si>
  <si>
    <t>TOTAL SUPPLY CHARGES</t>
  </si>
  <si>
    <t>TOTAL AMOUNT DUE</t>
  </si>
  <si>
    <t>ADJUSTMENTS - GRSA</t>
  </si>
  <si>
    <t>PINE STATION</t>
  </si>
  <si>
    <t>TOTALS</t>
  </si>
  <si>
    <t>TOTAL TRANSPORTATION SERVICE</t>
  </si>
  <si>
    <t xml:space="preserve"> </t>
  </si>
  <si>
    <t>ADJUSTMENTS - GRSA / BALANCE FORWARD</t>
  </si>
  <si>
    <t>Prior Period Adjust</t>
  </si>
  <si>
    <t>Third Party Shipper Credit</t>
  </si>
  <si>
    <t>Shipper Third Party Credit</t>
  </si>
  <si>
    <t>Prior Period Adjustments</t>
  </si>
  <si>
    <t>LaPlata (Airport)</t>
  </si>
  <si>
    <t>Cashout Credit</t>
  </si>
  <si>
    <t>Enron North America</t>
  </si>
  <si>
    <t>ROCKY + .01</t>
  </si>
  <si>
    <t>NORTH PRICING Rocky+.01</t>
  </si>
  <si>
    <t>SOUTH PRICING Rocky+.10</t>
  </si>
  <si>
    <t xml:space="preserve">Total Volume To N29 </t>
  </si>
  <si>
    <t>Month:</t>
  </si>
  <si>
    <t>Due:</t>
  </si>
  <si>
    <t>33171000 TF-1</t>
  </si>
  <si>
    <t>33175000 TF-1</t>
  </si>
  <si>
    <t>31029000 NNT-1</t>
  </si>
  <si>
    <t>FIRM CAPACITY CHARGE</t>
  </si>
  <si>
    <t>TIFFANY receipt</t>
  </si>
  <si>
    <t>IFEPSJ:</t>
  </si>
  <si>
    <t>Fuel Rate:</t>
  </si>
  <si>
    <t>IFCIGRky</t>
  </si>
  <si>
    <t>33229000  NNT-1</t>
  </si>
  <si>
    <t>EXPIRED - No longer in use.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</si>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</sst>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7" formatCode="&quot;$&quot;#,##0.00_);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.0000_);_(* \(#,##0.0000\);_(* &quot;-&quot;??_);_(@_)"/>
    <numFmt numFmtId="176" formatCode="0.00_);\(0.00\)"/>
    <numFmt numFmtId="181" formatCode="_(&quot;$&quot;* #,##0_);_(&quot;$&quot;* \(#,##0\);_(&quot;$&quot;* &quot;-&quot;??_);_(@_)"/>
    <numFmt numFmtId="182" formatCode="mmmm\-yy"/>
    <numFmt numFmtId="191" formatCode="_(* #,##0.00000000_);_(* \(#,##0.00000000\);_(* &quot;-&quot;??_);_(@_)"/>
    <numFmt numFmtId="193" formatCode="0.000%"/>
  </numFmts>
  <fonts count="31" x14ac:knownFonts="1">
    <font>
      <sz val="12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b/>
      <sz val="10"/>
      <name val="Arial"/>
      <family val="2"/>
    </font>
    <font>
      <b/>
      <u val="doubleAccounting"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indexed="14"/>
      <name val="Arial"/>
      <family val="2"/>
    </font>
    <font>
      <sz val="12"/>
      <color indexed="8"/>
      <name val="Arial"/>
      <family val="2"/>
    </font>
    <font>
      <u/>
      <sz val="12"/>
      <name val="Arial"/>
      <family val="2"/>
    </font>
    <font>
      <b/>
      <i/>
      <u/>
      <sz val="14"/>
      <name val="Arial"/>
      <family val="2"/>
    </font>
    <font>
      <b/>
      <i/>
      <sz val="20"/>
      <name val="Arial"/>
      <family val="2"/>
    </font>
    <font>
      <b/>
      <i/>
      <u/>
      <sz val="12"/>
      <name val="Arial"/>
      <family val="2"/>
    </font>
    <font>
      <b/>
      <sz val="16"/>
      <name val="Arial"/>
      <family val="2"/>
    </font>
    <font>
      <sz val="12"/>
      <color indexed="56"/>
      <name val="Arial"/>
      <family val="2"/>
    </font>
    <font>
      <u val="singleAccounting"/>
      <sz val="12"/>
      <name val="Arial"/>
      <family val="2"/>
    </font>
    <font>
      <b/>
      <i/>
      <sz val="16"/>
      <name val="Arial"/>
      <family val="2"/>
    </font>
    <font>
      <sz val="10"/>
      <color indexed="12"/>
      <name val="Arial"/>
      <family val="2"/>
    </font>
    <font>
      <sz val="12"/>
      <color indexed="12"/>
      <name val="Arial"/>
      <family val="2"/>
    </font>
    <font>
      <b/>
      <sz val="2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2"/>
      <color indexed="12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0" fillId="0" borderId="0" xfId="0" applyBorder="1" applyProtection="1"/>
    <xf numFmtId="0" fontId="0" fillId="0" borderId="0" xfId="0" applyBorder="1"/>
    <xf numFmtId="0" fontId="3" fillId="0" borderId="0" xfId="0" applyFont="1" applyBorder="1" applyProtection="1"/>
    <xf numFmtId="0" fontId="3" fillId="0" borderId="1" xfId="0" applyFont="1" applyBorder="1" applyProtection="1"/>
    <xf numFmtId="0" fontId="3" fillId="0" borderId="0" xfId="0" applyFont="1" applyBorder="1" applyAlignment="1" applyProtection="1">
      <alignment horizontal="right"/>
    </xf>
    <xf numFmtId="0" fontId="1" fillId="0" borderId="0" xfId="3"/>
    <xf numFmtId="0" fontId="5" fillId="0" borderId="2" xfId="3" applyFont="1" applyBorder="1" applyAlignment="1">
      <alignment horizontal="right"/>
    </xf>
    <xf numFmtId="0" fontId="5" fillId="0" borderId="3" xfId="3" applyFont="1" applyBorder="1"/>
    <xf numFmtId="0" fontId="1" fillId="0" borderId="3" xfId="3" applyBorder="1"/>
    <xf numFmtId="0" fontId="1" fillId="0" borderId="4" xfId="3" applyBorder="1"/>
    <xf numFmtId="0" fontId="1" fillId="0" borderId="5" xfId="3" applyBorder="1"/>
    <xf numFmtId="0" fontId="1" fillId="0" borderId="0" xfId="3" applyBorder="1"/>
    <xf numFmtId="0" fontId="6" fillId="0" borderId="0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173" fontId="1" fillId="0" borderId="0" xfId="1" applyNumberFormat="1" applyBorder="1"/>
    <xf numFmtId="169" fontId="1" fillId="0" borderId="0" xfId="1" applyNumberFormat="1" applyBorder="1"/>
    <xf numFmtId="171" fontId="1" fillId="0" borderId="0" xfId="2" applyNumberFormat="1" applyBorder="1"/>
    <xf numFmtId="44" fontId="1" fillId="0" borderId="6" xfId="2" applyBorder="1"/>
    <xf numFmtId="169" fontId="7" fillId="0" borderId="0" xfId="1" applyNumberFormat="1" applyFont="1" applyBorder="1"/>
    <xf numFmtId="44" fontId="7" fillId="0" borderId="6" xfId="2" applyFont="1" applyBorder="1"/>
    <xf numFmtId="0" fontId="1" fillId="0" borderId="7" xfId="3" applyBorder="1"/>
    <xf numFmtId="0" fontId="1" fillId="0" borderId="8" xfId="3" applyBorder="1"/>
    <xf numFmtId="173" fontId="1" fillId="0" borderId="8" xfId="1" applyNumberFormat="1" applyBorder="1"/>
    <xf numFmtId="169" fontId="1" fillId="0" borderId="8" xfId="1" applyNumberFormat="1" applyBorder="1"/>
    <xf numFmtId="171" fontId="1" fillId="0" borderId="8" xfId="2" applyNumberFormat="1" applyBorder="1"/>
    <xf numFmtId="44" fontId="1" fillId="0" borderId="9" xfId="2" applyBorder="1"/>
    <xf numFmtId="173" fontId="1" fillId="0" borderId="0" xfId="1" applyNumberFormat="1"/>
    <xf numFmtId="169" fontId="1" fillId="0" borderId="0" xfId="1" applyNumberFormat="1"/>
    <xf numFmtId="171" fontId="1" fillId="0" borderId="0" xfId="2" applyNumberFormat="1"/>
    <xf numFmtId="44" fontId="1" fillId="0" borderId="0" xfId="2"/>
    <xf numFmtId="0" fontId="5" fillId="0" borderId="3" xfId="3" applyFont="1" applyBorder="1" applyAlignment="1">
      <alignment horizontal="right"/>
    </xf>
    <xf numFmtId="44" fontId="1" fillId="0" borderId="0" xfId="2" applyBorder="1"/>
    <xf numFmtId="44" fontId="7" fillId="0" borderId="0" xfId="2" applyFont="1"/>
    <xf numFmtId="169" fontId="7" fillId="0" borderId="0" xfId="3" applyNumberFormat="1" applyFont="1"/>
    <xf numFmtId="0" fontId="1" fillId="0" borderId="0" xfId="3" applyAlignment="1">
      <alignment horizontal="right"/>
    </xf>
    <xf numFmtId="0" fontId="8" fillId="0" borderId="0" xfId="3" applyFont="1"/>
    <xf numFmtId="44" fontId="9" fillId="0" borderId="0" xfId="2" applyFont="1"/>
    <xf numFmtId="0" fontId="1" fillId="0" borderId="5" xfId="3" applyFont="1" applyBorder="1"/>
    <xf numFmtId="169" fontId="10" fillId="0" borderId="0" xfId="1" applyNumberFormat="1" applyFont="1" applyBorder="1"/>
    <xf numFmtId="0" fontId="1" fillId="0" borderId="0" xfId="3" applyFont="1"/>
    <xf numFmtId="0" fontId="11" fillId="0" borderId="0" xfId="3" applyFont="1"/>
    <xf numFmtId="43" fontId="1" fillId="0" borderId="0" xfId="1" applyNumberFormat="1"/>
    <xf numFmtId="17" fontId="1" fillId="0" borderId="0" xfId="3" applyNumberFormat="1"/>
    <xf numFmtId="171" fontId="7" fillId="0" borderId="0" xfId="2" applyNumberFormat="1" applyFont="1" applyBorder="1"/>
    <xf numFmtId="17" fontId="1" fillId="0" borderId="0" xfId="1" quotePrefix="1" applyNumberFormat="1" applyFont="1"/>
    <xf numFmtId="176" fontId="1" fillId="0" borderId="0" xfId="3" applyNumberFormat="1"/>
    <xf numFmtId="44" fontId="1" fillId="0" borderId="0" xfId="3" applyNumberFormat="1" applyFont="1"/>
    <xf numFmtId="0" fontId="12" fillId="0" borderId="0" xfId="3" applyFont="1"/>
    <xf numFmtId="44" fontId="10" fillId="0" borderId="0" xfId="2" applyFont="1"/>
    <xf numFmtId="7" fontId="1" fillId="0" borderId="0" xfId="3" applyNumberFormat="1"/>
    <xf numFmtId="0" fontId="13" fillId="0" borderId="5" xfId="3" applyFont="1" applyBorder="1"/>
    <xf numFmtId="169" fontId="1" fillId="0" borderId="0" xfId="3" applyNumberFormat="1"/>
    <xf numFmtId="169" fontId="12" fillId="0" borderId="0" xfId="1" applyNumberFormat="1" applyFont="1" applyBorder="1"/>
    <xf numFmtId="43" fontId="1" fillId="0" borderId="0" xfId="1" quotePrefix="1" applyFont="1"/>
    <xf numFmtId="43" fontId="1" fillId="0" borderId="0" xfId="1"/>
    <xf numFmtId="1" fontId="1" fillId="0" borderId="0" xfId="3" applyNumberFormat="1"/>
    <xf numFmtId="169" fontId="1" fillId="0" borderId="0" xfId="1" applyNumberFormat="1" applyFont="1"/>
    <xf numFmtId="173" fontId="1" fillId="0" borderId="0" xfId="3" applyNumberFormat="1"/>
    <xf numFmtId="41" fontId="1" fillId="0" borderId="0" xfId="1" applyNumberFormat="1"/>
    <xf numFmtId="41" fontId="1" fillId="0" borderId="0" xfId="3" applyNumberFormat="1"/>
    <xf numFmtId="17" fontId="1" fillId="0" borderId="0" xfId="3" quotePrefix="1" applyNumberFormat="1" applyFont="1" applyAlignment="1">
      <alignment horizontal="right"/>
    </xf>
    <xf numFmtId="173" fontId="1" fillId="0" borderId="0" xfId="1" applyNumberFormat="1" applyFont="1"/>
    <xf numFmtId="0" fontId="1" fillId="0" borderId="10" xfId="3" applyFont="1" applyBorder="1"/>
    <xf numFmtId="43" fontId="1" fillId="0" borderId="0" xfId="3" applyNumberFormat="1"/>
    <xf numFmtId="169" fontId="1" fillId="0" borderId="0" xfId="1" applyNumberFormat="1" applyFont="1" applyBorder="1"/>
    <xf numFmtId="43" fontId="1" fillId="0" borderId="0" xfId="1" applyNumberFormat="1" applyFont="1"/>
    <xf numFmtId="171" fontId="1" fillId="0" borderId="0" xfId="2" applyNumberFormat="1" applyFont="1" applyBorder="1"/>
    <xf numFmtId="181" fontId="1" fillId="0" borderId="0" xfId="2" applyNumberFormat="1" applyFont="1" applyBorder="1"/>
    <xf numFmtId="0" fontId="1" fillId="0" borderId="0" xfId="3" quotePrefix="1" applyFont="1"/>
    <xf numFmtId="44" fontId="1" fillId="0" borderId="0" xfId="3" applyNumberFormat="1"/>
    <xf numFmtId="0" fontId="15" fillId="0" borderId="0" xfId="0" applyFont="1"/>
    <xf numFmtId="2" fontId="0" fillId="0" borderId="0" xfId="0" applyNumberFormat="1"/>
    <xf numFmtId="44" fontId="0" fillId="0" borderId="0" xfId="2" applyFont="1"/>
    <xf numFmtId="169" fontId="0" fillId="0" borderId="0" xfId="1" applyNumberFormat="1" applyFont="1"/>
    <xf numFmtId="44" fontId="0" fillId="0" borderId="0" xfId="0" applyNumberFormat="1"/>
    <xf numFmtId="0" fontId="15" fillId="0" borderId="0" xfId="0" applyFont="1" applyAlignment="1">
      <alignment horizontal="center"/>
    </xf>
    <xf numFmtId="0" fontId="2" fillId="0" borderId="0" xfId="0" applyFont="1"/>
    <xf numFmtId="169" fontId="0" fillId="0" borderId="0" xfId="0" applyNumberFormat="1"/>
    <xf numFmtId="0" fontId="18" fillId="0" borderId="0" xfId="0" applyFont="1"/>
    <xf numFmtId="0" fontId="17" fillId="0" borderId="0" xfId="0" applyFont="1" applyAlignment="1">
      <alignment horizontal="center"/>
    </xf>
    <xf numFmtId="44" fontId="20" fillId="0" borderId="0" xfId="2" applyFont="1"/>
    <xf numFmtId="0" fontId="16" fillId="0" borderId="0" xfId="0" applyFont="1" applyAlignment="1">
      <alignment horizontal="center"/>
    </xf>
    <xf numFmtId="44" fontId="21" fillId="0" borderId="0" xfId="2" applyFont="1"/>
    <xf numFmtId="0" fontId="14" fillId="0" borderId="0" xfId="0" applyFont="1"/>
    <xf numFmtId="169" fontId="1" fillId="0" borderId="0" xfId="3" quotePrefix="1" applyNumberFormat="1" applyFont="1"/>
    <xf numFmtId="182" fontId="1" fillId="0" borderId="0" xfId="3" applyNumberFormat="1"/>
    <xf numFmtId="44" fontId="0" fillId="0" borderId="1" xfId="2" applyFont="1" applyBorder="1"/>
    <xf numFmtId="41" fontId="1" fillId="0" borderId="0" xfId="3" applyNumberFormat="1" applyFont="1" applyAlignment="1">
      <alignment horizontal="right"/>
    </xf>
    <xf numFmtId="0" fontId="8" fillId="0" borderId="0" xfId="3" applyFont="1" applyAlignment="1">
      <alignment horizontal="right"/>
    </xf>
    <xf numFmtId="0" fontId="10" fillId="0" borderId="0" xfId="3" applyFont="1" applyAlignment="1">
      <alignment horizontal="right"/>
    </xf>
    <xf numFmtId="0" fontId="22" fillId="0" borderId="0" xfId="3" applyFont="1"/>
    <xf numFmtId="169" fontId="23" fillId="0" borderId="0" xfId="1" applyNumberFormat="1" applyFont="1"/>
    <xf numFmtId="44" fontId="23" fillId="0" borderId="0" xfId="2" applyFont="1"/>
    <xf numFmtId="0" fontId="23" fillId="2" borderId="0" xfId="3" applyFont="1" applyFill="1" applyBorder="1"/>
    <xf numFmtId="173" fontId="23" fillId="2" borderId="0" xfId="1" applyNumberFormat="1" applyFont="1" applyFill="1" applyBorder="1"/>
    <xf numFmtId="169" fontId="23" fillId="2" borderId="0" xfId="1" applyNumberFormat="1" applyFont="1" applyFill="1" applyBorder="1"/>
    <xf numFmtId="171" fontId="23" fillId="2" borderId="0" xfId="2" applyNumberFormat="1" applyFont="1" applyFill="1" applyBorder="1"/>
    <xf numFmtId="44" fontId="23" fillId="2" borderId="6" xfId="2" applyFont="1" applyFill="1" applyBorder="1"/>
    <xf numFmtId="10" fontId="24" fillId="0" borderId="0" xfId="0" applyNumberFormat="1" applyFont="1"/>
    <xf numFmtId="169" fontId="3" fillId="0" borderId="0" xfId="1" applyNumberFormat="1" applyFont="1"/>
    <xf numFmtId="17" fontId="23" fillId="2" borderId="0" xfId="3" applyNumberFormat="1" applyFont="1" applyFill="1" applyBorder="1"/>
    <xf numFmtId="43" fontId="0" fillId="0" borderId="0" xfId="1" applyFont="1"/>
    <xf numFmtId="169" fontId="1" fillId="0" borderId="0" xfId="1" applyNumberFormat="1" applyBorder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8" fillId="3" borderId="11" xfId="3" applyFont="1" applyFill="1" applyBorder="1"/>
    <xf numFmtId="169" fontId="23" fillId="4" borderId="11" xfId="1" applyNumberFormat="1" applyFont="1" applyFill="1" applyBorder="1"/>
    <xf numFmtId="0" fontId="1" fillId="0" borderId="12" xfId="3" applyFont="1" applyBorder="1"/>
    <xf numFmtId="15" fontId="24" fillId="0" borderId="0" xfId="0" applyNumberFormat="1" applyFont="1"/>
    <xf numFmtId="169" fontId="24" fillId="0" borderId="0" xfId="1" applyNumberFormat="1" applyFont="1"/>
    <xf numFmtId="169" fontId="28" fillId="0" borderId="0" xfId="1" applyNumberFormat="1" applyFont="1"/>
    <xf numFmtId="169" fontId="24" fillId="0" borderId="1" xfId="1" applyNumberFormat="1" applyFont="1" applyBorder="1"/>
    <xf numFmtId="44" fontId="24" fillId="0" borderId="0" xfId="2" applyFont="1"/>
    <xf numFmtId="44" fontId="3" fillId="0" borderId="0" xfId="2" applyFont="1"/>
    <xf numFmtId="0" fontId="29" fillId="0" borderId="0" xfId="3" applyFont="1"/>
    <xf numFmtId="43" fontId="10" fillId="0" borderId="0" xfId="1" applyNumberFormat="1" applyFont="1"/>
    <xf numFmtId="44" fontId="0" fillId="0" borderId="13" xfId="2" applyFont="1" applyBorder="1"/>
    <xf numFmtId="0" fontId="30" fillId="0" borderId="0" xfId="3" applyFont="1"/>
    <xf numFmtId="0" fontId="1" fillId="0" borderId="10" xfId="3" applyBorder="1"/>
    <xf numFmtId="17" fontId="4" fillId="0" borderId="0" xfId="0" applyNumberFormat="1" applyFont="1" applyAlignment="1">
      <alignment horizontal="center"/>
    </xf>
    <xf numFmtId="44" fontId="19" fillId="0" borderId="13" xfId="0" applyNumberFormat="1" applyFont="1" applyBorder="1"/>
    <xf numFmtId="44" fontId="0" fillId="0" borderId="13" xfId="0" applyNumberFormat="1" applyBorder="1"/>
    <xf numFmtId="43" fontId="0" fillId="0" borderId="1" xfId="1" applyFont="1" applyBorder="1"/>
    <xf numFmtId="43" fontId="24" fillId="0" borderId="0" xfId="1" applyFont="1"/>
    <xf numFmtId="43" fontId="24" fillId="0" borderId="1" xfId="1" applyFont="1" applyBorder="1"/>
    <xf numFmtId="2" fontId="24" fillId="0" borderId="0" xfId="0" applyNumberFormat="1" applyFont="1"/>
    <xf numFmtId="2" fontId="24" fillId="0" borderId="1" xfId="0" applyNumberFormat="1" applyFont="1" applyBorder="1"/>
    <xf numFmtId="191" fontId="0" fillId="0" borderId="0" xfId="1" applyNumberFormat="1" applyFont="1"/>
    <xf numFmtId="44" fontId="24" fillId="0" borderId="1" xfId="2" applyFont="1" applyBorder="1"/>
    <xf numFmtId="17" fontId="29" fillId="0" borderId="14" xfId="3" quotePrefix="1" applyNumberFormat="1" applyFont="1" applyBorder="1" applyAlignment="1">
      <alignment horizontal="center"/>
    </xf>
    <xf numFmtId="14" fontId="29" fillId="0" borderId="15" xfId="3" quotePrefix="1" applyNumberFormat="1" applyFont="1" applyBorder="1"/>
    <xf numFmtId="169" fontId="29" fillId="0" borderId="0" xfId="1" applyNumberFormat="1" applyFont="1"/>
    <xf numFmtId="193" fontId="23" fillId="0" borderId="0" xfId="4" applyNumberFormat="1" applyFont="1" applyBorder="1"/>
    <xf numFmtId="170" fontId="4" fillId="0" borderId="0" xfId="2" applyNumberFormat="1" applyFont="1"/>
    <xf numFmtId="10" fontId="1" fillId="4" borderId="0" xfId="4" applyNumberFormat="1" applyFill="1"/>
    <xf numFmtId="10" fontId="1" fillId="4" borderId="0" xfId="3" applyNumberFormat="1" applyFill="1"/>
  </cellXfs>
  <cellStyles count="5">
    <cellStyle name="Comma" xfId="1" builtinId="3"/>
    <cellStyle name="Currency" xfId="2" builtinId="4"/>
    <cellStyle name="Normal" xfId="0" builtinId="0"/>
    <cellStyle name="Normal_NFMCINV" xfId="3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I113"/>
  <sheetViews>
    <sheetView defaultGridColor="0" colorId="22" zoomScale="77" workbookViewId="0">
      <selection activeCell="C20" sqref="C20"/>
    </sheetView>
  </sheetViews>
  <sheetFormatPr defaultColWidth="9.6328125" defaultRowHeight="15" x14ac:dyDescent="0.25"/>
  <cols>
    <col min="1" max="1" width="5.6328125" customWidth="1"/>
    <col min="2" max="2" width="25" bestFit="1" customWidth="1"/>
    <col min="3" max="3" width="12" customWidth="1"/>
    <col min="4" max="4" width="11.6328125" bestFit="1" customWidth="1"/>
    <col min="5" max="5" width="4.36328125" customWidth="1"/>
    <col min="6" max="6" width="17.453125" customWidth="1"/>
    <col min="7" max="7" width="4.453125" customWidth="1"/>
    <col min="8" max="8" width="12.6328125" bestFit="1" customWidth="1"/>
  </cols>
  <sheetData>
    <row r="1" spans="2:8" ht="24.6" x14ac:dyDescent="0.4">
      <c r="B1" s="105" t="s">
        <v>51</v>
      </c>
      <c r="D1" s="104" t="s">
        <v>76</v>
      </c>
      <c r="F1" s="120">
        <v>36923</v>
      </c>
    </row>
    <row r="2" spans="2:8" x14ac:dyDescent="0.25">
      <c r="D2" s="104" t="s">
        <v>77</v>
      </c>
      <c r="F2" s="109">
        <f>F1+57</f>
        <v>36980</v>
      </c>
    </row>
    <row r="3" spans="2:8" ht="15.6" x14ac:dyDescent="0.3">
      <c r="D3" s="104" t="s">
        <v>83</v>
      </c>
      <c r="F3" s="134">
        <v>6.24</v>
      </c>
    </row>
    <row r="4" spans="2:8" ht="15.6" x14ac:dyDescent="0.3">
      <c r="B4" s="79" t="s">
        <v>42</v>
      </c>
      <c r="D4" s="104" t="s">
        <v>84</v>
      </c>
      <c r="F4" s="99">
        <v>1.46E-2</v>
      </c>
    </row>
    <row r="6" spans="2:8" x14ac:dyDescent="0.25">
      <c r="B6" s="71" t="s">
        <v>81</v>
      </c>
      <c r="C6" s="76" t="s">
        <v>52</v>
      </c>
      <c r="D6" s="76" t="s">
        <v>46</v>
      </c>
      <c r="F6" s="76" t="s">
        <v>47</v>
      </c>
    </row>
    <row r="8" spans="2:8" x14ac:dyDescent="0.25">
      <c r="B8" t="s">
        <v>43</v>
      </c>
      <c r="C8" s="110">
        <v>849</v>
      </c>
      <c r="D8" s="72">
        <v>4.07</v>
      </c>
      <c r="F8" s="73">
        <f>+C8*D8</f>
        <v>3455.4300000000003</v>
      </c>
    </row>
    <row r="9" spans="2:8" x14ac:dyDescent="0.25">
      <c r="B9" t="s">
        <v>44</v>
      </c>
      <c r="C9" s="110">
        <v>658</v>
      </c>
      <c r="D9" s="72">
        <v>4.07</v>
      </c>
      <c r="F9" s="73">
        <f>+C9*D9</f>
        <v>2678.0600000000004</v>
      </c>
    </row>
    <row r="10" spans="2:8" x14ac:dyDescent="0.25">
      <c r="B10" t="s">
        <v>45</v>
      </c>
      <c r="C10" s="110">
        <v>1302</v>
      </c>
      <c r="D10" s="72">
        <v>4.07</v>
      </c>
      <c r="F10" s="73">
        <f>+C10*D10</f>
        <v>5299.14</v>
      </c>
    </row>
    <row r="11" spans="2:8" ht="16.8" x14ac:dyDescent="0.4">
      <c r="B11" t="s">
        <v>69</v>
      </c>
      <c r="C11" s="111">
        <v>124</v>
      </c>
      <c r="D11" s="72">
        <v>4.07</v>
      </c>
      <c r="F11" s="83">
        <f>+C11*D11</f>
        <v>504.68000000000006</v>
      </c>
    </row>
    <row r="12" spans="2:8" x14ac:dyDescent="0.25">
      <c r="C12" s="78">
        <f>SUM(C8:C11)</f>
        <v>2933</v>
      </c>
      <c r="D12" s="72"/>
      <c r="F12" s="73">
        <f>SUM(F8:F11)</f>
        <v>11937.310000000001</v>
      </c>
      <c r="H12" s="75">
        <f>+F12</f>
        <v>11937.310000000001</v>
      </c>
    </row>
    <row r="13" spans="2:8" x14ac:dyDescent="0.25">
      <c r="F13" s="73"/>
    </row>
    <row r="14" spans="2:8" x14ac:dyDescent="0.25">
      <c r="B14" s="71" t="s">
        <v>48</v>
      </c>
      <c r="F14" s="73"/>
    </row>
    <row r="15" spans="2:8" x14ac:dyDescent="0.25">
      <c r="F15" s="73"/>
    </row>
    <row r="16" spans="2:8" x14ac:dyDescent="0.25">
      <c r="B16" t="s">
        <v>43</v>
      </c>
      <c r="C16" s="74" t="s">
        <v>49</v>
      </c>
      <c r="D16" s="73">
        <v>60</v>
      </c>
      <c r="F16" s="73">
        <f>1*D16</f>
        <v>60</v>
      </c>
    </row>
    <row r="17" spans="2:8" x14ac:dyDescent="0.25">
      <c r="B17" t="s">
        <v>44</v>
      </c>
      <c r="C17" s="74" t="s">
        <v>49</v>
      </c>
      <c r="D17" s="73">
        <v>60</v>
      </c>
      <c r="F17" s="73">
        <f>1*D17</f>
        <v>60</v>
      </c>
    </row>
    <row r="18" spans="2:8" x14ac:dyDescent="0.25">
      <c r="B18" t="s">
        <v>45</v>
      </c>
      <c r="C18" s="74" t="s">
        <v>49</v>
      </c>
      <c r="D18" s="73">
        <v>60</v>
      </c>
      <c r="F18" s="73">
        <f>+D18*1</f>
        <v>60</v>
      </c>
    </row>
    <row r="19" spans="2:8" x14ac:dyDescent="0.25">
      <c r="B19" t="s">
        <v>69</v>
      </c>
      <c r="C19" s="74" t="s">
        <v>49</v>
      </c>
      <c r="D19" s="73">
        <v>60</v>
      </c>
      <c r="F19" s="87">
        <v>60</v>
      </c>
    </row>
    <row r="20" spans="2:8" x14ac:dyDescent="0.25">
      <c r="F20" s="73">
        <f>SUM(F16:F19)</f>
        <v>240</v>
      </c>
      <c r="H20" s="75"/>
    </row>
    <row r="21" spans="2:8" x14ac:dyDescent="0.25">
      <c r="F21" s="73"/>
    </row>
    <row r="22" spans="2:8" x14ac:dyDescent="0.25">
      <c r="B22" s="71" t="s">
        <v>50</v>
      </c>
      <c r="F22" s="73"/>
    </row>
    <row r="23" spans="2:8" x14ac:dyDescent="0.25">
      <c r="F23" s="73"/>
    </row>
    <row r="24" spans="2:8" x14ac:dyDescent="0.25">
      <c r="B24" t="s">
        <v>43</v>
      </c>
      <c r="C24" s="110">
        <v>17557</v>
      </c>
      <c r="D24">
        <v>0.25</v>
      </c>
      <c r="F24" s="73">
        <f>ROUND(+C24*D24,2)</f>
        <v>4389.25</v>
      </c>
    </row>
    <row r="25" spans="2:8" x14ac:dyDescent="0.25">
      <c r="B25" t="s">
        <v>44</v>
      </c>
      <c r="C25" s="110">
        <f>10970+553</f>
        <v>11523</v>
      </c>
      <c r="D25">
        <v>0.25</v>
      </c>
      <c r="F25" s="73">
        <f>ROUND(+C25*D25,2)</f>
        <v>2880.75</v>
      </c>
    </row>
    <row r="26" spans="2:8" x14ac:dyDescent="0.25">
      <c r="B26" t="s">
        <v>45</v>
      </c>
      <c r="C26" s="110">
        <f>10768+9908</f>
        <v>20676</v>
      </c>
      <c r="D26">
        <v>0.25</v>
      </c>
      <c r="F26" s="73">
        <f>ROUND(+C26*D26,2)</f>
        <v>5169</v>
      </c>
    </row>
    <row r="27" spans="2:8" x14ac:dyDescent="0.25">
      <c r="B27" t="s">
        <v>69</v>
      </c>
      <c r="C27" s="112">
        <v>666</v>
      </c>
      <c r="D27">
        <v>0.25</v>
      </c>
      <c r="F27" s="87">
        <f>ROUND(+C27*D27,2)</f>
        <v>166.5</v>
      </c>
    </row>
    <row r="28" spans="2:8" x14ac:dyDescent="0.25">
      <c r="C28" s="74">
        <f>SUM(C24:C27)</f>
        <v>50422</v>
      </c>
      <c r="F28" s="73">
        <f>SUM(F24:F27)</f>
        <v>12605.5</v>
      </c>
      <c r="H28" s="75">
        <f>+F28+F20+F36</f>
        <v>15584.619999999999</v>
      </c>
    </row>
    <row r="29" spans="2:8" x14ac:dyDescent="0.25">
      <c r="F29" s="73"/>
      <c r="H29" s="75"/>
    </row>
    <row r="30" spans="2:8" x14ac:dyDescent="0.25">
      <c r="B30" s="71" t="s">
        <v>59</v>
      </c>
      <c r="F30" s="73"/>
    </row>
    <row r="31" spans="2:8" x14ac:dyDescent="0.25">
      <c r="F31" s="73"/>
    </row>
    <row r="32" spans="2:8" x14ac:dyDescent="0.25">
      <c r="B32" t="s">
        <v>43</v>
      </c>
      <c r="F32" s="113">
        <f>825.18+93.28+24.5</f>
        <v>942.95999999999992</v>
      </c>
      <c r="H32" s="75"/>
    </row>
    <row r="33" spans="2:9" x14ac:dyDescent="0.25">
      <c r="B33" t="s">
        <v>44</v>
      </c>
      <c r="F33" s="113">
        <f>541.58+66.3+17.42</f>
        <v>625.29999999999995</v>
      </c>
      <c r="H33" s="75"/>
      <c r="I33" s="75"/>
    </row>
    <row r="34" spans="2:9" x14ac:dyDescent="0.25">
      <c r="B34" t="s">
        <v>45</v>
      </c>
      <c r="F34" s="113">
        <f>971.78+124.24+32.64</f>
        <v>1128.6600000000001</v>
      </c>
      <c r="H34" s="75"/>
      <c r="I34" s="75"/>
    </row>
    <row r="35" spans="2:9" x14ac:dyDescent="0.25">
      <c r="B35" t="s">
        <v>69</v>
      </c>
      <c r="F35" s="129">
        <f>31.3+8.63+2.27</f>
        <v>42.2</v>
      </c>
      <c r="H35" s="75"/>
    </row>
    <row r="36" spans="2:9" x14ac:dyDescent="0.25">
      <c r="F36" s="73">
        <f>SUM(F31:F35)</f>
        <v>2739.12</v>
      </c>
      <c r="H36" s="75"/>
    </row>
    <row r="37" spans="2:9" x14ac:dyDescent="0.25">
      <c r="F37" s="73"/>
      <c r="H37" s="75"/>
    </row>
    <row r="38" spans="2:9" ht="16.2" thickBot="1" x14ac:dyDescent="0.35">
      <c r="B38" s="77" t="s">
        <v>53</v>
      </c>
      <c r="F38" s="117">
        <f>+F36+F28+F20+F12</f>
        <v>27521.93</v>
      </c>
    </row>
    <row r="39" spans="2:9" ht="15.6" thickTop="1" x14ac:dyDescent="0.25">
      <c r="F39" s="73"/>
    </row>
    <row r="40" spans="2:9" x14ac:dyDescent="0.25">
      <c r="F40" s="73"/>
    </row>
    <row r="41" spans="2:9" x14ac:dyDescent="0.25">
      <c r="F41" s="73"/>
    </row>
    <row r="42" spans="2:9" ht="15.6" x14ac:dyDescent="0.3">
      <c r="B42" s="79" t="s">
        <v>54</v>
      </c>
      <c r="F42" s="73"/>
    </row>
    <row r="43" spans="2:9" x14ac:dyDescent="0.25">
      <c r="F43" s="73"/>
    </row>
    <row r="44" spans="2:9" x14ac:dyDescent="0.25">
      <c r="B44" s="71" t="s">
        <v>55</v>
      </c>
      <c r="F44" s="73"/>
    </row>
    <row r="45" spans="2:9" x14ac:dyDescent="0.25">
      <c r="F45" s="73"/>
    </row>
    <row r="46" spans="2:9" x14ac:dyDescent="0.25">
      <c r="B46" t="s">
        <v>43</v>
      </c>
      <c r="C46" s="126">
        <v>139.28</v>
      </c>
      <c r="D46" s="128">
        <f>F46/C46</f>
        <v>2.8900057438253874</v>
      </c>
      <c r="F46" s="113">
        <v>402.52</v>
      </c>
    </row>
    <row r="47" spans="2:9" x14ac:dyDescent="0.25">
      <c r="B47" t="s">
        <v>44</v>
      </c>
      <c r="C47" s="126">
        <v>91.42</v>
      </c>
      <c r="D47" s="128">
        <f>F47/C47</f>
        <v>2.8899584336031503</v>
      </c>
      <c r="F47" s="124">
        <v>264.2</v>
      </c>
      <c r="H47" s="75"/>
    </row>
    <row r="48" spans="2:9" x14ac:dyDescent="0.25">
      <c r="B48" t="s">
        <v>45</v>
      </c>
      <c r="C48" s="126">
        <v>164.02</v>
      </c>
      <c r="D48" s="128">
        <f>F48/C48</f>
        <v>2.8900134129984147</v>
      </c>
      <c r="F48" s="124">
        <v>474.02</v>
      </c>
      <c r="H48" s="75"/>
    </row>
    <row r="49" spans="2:8" x14ac:dyDescent="0.25">
      <c r="B49" t="s">
        <v>69</v>
      </c>
      <c r="C49" s="127">
        <v>5.28</v>
      </c>
      <c r="D49" s="128">
        <f>F49/C49</f>
        <v>2.8901515151515151</v>
      </c>
      <c r="F49" s="125">
        <v>15.26</v>
      </c>
    </row>
    <row r="50" spans="2:8" x14ac:dyDescent="0.25">
      <c r="C50">
        <f>SUM(C46:C49)</f>
        <v>400</v>
      </c>
      <c r="F50" s="73">
        <f>SUM(F46:F49)</f>
        <v>1156</v>
      </c>
      <c r="H50" s="75">
        <f>+F50+F57+F64</f>
        <v>1156</v>
      </c>
    </row>
    <row r="51" spans="2:8" x14ac:dyDescent="0.25">
      <c r="B51" s="71" t="s">
        <v>56</v>
      </c>
      <c r="F51" s="73"/>
    </row>
    <row r="52" spans="2:8" x14ac:dyDescent="0.25">
      <c r="F52" s="73"/>
    </row>
    <row r="53" spans="2:8" x14ac:dyDescent="0.25">
      <c r="B53" t="s">
        <v>43</v>
      </c>
      <c r="C53" s="84">
        <v>0</v>
      </c>
      <c r="D53">
        <v>0.18</v>
      </c>
      <c r="F53" s="73">
        <f>ROUND(+C53*D53,2)</f>
        <v>0</v>
      </c>
    </row>
    <row r="54" spans="2:8" x14ac:dyDescent="0.25">
      <c r="B54" t="s">
        <v>44</v>
      </c>
      <c r="C54" s="84">
        <v>0</v>
      </c>
      <c r="D54">
        <f>+D53</f>
        <v>0.18</v>
      </c>
      <c r="F54" s="102">
        <f>ROUND(+C54*D54,2)</f>
        <v>0</v>
      </c>
      <c r="H54" s="75"/>
    </row>
    <row r="55" spans="2:8" x14ac:dyDescent="0.25">
      <c r="B55" t="s">
        <v>45</v>
      </c>
      <c r="C55" s="84">
        <v>0</v>
      </c>
      <c r="D55">
        <f>+D53</f>
        <v>0.18</v>
      </c>
      <c r="F55" s="102">
        <f>ROUND(+C55*D55,2)</f>
        <v>0</v>
      </c>
      <c r="H55" s="75"/>
    </row>
    <row r="56" spans="2:8" x14ac:dyDescent="0.25">
      <c r="B56" t="s">
        <v>69</v>
      </c>
      <c r="C56" s="84">
        <v>0</v>
      </c>
      <c r="D56">
        <f>+D54</f>
        <v>0.18</v>
      </c>
      <c r="F56" s="123">
        <f>+C56*D56</f>
        <v>0</v>
      </c>
      <c r="H56" s="72"/>
    </row>
    <row r="57" spans="2:8" x14ac:dyDescent="0.25">
      <c r="F57" s="73">
        <f>SUM(F53:F56)</f>
        <v>0</v>
      </c>
      <c r="H57" s="75"/>
    </row>
    <row r="58" spans="2:8" x14ac:dyDescent="0.25">
      <c r="B58" s="71" t="s">
        <v>64</v>
      </c>
      <c r="F58" s="73"/>
    </row>
    <row r="59" spans="2:8" x14ac:dyDescent="0.25">
      <c r="F59" s="73"/>
    </row>
    <row r="60" spans="2:8" x14ac:dyDescent="0.25">
      <c r="B60" t="s">
        <v>43</v>
      </c>
      <c r="F60" s="113">
        <v>0</v>
      </c>
      <c r="H60" s="75"/>
    </row>
    <row r="61" spans="2:8" x14ac:dyDescent="0.25">
      <c r="B61" t="s">
        <v>44</v>
      </c>
      <c r="F61" s="124">
        <v>0</v>
      </c>
      <c r="H61" s="75"/>
    </row>
    <row r="62" spans="2:8" x14ac:dyDescent="0.25">
      <c r="B62" t="s">
        <v>45</v>
      </c>
      <c r="F62" s="124">
        <v>0</v>
      </c>
      <c r="H62" s="75"/>
    </row>
    <row r="63" spans="2:8" x14ac:dyDescent="0.25">
      <c r="B63" t="s">
        <v>69</v>
      </c>
      <c r="F63" s="125">
        <v>0</v>
      </c>
      <c r="H63" s="75"/>
    </row>
    <row r="64" spans="2:8" x14ac:dyDescent="0.25">
      <c r="C64" t="s">
        <v>63</v>
      </c>
      <c r="F64" s="75">
        <f>SUM(F60:F63)</f>
        <v>0</v>
      </c>
      <c r="H64" s="75"/>
    </row>
    <row r="65" spans="2:9" x14ac:dyDescent="0.25">
      <c r="F65" s="73"/>
    </row>
    <row r="66" spans="2:9" ht="15.6" x14ac:dyDescent="0.3">
      <c r="B66" s="77" t="s">
        <v>57</v>
      </c>
      <c r="F66" s="73">
        <f>+F64+F57+F50</f>
        <v>1156</v>
      </c>
      <c r="H66" s="75"/>
    </row>
    <row r="67" spans="2:9" ht="15.6" x14ac:dyDescent="0.3">
      <c r="B67" s="77"/>
      <c r="F67" s="73"/>
    </row>
    <row r="68" spans="2:9" x14ac:dyDescent="0.25">
      <c r="F68" s="81"/>
    </row>
    <row r="69" spans="2:9" ht="15.6" x14ac:dyDescent="0.3">
      <c r="B69" s="79" t="s">
        <v>61</v>
      </c>
      <c r="F69" s="73"/>
    </row>
    <row r="70" spans="2:9" x14ac:dyDescent="0.25">
      <c r="B70" t="s">
        <v>60</v>
      </c>
      <c r="F70" s="73">
        <f>+F8+F16+F24+F32+F60+F46+F53</f>
        <v>9250.16</v>
      </c>
      <c r="H70" s="75"/>
    </row>
    <row r="71" spans="2:9" x14ac:dyDescent="0.25">
      <c r="B71" t="s">
        <v>44</v>
      </c>
      <c r="F71" s="73">
        <f>+F9+F17+F25+F33+F61+F47+F54</f>
        <v>6508.31</v>
      </c>
      <c r="H71" s="75"/>
      <c r="I71" s="75"/>
    </row>
    <row r="72" spans="2:9" x14ac:dyDescent="0.25">
      <c r="B72" t="s">
        <v>45</v>
      </c>
      <c r="F72" s="73">
        <f>+F10+F18+F26+F34+F62+F48+F55</f>
        <v>12130.82</v>
      </c>
      <c r="H72" s="75">
        <f>SUM(F70:F72)</f>
        <v>27889.29</v>
      </c>
      <c r="I72" s="75"/>
    </row>
    <row r="73" spans="2:9" x14ac:dyDescent="0.25">
      <c r="B73" t="s">
        <v>69</v>
      </c>
      <c r="F73" s="73">
        <f>+F11+F19+F27+F35+F63+F49+F56</f>
        <v>788.6400000000001</v>
      </c>
      <c r="H73" s="75"/>
    </row>
    <row r="74" spans="2:9" x14ac:dyDescent="0.25">
      <c r="B74" t="s">
        <v>70</v>
      </c>
      <c r="F74" s="73">
        <v>0</v>
      </c>
      <c r="H74" s="75"/>
    </row>
    <row r="75" spans="2:9" x14ac:dyDescent="0.25">
      <c r="F75" s="73"/>
    </row>
    <row r="76" spans="2:9" ht="18" thickBot="1" x14ac:dyDescent="0.35">
      <c r="C76" s="82" t="s">
        <v>62</v>
      </c>
      <c r="F76" s="73">
        <f>SUM(F70:F75)</f>
        <v>28677.93</v>
      </c>
      <c r="H76" s="122">
        <f>SUM(H11:H50)</f>
        <v>28677.93</v>
      </c>
      <c r="I76" s="75"/>
    </row>
    <row r="77" spans="2:9" ht="15.6" thickTop="1" x14ac:dyDescent="0.25">
      <c r="F77" s="73"/>
    </row>
    <row r="78" spans="2:9" x14ac:dyDescent="0.25">
      <c r="B78" t="s">
        <v>82</v>
      </c>
      <c r="C78" s="100">
        <f>ROUND(+C28/(1-F4),0)</f>
        <v>51169</v>
      </c>
      <c r="D78" s="114">
        <f>F3-0.25</f>
        <v>5.99</v>
      </c>
      <c r="F78" s="73">
        <f>ROUND(+C78*D78,2)</f>
        <v>306502.31</v>
      </c>
    </row>
    <row r="79" spans="2:9" x14ac:dyDescent="0.25">
      <c r="C79" s="100"/>
      <c r="D79" s="81"/>
      <c r="F79" s="73"/>
    </row>
    <row r="80" spans="2:9" x14ac:dyDescent="0.25">
      <c r="C80" s="74"/>
      <c r="F80" s="73"/>
    </row>
    <row r="82" spans="1:8" ht="25.2" thickBot="1" x14ac:dyDescent="0.45">
      <c r="C82" s="80" t="s">
        <v>58</v>
      </c>
      <c r="F82" s="121">
        <f>+F76+F78+F79+F80</f>
        <v>335180.24</v>
      </c>
      <c r="H82" s="75"/>
    </row>
    <row r="83" spans="1:8" ht="15.6" thickTop="1" x14ac:dyDescent="0.25"/>
    <row r="85" spans="1:8" x14ac:dyDescent="0.25">
      <c r="A85" s="2"/>
    </row>
    <row r="86" spans="1:8" x14ac:dyDescent="0.25">
      <c r="A86" s="1"/>
      <c r="B86" s="4"/>
      <c r="C86" s="4"/>
      <c r="D86" s="5" t="s">
        <v>0</v>
      </c>
      <c r="E86" s="4"/>
      <c r="F86" s="3"/>
      <c r="G86" s="2"/>
      <c r="H86" s="2"/>
    </row>
    <row r="87" spans="1:8" x14ac:dyDescent="0.25">
      <c r="A87" s="1"/>
      <c r="B87" s="3"/>
      <c r="C87" s="3"/>
      <c r="D87" s="3"/>
      <c r="E87" s="3"/>
      <c r="F87" s="3"/>
      <c r="G87" s="2"/>
      <c r="H87" s="2"/>
    </row>
    <row r="88" spans="1:8" x14ac:dyDescent="0.25">
      <c r="A88" s="1"/>
      <c r="B88" s="3"/>
      <c r="C88" s="3"/>
      <c r="D88" s="3"/>
      <c r="E88" s="3"/>
      <c r="F88" s="3"/>
      <c r="G88" s="2"/>
      <c r="H88" s="2"/>
    </row>
    <row r="89" spans="1:8" x14ac:dyDescent="0.25">
      <c r="A89" s="1"/>
      <c r="B89" s="3"/>
      <c r="C89" s="3"/>
      <c r="D89" s="3"/>
      <c r="E89" s="3"/>
      <c r="F89" s="3"/>
      <c r="G89" s="2"/>
      <c r="H89" s="2"/>
    </row>
    <row r="90" spans="1:8" x14ac:dyDescent="0.25">
      <c r="A90" s="2"/>
      <c r="B90" s="2"/>
      <c r="C90" s="2"/>
      <c r="D90" s="2"/>
      <c r="E90" s="2"/>
      <c r="F90" s="2"/>
      <c r="G90" s="2"/>
      <c r="H90" s="2"/>
    </row>
    <row r="91" spans="1:8" x14ac:dyDescent="0.25">
      <c r="A91" s="2"/>
      <c r="B91" s="2"/>
      <c r="C91" s="2"/>
      <c r="D91" s="2"/>
      <c r="E91" s="2"/>
      <c r="F91" s="2"/>
      <c r="G91" s="2"/>
      <c r="H91" s="2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2"/>
      <c r="B94" s="2"/>
      <c r="F94" s="2"/>
      <c r="G94" s="2"/>
      <c r="H94" s="2"/>
    </row>
    <row r="95" spans="1:8" x14ac:dyDescent="0.25">
      <c r="A95" s="2"/>
      <c r="B95" s="2"/>
      <c r="F95" s="2"/>
      <c r="G95" s="2"/>
      <c r="H95" s="2"/>
    </row>
    <row r="96" spans="1:8" x14ac:dyDescent="0.25">
      <c r="A96" s="2"/>
      <c r="B96" s="2"/>
      <c r="F96" s="2"/>
      <c r="G96" s="2"/>
      <c r="H96" s="2"/>
    </row>
    <row r="97" spans="1:8" x14ac:dyDescent="0.25">
      <c r="A97" s="2"/>
      <c r="B97" s="2"/>
      <c r="F97" s="2"/>
      <c r="G97" s="2"/>
      <c r="H97" s="2"/>
    </row>
    <row r="98" spans="1:8" x14ac:dyDescent="0.25">
      <c r="A98" s="2"/>
      <c r="B98" s="2"/>
      <c r="F98" s="2"/>
      <c r="G98" s="2"/>
      <c r="H98" s="2"/>
    </row>
    <row r="99" spans="1:8" x14ac:dyDescent="0.25">
      <c r="A99" s="2"/>
      <c r="B99" s="2"/>
      <c r="F99" s="2"/>
      <c r="G99" s="2"/>
      <c r="H99" s="2"/>
    </row>
    <row r="100" spans="1:8" x14ac:dyDescent="0.25">
      <c r="A100" s="2"/>
      <c r="B100" s="2"/>
      <c r="F100" s="2"/>
      <c r="G100" s="2"/>
      <c r="H100" s="2"/>
    </row>
    <row r="101" spans="1:8" x14ac:dyDescent="0.25">
      <c r="A101" s="2"/>
      <c r="B101" s="2"/>
      <c r="F101" s="2"/>
      <c r="G101" s="2"/>
      <c r="H101" s="2"/>
    </row>
    <row r="102" spans="1:8" x14ac:dyDescent="0.25">
      <c r="A102" s="2"/>
      <c r="B102" s="2"/>
      <c r="F102" s="2"/>
      <c r="G102" s="2"/>
      <c r="H102" s="2"/>
    </row>
    <row r="103" spans="1:8" x14ac:dyDescent="0.25">
      <c r="A103" s="2"/>
      <c r="B103" s="2"/>
      <c r="F103" s="2"/>
      <c r="G103" s="2"/>
      <c r="H103" s="2"/>
    </row>
    <row r="104" spans="1:8" x14ac:dyDescent="0.25">
      <c r="A104" s="2"/>
      <c r="B104" s="2"/>
      <c r="F104" s="2"/>
      <c r="G104" s="2"/>
      <c r="H104" s="2"/>
    </row>
    <row r="105" spans="1:8" x14ac:dyDescent="0.25">
      <c r="A105" s="2"/>
      <c r="B105" s="2"/>
      <c r="F105" s="2"/>
      <c r="G105" s="2"/>
      <c r="H105" s="2"/>
    </row>
    <row r="106" spans="1:8" x14ac:dyDescent="0.25">
      <c r="A106" s="2"/>
      <c r="B106" s="2"/>
      <c r="F106" s="2"/>
      <c r="G106" s="2"/>
      <c r="H106" s="2"/>
    </row>
    <row r="107" spans="1:8" x14ac:dyDescent="0.25">
      <c r="F107" s="2"/>
      <c r="G107" s="2"/>
      <c r="H107" s="2"/>
    </row>
    <row r="108" spans="1:8" x14ac:dyDescent="0.25">
      <c r="F108" s="2"/>
      <c r="G108" s="2"/>
      <c r="H108" s="2"/>
    </row>
    <row r="109" spans="1:8" x14ac:dyDescent="0.25">
      <c r="F109" s="2"/>
      <c r="G109" s="2"/>
      <c r="H109" s="2"/>
    </row>
    <row r="110" spans="1:8" x14ac:dyDescent="0.25">
      <c r="F110" s="2"/>
      <c r="G110" s="2"/>
      <c r="H110" s="2"/>
    </row>
    <row r="111" spans="1:8" x14ac:dyDescent="0.25">
      <c r="F111" s="2"/>
      <c r="G111" s="2"/>
      <c r="H111" s="2"/>
    </row>
    <row r="112" spans="1:8" x14ac:dyDescent="0.25">
      <c r="F112" s="2"/>
      <c r="G112" s="2"/>
      <c r="H112" s="2"/>
    </row>
    <row r="113" spans="6:8" x14ac:dyDescent="0.25">
      <c r="F113" s="2"/>
      <c r="G113" s="2"/>
      <c r="H113" s="2"/>
    </row>
  </sheetData>
  <sheetProtection sheet="1" objects="1" scenarios="1"/>
  <phoneticPr fontId="0" type="noConversion"/>
  <printOptions horizontalCentered="1" verticalCentered="1"/>
  <pageMargins left="0.5" right="0.5" top="0.5" bottom="0.25" header="0.5" footer="0.25"/>
  <pageSetup scale="54" orientation="portrait" horizontalDpi="300" verticalDpi="300" r:id="rId1"/>
  <headerFooter alignWithMargins="0">
    <oddFooter>&amp;L&amp;F (&amp;A)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25"/>
  <sheetViews>
    <sheetView tabSelected="1" topLeftCell="C1" zoomScale="75" workbookViewId="0">
      <selection activeCell="J26" sqref="J26"/>
    </sheetView>
  </sheetViews>
  <sheetFormatPr defaultColWidth="7.1796875" defaultRowHeight="13.2" x14ac:dyDescent="0.25"/>
  <cols>
    <col min="1" max="1" width="27" style="6" customWidth="1"/>
    <col min="2" max="2" width="9.54296875" style="6" customWidth="1"/>
    <col min="3" max="3" width="8.453125" style="6" customWidth="1"/>
    <col min="4" max="4" width="7.1796875" style="6" customWidth="1"/>
    <col min="5" max="5" width="8" style="6" customWidth="1"/>
    <col min="6" max="6" width="9.1796875" style="6" customWidth="1"/>
    <col min="7" max="7" width="7.6328125" style="6" customWidth="1"/>
    <col min="8" max="8" width="16.08984375" style="6" customWidth="1"/>
    <col min="9" max="9" width="7.1796875" style="6" customWidth="1"/>
    <col min="10" max="10" width="21" style="6" customWidth="1"/>
    <col min="11" max="11" width="9.54296875" style="6" customWidth="1"/>
    <col min="12" max="12" width="8.81640625" style="6" bestFit="1" customWidth="1"/>
    <col min="13" max="13" width="9.81640625" style="6" bestFit="1" customWidth="1"/>
    <col min="14" max="16384" width="7.1796875" style="6"/>
  </cols>
  <sheetData>
    <row r="1" spans="1:13" ht="13.8" thickBot="1" x14ac:dyDescent="0.3">
      <c r="L1" s="108" t="s">
        <v>37</v>
      </c>
      <c r="M1" s="131">
        <v>36980</v>
      </c>
    </row>
    <row r="2" spans="1:13" ht="21" thickBot="1" x14ac:dyDescent="0.4">
      <c r="A2" s="91" t="s">
        <v>71</v>
      </c>
      <c r="J2" s="130">
        <v>36923</v>
      </c>
      <c r="L2" s="40" t="s">
        <v>85</v>
      </c>
      <c r="M2" s="115">
        <v>6.31</v>
      </c>
    </row>
    <row r="3" spans="1:13" x14ac:dyDescent="0.25">
      <c r="A3" s="86">
        <f>+J2</f>
        <v>36923</v>
      </c>
    </row>
    <row r="4" spans="1:13" ht="13.8" thickBot="1" x14ac:dyDescent="0.3">
      <c r="A4" s="43"/>
      <c r="J4" s="106" t="s">
        <v>79</v>
      </c>
    </row>
    <row r="5" spans="1:13" x14ac:dyDescent="0.25">
      <c r="A5" s="7" t="s">
        <v>1</v>
      </c>
      <c r="B5" s="8" t="str">
        <f>J4</f>
        <v>33175000 TF-1</v>
      </c>
      <c r="C5" s="9"/>
      <c r="D5" s="9"/>
      <c r="E5" s="9"/>
      <c r="F5" s="9"/>
      <c r="G5" s="9"/>
      <c r="H5" s="10"/>
      <c r="K5" s="63" t="s">
        <v>41</v>
      </c>
    </row>
    <row r="6" spans="1:13" x14ac:dyDescent="0.25">
      <c r="A6" s="11"/>
      <c r="B6" s="12"/>
      <c r="C6" s="12"/>
      <c r="D6" s="13" t="s">
        <v>2</v>
      </c>
      <c r="E6" s="13" t="s">
        <v>3</v>
      </c>
      <c r="F6" s="13" t="s">
        <v>4</v>
      </c>
      <c r="G6" s="13" t="s">
        <v>5</v>
      </c>
      <c r="H6" s="14" t="s">
        <v>6</v>
      </c>
      <c r="J6" s="41" t="s">
        <v>24</v>
      </c>
      <c r="K6" s="92">
        <v>42355</v>
      </c>
    </row>
    <row r="7" spans="1:13" x14ac:dyDescent="0.25">
      <c r="A7" s="38" t="s">
        <v>75</v>
      </c>
      <c r="B7" s="12"/>
      <c r="C7" s="12"/>
      <c r="D7" s="15">
        <f>K23</f>
        <v>3.3000000000000002E-2</v>
      </c>
      <c r="E7" s="16">
        <f>ROUND(F7/(1-D7),0)</f>
        <v>43800</v>
      </c>
      <c r="F7" s="16">
        <f>+K6</f>
        <v>42355</v>
      </c>
      <c r="G7" s="103"/>
      <c r="H7" s="18"/>
      <c r="J7" s="41" t="s">
        <v>25</v>
      </c>
      <c r="K7" s="92">
        <v>18545</v>
      </c>
      <c r="L7" s="52">
        <f>+K7+K6</f>
        <v>60900</v>
      </c>
    </row>
    <row r="8" spans="1:13" x14ac:dyDescent="0.25">
      <c r="A8" s="11" t="s">
        <v>8</v>
      </c>
      <c r="B8" s="12"/>
      <c r="C8" s="12"/>
      <c r="D8" s="15">
        <f>D$7</f>
        <v>3.3000000000000002E-2</v>
      </c>
      <c r="E8" s="39">
        <f>ROUND(F8/(1-D8),0)</f>
        <v>19178</v>
      </c>
      <c r="F8" s="39">
        <f>+K7</f>
        <v>18545</v>
      </c>
      <c r="G8" s="17"/>
      <c r="H8" s="18"/>
      <c r="J8" s="41" t="s">
        <v>26</v>
      </c>
      <c r="K8" s="28"/>
    </row>
    <row r="9" spans="1:13" ht="15" x14ac:dyDescent="0.4">
      <c r="A9" s="11" t="s">
        <v>7</v>
      </c>
      <c r="B9" s="12" t="s">
        <v>9</v>
      </c>
      <c r="C9" s="12"/>
      <c r="D9" s="15">
        <f>D$7</f>
        <v>3.3000000000000002E-2</v>
      </c>
      <c r="E9" s="19">
        <f>ROUND(F9/(1-D9),0)</f>
        <v>0</v>
      </c>
      <c r="F9" s="19">
        <f>+F14</f>
        <v>0</v>
      </c>
      <c r="G9" s="17"/>
      <c r="H9" s="18"/>
      <c r="J9" s="41" t="s">
        <v>26</v>
      </c>
      <c r="K9" s="28"/>
    </row>
    <row r="10" spans="1:13" x14ac:dyDescent="0.25">
      <c r="A10" s="11"/>
      <c r="B10" s="12"/>
      <c r="C10" s="12"/>
      <c r="D10" s="15"/>
      <c r="E10" s="39">
        <f>ROUND(SUM(E7:E9),0)</f>
        <v>62978</v>
      </c>
      <c r="F10" s="39">
        <f>SUM(F7:F9)</f>
        <v>60900</v>
      </c>
      <c r="G10" s="17"/>
      <c r="H10" s="18"/>
      <c r="J10" s="48" t="s">
        <v>41</v>
      </c>
      <c r="K10" s="28"/>
    </row>
    <row r="11" spans="1:13" x14ac:dyDescent="0.25">
      <c r="A11" s="11"/>
      <c r="B11" s="12"/>
      <c r="C11" s="12"/>
      <c r="D11" s="15"/>
      <c r="E11" s="16"/>
      <c r="F11" s="16"/>
      <c r="G11" s="17"/>
      <c r="H11" s="18"/>
      <c r="J11" s="41" t="s">
        <v>31</v>
      </c>
      <c r="K11" s="28"/>
    </row>
    <row r="12" spans="1:13" x14ac:dyDescent="0.25">
      <c r="A12" s="11" t="s">
        <v>7</v>
      </c>
      <c r="B12" s="12" t="s">
        <v>9</v>
      </c>
      <c r="C12" s="12"/>
      <c r="D12" s="15">
        <f>D$7</f>
        <v>3.3000000000000002E-2</v>
      </c>
      <c r="E12" s="16">
        <f>ROUND(F12/(1-D12),0)</f>
        <v>0</v>
      </c>
      <c r="F12" s="16">
        <f>+K8</f>
        <v>0</v>
      </c>
      <c r="G12" s="17"/>
      <c r="H12" s="18"/>
      <c r="J12" s="41" t="s">
        <v>31</v>
      </c>
      <c r="K12" s="28"/>
    </row>
    <row r="13" spans="1:13" ht="15" x14ac:dyDescent="0.4">
      <c r="A13" s="11" t="s">
        <v>7</v>
      </c>
      <c r="B13" s="12" t="s">
        <v>9</v>
      </c>
      <c r="C13" s="12"/>
      <c r="D13" s="15">
        <f>D$7</f>
        <v>3.3000000000000002E-2</v>
      </c>
      <c r="E13" s="19">
        <f>ROUND(F13/(1-D13),0)</f>
        <v>0</v>
      </c>
      <c r="F13" s="19">
        <f>+K9</f>
        <v>0</v>
      </c>
      <c r="G13" s="17"/>
      <c r="H13" s="18"/>
      <c r="J13" s="41" t="s">
        <v>30</v>
      </c>
      <c r="K13" s="28">
        <f>L7-K14</f>
        <v>60900</v>
      </c>
    </row>
    <row r="14" spans="1:13" x14ac:dyDescent="0.25">
      <c r="A14" s="11"/>
      <c r="B14" s="12"/>
      <c r="C14" s="12"/>
      <c r="D14" s="15"/>
      <c r="E14" s="16">
        <f>E12+E13</f>
        <v>0</v>
      </c>
      <c r="F14" s="16">
        <f>F12+F13</f>
        <v>0</v>
      </c>
      <c r="G14" s="67"/>
      <c r="H14" s="18"/>
      <c r="J14" s="41" t="s">
        <v>32</v>
      </c>
      <c r="K14" s="107">
        <v>0</v>
      </c>
      <c r="L14" s="52">
        <f>+K14+K13</f>
        <v>60900</v>
      </c>
    </row>
    <row r="15" spans="1:13" x14ac:dyDescent="0.25">
      <c r="A15" s="11"/>
      <c r="B15" s="12"/>
      <c r="C15" s="12"/>
      <c r="D15" s="15"/>
      <c r="E15" s="16"/>
      <c r="F15" s="16"/>
      <c r="G15" s="68"/>
      <c r="H15" s="18"/>
      <c r="J15" s="41"/>
      <c r="K15" s="28"/>
    </row>
    <row r="16" spans="1:13" x14ac:dyDescent="0.25">
      <c r="A16" s="11" t="s">
        <v>10</v>
      </c>
      <c r="B16" s="12"/>
      <c r="C16" s="12"/>
      <c r="D16" s="15"/>
      <c r="E16" s="16">
        <f>E10-E14</f>
        <v>62978</v>
      </c>
      <c r="F16" s="16">
        <f>F10-F14</f>
        <v>60900</v>
      </c>
      <c r="G16" s="17"/>
      <c r="H16" s="18"/>
      <c r="J16" s="41" t="s">
        <v>27</v>
      </c>
      <c r="K16" s="27"/>
    </row>
    <row r="17" spans="1:14" x14ac:dyDescent="0.25">
      <c r="A17" s="38"/>
      <c r="B17" s="12" t="s">
        <v>11</v>
      </c>
      <c r="C17" s="12"/>
      <c r="D17" s="15">
        <f>D$7</f>
        <v>3.3000000000000002E-2</v>
      </c>
      <c r="E17" s="16">
        <f>ROUND(F17/(1-D17),0)</f>
        <v>0</v>
      </c>
      <c r="F17" s="16">
        <f>+K11</f>
        <v>0</v>
      </c>
      <c r="G17" s="17">
        <f>+K16</f>
        <v>0</v>
      </c>
      <c r="H17" s="18">
        <f>ROUND(E17*G17,2)</f>
        <v>0</v>
      </c>
      <c r="J17" s="41" t="s">
        <v>27</v>
      </c>
    </row>
    <row r="18" spans="1:14" x14ac:dyDescent="0.25">
      <c r="A18" s="38"/>
      <c r="B18" s="94" t="s">
        <v>11</v>
      </c>
      <c r="C18" s="101"/>
      <c r="D18" s="95">
        <f>D$7</f>
        <v>3.3000000000000002E-2</v>
      </c>
      <c r="E18" s="96">
        <v>0</v>
      </c>
      <c r="F18" s="96">
        <f>+K12</f>
        <v>0</v>
      </c>
      <c r="G18" s="97">
        <v>0</v>
      </c>
      <c r="H18" s="98"/>
      <c r="J18" s="41" t="s">
        <v>73</v>
      </c>
      <c r="K18" s="116">
        <f>M2+0.01</f>
        <v>6.3199999999999994</v>
      </c>
    </row>
    <row r="19" spans="1:14" x14ac:dyDescent="0.25">
      <c r="A19" s="11"/>
      <c r="B19" s="12" t="s">
        <v>12</v>
      </c>
      <c r="C19" s="12"/>
      <c r="D19" s="15">
        <f>D$7</f>
        <v>3.3000000000000002E-2</v>
      </c>
      <c r="E19" s="39">
        <f>ROUND(F19/(1-D19),0)</f>
        <v>62978</v>
      </c>
      <c r="F19" s="16">
        <f>+K13</f>
        <v>60900</v>
      </c>
      <c r="G19" s="17">
        <f>+K18</f>
        <v>6.3199999999999994</v>
      </c>
      <c r="H19" s="18">
        <f>ROUND(E19*G19,2)</f>
        <v>398020.96</v>
      </c>
      <c r="J19" s="41" t="s">
        <v>74</v>
      </c>
      <c r="K19" s="66">
        <f>M2+0.1</f>
        <v>6.4099999999999993</v>
      </c>
    </row>
    <row r="20" spans="1:14" ht="15" x14ac:dyDescent="0.4">
      <c r="A20" s="11"/>
      <c r="B20" s="12" t="s">
        <v>13</v>
      </c>
      <c r="C20" s="12"/>
      <c r="D20" s="15">
        <f>D$7</f>
        <v>3.3000000000000002E-2</v>
      </c>
      <c r="E20" s="19">
        <f>ROUND(F20/(1-D20),0)</f>
        <v>0</v>
      </c>
      <c r="F20" s="19">
        <f>+K14</f>
        <v>0</v>
      </c>
      <c r="G20" s="44">
        <f>+K19</f>
        <v>6.4099999999999993</v>
      </c>
      <c r="H20" s="20">
        <f>ROUND(E20*G20,2)</f>
        <v>0</v>
      </c>
      <c r="K20" s="28"/>
    </row>
    <row r="21" spans="1:14" ht="13.8" thickBot="1" x14ac:dyDescent="0.3">
      <c r="A21" s="21"/>
      <c r="B21" s="22"/>
      <c r="C21" s="22"/>
      <c r="D21" s="23"/>
      <c r="E21" s="24">
        <f>+E10</f>
        <v>62978</v>
      </c>
      <c r="F21" s="24">
        <f>SUM(F17:F20)</f>
        <v>60900</v>
      </c>
      <c r="G21" s="25">
        <f>+H21/E21</f>
        <v>6.32</v>
      </c>
      <c r="H21" s="26">
        <f>SUM(H17:H20)</f>
        <v>398020.96</v>
      </c>
      <c r="J21" s="41" t="s">
        <v>33</v>
      </c>
      <c r="K21" s="93">
        <v>3183.05</v>
      </c>
    </row>
    <row r="22" spans="1:14" x14ac:dyDescent="0.25">
      <c r="J22" s="41" t="s">
        <v>34</v>
      </c>
      <c r="K22" s="92">
        <v>2175</v>
      </c>
    </row>
    <row r="23" spans="1:14" x14ac:dyDescent="0.25">
      <c r="K23" s="133">
        <v>3.3000000000000002E-2</v>
      </c>
      <c r="L23" s="135">
        <v>2.5899999999999999E-2</v>
      </c>
      <c r="M23" s="136">
        <f>L23+0.0078</f>
        <v>3.3700000000000001E-2</v>
      </c>
      <c r="N23" s="41" t="s">
        <v>88</v>
      </c>
    </row>
    <row r="24" spans="1:14" x14ac:dyDescent="0.25">
      <c r="D24" s="27"/>
      <c r="E24" s="28"/>
      <c r="F24" s="28"/>
      <c r="G24" s="29"/>
      <c r="H24" s="30"/>
      <c r="J24" s="106" t="s">
        <v>78</v>
      </c>
      <c r="K24" s="28"/>
    </row>
    <row r="25" spans="1:14" ht="13.8" thickBot="1" x14ac:dyDescent="0.3">
      <c r="D25" s="27"/>
      <c r="E25" s="28"/>
      <c r="F25" s="28"/>
      <c r="G25" s="29"/>
      <c r="H25" s="30"/>
      <c r="K25" s="28"/>
    </row>
    <row r="26" spans="1:14" x14ac:dyDescent="0.25">
      <c r="A26" s="7" t="s">
        <v>1</v>
      </c>
      <c r="B26" s="8" t="str">
        <f>J24</f>
        <v>33171000 TF-1</v>
      </c>
      <c r="C26" s="9"/>
      <c r="D26" s="9"/>
      <c r="E26" s="9"/>
      <c r="F26" s="9"/>
      <c r="G26" s="9"/>
      <c r="H26" s="10"/>
      <c r="J26" s="41" t="s">
        <v>24</v>
      </c>
      <c r="K26" s="92">
        <v>155224</v>
      </c>
    </row>
    <row r="27" spans="1:14" x14ac:dyDescent="0.25">
      <c r="A27" s="11"/>
      <c r="B27" s="12"/>
      <c r="C27" s="12"/>
      <c r="D27" s="13" t="s">
        <v>2</v>
      </c>
      <c r="E27" s="13" t="s">
        <v>3</v>
      </c>
      <c r="F27" s="13" t="s">
        <v>4</v>
      </c>
      <c r="G27" s="13" t="s">
        <v>5</v>
      </c>
      <c r="H27" s="14" t="s">
        <v>6</v>
      </c>
      <c r="J27" s="41" t="s">
        <v>25</v>
      </c>
      <c r="K27" s="92">
        <v>915</v>
      </c>
    </row>
    <row r="28" spans="1:14" x14ac:dyDescent="0.25">
      <c r="A28" s="38" t="s">
        <v>23</v>
      </c>
      <c r="B28" s="12"/>
      <c r="C28" s="12"/>
      <c r="D28" s="15">
        <f>D$7</f>
        <v>3.3000000000000002E-2</v>
      </c>
      <c r="E28" s="16">
        <f>ROUND(F28/(1-D28),0)</f>
        <v>160521</v>
      </c>
      <c r="F28" s="16">
        <f>+K26</f>
        <v>155224</v>
      </c>
      <c r="G28" s="17"/>
      <c r="H28" s="18"/>
      <c r="J28" s="41" t="s">
        <v>26</v>
      </c>
      <c r="K28" s="28">
        <v>0</v>
      </c>
    </row>
    <row r="29" spans="1:14" x14ac:dyDescent="0.25">
      <c r="A29" s="11" t="s">
        <v>8</v>
      </c>
      <c r="B29" s="12"/>
      <c r="C29" s="12"/>
      <c r="D29" s="15">
        <f>D$7</f>
        <v>3.3000000000000002E-2</v>
      </c>
      <c r="E29" s="39">
        <f>ROUND(F29/(1-D29),0)</f>
        <v>946</v>
      </c>
      <c r="F29" s="39">
        <f>+K27</f>
        <v>915</v>
      </c>
      <c r="G29" s="17"/>
      <c r="H29" s="18"/>
      <c r="J29" s="41" t="s">
        <v>26</v>
      </c>
      <c r="K29" s="28">
        <v>0</v>
      </c>
      <c r="L29" s="119"/>
    </row>
    <row r="30" spans="1:14" ht="15" x14ac:dyDescent="0.4">
      <c r="A30" s="11" t="s">
        <v>7</v>
      </c>
      <c r="B30" s="12" t="s">
        <v>9</v>
      </c>
      <c r="C30" s="12"/>
      <c r="D30" s="15">
        <f>D$7</f>
        <v>3.3000000000000002E-2</v>
      </c>
      <c r="E30" s="19">
        <f>ROUND(F30/(1-D30),0)</f>
        <v>0</v>
      </c>
      <c r="F30" s="19">
        <f>+F35</f>
        <v>0</v>
      </c>
      <c r="G30" s="17"/>
      <c r="H30" s="18"/>
      <c r="K30" s="28"/>
      <c r="L30" s="52">
        <f>SUM(K26:K29)</f>
        <v>156139</v>
      </c>
    </row>
    <row r="31" spans="1:14" x14ac:dyDescent="0.25">
      <c r="A31" s="11"/>
      <c r="B31" s="12"/>
      <c r="C31" s="12"/>
      <c r="D31" s="15"/>
      <c r="E31" s="16">
        <f>SUM(E28:E30)</f>
        <v>161467</v>
      </c>
      <c r="F31" s="16">
        <f>SUM(F28:F30)</f>
        <v>156139</v>
      </c>
      <c r="G31" s="17"/>
      <c r="H31" s="18"/>
      <c r="J31" s="41" t="s">
        <v>31</v>
      </c>
      <c r="K31" s="57">
        <v>0</v>
      </c>
      <c r="M31" s="40"/>
    </row>
    <row r="32" spans="1:14" x14ac:dyDescent="0.25">
      <c r="A32" s="11"/>
      <c r="B32" s="12"/>
      <c r="C32" s="12"/>
      <c r="D32" s="15"/>
      <c r="E32" s="16"/>
      <c r="F32" s="16"/>
      <c r="G32" s="17"/>
      <c r="H32" s="18"/>
      <c r="J32" s="41" t="s">
        <v>31</v>
      </c>
      <c r="K32" s="28">
        <v>0</v>
      </c>
      <c r="M32" s="52">
        <f>+K11+K32</f>
        <v>0</v>
      </c>
    </row>
    <row r="33" spans="1:13" x14ac:dyDescent="0.25">
      <c r="A33" s="11" t="s">
        <v>7</v>
      </c>
      <c r="B33" s="12" t="s">
        <v>9</v>
      </c>
      <c r="C33" s="12"/>
      <c r="D33" s="15">
        <f>D$7</f>
        <v>3.3000000000000002E-2</v>
      </c>
      <c r="E33" s="16">
        <f>ROUND(F33/(1-D33),0)</f>
        <v>0</v>
      </c>
      <c r="F33" s="16">
        <f>+K28</f>
        <v>0</v>
      </c>
      <c r="G33" s="17"/>
      <c r="H33" s="18"/>
      <c r="J33" s="41" t="s">
        <v>31</v>
      </c>
      <c r="K33" s="28">
        <v>0</v>
      </c>
      <c r="L33" s="52"/>
      <c r="M33" s="52">
        <f>+K32+K33</f>
        <v>0</v>
      </c>
    </row>
    <row r="34" spans="1:13" ht="15" x14ac:dyDescent="0.4">
      <c r="A34" s="38"/>
      <c r="B34" s="12" t="s">
        <v>9</v>
      </c>
      <c r="C34" s="12"/>
      <c r="D34" s="15">
        <f>D$7</f>
        <v>3.3000000000000002E-2</v>
      </c>
      <c r="E34" s="19">
        <f>ROUND(F34/(1-D34),0)</f>
        <v>0</v>
      </c>
      <c r="F34" s="19">
        <f>+K29</f>
        <v>0</v>
      </c>
      <c r="G34" s="17"/>
      <c r="H34" s="18"/>
      <c r="J34" s="41" t="s">
        <v>30</v>
      </c>
      <c r="K34" s="28">
        <f>SUM(K26:K29)</f>
        <v>156139</v>
      </c>
    </row>
    <row r="35" spans="1:13" x14ac:dyDescent="0.25">
      <c r="A35" s="11"/>
      <c r="B35" s="12"/>
      <c r="C35" s="12"/>
      <c r="D35" s="15"/>
      <c r="E35" s="16">
        <f>E33+E34</f>
        <v>0</v>
      </c>
      <c r="F35" s="16">
        <f>F33+F34</f>
        <v>0</v>
      </c>
      <c r="G35" s="17"/>
      <c r="H35" s="18"/>
      <c r="J35" s="41" t="s">
        <v>32</v>
      </c>
      <c r="K35" s="107">
        <v>0</v>
      </c>
      <c r="L35" s="40"/>
    </row>
    <row r="36" spans="1:13" x14ac:dyDescent="0.25">
      <c r="A36" s="11"/>
      <c r="B36" s="12"/>
      <c r="C36" s="12"/>
      <c r="D36" s="15"/>
      <c r="E36" s="16"/>
      <c r="F36" s="16"/>
      <c r="G36" s="17"/>
      <c r="H36" s="18"/>
      <c r="K36" s="28"/>
      <c r="L36" s="40"/>
    </row>
    <row r="37" spans="1:13" x14ac:dyDescent="0.25">
      <c r="A37" s="11" t="s">
        <v>10</v>
      </c>
      <c r="B37" s="12"/>
      <c r="C37" s="12"/>
      <c r="D37" s="15"/>
      <c r="E37" s="16">
        <f>E31-E35</f>
        <v>161467</v>
      </c>
      <c r="F37" s="16">
        <f>F31-F35</f>
        <v>156139</v>
      </c>
      <c r="G37" s="17"/>
      <c r="H37" s="18"/>
      <c r="J37" s="41" t="s">
        <v>27</v>
      </c>
      <c r="K37" s="27"/>
      <c r="L37" s="40"/>
    </row>
    <row r="38" spans="1:13" x14ac:dyDescent="0.25">
      <c r="A38" s="11"/>
      <c r="B38" s="12" t="s">
        <v>11</v>
      </c>
      <c r="C38" s="12"/>
      <c r="D38" s="15">
        <f>D$7</f>
        <v>3.3000000000000002E-2</v>
      </c>
      <c r="E38" s="16">
        <f>ROUND(F38/(1-D38),0)</f>
        <v>0</v>
      </c>
      <c r="F38" s="16">
        <f>+K31</f>
        <v>0</v>
      </c>
      <c r="G38" s="17">
        <f>+G17</f>
        <v>0</v>
      </c>
      <c r="H38" s="18">
        <f>ROUND(E38*G38,2)</f>
        <v>0</v>
      </c>
      <c r="J38" s="41" t="s">
        <v>27</v>
      </c>
      <c r="K38" s="27"/>
      <c r="L38" s="40"/>
    </row>
    <row r="39" spans="1:13" x14ac:dyDescent="0.25">
      <c r="A39" s="11"/>
      <c r="B39" s="12" t="s">
        <v>11</v>
      </c>
      <c r="C39" s="12"/>
      <c r="D39" s="15">
        <f>D$7</f>
        <v>3.3000000000000002E-2</v>
      </c>
      <c r="E39" s="16">
        <f>ROUND(F39/(1-D39),0)</f>
        <v>0</v>
      </c>
      <c r="F39" s="16">
        <f>+K32</f>
        <v>0</v>
      </c>
      <c r="G39" s="17">
        <f>+K38</f>
        <v>0</v>
      </c>
      <c r="H39" s="18">
        <f>ROUND(E39*G39,2)</f>
        <v>0</v>
      </c>
      <c r="J39" s="41" t="s">
        <v>72</v>
      </c>
      <c r="K39" s="42">
        <f>+K18</f>
        <v>6.3199999999999994</v>
      </c>
    </row>
    <row r="40" spans="1:13" x14ac:dyDescent="0.25">
      <c r="A40" s="11"/>
      <c r="B40" s="12" t="s">
        <v>11</v>
      </c>
      <c r="C40" s="12"/>
      <c r="D40" s="15">
        <f>D$7</f>
        <v>3.3000000000000002E-2</v>
      </c>
      <c r="E40" s="16">
        <f>ROUND(F40/(1-D40),0)</f>
        <v>0</v>
      </c>
      <c r="F40" s="16">
        <f>+K33</f>
        <v>0</v>
      </c>
      <c r="G40" s="17">
        <f>+K39</f>
        <v>6.3199999999999994</v>
      </c>
      <c r="H40" s="18">
        <f>ROUND(E40*G40,2)</f>
        <v>0</v>
      </c>
    </row>
    <row r="41" spans="1:13" x14ac:dyDescent="0.25">
      <c r="A41" s="11"/>
      <c r="B41" s="12" t="s">
        <v>12</v>
      </c>
      <c r="C41" s="12"/>
      <c r="D41" s="15">
        <f>D$7</f>
        <v>3.3000000000000002E-2</v>
      </c>
      <c r="E41" s="16">
        <f>ROUND(F41/(1-D41),0)</f>
        <v>161467</v>
      </c>
      <c r="F41" s="16">
        <f>+K34</f>
        <v>156139</v>
      </c>
      <c r="G41" s="17">
        <f>+G19</f>
        <v>6.3199999999999994</v>
      </c>
      <c r="H41" s="18">
        <f>ROUND(E41*G41,2)</f>
        <v>1020471.44</v>
      </c>
      <c r="J41" s="41" t="s">
        <v>33</v>
      </c>
      <c r="K41" s="93">
        <v>90172.36</v>
      </c>
    </row>
    <row r="42" spans="1:13" ht="15" x14ac:dyDescent="0.4">
      <c r="A42" s="11"/>
      <c r="B42" s="12" t="s">
        <v>13</v>
      </c>
      <c r="C42" s="12"/>
      <c r="D42" s="15">
        <f>D$7</f>
        <v>3.3000000000000002E-2</v>
      </c>
      <c r="E42" s="19">
        <f>ROUND(F42/(1-D42),0)</f>
        <v>0</v>
      </c>
      <c r="F42" s="19">
        <f>+K35</f>
        <v>0</v>
      </c>
      <c r="G42" s="44">
        <f>+G20</f>
        <v>6.4099999999999993</v>
      </c>
      <c r="H42" s="20">
        <f>ROUND(E42*G42,2)</f>
        <v>0</v>
      </c>
      <c r="J42" s="41" t="s">
        <v>34</v>
      </c>
      <c r="K42" s="92">
        <v>8375</v>
      </c>
    </row>
    <row r="43" spans="1:13" ht="13.8" thickBot="1" x14ac:dyDescent="0.3">
      <c r="A43" s="21"/>
      <c r="B43" s="22"/>
      <c r="C43" s="22"/>
      <c r="D43" s="23"/>
      <c r="E43" s="24">
        <f>SUM(E38:E42)</f>
        <v>161467</v>
      </c>
      <c r="F43" s="24">
        <f>SUM(F38:F42)</f>
        <v>156139</v>
      </c>
      <c r="G43" s="25"/>
      <c r="H43" s="26">
        <f>SUM(H38:H42)</f>
        <v>1020471.44</v>
      </c>
      <c r="J43" s="40" t="s">
        <v>67</v>
      </c>
      <c r="K43" s="93">
        <f>-12646.67+(10586.25+22.41)</f>
        <v>-2038.0100000000002</v>
      </c>
    </row>
    <row r="44" spans="1:13" x14ac:dyDescent="0.25">
      <c r="A44" s="40"/>
      <c r="D44" s="27"/>
      <c r="E44" s="28"/>
      <c r="F44" s="28"/>
      <c r="G44" s="29"/>
      <c r="H44" s="30"/>
      <c r="J44" s="106" t="s">
        <v>86</v>
      </c>
    </row>
    <row r="45" spans="1:13" ht="13.8" thickBot="1" x14ac:dyDescent="0.3">
      <c r="D45" s="27"/>
      <c r="E45" s="28"/>
      <c r="F45" s="28"/>
      <c r="G45" s="29"/>
      <c r="H45" s="30"/>
      <c r="J45" s="118" t="s">
        <v>87</v>
      </c>
    </row>
    <row r="46" spans="1:13" x14ac:dyDescent="0.25">
      <c r="A46" s="7" t="s">
        <v>1</v>
      </c>
      <c r="B46" s="8" t="str">
        <f>J44</f>
        <v>33229000  NNT-1</v>
      </c>
      <c r="C46" s="9"/>
      <c r="D46" s="9"/>
      <c r="E46" s="9"/>
      <c r="F46" s="9"/>
      <c r="G46" s="9"/>
      <c r="H46" s="10"/>
      <c r="J46" s="41" t="s">
        <v>24</v>
      </c>
      <c r="K46" s="28">
        <v>0</v>
      </c>
    </row>
    <row r="47" spans="1:13" x14ac:dyDescent="0.25">
      <c r="A47" s="11"/>
      <c r="B47" s="12"/>
      <c r="C47" s="12"/>
      <c r="D47" s="13" t="s">
        <v>2</v>
      </c>
      <c r="E47" s="13" t="s">
        <v>3</v>
      </c>
      <c r="F47" s="13" t="s">
        <v>4</v>
      </c>
      <c r="G47" s="13" t="s">
        <v>5</v>
      </c>
      <c r="H47" s="14" t="s">
        <v>6</v>
      </c>
      <c r="J47" s="41" t="s">
        <v>25</v>
      </c>
      <c r="K47" s="28">
        <v>0</v>
      </c>
    </row>
    <row r="48" spans="1:13" x14ac:dyDescent="0.25">
      <c r="A48" s="38" t="s">
        <v>23</v>
      </c>
      <c r="B48" s="12"/>
      <c r="C48" s="12"/>
      <c r="D48" s="15">
        <f>D$7</f>
        <v>3.3000000000000002E-2</v>
      </c>
      <c r="E48" s="16">
        <f>ROUND(F48/(1-D48),0)</f>
        <v>0</v>
      </c>
      <c r="F48" s="16">
        <f>+K46</f>
        <v>0</v>
      </c>
      <c r="G48" s="17"/>
      <c r="H48" s="18"/>
      <c r="J48" s="41" t="s">
        <v>26</v>
      </c>
      <c r="K48" s="28"/>
    </row>
    <row r="49" spans="1:14" x14ac:dyDescent="0.25">
      <c r="A49" s="11" t="s">
        <v>8</v>
      </c>
      <c r="B49" s="12"/>
      <c r="C49" s="12"/>
      <c r="D49" s="15">
        <f>D$7</f>
        <v>3.3000000000000002E-2</v>
      </c>
      <c r="E49" s="39">
        <f>ROUND(F49/(1-D49),0)</f>
        <v>0</v>
      </c>
      <c r="F49" s="39">
        <f>+K47</f>
        <v>0</v>
      </c>
      <c r="G49" s="17"/>
      <c r="H49" s="18"/>
      <c r="J49" s="41" t="s">
        <v>26</v>
      </c>
    </row>
    <row r="50" spans="1:14" ht="15" x14ac:dyDescent="0.4">
      <c r="A50" s="11" t="s">
        <v>7</v>
      </c>
      <c r="B50" s="12" t="s">
        <v>9</v>
      </c>
      <c r="C50" s="12"/>
      <c r="D50" s="15">
        <f>D$7</f>
        <v>3.3000000000000002E-2</v>
      </c>
      <c r="E50" s="19">
        <f>ROUND(F50/(1-D50),0)</f>
        <v>0</v>
      </c>
      <c r="F50" s="19">
        <f>+F55</f>
        <v>0</v>
      </c>
      <c r="G50" s="17"/>
      <c r="H50" s="18"/>
      <c r="J50" s="41"/>
    </row>
    <row r="51" spans="1:14" x14ac:dyDescent="0.25">
      <c r="A51" s="11"/>
      <c r="B51" s="12"/>
      <c r="C51" s="12"/>
      <c r="D51" s="15"/>
      <c r="E51" s="16">
        <f>SUM(E48:E50)</f>
        <v>0</v>
      </c>
      <c r="F51" s="16">
        <f>SUM(F48:F50)</f>
        <v>0</v>
      </c>
      <c r="G51" s="17"/>
      <c r="H51" s="18"/>
      <c r="J51" s="41" t="s">
        <v>31</v>
      </c>
      <c r="K51" s="42"/>
    </row>
    <row r="52" spans="1:14" x14ac:dyDescent="0.25">
      <c r="A52" s="11"/>
      <c r="B52" s="12"/>
      <c r="C52" s="12"/>
      <c r="D52" s="15"/>
      <c r="E52" s="16"/>
      <c r="F52" s="16"/>
      <c r="G52" s="17"/>
      <c r="H52" s="18"/>
      <c r="J52" s="41" t="s">
        <v>30</v>
      </c>
      <c r="K52" s="28">
        <f>+K46</f>
        <v>0</v>
      </c>
    </row>
    <row r="53" spans="1:14" x14ac:dyDescent="0.25">
      <c r="A53" s="11" t="s">
        <v>7</v>
      </c>
      <c r="B53" s="12" t="s">
        <v>9</v>
      </c>
      <c r="C53" s="12"/>
      <c r="D53" s="15">
        <f>D$7</f>
        <v>3.3000000000000002E-2</v>
      </c>
      <c r="E53" s="16">
        <f>ROUND(F53/(1-D53),0)</f>
        <v>0</v>
      </c>
      <c r="F53" s="16">
        <f>+K48</f>
        <v>0</v>
      </c>
      <c r="G53" s="17"/>
      <c r="H53" s="18"/>
      <c r="J53" s="41" t="s">
        <v>32</v>
      </c>
    </row>
    <row r="54" spans="1:14" ht="15" x14ac:dyDescent="0.4">
      <c r="A54" s="38"/>
      <c r="B54" s="12" t="s">
        <v>9</v>
      </c>
      <c r="C54" s="12"/>
      <c r="D54" s="15">
        <f>D$7</f>
        <v>3.3000000000000002E-2</v>
      </c>
      <c r="E54" s="19">
        <f>ROUND(F54/(1-D54),0)</f>
        <v>0</v>
      </c>
      <c r="F54" s="19">
        <f>+K49</f>
        <v>0</v>
      </c>
      <c r="G54" s="17"/>
      <c r="H54" s="18"/>
      <c r="J54" s="41"/>
    </row>
    <row r="55" spans="1:14" x14ac:dyDescent="0.25">
      <c r="A55" s="11"/>
      <c r="B55" s="12"/>
      <c r="C55" s="12"/>
      <c r="D55" s="15"/>
      <c r="E55" s="16">
        <f>E53+E54</f>
        <v>0</v>
      </c>
      <c r="F55" s="16">
        <f>F53+F54</f>
        <v>0</v>
      </c>
      <c r="G55" s="17"/>
      <c r="H55" s="18"/>
      <c r="J55" s="41" t="s">
        <v>27</v>
      </c>
      <c r="K55" s="58">
        <v>0</v>
      </c>
      <c r="N55" s="40"/>
    </row>
    <row r="56" spans="1:14" x14ac:dyDescent="0.25">
      <c r="A56" s="11"/>
      <c r="B56" s="12"/>
      <c r="C56" s="12"/>
      <c r="D56" s="15"/>
      <c r="E56" s="16"/>
      <c r="F56" s="16"/>
      <c r="G56" s="17"/>
      <c r="H56" s="18"/>
      <c r="J56" s="41" t="s">
        <v>28</v>
      </c>
      <c r="K56" s="64">
        <v>0</v>
      </c>
    </row>
    <row r="57" spans="1:14" x14ac:dyDescent="0.25">
      <c r="A57" s="11" t="s">
        <v>10</v>
      </c>
      <c r="B57" s="12"/>
      <c r="C57" s="12"/>
      <c r="D57" s="15"/>
      <c r="E57" s="16">
        <f>E51-E55</f>
        <v>0</v>
      </c>
      <c r="F57" s="16">
        <f>F51-F55</f>
        <v>0</v>
      </c>
      <c r="G57" s="17"/>
      <c r="H57" s="18"/>
      <c r="J57" s="41" t="s">
        <v>29</v>
      </c>
    </row>
    <row r="58" spans="1:14" x14ac:dyDescent="0.25">
      <c r="A58" s="11"/>
      <c r="B58" s="12" t="s">
        <v>11</v>
      </c>
      <c r="C58" s="12"/>
      <c r="D58" s="15">
        <f>D$7</f>
        <v>3.3000000000000002E-2</v>
      </c>
      <c r="E58" s="16">
        <f>ROUND(F58/(1-D58),0)</f>
        <v>0</v>
      </c>
      <c r="F58" s="16">
        <f>+K51</f>
        <v>0</v>
      </c>
      <c r="G58" s="17">
        <f>+K55</f>
        <v>0</v>
      </c>
      <c r="H58" s="18">
        <f>ROUND(E58*G58,2)</f>
        <v>0</v>
      </c>
    </row>
    <row r="59" spans="1:14" x14ac:dyDescent="0.25">
      <c r="A59" s="11"/>
      <c r="B59" s="12" t="s">
        <v>12</v>
      </c>
      <c r="C59" s="12"/>
      <c r="D59" s="15">
        <f>D$7</f>
        <v>3.3000000000000002E-2</v>
      </c>
      <c r="E59" s="16">
        <f>ROUND(F59/(1-D59),0)</f>
        <v>0</v>
      </c>
      <c r="F59" s="16">
        <f>+K52</f>
        <v>0</v>
      </c>
      <c r="G59" s="17">
        <f>+K56</f>
        <v>0</v>
      </c>
      <c r="H59" s="18">
        <f>ROUND(E59*G59,2)</f>
        <v>0</v>
      </c>
      <c r="J59" s="41" t="s">
        <v>33</v>
      </c>
      <c r="K59" s="6">
        <v>0</v>
      </c>
    </row>
    <row r="60" spans="1:14" ht="15" x14ac:dyDescent="0.4">
      <c r="A60" s="11"/>
      <c r="B60" s="12" t="s">
        <v>13</v>
      </c>
      <c r="C60" s="12"/>
      <c r="D60" s="15">
        <f>D$7</f>
        <v>3.3000000000000002E-2</v>
      </c>
      <c r="E60" s="19">
        <f>ROUND(F60/(1-D60),0)</f>
        <v>0</v>
      </c>
      <c r="F60" s="19">
        <f>+K53</f>
        <v>0</v>
      </c>
      <c r="G60" s="44">
        <f>+K57</f>
        <v>0</v>
      </c>
      <c r="H60" s="20">
        <f>ROUND(E60*G60,2)</f>
        <v>0</v>
      </c>
      <c r="J60" s="41" t="s">
        <v>34</v>
      </c>
      <c r="K60" s="6">
        <v>0</v>
      </c>
    </row>
    <row r="61" spans="1:14" ht="13.8" thickBot="1" x14ac:dyDescent="0.3">
      <c r="A61" s="21"/>
      <c r="B61" s="22"/>
      <c r="C61" s="22"/>
      <c r="D61" s="23"/>
      <c r="E61" s="24">
        <f>SUM(E58:E60)</f>
        <v>0</v>
      </c>
      <c r="F61" s="24">
        <f>SUM(F58:F60)</f>
        <v>0</v>
      </c>
      <c r="G61" s="25"/>
      <c r="H61" s="26">
        <f>SUM(H58:H60)</f>
        <v>0</v>
      </c>
    </row>
    <row r="62" spans="1:14" x14ac:dyDescent="0.25">
      <c r="D62" s="27"/>
      <c r="E62" s="28"/>
      <c r="F62" s="28"/>
      <c r="G62" s="29"/>
      <c r="H62" s="30"/>
    </row>
    <row r="63" spans="1:14" ht="13.8" thickBot="1" x14ac:dyDescent="0.3">
      <c r="D63" s="27"/>
      <c r="E63" s="28"/>
      <c r="F63" s="28"/>
      <c r="G63" s="29"/>
      <c r="H63" s="30"/>
    </row>
    <row r="64" spans="1:14" x14ac:dyDescent="0.25">
      <c r="A64" s="7" t="s">
        <v>1</v>
      </c>
      <c r="B64" s="31" t="s">
        <v>14</v>
      </c>
      <c r="C64" s="9"/>
      <c r="D64" s="9"/>
      <c r="E64" s="9"/>
      <c r="F64" s="9"/>
      <c r="G64" s="9"/>
      <c r="H64" s="10"/>
      <c r="J64" s="41" t="s">
        <v>35</v>
      </c>
      <c r="K64" s="132">
        <v>28</v>
      </c>
    </row>
    <row r="65" spans="1:12" x14ac:dyDescent="0.25">
      <c r="A65" s="11"/>
      <c r="B65" s="12"/>
      <c r="C65" s="12"/>
      <c r="D65" s="13"/>
      <c r="E65" s="13" t="s">
        <v>3</v>
      </c>
      <c r="F65" s="13" t="s">
        <v>4</v>
      </c>
      <c r="G65" s="13" t="s">
        <v>5</v>
      </c>
      <c r="H65" s="14" t="s">
        <v>6</v>
      </c>
      <c r="J65" s="41" t="s">
        <v>36</v>
      </c>
      <c r="K65" s="93">
        <v>0.06</v>
      </c>
      <c r="L65" s="46"/>
    </row>
    <row r="66" spans="1:12" x14ac:dyDescent="0.25">
      <c r="A66" s="38" t="s">
        <v>23</v>
      </c>
      <c r="B66" s="12"/>
      <c r="C66" s="12"/>
      <c r="D66" s="15"/>
      <c r="E66" s="16">
        <f t="shared" ref="E66:F68" si="0">E7+E28+E48</f>
        <v>204321</v>
      </c>
      <c r="F66" s="16">
        <f t="shared" si="0"/>
        <v>197579</v>
      </c>
      <c r="G66" s="17"/>
      <c r="H66" s="18"/>
      <c r="L66" s="50"/>
    </row>
    <row r="67" spans="1:12" x14ac:dyDescent="0.25">
      <c r="A67" s="11" t="s">
        <v>8</v>
      </c>
      <c r="B67" s="12"/>
      <c r="C67" s="12"/>
      <c r="D67" s="15"/>
      <c r="E67" s="16">
        <f t="shared" si="0"/>
        <v>20124</v>
      </c>
      <c r="F67" s="16">
        <f t="shared" si="0"/>
        <v>19460</v>
      </c>
      <c r="G67" s="17"/>
      <c r="H67" s="18"/>
      <c r="J67" s="41" t="s">
        <v>38</v>
      </c>
      <c r="K67" s="45"/>
      <c r="L67" s="50"/>
    </row>
    <row r="68" spans="1:12" ht="15" x14ac:dyDescent="0.4">
      <c r="A68" s="11" t="s">
        <v>7</v>
      </c>
      <c r="B68" s="12" t="s">
        <v>9</v>
      </c>
      <c r="C68" s="12"/>
      <c r="D68" s="15"/>
      <c r="E68" s="19">
        <f t="shared" si="0"/>
        <v>0</v>
      </c>
      <c r="F68" s="19">
        <f t="shared" si="0"/>
        <v>0</v>
      </c>
      <c r="G68" s="17"/>
      <c r="H68" s="18"/>
      <c r="J68" s="40" t="s">
        <v>65</v>
      </c>
      <c r="K68" s="55">
        <v>0</v>
      </c>
      <c r="L68" s="54"/>
    </row>
    <row r="69" spans="1:12" x14ac:dyDescent="0.25">
      <c r="A69" s="11"/>
      <c r="B69" s="12"/>
      <c r="C69" s="12"/>
      <c r="D69" s="15"/>
      <c r="E69" s="16">
        <f>SUM(E66:E68)</f>
        <v>224445</v>
      </c>
      <c r="F69" s="16">
        <f>SUM(F66:F68)</f>
        <v>217039</v>
      </c>
      <c r="G69" s="17"/>
      <c r="H69" s="18"/>
      <c r="J69" s="69"/>
      <c r="K69" s="55">
        <v>0</v>
      </c>
      <c r="L69" s="59"/>
    </row>
    <row r="70" spans="1:12" x14ac:dyDescent="0.25">
      <c r="A70" s="11"/>
      <c r="B70" s="12"/>
      <c r="C70" s="12"/>
      <c r="D70" s="15"/>
      <c r="E70" s="16"/>
      <c r="F70" s="16"/>
      <c r="G70" s="17"/>
      <c r="H70" s="18"/>
      <c r="J70" s="69"/>
      <c r="K70" s="42"/>
      <c r="L70" s="55"/>
    </row>
    <row r="71" spans="1:12" x14ac:dyDescent="0.25">
      <c r="A71" s="11" t="s">
        <v>7</v>
      </c>
      <c r="B71" s="12" t="s">
        <v>9</v>
      </c>
      <c r="C71" s="12"/>
      <c r="D71" s="15"/>
      <c r="E71" s="16">
        <f>E12+E33</f>
        <v>0</v>
      </c>
      <c r="F71" s="16">
        <f>F12+F33</f>
        <v>0</v>
      </c>
      <c r="G71" s="17"/>
      <c r="H71" s="18"/>
      <c r="J71" s="69"/>
      <c r="K71" s="55"/>
      <c r="L71" s="55"/>
    </row>
    <row r="72" spans="1:12" ht="15" x14ac:dyDescent="0.4">
      <c r="A72" s="11" t="s">
        <v>7</v>
      </c>
      <c r="B72" s="12" t="s">
        <v>9</v>
      </c>
      <c r="C72" s="12"/>
      <c r="D72" s="15"/>
      <c r="E72" s="19">
        <f>E13+E34</f>
        <v>0</v>
      </c>
      <c r="F72" s="19">
        <f>F13+F34</f>
        <v>0</v>
      </c>
      <c r="G72" s="17"/>
      <c r="H72" s="18"/>
      <c r="L72" s="55"/>
    </row>
    <row r="73" spans="1:12" x14ac:dyDescent="0.25">
      <c r="A73" s="11"/>
      <c r="B73" s="12"/>
      <c r="C73" s="12"/>
      <c r="D73" s="15"/>
      <c r="E73" s="16">
        <f>E71+E72</f>
        <v>0</v>
      </c>
      <c r="F73" s="16">
        <f>F71+F72</f>
        <v>0</v>
      </c>
      <c r="G73" s="17"/>
      <c r="H73" s="18"/>
      <c r="J73" s="40"/>
      <c r="K73" s="55"/>
      <c r="L73" s="55"/>
    </row>
    <row r="74" spans="1:12" x14ac:dyDescent="0.25">
      <c r="A74" s="11"/>
      <c r="B74" s="12"/>
      <c r="C74" s="12"/>
      <c r="D74" s="15"/>
      <c r="E74" s="16"/>
      <c r="F74" s="16"/>
      <c r="G74" s="17"/>
      <c r="H74" s="18"/>
      <c r="J74" s="48"/>
      <c r="K74" s="55"/>
    </row>
    <row r="75" spans="1:12" x14ac:dyDescent="0.25">
      <c r="A75" s="11" t="s">
        <v>10</v>
      </c>
      <c r="B75" s="12"/>
      <c r="C75" s="12"/>
      <c r="D75" s="15"/>
      <c r="E75" s="16">
        <f>E16+E37+E57</f>
        <v>224445</v>
      </c>
      <c r="F75" s="16">
        <f>F16+F37+F57</f>
        <v>217039</v>
      </c>
      <c r="G75" s="17"/>
      <c r="H75" s="18"/>
      <c r="J75" s="106" t="s">
        <v>80</v>
      </c>
      <c r="K75" s="28"/>
    </row>
    <row r="76" spans="1:12" x14ac:dyDescent="0.25">
      <c r="A76" s="51"/>
      <c r="B76" s="12" t="s">
        <v>11</v>
      </c>
      <c r="C76" s="12"/>
      <c r="D76" s="15"/>
      <c r="E76" s="53">
        <f>+E17+E38+E58</f>
        <v>0</v>
      </c>
      <c r="F76" s="53">
        <f>+F17+F38+F58</f>
        <v>0</v>
      </c>
      <c r="G76" s="17">
        <f>+G38</f>
        <v>0</v>
      </c>
      <c r="H76" s="18">
        <f>+E76*G76</f>
        <v>0</v>
      </c>
      <c r="J76" s="41" t="s">
        <v>39</v>
      </c>
      <c r="K76" s="93">
        <v>74165.45</v>
      </c>
    </row>
    <row r="77" spans="1:12" x14ac:dyDescent="0.25">
      <c r="A77" s="11"/>
      <c r="B77" s="12" t="s">
        <v>11</v>
      </c>
      <c r="C77" s="12"/>
      <c r="D77" s="15"/>
      <c r="E77" s="53">
        <f>+E18+E39</f>
        <v>0</v>
      </c>
      <c r="F77" s="16">
        <f>+F18</f>
        <v>0</v>
      </c>
      <c r="G77" s="17">
        <f>+K17</f>
        <v>0</v>
      </c>
      <c r="H77" s="18">
        <f>+E77*G77</f>
        <v>0</v>
      </c>
    </row>
    <row r="78" spans="1:12" x14ac:dyDescent="0.25">
      <c r="A78" s="11"/>
      <c r="B78" s="12" t="s">
        <v>11</v>
      </c>
      <c r="C78" s="12"/>
      <c r="D78" s="15"/>
      <c r="E78" s="16">
        <v>0</v>
      </c>
      <c r="F78" s="16">
        <v>0</v>
      </c>
      <c r="G78" s="17">
        <v>0</v>
      </c>
      <c r="H78" s="18">
        <f>+H18</f>
        <v>0</v>
      </c>
      <c r="K78" s="28"/>
    </row>
    <row r="79" spans="1:12" x14ac:dyDescent="0.25">
      <c r="A79" s="11"/>
      <c r="B79" s="12" t="s">
        <v>12</v>
      </c>
      <c r="C79" s="12"/>
      <c r="D79" s="65"/>
      <c r="E79" s="16">
        <f>E19+E41+E59</f>
        <v>224445</v>
      </c>
      <c r="F79" s="16">
        <f>F19+F41+F59</f>
        <v>217039</v>
      </c>
      <c r="G79" s="17">
        <f>+G41</f>
        <v>6.3199999999999994</v>
      </c>
      <c r="H79" s="18">
        <f>ROUND(+E79*G79,2)</f>
        <v>1418492.4</v>
      </c>
      <c r="J79" s="85"/>
      <c r="K79" s="28"/>
    </row>
    <row r="80" spans="1:12" ht="15" x14ac:dyDescent="0.4">
      <c r="A80" s="11"/>
      <c r="B80" s="12" t="s">
        <v>13</v>
      </c>
      <c r="C80" s="12"/>
      <c r="D80" s="15"/>
      <c r="E80" s="19">
        <f>E20+E42+E60</f>
        <v>0</v>
      </c>
      <c r="F80" s="19">
        <f>F20+F42+F60</f>
        <v>0</v>
      </c>
      <c r="G80" s="44">
        <f>+G42</f>
        <v>6.4099999999999993</v>
      </c>
      <c r="H80" s="20">
        <f>+E80*G80</f>
        <v>0</v>
      </c>
      <c r="K80" s="28"/>
    </row>
    <row r="81" spans="1:11" ht="13.8" thickBot="1" x14ac:dyDescent="0.3">
      <c r="A81" s="21"/>
      <c r="B81" s="22"/>
      <c r="C81" s="22"/>
      <c r="D81" s="23"/>
      <c r="E81" s="24">
        <f>SUM(E76:E80)</f>
        <v>224445</v>
      </c>
      <c r="F81" s="24">
        <f>SUM(F76:F80)</f>
        <v>217039</v>
      </c>
      <c r="G81" s="25"/>
      <c r="H81" s="26">
        <f>SUM(H76:H80)</f>
        <v>1418492.4</v>
      </c>
      <c r="K81" s="28"/>
    </row>
    <row r="82" spans="1:11" x14ac:dyDescent="0.25">
      <c r="A82" s="12"/>
      <c r="B82" s="12"/>
      <c r="C82" s="12"/>
      <c r="D82" s="15"/>
      <c r="E82" s="16"/>
      <c r="F82" s="16"/>
      <c r="G82" s="17"/>
      <c r="H82" s="32"/>
    </row>
    <row r="83" spans="1:11" x14ac:dyDescent="0.25">
      <c r="H83" s="30"/>
    </row>
    <row r="84" spans="1:11" x14ac:dyDescent="0.25">
      <c r="B84" s="6" t="s">
        <v>15</v>
      </c>
      <c r="E84" s="56" t="str">
        <f>B5</f>
        <v>33175000 TF-1</v>
      </c>
      <c r="H84" s="30">
        <f>+K21</f>
        <v>3183.05</v>
      </c>
    </row>
    <row r="85" spans="1:11" x14ac:dyDescent="0.25">
      <c r="B85" s="6" t="s">
        <v>15</v>
      </c>
      <c r="E85" s="56" t="str">
        <f>B26</f>
        <v>33171000 TF-1</v>
      </c>
      <c r="H85" s="49">
        <f>+K41</f>
        <v>90172.36</v>
      </c>
    </row>
    <row r="86" spans="1:11" x14ac:dyDescent="0.25">
      <c r="B86" s="6" t="s">
        <v>15</v>
      </c>
      <c r="E86" s="56" t="str">
        <f>J44</f>
        <v>33229000  NNT-1</v>
      </c>
      <c r="H86" s="49">
        <f>+K59</f>
        <v>0</v>
      </c>
    </row>
    <row r="87" spans="1:11" ht="15" x14ac:dyDescent="0.4">
      <c r="B87" s="40" t="s">
        <v>40</v>
      </c>
      <c r="E87" s="56" t="str">
        <f>J75</f>
        <v>31029000 NNT-1</v>
      </c>
      <c r="H87" s="33">
        <f>K76</f>
        <v>74165.45</v>
      </c>
    </row>
    <row r="88" spans="1:11" x14ac:dyDescent="0.25">
      <c r="H88" s="30">
        <f>SUM(H84:H87)</f>
        <v>167520.85999999999</v>
      </c>
    </row>
    <row r="89" spans="1:11" x14ac:dyDescent="0.25">
      <c r="H89" s="30"/>
    </row>
    <row r="90" spans="1:11" x14ac:dyDescent="0.25">
      <c r="A90" s="6" t="s">
        <v>16</v>
      </c>
      <c r="B90" s="57">
        <f>+K60+K42</f>
        <v>8375</v>
      </c>
      <c r="C90" s="6">
        <f>+K64</f>
        <v>28</v>
      </c>
      <c r="D90" s="6" t="s">
        <v>17</v>
      </c>
      <c r="F90" s="28">
        <f>ROUND(B90*C90,0)</f>
        <v>234500</v>
      </c>
      <c r="H90" s="30"/>
    </row>
    <row r="91" spans="1:11" ht="15" x14ac:dyDescent="0.4">
      <c r="A91" s="6" t="s">
        <v>18</v>
      </c>
      <c r="F91" s="34">
        <f>+F61+F43</f>
        <v>156139</v>
      </c>
      <c r="K91" s="28"/>
    </row>
    <row r="92" spans="1:11" x14ac:dyDescent="0.25">
      <c r="A92" s="6" t="s">
        <v>19</v>
      </c>
      <c r="B92" s="28"/>
      <c r="E92" s="35" t="s">
        <v>20</v>
      </c>
      <c r="F92" s="28">
        <f>F90-F91</f>
        <v>78361</v>
      </c>
      <c r="G92" s="29">
        <f>K65</f>
        <v>0.06</v>
      </c>
      <c r="H92" s="30">
        <f>-ROUND(F92*G92,2)</f>
        <v>-4701.66</v>
      </c>
    </row>
    <row r="93" spans="1:11" x14ac:dyDescent="0.25">
      <c r="F93" s="52"/>
      <c r="H93" s="30"/>
    </row>
    <row r="94" spans="1:11" x14ac:dyDescent="0.25">
      <c r="B94" s="43"/>
      <c r="D94" s="27"/>
      <c r="E94" s="28"/>
      <c r="F94" s="28"/>
      <c r="G94" s="29"/>
      <c r="H94" s="30"/>
    </row>
    <row r="95" spans="1:11" x14ac:dyDescent="0.25">
      <c r="B95" s="43"/>
      <c r="D95" s="89" t="s">
        <v>21</v>
      </c>
      <c r="E95" s="28"/>
      <c r="F95" s="28"/>
      <c r="G95" s="90" t="s">
        <v>68</v>
      </c>
      <c r="H95" s="30">
        <f>+K68</f>
        <v>0</v>
      </c>
    </row>
    <row r="96" spans="1:11" x14ac:dyDescent="0.25">
      <c r="A96" s="60"/>
      <c r="B96" s="61"/>
      <c r="D96" s="62"/>
      <c r="E96" s="28"/>
      <c r="F96" s="28"/>
      <c r="G96" s="90" t="s">
        <v>68</v>
      </c>
      <c r="H96" s="30">
        <f>+K69</f>
        <v>0</v>
      </c>
    </row>
    <row r="97" spans="1:10" x14ac:dyDescent="0.25">
      <c r="A97" s="60"/>
      <c r="D97" s="27"/>
      <c r="E97" s="28"/>
      <c r="F97" s="28"/>
      <c r="G97" s="90" t="s">
        <v>68</v>
      </c>
      <c r="H97" s="30">
        <f>+K70</f>
        <v>0</v>
      </c>
      <c r="J97" s="40"/>
    </row>
    <row r="98" spans="1:10" x14ac:dyDescent="0.25">
      <c r="D98" s="27"/>
      <c r="E98" s="28"/>
      <c r="F98" s="28"/>
      <c r="G98" s="88" t="s">
        <v>66</v>
      </c>
      <c r="H98" s="30">
        <f>+K43</f>
        <v>-2038.0100000000002</v>
      </c>
      <c r="J98" s="47"/>
    </row>
    <row r="100" spans="1:10" ht="15" x14ac:dyDescent="0.4">
      <c r="A100" s="60"/>
      <c r="D100" s="36" t="s">
        <v>22</v>
      </c>
      <c r="E100" s="36"/>
      <c r="F100" s="36"/>
      <c r="G100" s="36"/>
      <c r="H100" s="37">
        <f>SUM(H88:H98)+H81</f>
        <v>1579273.5899999999</v>
      </c>
    </row>
    <row r="101" spans="1:10" ht="15" x14ac:dyDescent="0.4">
      <c r="A101" s="60"/>
      <c r="D101" s="36"/>
      <c r="E101" s="36"/>
      <c r="F101" s="36"/>
      <c r="G101" s="36"/>
      <c r="H101" s="33"/>
    </row>
    <row r="102" spans="1:10" x14ac:dyDescent="0.25">
      <c r="J102" s="47"/>
    </row>
    <row r="103" spans="1:10" x14ac:dyDescent="0.25">
      <c r="H103" s="70"/>
      <c r="J103" s="70"/>
    </row>
    <row r="104" spans="1:10" x14ac:dyDescent="0.25">
      <c r="H104" s="30"/>
    </row>
    <row r="105" spans="1:10" x14ac:dyDescent="0.25">
      <c r="H105" s="70"/>
    </row>
    <row r="106" spans="1:10" x14ac:dyDescent="0.25">
      <c r="H106" s="30"/>
    </row>
    <row r="107" spans="1:10" x14ac:dyDescent="0.25">
      <c r="H107" s="30"/>
    </row>
    <row r="108" spans="1:10" x14ac:dyDescent="0.25">
      <c r="H108" s="30"/>
    </row>
    <row r="109" spans="1:10" x14ac:dyDescent="0.25">
      <c r="H109" s="30"/>
    </row>
    <row r="110" spans="1:10" x14ac:dyDescent="0.25">
      <c r="H110" s="30"/>
    </row>
    <row r="111" spans="1:10" x14ac:dyDescent="0.25">
      <c r="H111" s="30"/>
    </row>
    <row r="112" spans="1:10" x14ac:dyDescent="0.25">
      <c r="H112" s="30"/>
    </row>
    <row r="113" spans="8:8" x14ac:dyDescent="0.25">
      <c r="H113" s="30"/>
    </row>
    <row r="114" spans="8:8" x14ac:dyDescent="0.25">
      <c r="H114" s="30"/>
    </row>
    <row r="115" spans="8:8" x14ac:dyDescent="0.25">
      <c r="H115" s="30"/>
    </row>
    <row r="116" spans="8:8" x14ac:dyDescent="0.25">
      <c r="H116" s="30"/>
    </row>
    <row r="117" spans="8:8" x14ac:dyDescent="0.25">
      <c r="H117" s="30"/>
    </row>
    <row r="118" spans="8:8" x14ac:dyDescent="0.25">
      <c r="H118" s="30"/>
    </row>
    <row r="119" spans="8:8" x14ac:dyDescent="0.25">
      <c r="H119" s="30"/>
    </row>
    <row r="120" spans="8:8" x14ac:dyDescent="0.25">
      <c r="H120" s="30"/>
    </row>
    <row r="121" spans="8:8" x14ac:dyDescent="0.25">
      <c r="H121" s="30"/>
    </row>
    <row r="122" spans="8:8" x14ac:dyDescent="0.25">
      <c r="H122" s="30"/>
    </row>
    <row r="123" spans="8:8" x14ac:dyDescent="0.25">
      <c r="H123" s="30"/>
    </row>
    <row r="124" spans="8:8" x14ac:dyDescent="0.25">
      <c r="H124" s="30"/>
    </row>
    <row r="125" spans="8:8" x14ac:dyDescent="0.25">
      <c r="H125" s="30"/>
    </row>
    <row r="126" spans="8:8" x14ac:dyDescent="0.25">
      <c r="H126" s="30"/>
    </row>
    <row r="127" spans="8:8" x14ac:dyDescent="0.25">
      <c r="H127" s="30"/>
    </row>
    <row r="128" spans="8:8" x14ac:dyDescent="0.25">
      <c r="H128" s="30"/>
    </row>
    <row r="129" spans="8:8" x14ac:dyDescent="0.25">
      <c r="H129" s="30"/>
    </row>
    <row r="130" spans="8:8" x14ac:dyDescent="0.25">
      <c r="H130" s="30"/>
    </row>
    <row r="131" spans="8:8" x14ac:dyDescent="0.25">
      <c r="H131" s="30"/>
    </row>
    <row r="132" spans="8:8" x14ac:dyDescent="0.25">
      <c r="H132" s="30"/>
    </row>
    <row r="133" spans="8:8" x14ac:dyDescent="0.25">
      <c r="H133" s="30"/>
    </row>
    <row r="134" spans="8:8" x14ac:dyDescent="0.25">
      <c r="H134" s="30"/>
    </row>
    <row r="135" spans="8:8" x14ac:dyDescent="0.25">
      <c r="H135" s="30"/>
    </row>
    <row r="136" spans="8:8" x14ac:dyDescent="0.25">
      <c r="H136" s="30"/>
    </row>
    <row r="137" spans="8:8" x14ac:dyDescent="0.25">
      <c r="H137" s="30"/>
    </row>
    <row r="138" spans="8:8" x14ac:dyDescent="0.25">
      <c r="H138" s="30"/>
    </row>
    <row r="139" spans="8:8" x14ac:dyDescent="0.25">
      <c r="H139" s="30"/>
    </row>
    <row r="140" spans="8:8" x14ac:dyDescent="0.25">
      <c r="H140" s="30"/>
    </row>
    <row r="141" spans="8:8" x14ac:dyDescent="0.25">
      <c r="H141" s="30"/>
    </row>
    <row r="142" spans="8:8" x14ac:dyDescent="0.25">
      <c r="H142" s="30"/>
    </row>
    <row r="143" spans="8:8" x14ac:dyDescent="0.25">
      <c r="H143" s="30"/>
    </row>
    <row r="144" spans="8:8" x14ac:dyDescent="0.25">
      <c r="H144" s="30"/>
    </row>
    <row r="145" spans="8:8" x14ac:dyDescent="0.25">
      <c r="H145" s="30"/>
    </row>
    <row r="146" spans="8:8" x14ac:dyDescent="0.25">
      <c r="H146" s="30"/>
    </row>
    <row r="147" spans="8:8" x14ac:dyDescent="0.25">
      <c r="H147" s="30"/>
    </row>
    <row r="148" spans="8:8" x14ac:dyDescent="0.25">
      <c r="H148" s="30"/>
    </row>
    <row r="149" spans="8:8" x14ac:dyDescent="0.25">
      <c r="H149" s="30"/>
    </row>
    <row r="150" spans="8:8" x14ac:dyDescent="0.25">
      <c r="H150" s="30"/>
    </row>
    <row r="151" spans="8:8" x14ac:dyDescent="0.25">
      <c r="H151" s="30"/>
    </row>
    <row r="152" spans="8:8" x14ac:dyDescent="0.25">
      <c r="H152" s="30"/>
    </row>
    <row r="153" spans="8:8" x14ac:dyDescent="0.25">
      <c r="H153" s="30"/>
    </row>
    <row r="154" spans="8:8" x14ac:dyDescent="0.25">
      <c r="H154" s="30"/>
    </row>
    <row r="155" spans="8:8" x14ac:dyDescent="0.25">
      <c r="H155" s="30"/>
    </row>
    <row r="156" spans="8:8" x14ac:dyDescent="0.25">
      <c r="H156" s="30"/>
    </row>
    <row r="157" spans="8:8" x14ac:dyDescent="0.25">
      <c r="H157" s="30"/>
    </row>
    <row r="158" spans="8:8" x14ac:dyDescent="0.25">
      <c r="H158" s="30"/>
    </row>
    <row r="159" spans="8:8" x14ac:dyDescent="0.25">
      <c r="H159" s="30"/>
    </row>
    <row r="160" spans="8:8" x14ac:dyDescent="0.25">
      <c r="H160" s="30"/>
    </row>
    <row r="161" spans="8:8" x14ac:dyDescent="0.25">
      <c r="H161" s="30"/>
    </row>
    <row r="162" spans="8:8" x14ac:dyDescent="0.25">
      <c r="H162" s="30"/>
    </row>
    <row r="163" spans="8:8" x14ac:dyDescent="0.25">
      <c r="H163" s="30"/>
    </row>
    <row r="164" spans="8:8" x14ac:dyDescent="0.25">
      <c r="H164" s="30"/>
    </row>
    <row r="165" spans="8:8" x14ac:dyDescent="0.25">
      <c r="H165" s="30"/>
    </row>
    <row r="166" spans="8:8" x14ac:dyDescent="0.25">
      <c r="H166" s="30"/>
    </row>
    <row r="167" spans="8:8" x14ac:dyDescent="0.25">
      <c r="H167" s="30"/>
    </row>
    <row r="168" spans="8:8" x14ac:dyDescent="0.25">
      <c r="H168" s="30"/>
    </row>
    <row r="169" spans="8:8" x14ac:dyDescent="0.25">
      <c r="H169" s="30"/>
    </row>
    <row r="170" spans="8:8" x14ac:dyDescent="0.25">
      <c r="H170" s="30"/>
    </row>
    <row r="171" spans="8:8" x14ac:dyDescent="0.25">
      <c r="H171" s="30"/>
    </row>
    <row r="172" spans="8:8" x14ac:dyDescent="0.25">
      <c r="H172" s="30"/>
    </row>
    <row r="173" spans="8:8" x14ac:dyDescent="0.25">
      <c r="H173" s="30"/>
    </row>
    <row r="174" spans="8:8" x14ac:dyDescent="0.25">
      <c r="H174" s="30"/>
    </row>
    <row r="175" spans="8:8" x14ac:dyDescent="0.25">
      <c r="H175" s="30"/>
    </row>
    <row r="176" spans="8:8" x14ac:dyDescent="0.25">
      <c r="H176" s="30"/>
    </row>
    <row r="177" spans="8:8" x14ac:dyDescent="0.25">
      <c r="H177" s="30"/>
    </row>
    <row r="178" spans="8:8" x14ac:dyDescent="0.25">
      <c r="H178" s="30"/>
    </row>
    <row r="179" spans="8:8" x14ac:dyDescent="0.25">
      <c r="H179" s="30"/>
    </row>
    <row r="180" spans="8:8" x14ac:dyDescent="0.25">
      <c r="H180" s="30"/>
    </row>
    <row r="181" spans="8:8" x14ac:dyDescent="0.25">
      <c r="H181" s="30"/>
    </row>
    <row r="182" spans="8:8" x14ac:dyDescent="0.25">
      <c r="H182" s="30"/>
    </row>
    <row r="183" spans="8:8" x14ac:dyDescent="0.25">
      <c r="H183" s="30"/>
    </row>
    <row r="184" spans="8:8" x14ac:dyDescent="0.25">
      <c r="H184" s="30"/>
    </row>
    <row r="185" spans="8:8" x14ac:dyDescent="0.25">
      <c r="H185" s="30"/>
    </row>
    <row r="186" spans="8:8" x14ac:dyDescent="0.25">
      <c r="H186" s="30"/>
    </row>
    <row r="187" spans="8:8" x14ac:dyDescent="0.25">
      <c r="H187" s="30"/>
    </row>
    <row r="188" spans="8:8" x14ac:dyDescent="0.25">
      <c r="H188" s="30"/>
    </row>
    <row r="189" spans="8:8" x14ac:dyDescent="0.25">
      <c r="H189" s="30"/>
    </row>
    <row r="190" spans="8:8" x14ac:dyDescent="0.25">
      <c r="H190" s="30"/>
    </row>
    <row r="191" spans="8:8" x14ac:dyDescent="0.25">
      <c r="H191" s="30"/>
    </row>
    <row r="192" spans="8:8" x14ac:dyDescent="0.25">
      <c r="H192" s="30"/>
    </row>
    <row r="193" spans="8:8" x14ac:dyDescent="0.25">
      <c r="H193" s="30"/>
    </row>
    <row r="194" spans="8:8" x14ac:dyDescent="0.25">
      <c r="H194" s="30"/>
    </row>
    <row r="195" spans="8:8" x14ac:dyDescent="0.25">
      <c r="H195" s="30"/>
    </row>
    <row r="196" spans="8:8" x14ac:dyDescent="0.25">
      <c r="H196" s="30"/>
    </row>
    <row r="197" spans="8:8" x14ac:dyDescent="0.25">
      <c r="H197" s="30"/>
    </row>
    <row r="198" spans="8:8" x14ac:dyDescent="0.25">
      <c r="H198" s="30"/>
    </row>
    <row r="199" spans="8:8" x14ac:dyDescent="0.25">
      <c r="H199" s="30"/>
    </row>
    <row r="200" spans="8:8" x14ac:dyDescent="0.25">
      <c r="H200" s="30"/>
    </row>
    <row r="201" spans="8:8" x14ac:dyDescent="0.25">
      <c r="H201" s="30"/>
    </row>
    <row r="202" spans="8:8" x14ac:dyDescent="0.25">
      <c r="H202" s="30"/>
    </row>
    <row r="203" spans="8:8" x14ac:dyDescent="0.25">
      <c r="H203" s="30"/>
    </row>
    <row r="204" spans="8:8" x14ac:dyDescent="0.25">
      <c r="H204" s="30"/>
    </row>
    <row r="205" spans="8:8" x14ac:dyDescent="0.25">
      <c r="H205" s="30"/>
    </row>
    <row r="206" spans="8:8" x14ac:dyDescent="0.25">
      <c r="H206" s="30"/>
    </row>
    <row r="207" spans="8:8" x14ac:dyDescent="0.25">
      <c r="H207" s="30"/>
    </row>
    <row r="208" spans="8:8" x14ac:dyDescent="0.25">
      <c r="H208" s="30"/>
    </row>
    <row r="209" spans="8:8" x14ac:dyDescent="0.25">
      <c r="H209" s="30"/>
    </row>
    <row r="210" spans="8:8" x14ac:dyDescent="0.25">
      <c r="H210" s="30"/>
    </row>
    <row r="211" spans="8:8" x14ac:dyDescent="0.25">
      <c r="H211" s="30"/>
    </row>
    <row r="212" spans="8:8" x14ac:dyDescent="0.25">
      <c r="H212" s="30"/>
    </row>
    <row r="213" spans="8:8" x14ac:dyDescent="0.25">
      <c r="H213" s="30"/>
    </row>
    <row r="214" spans="8:8" x14ac:dyDescent="0.25">
      <c r="H214" s="30"/>
    </row>
    <row r="215" spans="8:8" x14ac:dyDescent="0.25">
      <c r="H215" s="30"/>
    </row>
    <row r="216" spans="8:8" x14ac:dyDescent="0.25">
      <c r="H216" s="30"/>
    </row>
    <row r="217" spans="8:8" x14ac:dyDescent="0.25">
      <c r="H217" s="30"/>
    </row>
    <row r="218" spans="8:8" x14ac:dyDescent="0.25">
      <c r="H218" s="30"/>
    </row>
    <row r="219" spans="8:8" x14ac:dyDescent="0.25">
      <c r="H219" s="30"/>
    </row>
    <row r="220" spans="8:8" x14ac:dyDescent="0.25">
      <c r="H220" s="30"/>
    </row>
    <row r="221" spans="8:8" x14ac:dyDescent="0.25">
      <c r="H221" s="30"/>
    </row>
    <row r="222" spans="8:8" x14ac:dyDescent="0.25">
      <c r="H222" s="30"/>
    </row>
    <row r="223" spans="8:8" x14ac:dyDescent="0.25">
      <c r="H223" s="30"/>
    </row>
    <row r="224" spans="8:8" x14ac:dyDescent="0.25">
      <c r="H224" s="30"/>
    </row>
    <row r="225" spans="8:8" x14ac:dyDescent="0.25">
      <c r="H225" s="30"/>
    </row>
  </sheetData>
  <sheetProtection sheet="1" objects="1" scenarios="1"/>
  <phoneticPr fontId="0" type="noConversion"/>
  <printOptions horizontalCentered="1"/>
  <pageMargins left="0.25" right="0.25" top="0.25" bottom="0.25" header="0.22" footer="0.22"/>
  <pageSetup scale="54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PSCO WKST</vt:lpstr>
      <vt:lpstr>CIG  WKST</vt:lpstr>
      <vt:lpstr>cigwkst</vt:lpstr>
      <vt:lpstr>TIFWKSHT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Services Sector</dc:creator>
  <cp:lastModifiedBy>Havlíček Jan</cp:lastModifiedBy>
  <cp:lastPrinted>2001-03-29T00:00:43Z</cp:lastPrinted>
  <dcterms:created xsi:type="dcterms:W3CDTF">1999-06-25T16:25:47Z</dcterms:created>
  <dcterms:modified xsi:type="dcterms:W3CDTF">2023-09-13T22:47:10Z</dcterms:modified>
</cp:coreProperties>
</file>