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C68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<sst xmlns="http://schemas.openxmlformats.org/spreadsheetml/2006/main" count="931" uniqueCount="174">
  <si>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</si>
  <si>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</si>
  <si>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</si>
  <si>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</si>
  <si>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</si>
  <si>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</si>
  <si>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</si>
  <si>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</si>
  <si>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</si>
  <si>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</si>
  <si>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</si>
  <si>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</si>
  <si>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</si>
  <si>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</si>
  <si>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</si>
  <si>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</si>
  <si>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</si>
  <si>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</si>
  <si>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</si>
  <si>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</si>
  <si>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</si>
  <si>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</si>
  <si>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</si>
  <si>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</si>
  <si>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</si>
  <si>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</si>
  <si>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</si>
  <si>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</si>
  <si>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</si>
  <si>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</si>
  <si>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</si>
  <si>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</si>
  <si>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</si>
  <si>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</si>
  <si>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</si>
  <si>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</si>
  <si>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</si>
  <si>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</si>
  <si>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</si>
  <si>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</si>
  <si>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</si>
  <si>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</si>
  <si>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</si>
  <si>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</si>
  <si>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</si>
  <si>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</si>
  <si>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</si>
  <si>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</si>
  <si>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</si>
  <si>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</si>
  <si>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</si>
  <si>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</si>
  <si>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</si>
  <si>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</si>
  <si>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</si>
  <si>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</si>
  <si>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</si>
  <si>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</si>
  <si>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</si>
  <si>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</si>
  <si>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</si>
  <si>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</si>
  <si>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</si>
  <si>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</si>
  <si>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</si>
  <si>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</si>
  <si>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</si>
  <si>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</si>
  <si>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</si>
  <si>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</si>
  <si>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</si>
  <si>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</si>
  <si>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</si>
  <si>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</si>
  <si>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</si>
  <si>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</si>
  <si>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</si>
  <si>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</si>
  <si>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</si>
  <si>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</si>
  <si>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</si>
  <si>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</si>
  <si>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</si>
  <si>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</si>
  <si>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</si>
  <si>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</si>
  <si>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</si>
  <si>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</si>
  <si>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</si>
  <si>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</si>
  <si>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</si>
  <si>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</si>
  <si>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</si>
  <si>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</si>
  <si>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</si>
  <si>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</si>
  <si>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</si>
  <si>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</si>
  <si>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</si>
  <si>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</si>
  <si>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</si>
  <si>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</si>
  <si>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</si>
  <si>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</si>
  <si>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</si>
  <si>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</si>
  <si>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</si>
  <si>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</si>
  <si>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</si>
  <si>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</si>
  <si>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</si>
  <si>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</si>
  <si>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</si>
  <si>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</si>
  <si>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</si>
  <si>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</si>
  <si>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</si>
  <si>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</si>
  <si>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</si>
  <si>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</si>
  <si>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</si>
  <si>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</si>
  <si>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</si>
  <si>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</si>
  <si>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</si>
  <si>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</si>
  <si>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</si>
  <si>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</si>
  <si>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</si>
  <si>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</si>
  <si>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</si>
  <si>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</si>
  <si>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</si>
  <si>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</si>
  <si>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</si>
  <si>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</si>
  <si>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</si>
  <si>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</si>
  <si>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</si>
  <si>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</si>
  <si>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</si>
  <si>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</si>
  <si>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</si>
  <si>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</si>
  <si>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</si>
  <si>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</si>
  <si>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</si>
  <si>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</si>
  <si>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</si>
  <si>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</si>
  <si>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</si>
  <si>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</si>
  <si>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</si>
  <si>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</si>
  <si>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</si>
  <si>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</si>
  <si>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</si>
  <si>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</si>
  <si>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</si>
  <si>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</si>
  <si>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</si>
  <si>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</si>
  <si>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</si>
  <si>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</si>
  <si>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</si>
  <si>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</si>
  <si>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</si>
  <si>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</si>
  <si>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</si>
  <si>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</si>
  <si>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</si>
  <si>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</si>
  <si>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</si>
  <si>
    <t>Cash, Muni Bonds, Govt.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</si>
</sst>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H145" activePane="bottomRight" state="frozen"/>
      <selection pane="topRight" activeCell="C1" sqref="C1"/>
      <selection pane="bottomLeft" activeCell="A4" sqref="A4"/>
      <selection pane="bottomRight" activeCell="E10" sqref="E10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37172</v>
      </c>
      <c r="F3" s="12">
        <v>37169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2252842-13091</f>
        <v>2239751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2239751</v>
      </c>
      <c r="K5" s="7">
        <f>J5</f>
        <v>2239751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16.5</v>
      </c>
      <c r="F6" s="1">
        <v>16.55</v>
      </c>
      <c r="G6" s="7">
        <f>C6*(E6-F6)</f>
        <v>-50.000000000000711</v>
      </c>
      <c r="H6" s="7">
        <f>C6*(E6-F6)</f>
        <v>-50.000000000000711</v>
      </c>
      <c r="J6" s="7">
        <f>C6*E6</f>
        <v>16500</v>
      </c>
      <c r="K6" s="7">
        <f>J6</f>
        <v>16500</v>
      </c>
      <c r="L6" s="3">
        <v>2</v>
      </c>
    </row>
    <row r="7" spans="1:16" x14ac:dyDescent="0.25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 t="s">
        <v>52</v>
      </c>
      <c r="B9" s="62" t="s">
        <v>169</v>
      </c>
      <c r="C9" s="13">
        <v>-10000</v>
      </c>
      <c r="D9" s="13" t="s">
        <v>52</v>
      </c>
      <c r="E9" s="1">
        <v>36.5</v>
      </c>
      <c r="F9" s="1">
        <v>36.380000000000003</v>
      </c>
      <c r="G9" s="7">
        <f>C9*(E9-F9)</f>
        <v>-1199.9999999999745</v>
      </c>
      <c r="H9" s="7">
        <f>C9*(E9-F9)</f>
        <v>-1199.9999999999745</v>
      </c>
      <c r="J9" s="7">
        <f>G9</f>
        <v>-1199.9999999999745</v>
      </c>
      <c r="K9" s="7">
        <f>J9</f>
        <v>-1199.9999999999745</v>
      </c>
      <c r="L9" s="3">
        <v>1</v>
      </c>
    </row>
    <row r="10" spans="1:16" x14ac:dyDescent="0.25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33.450000000000003</v>
      </c>
      <c r="F10" s="1">
        <f>F$32</f>
        <v>31.73</v>
      </c>
      <c r="G10" s="7">
        <f>C10*(E10-F10)</f>
        <v>-25800.000000000036</v>
      </c>
      <c r="H10" s="7">
        <f>C10*(E10-F10)</f>
        <v>-25800.000000000036</v>
      </c>
      <c r="J10" s="7">
        <f>G10</f>
        <v>-25800.000000000036</v>
      </c>
      <c r="K10" s="7">
        <f>J10</f>
        <v>-25800.000000000036</v>
      </c>
      <c r="L10" s="3">
        <v>1</v>
      </c>
    </row>
    <row r="11" spans="1:16" x14ac:dyDescent="0.25">
      <c r="A11" s="30"/>
      <c r="B11" s="62" t="s">
        <v>171</v>
      </c>
      <c r="C11" s="13">
        <v>-35000</v>
      </c>
      <c r="D11" s="13" t="s">
        <v>52</v>
      </c>
      <c r="E11" s="1">
        <v>82.82</v>
      </c>
      <c r="F11" s="1">
        <v>82.49</v>
      </c>
      <c r="G11" s="7">
        <f>C11*(E11-F11)</f>
        <v>-11549.99999999994</v>
      </c>
      <c r="H11" s="7">
        <f>C11*(E11-F11)</f>
        <v>-11549.99999999994</v>
      </c>
      <c r="J11" s="7">
        <f>G11</f>
        <v>-11549.99999999994</v>
      </c>
      <c r="K11" s="7">
        <f>J11</f>
        <v>-11549.99999999994</v>
      </c>
      <c r="L11" s="3">
        <v>1</v>
      </c>
    </row>
    <row r="12" spans="1:16" x14ac:dyDescent="0.25">
      <c r="A12" s="30"/>
      <c r="B12" s="10"/>
      <c r="D12" s="79"/>
      <c r="E12" s="13"/>
      <c r="F12" s="13"/>
      <c r="G12" s="13"/>
    </row>
    <row r="13" spans="1:16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5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5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5">
      <c r="A16" s="30" t="s">
        <v>52</v>
      </c>
      <c r="B16" s="2" t="s">
        <v>168</v>
      </c>
      <c r="C16" s="13">
        <v>-19000</v>
      </c>
      <c r="E16" s="1">
        <v>3.45</v>
      </c>
      <c r="F16" s="1">
        <v>2.6</v>
      </c>
      <c r="G16" s="7">
        <f>(E16-F16)*C16</f>
        <v>-16150.000000000002</v>
      </c>
      <c r="H16" s="7">
        <f>C16*(E16-F16)</f>
        <v>-16150.000000000002</v>
      </c>
      <c r="J16" s="7">
        <f>G16</f>
        <v>-16150.000000000002</v>
      </c>
      <c r="K16" s="7">
        <f>J16</f>
        <v>-16150.000000000002</v>
      </c>
      <c r="L16" s="3">
        <v>1</v>
      </c>
      <c r="M16" s="80">
        <f>C16*E16*-1</f>
        <v>65550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2201551</v>
      </c>
      <c r="N18" s="80">
        <v>2201551</v>
      </c>
      <c r="O18" s="67">
        <f>M18-N18</f>
        <v>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122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13.9</v>
      </c>
      <c r="F24" s="1">
        <v>14.2</v>
      </c>
      <c r="G24" s="7">
        <f t="shared" ref="G24:G29" si="0">C24*(E24-F24)</f>
        <v>-269.99999999999903</v>
      </c>
      <c r="H24" s="7">
        <f t="shared" ref="H24:H29" si="1">C24*(E24-F24)</f>
        <v>-269.99999999999903</v>
      </c>
      <c r="I24" s="1"/>
      <c r="J24" s="7">
        <f t="shared" ref="J24:J29" si="2">C24*E24</f>
        <v>12510</v>
      </c>
      <c r="K24" s="7">
        <f t="shared" ref="K24:K35" si="3">J24</f>
        <v>12510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18.04</v>
      </c>
      <c r="F25" s="1">
        <v>17.850000000000001</v>
      </c>
      <c r="G25" s="7">
        <f t="shared" si="0"/>
        <v>18.999999999999773</v>
      </c>
      <c r="H25" s="7">
        <f t="shared" si="1"/>
        <v>18.999999999999773</v>
      </c>
      <c r="I25" s="1"/>
      <c r="J25" s="7">
        <f t="shared" si="2"/>
        <v>1804</v>
      </c>
      <c r="K25" s="7">
        <f t="shared" si="3"/>
        <v>1804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46.44</v>
      </c>
      <c r="F26" s="1">
        <v>47.85</v>
      </c>
      <c r="G26" s="7">
        <f t="shared" si="0"/>
        <v>-117.03000000000031</v>
      </c>
      <c r="H26" s="7">
        <f t="shared" si="1"/>
        <v>-117.03000000000031</v>
      </c>
      <c r="I26" s="1"/>
      <c r="J26" s="7">
        <f t="shared" si="2"/>
        <v>3854.52</v>
      </c>
      <c r="K26" s="7">
        <f t="shared" si="3"/>
        <v>3854.52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10.47</v>
      </c>
      <c r="F27" s="1">
        <v>10.39</v>
      </c>
      <c r="G27" s="7">
        <f t="shared" si="0"/>
        <v>13.520000000000012</v>
      </c>
      <c r="H27" s="7">
        <f t="shared" si="1"/>
        <v>13.520000000000012</v>
      </c>
      <c r="I27" s="1"/>
      <c r="J27" s="7">
        <f t="shared" si="2"/>
        <v>1769.43</v>
      </c>
      <c r="K27" s="7">
        <f t="shared" si="3"/>
        <v>1769.43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134</v>
      </c>
      <c r="C32" s="13">
        <v>259.8698</v>
      </c>
      <c r="D32" s="13">
        <f>C32*1</f>
        <v>259.8698</v>
      </c>
      <c r="E32" s="16">
        <v>33.450000000000003</v>
      </c>
      <c r="F32" s="16">
        <v>31.73</v>
      </c>
      <c r="G32" s="7">
        <f>C32*(E32-F32)</f>
        <v>446.9760560000006</v>
      </c>
      <c r="H32" s="7">
        <f>C32*(E32-F32)</f>
        <v>446.9760560000006</v>
      </c>
      <c r="I32" s="3"/>
      <c r="J32" s="7">
        <f>C32*E32</f>
        <v>8692.6448099999998</v>
      </c>
      <c r="K32" s="7">
        <f t="shared" si="3"/>
        <v>8692.6448099999998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120</v>
      </c>
      <c r="C33" s="13">
        <v>132933.85999999999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132933.85999999999</v>
      </c>
      <c r="K33" s="7">
        <f>J33</f>
        <v>132933.85999999999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33.450000000000003</v>
      </c>
      <c r="F38" s="1">
        <f>F$32</f>
        <v>31.73</v>
      </c>
      <c r="G38" s="7">
        <f>C38*(E38-F38)</f>
        <v>151.1088800000002</v>
      </c>
      <c r="H38" s="7">
        <f>C38*(E38-F38)</f>
        <v>151.1088800000002</v>
      </c>
      <c r="I38" s="1"/>
      <c r="J38" s="7">
        <f>C38*E38</f>
        <v>2938.7163</v>
      </c>
      <c r="K38" s="7">
        <f>J38</f>
        <v>2938.7163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120</v>
      </c>
      <c r="C41" s="13">
        <v>610998.12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610998.12</v>
      </c>
      <c r="K41" s="7">
        <f>J41*0.614</f>
        <v>375152.84567999997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120</v>
      </c>
      <c r="C44" s="13">
        <v>263395.20000000001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263395.20000000001</v>
      </c>
      <c r="K44" s="7">
        <f>J44*0.614</f>
        <v>161724.65280000001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134</v>
      </c>
      <c r="C45" s="13">
        <v>8247</v>
      </c>
      <c r="D45" s="13">
        <f>C45*1</f>
        <v>8247</v>
      </c>
      <c r="E45" s="1">
        <f>E$32</f>
        <v>33.450000000000003</v>
      </c>
      <c r="F45" s="1">
        <f>F$32</f>
        <v>31.73</v>
      </c>
      <c r="G45" s="7">
        <f>C45*(E45-F45)</f>
        <v>14184.84000000002</v>
      </c>
      <c r="H45" s="7">
        <f>C45*(E45-F45)*0.5895</f>
        <v>8361.9631800000116</v>
      </c>
      <c r="I45" s="22" t="s">
        <v>52</v>
      </c>
      <c r="J45" s="7">
        <f>C45*E45</f>
        <v>275862.15000000002</v>
      </c>
      <c r="K45" s="7">
        <f>J45*0.614</f>
        <v>169379.36010000002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33.450000000000003</v>
      </c>
      <c r="F48" s="1">
        <f t="shared" si="4"/>
        <v>31.73</v>
      </c>
      <c r="G48" s="7">
        <f>C48*(E48-F48)</f>
        <v>2249.0482640000032</v>
      </c>
      <c r="H48" s="7">
        <f>C48*(E48-F48)</f>
        <v>2249.0482640000032</v>
      </c>
      <c r="I48" s="1"/>
      <c r="J48" s="7">
        <f>C48*E48</f>
        <v>43738.758390000003</v>
      </c>
      <c r="K48" s="7">
        <f>J48</f>
        <v>43738.758390000003</v>
      </c>
      <c r="L48" s="3">
        <v>2</v>
      </c>
      <c r="M48" s="80" t="s">
        <v>52</v>
      </c>
    </row>
    <row r="49" spans="1:14" x14ac:dyDescent="0.25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33.450000000000003</v>
      </c>
      <c r="F49" s="1">
        <f t="shared" si="4"/>
        <v>31.73</v>
      </c>
      <c r="G49" s="7">
        <f>C49*(E49-F49)</f>
        <v>306.21744800000045</v>
      </c>
      <c r="H49" s="7">
        <f>C49*(E49-F49)</f>
        <v>306.21744800000045</v>
      </c>
      <c r="I49" s="1"/>
      <c r="J49" s="7">
        <f>C49*E49</f>
        <v>5955.2172300000002</v>
      </c>
      <c r="K49" s="7">
        <f>J49</f>
        <v>5955.2172300000002</v>
      </c>
      <c r="L49" s="3">
        <v>2</v>
      </c>
      <c r="M49" s="80" t="s">
        <v>52</v>
      </c>
    </row>
    <row r="50" spans="1:14" x14ac:dyDescent="0.25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33.450000000000003</v>
      </c>
      <c r="F50" s="1">
        <f t="shared" si="4"/>
        <v>31.73</v>
      </c>
      <c r="G50" s="7">
        <f>C50*(E50-F50)</f>
        <v>692.909052000001</v>
      </c>
      <c r="H50" s="7">
        <f>C50*(E50-F50)</f>
        <v>692.909052000001</v>
      </c>
      <c r="I50" s="1"/>
      <c r="J50" s="7">
        <f>C50*E50</f>
        <v>13475.469645000001</v>
      </c>
      <c r="K50" s="7">
        <f>J50</f>
        <v>13475.469645000001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33.450000000000003</v>
      </c>
      <c r="F53" s="1">
        <f t="shared" si="5"/>
        <v>31.73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160</v>
      </c>
      <c r="C54" s="13">
        <v>1270</v>
      </c>
      <c r="D54" s="13" t="s">
        <v>52</v>
      </c>
      <c r="E54" s="1">
        <f t="shared" si="5"/>
        <v>33.450000000000003</v>
      </c>
      <c r="F54" s="1">
        <f t="shared" si="5"/>
        <v>31.73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33.450000000000003</v>
      </c>
      <c r="F55" s="1">
        <f t="shared" si="5"/>
        <v>31.73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33.450000000000003</v>
      </c>
      <c r="F56" s="1">
        <f t="shared" si="5"/>
        <v>31.73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33.450000000000003</v>
      </c>
      <c r="F57" s="1">
        <f t="shared" si="5"/>
        <v>31.73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33.450000000000003</v>
      </c>
      <c r="F58" s="1">
        <f t="shared" si="5"/>
        <v>31.73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33.450000000000003</v>
      </c>
      <c r="F59" s="1">
        <f t="shared" si="5"/>
        <v>31.73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33.450000000000003</v>
      </c>
      <c r="F62" s="1">
        <f>F$32</f>
        <v>31.73</v>
      </c>
      <c r="G62" s="7">
        <f>C62*(E62-F62)</f>
        <v>3985.2400000000057</v>
      </c>
      <c r="H62" s="7">
        <f>C62*(E62-F62)*0.5895</f>
        <v>2349.2989800000037</v>
      </c>
      <c r="I62" s="1"/>
      <c r="J62" s="7">
        <f>C62*E62</f>
        <v>77503.650000000009</v>
      </c>
      <c r="K62" s="7">
        <f>J62*0.614</f>
        <v>47587.241100000007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33.450000000000003</v>
      </c>
      <c r="F65" s="1">
        <f>F$32</f>
        <v>31.73</v>
      </c>
      <c r="G65" s="7">
        <f>C65*(E65-F65)</f>
        <v>3309.2800000000047</v>
      </c>
      <c r="H65" s="7">
        <f>C65*(E65-F65)*0.5895</f>
        <v>1950.8205600000028</v>
      </c>
      <c r="I65" s="1"/>
      <c r="J65" s="7">
        <f>C65*E65</f>
        <v>64357.8</v>
      </c>
      <c r="K65" s="7">
        <f>J65*0.614</f>
        <v>39515.689200000001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173</v>
      </c>
      <c r="C68" s="80">
        <f>2107420.65+817788</f>
        <v>2925208.65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2925208.65</v>
      </c>
      <c r="K68" s="7">
        <f t="shared" ref="K68:K83" si="10">J68</f>
        <v>2925208.65</v>
      </c>
      <c r="L68" s="3">
        <v>1</v>
      </c>
    </row>
    <row r="69" spans="1:16" x14ac:dyDescent="0.25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6.45</v>
      </c>
      <c r="F69" s="1">
        <v>7.65</v>
      </c>
      <c r="G69" s="7">
        <f>(E69-F69)*C69</f>
        <v>6000.0000000000009</v>
      </c>
      <c r="H69" s="7">
        <f>C69*(E69-F69)</f>
        <v>6000.0000000000009</v>
      </c>
      <c r="J69" s="7">
        <f>G69</f>
        <v>6000.0000000000009</v>
      </c>
      <c r="K69" s="7">
        <f t="shared" si="10"/>
        <v>6000.0000000000009</v>
      </c>
      <c r="L69" s="3">
        <v>1</v>
      </c>
      <c r="M69" s="80" t="s">
        <v>52</v>
      </c>
    </row>
    <row r="70" spans="1:16" x14ac:dyDescent="0.25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16.95</v>
      </c>
      <c r="F70" s="1">
        <v>18.3</v>
      </c>
      <c r="G70" s="7">
        <f t="shared" ref="G70:G82" si="11">(E70-F70)*C70</f>
        <v>2700.0000000000027</v>
      </c>
      <c r="H70" s="7">
        <f t="shared" si="9"/>
        <v>2700.0000000000027</v>
      </c>
      <c r="J70" s="7">
        <f>G70</f>
        <v>2700.0000000000027</v>
      </c>
      <c r="K70" s="7">
        <f t="shared" si="10"/>
        <v>2700.0000000000027</v>
      </c>
      <c r="L70" s="3">
        <v>1</v>
      </c>
      <c r="M70" s="80" t="s">
        <v>52</v>
      </c>
      <c r="N70" s="80" t="s">
        <v>52</v>
      </c>
    </row>
    <row r="71" spans="1:16" x14ac:dyDescent="0.25">
      <c r="A71" s="30" t="s">
        <v>52</v>
      </c>
      <c r="B71" s="2" t="s">
        <v>167</v>
      </c>
      <c r="C71" s="13">
        <v>-15000</v>
      </c>
      <c r="D71" s="13" t="s">
        <v>52</v>
      </c>
      <c r="E71" s="1">
        <v>3.45</v>
      </c>
      <c r="F71" s="1">
        <v>2.6</v>
      </c>
      <c r="G71" s="7">
        <f>(E71-F71)*C71</f>
        <v>-12750.000000000002</v>
      </c>
      <c r="H71" s="7">
        <f>C71*(E71-F71)</f>
        <v>-12750.000000000002</v>
      </c>
      <c r="J71" s="7">
        <f>G71</f>
        <v>-12750.000000000002</v>
      </c>
      <c r="K71" s="7">
        <f>J71</f>
        <v>-12750.000000000002</v>
      </c>
      <c r="L71" s="3">
        <v>1</v>
      </c>
      <c r="M71" s="80">
        <f>C71*E71*-1</f>
        <v>51750</v>
      </c>
    </row>
    <row r="72" spans="1:16" x14ac:dyDescent="0.25">
      <c r="A72" s="30" t="s">
        <v>52</v>
      </c>
      <c r="B72" s="2" t="s">
        <v>165</v>
      </c>
      <c r="C72" s="13">
        <v>-2500</v>
      </c>
      <c r="D72" s="13" t="s">
        <v>52</v>
      </c>
      <c r="E72" s="1">
        <v>1.8</v>
      </c>
      <c r="F72" s="1">
        <v>1.3</v>
      </c>
      <c r="G72" s="7">
        <f>(E72-F72)*C72</f>
        <v>-1250</v>
      </c>
      <c r="H72" s="7">
        <f>C72*(E72-F72)</f>
        <v>-1250</v>
      </c>
      <c r="J72" s="7">
        <f>G72</f>
        <v>-1250</v>
      </c>
      <c r="K72" s="7">
        <f>J72</f>
        <v>-1250</v>
      </c>
      <c r="L72" s="3">
        <v>1</v>
      </c>
      <c r="M72" s="80">
        <f>C72*E72*-1</f>
        <v>4500</v>
      </c>
    </row>
    <row r="73" spans="1:16" x14ac:dyDescent="0.25">
      <c r="A73" s="30" t="s">
        <v>52</v>
      </c>
      <c r="B73" s="2" t="s">
        <v>135</v>
      </c>
      <c r="C73" s="13">
        <v>-5000</v>
      </c>
      <c r="D73" s="13" t="s">
        <v>52</v>
      </c>
      <c r="E73" s="1">
        <v>0.45</v>
      </c>
      <c r="F73" s="1">
        <v>0.4</v>
      </c>
      <c r="G73" s="7">
        <f t="shared" si="11"/>
        <v>-249.99999999999994</v>
      </c>
      <c r="H73" s="7">
        <f t="shared" si="9"/>
        <v>-249.99999999999994</v>
      </c>
      <c r="J73" s="7">
        <f t="shared" ref="J73:J81" si="12">G73</f>
        <v>-249.99999999999994</v>
      </c>
      <c r="K73" s="7">
        <f t="shared" si="10"/>
        <v>-249.99999999999994</v>
      </c>
      <c r="L73" s="3">
        <v>1</v>
      </c>
      <c r="M73" s="80">
        <f t="shared" ref="M73:M82" si="13">C73*E73*-1</f>
        <v>2250</v>
      </c>
    </row>
    <row r="74" spans="1:16" x14ac:dyDescent="0.25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5">
      <c r="A75" s="30" t="s">
        <v>52</v>
      </c>
      <c r="B75" s="2" t="s">
        <v>153</v>
      </c>
      <c r="C75" s="13">
        <v>-5000</v>
      </c>
      <c r="D75" s="13" t="s">
        <v>52</v>
      </c>
      <c r="E75" s="1">
        <v>2.2999999999999998</v>
      </c>
      <c r="F75" s="1">
        <v>1.9</v>
      </c>
      <c r="G75" s="7">
        <f>(E75-F75)*C75</f>
        <v>-1999.9999999999995</v>
      </c>
      <c r="H75" s="7">
        <f>C75*(E75-F75)</f>
        <v>-1999.9999999999995</v>
      </c>
      <c r="J75" s="7">
        <f>G75</f>
        <v>-1999.9999999999995</v>
      </c>
      <c r="K75" s="7">
        <f t="shared" si="10"/>
        <v>-1999.9999999999995</v>
      </c>
      <c r="L75" s="3">
        <v>1</v>
      </c>
      <c r="M75" s="80">
        <f>C75*E75*-1</f>
        <v>11500</v>
      </c>
    </row>
    <row r="76" spans="1:16" x14ac:dyDescent="0.25">
      <c r="A76" s="30" t="s">
        <v>52</v>
      </c>
      <c r="B76" s="2" t="s">
        <v>137</v>
      </c>
      <c r="C76" s="13">
        <v>-15000</v>
      </c>
      <c r="D76" s="13" t="s">
        <v>52</v>
      </c>
      <c r="E76" s="1">
        <v>1.65</v>
      </c>
      <c r="F76" s="1">
        <v>1.3</v>
      </c>
      <c r="G76" s="7">
        <f t="shared" si="11"/>
        <v>-5249.9999999999982</v>
      </c>
      <c r="H76" s="7">
        <f t="shared" si="9"/>
        <v>-5249.9999999999982</v>
      </c>
      <c r="J76" s="7">
        <f t="shared" si="12"/>
        <v>-5249.9999999999982</v>
      </c>
      <c r="K76" s="7">
        <f t="shared" si="10"/>
        <v>-5249.9999999999982</v>
      </c>
      <c r="L76" s="3">
        <v>1</v>
      </c>
      <c r="M76" s="80">
        <f t="shared" si="13"/>
        <v>24750</v>
      </c>
      <c r="O76" s="5" t="s">
        <v>52</v>
      </c>
    </row>
    <row r="77" spans="1:16" x14ac:dyDescent="0.25">
      <c r="A77" s="30" t="s">
        <v>52</v>
      </c>
      <c r="B77" s="2" t="s">
        <v>149</v>
      </c>
      <c r="C77" s="13">
        <v>-15000</v>
      </c>
      <c r="D77" s="13" t="s">
        <v>52</v>
      </c>
      <c r="E77" s="1">
        <v>1.2</v>
      </c>
      <c r="F77" s="1">
        <v>0.95</v>
      </c>
      <c r="G77" s="7">
        <f>(E77-F77)*C77</f>
        <v>-3750</v>
      </c>
      <c r="H77" s="7">
        <f>C77*(E77-F77)</f>
        <v>-3750</v>
      </c>
      <c r="J77" s="7">
        <f>G77</f>
        <v>-3750</v>
      </c>
      <c r="K77" s="7">
        <f t="shared" si="10"/>
        <v>-3750</v>
      </c>
      <c r="L77" s="3">
        <v>1</v>
      </c>
      <c r="M77" s="80">
        <f>C77*E77*-1</f>
        <v>18000</v>
      </c>
      <c r="O77" s="5" t="s">
        <v>52</v>
      </c>
    </row>
    <row r="78" spans="1:16" x14ac:dyDescent="0.25">
      <c r="A78" s="30" t="s">
        <v>52</v>
      </c>
      <c r="B78" s="2" t="s">
        <v>138</v>
      </c>
      <c r="C78" s="13">
        <v>-10000</v>
      </c>
      <c r="D78" s="13" t="s">
        <v>52</v>
      </c>
      <c r="E78" s="1">
        <v>0.55000000000000004</v>
      </c>
      <c r="F78" s="1">
        <v>0.4</v>
      </c>
      <c r="G78" s="7">
        <f t="shared" si="11"/>
        <v>-1500.0000000000002</v>
      </c>
      <c r="H78" s="7">
        <f t="shared" si="9"/>
        <v>-1500.0000000000002</v>
      </c>
      <c r="J78" s="7">
        <f>G78</f>
        <v>-1500.0000000000002</v>
      </c>
      <c r="K78" s="7">
        <f t="shared" si="10"/>
        <v>-1500.0000000000002</v>
      </c>
      <c r="L78" s="3">
        <v>1</v>
      </c>
      <c r="M78" s="80">
        <f t="shared" si="13"/>
        <v>5500</v>
      </c>
      <c r="O78" s="7" t="s">
        <v>52</v>
      </c>
    </row>
    <row r="79" spans="1:16" x14ac:dyDescent="0.25">
      <c r="A79" s="30" t="s">
        <v>52</v>
      </c>
      <c r="B79" s="2" t="s">
        <v>139</v>
      </c>
      <c r="C79" s="13">
        <v>-10000</v>
      </c>
      <c r="D79" s="13" t="s">
        <v>52</v>
      </c>
      <c r="E79" s="1">
        <v>0.35</v>
      </c>
      <c r="F79" s="1">
        <v>0.3</v>
      </c>
      <c r="G79" s="7">
        <f t="shared" si="11"/>
        <v>-499.99999999999989</v>
      </c>
      <c r="H79" s="7">
        <f t="shared" si="9"/>
        <v>-499.99999999999989</v>
      </c>
      <c r="J79" s="7">
        <f t="shared" si="12"/>
        <v>-499.99999999999989</v>
      </c>
      <c r="K79" s="7">
        <f t="shared" si="10"/>
        <v>-499.99999999999989</v>
      </c>
      <c r="L79" s="3">
        <v>1</v>
      </c>
      <c r="M79" s="80">
        <f t="shared" si="13"/>
        <v>3500</v>
      </c>
      <c r="O79" s="7" t="s">
        <v>52</v>
      </c>
    </row>
    <row r="80" spans="1:16" x14ac:dyDescent="0.25">
      <c r="A80" s="30" t="s">
        <v>52</v>
      </c>
      <c r="B80" s="2" t="s">
        <v>140</v>
      </c>
      <c r="C80" s="13">
        <v>-10000</v>
      </c>
      <c r="D80" s="13" t="s">
        <v>52</v>
      </c>
      <c r="E80" s="1">
        <v>0.2</v>
      </c>
      <c r="F80" s="1">
        <v>0.15</v>
      </c>
      <c r="G80" s="7">
        <f t="shared" si="11"/>
        <v>-500.00000000000017</v>
      </c>
      <c r="H80" s="7">
        <f t="shared" si="9"/>
        <v>-500.00000000000017</v>
      </c>
      <c r="J80" s="7">
        <f t="shared" si="12"/>
        <v>-500.00000000000017</v>
      </c>
      <c r="K80" s="7">
        <f t="shared" si="10"/>
        <v>-500.00000000000017</v>
      </c>
      <c r="L80" s="3">
        <v>1</v>
      </c>
      <c r="M80" s="80">
        <f t="shared" si="13"/>
        <v>2000</v>
      </c>
      <c r="O80" s="7" t="s">
        <v>52</v>
      </c>
    </row>
    <row r="81" spans="1:15" x14ac:dyDescent="0.25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</row>
    <row r="82" spans="1:15" ht="13.8" thickBot="1" x14ac:dyDescent="0.3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</row>
    <row r="83" spans="1:15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126000</v>
      </c>
      <c r="N83" s="80">
        <v>-19050</v>
      </c>
      <c r="O83" s="80">
        <v>2906159</v>
      </c>
    </row>
    <row r="84" spans="1:15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-19049.999999999996</v>
      </c>
      <c r="O84" s="80">
        <f>SUM(K68:K82)</f>
        <v>2906158.65</v>
      </c>
    </row>
    <row r="85" spans="1:15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36.799999999999997</v>
      </c>
      <c r="F85" s="16">
        <v>37.450000000000003</v>
      </c>
      <c r="G85" s="7">
        <f>C85*(E85-F85)</f>
        <v>-251.5500000000022</v>
      </c>
      <c r="H85" s="7">
        <f>C85*(E85-F85)</f>
        <v>-251.5500000000022</v>
      </c>
      <c r="I85" s="1"/>
      <c r="J85" s="7">
        <f>C85*E85</f>
        <v>14241.599999999999</v>
      </c>
      <c r="K85" s="7">
        <f>J85</f>
        <v>14241.599999999999</v>
      </c>
      <c r="L85" s="3">
        <v>2</v>
      </c>
      <c r="M85" s="80" t="s">
        <v>52</v>
      </c>
    </row>
    <row r="86" spans="1:15" x14ac:dyDescent="0.25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5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47.25</v>
      </c>
      <c r="F89" s="1">
        <v>47.25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11059.523999999999</v>
      </c>
      <c r="K89" s="7">
        <f>J89</f>
        <v>11059.523999999999</v>
      </c>
      <c r="L89" s="3">
        <v>2</v>
      </c>
    </row>
    <row r="90" spans="1:15" x14ac:dyDescent="0.25">
      <c r="A90" s="8"/>
      <c r="B90" s="2" t="s">
        <v>27</v>
      </c>
      <c r="C90" s="13">
        <v>735.23400000000004</v>
      </c>
      <c r="D90" s="13" t="s">
        <v>52</v>
      </c>
      <c r="E90" s="1">
        <v>8.3000000000000007</v>
      </c>
      <c r="F90" s="1">
        <v>8.3000000000000007</v>
      </c>
      <c r="G90" s="7">
        <f t="shared" si="14"/>
        <v>0</v>
      </c>
      <c r="H90" s="7">
        <f t="shared" si="15"/>
        <v>0</v>
      </c>
      <c r="I90" s="1"/>
      <c r="J90" s="7">
        <f t="shared" si="16"/>
        <v>6102.4422000000004</v>
      </c>
      <c r="K90" s="7">
        <f t="shared" ref="K90:K106" si="17">J90</f>
        <v>6102.4422000000004</v>
      </c>
      <c r="L90" s="3">
        <v>2</v>
      </c>
    </row>
    <row r="91" spans="1:15" x14ac:dyDescent="0.25">
      <c r="A91" s="8"/>
      <c r="B91" s="2" t="s">
        <v>28</v>
      </c>
      <c r="C91" s="13">
        <v>2419.6770000000001</v>
      </c>
      <c r="D91" s="13" t="s">
        <v>52</v>
      </c>
      <c r="E91" s="1">
        <v>19.61</v>
      </c>
      <c r="F91" s="1">
        <v>19.61</v>
      </c>
      <c r="G91" s="7">
        <f t="shared" si="14"/>
        <v>0</v>
      </c>
      <c r="H91" s="7">
        <f t="shared" si="15"/>
        <v>0</v>
      </c>
      <c r="I91" s="1"/>
      <c r="J91" s="7">
        <f t="shared" si="16"/>
        <v>47449.865969999999</v>
      </c>
      <c r="K91" s="7">
        <f t="shared" si="17"/>
        <v>47449.865969999999</v>
      </c>
      <c r="L91" s="3">
        <v>2</v>
      </c>
    </row>
    <row r="92" spans="1:15" x14ac:dyDescent="0.25">
      <c r="A92" s="8"/>
      <c r="B92" s="2" t="s">
        <v>29</v>
      </c>
      <c r="C92" s="13">
        <v>1240.306</v>
      </c>
      <c r="D92" s="13" t="s">
        <v>52</v>
      </c>
      <c r="E92" s="1">
        <v>7.86</v>
      </c>
      <c r="F92" s="1">
        <v>7.86</v>
      </c>
      <c r="G92" s="7">
        <f t="shared" si="14"/>
        <v>0</v>
      </c>
      <c r="H92" s="7">
        <f t="shared" si="15"/>
        <v>0</v>
      </c>
      <c r="I92" s="1"/>
      <c r="J92" s="7">
        <f t="shared" si="16"/>
        <v>9748.8051599999999</v>
      </c>
      <c r="K92" s="7">
        <f t="shared" si="17"/>
        <v>9748.8051599999999</v>
      </c>
      <c r="L92" s="3">
        <v>2</v>
      </c>
    </row>
    <row r="93" spans="1:15" x14ac:dyDescent="0.25">
      <c r="A93" s="8"/>
      <c r="B93" s="2" t="s">
        <v>30</v>
      </c>
      <c r="C93" s="13">
        <v>261.04399999999998</v>
      </c>
      <c r="D93" s="13" t="s">
        <v>52</v>
      </c>
      <c r="E93" s="1">
        <v>35.369999999999997</v>
      </c>
      <c r="F93" s="1">
        <v>35.369999999999997</v>
      </c>
      <c r="G93" s="7">
        <f t="shared" si="14"/>
        <v>0</v>
      </c>
      <c r="H93" s="7">
        <f t="shared" si="15"/>
        <v>0</v>
      </c>
      <c r="I93" s="1"/>
      <c r="J93" s="7">
        <f t="shared" si="16"/>
        <v>9233.1262799999986</v>
      </c>
      <c r="K93" s="7">
        <f t="shared" si="17"/>
        <v>9233.1262799999986</v>
      </c>
      <c r="L93" s="3">
        <v>2</v>
      </c>
    </row>
    <row r="94" spans="1:15" x14ac:dyDescent="0.25">
      <c r="A94" s="8"/>
      <c r="B94" s="2" t="s">
        <v>31</v>
      </c>
      <c r="C94" s="13">
        <v>378.52600000000001</v>
      </c>
      <c r="D94" s="13" t="s">
        <v>52</v>
      </c>
      <c r="E94" s="1">
        <v>25.32</v>
      </c>
      <c r="F94" s="1">
        <v>25.32</v>
      </c>
      <c r="G94" s="7">
        <f t="shared" si="14"/>
        <v>0</v>
      </c>
      <c r="H94" s="7">
        <f t="shared" si="15"/>
        <v>0</v>
      </c>
      <c r="I94" s="1"/>
      <c r="J94" s="7">
        <f t="shared" si="16"/>
        <v>9584.2783200000013</v>
      </c>
      <c r="K94" s="7">
        <f t="shared" si="17"/>
        <v>9584.2783200000013</v>
      </c>
      <c r="L94" s="3">
        <v>2</v>
      </c>
    </row>
    <row r="95" spans="1:15" x14ac:dyDescent="0.25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11.02</v>
      </c>
      <c r="F95" s="1">
        <v>11.02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105274.53386</v>
      </c>
      <c r="K95" s="7">
        <f t="shared" si="17"/>
        <v>105274.53386</v>
      </c>
      <c r="L95" s="3">
        <v>1</v>
      </c>
    </row>
    <row r="96" spans="1:15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-3765449.9999999995</v>
      </c>
      <c r="N103" s="26">
        <f>M103/M110</f>
        <v>-0.63842861270929019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478905.56113172194</v>
      </c>
      <c r="N104" s="26">
        <f>M104/M110</f>
        <v>8.119800103894341E-2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5949091.3723400002</v>
      </c>
      <c r="N106" s="26">
        <f>M106/M110</f>
        <v>1.0086630155024856</v>
      </c>
    </row>
    <row r="107" spans="1:15" x14ac:dyDescent="0.25">
      <c r="A107" s="8"/>
      <c r="E107" s="1"/>
      <c r="F107" s="1"/>
      <c r="I107" s="1"/>
      <c r="M107" s="80" t="s">
        <v>166</v>
      </c>
      <c r="N107" s="26"/>
    </row>
    <row r="108" spans="1:15" x14ac:dyDescent="0.25">
      <c r="A108" s="8" t="s">
        <v>88</v>
      </c>
      <c r="B108" s="2" t="s">
        <v>156</v>
      </c>
      <c r="C108" s="13">
        <v>-115000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-115000</v>
      </c>
      <c r="K108" s="7">
        <f>J108</f>
        <v>-115000</v>
      </c>
      <c r="L108" s="3">
        <v>0</v>
      </c>
      <c r="M108" s="80">
        <f>SUM(K108:K110)</f>
        <v>-530000</v>
      </c>
      <c r="N108" s="26">
        <f>+M108/M110</f>
        <v>-8.9861016541429001E-2</v>
      </c>
    </row>
    <row r="109" spans="1:15" x14ac:dyDescent="0.25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5897996.9334717225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21359.197500000002</v>
      </c>
      <c r="D113" s="13">
        <f>SUM(D5:D108)</f>
        <v>6724.1975000000002</v>
      </c>
      <c r="G113" s="7">
        <f>SUM(G5:G111)</f>
        <v>-49080.440299999915</v>
      </c>
      <c r="H113" s="7">
        <f>SUM(H5:H111)</f>
        <v>-57897.717579999924</v>
      </c>
      <c r="J113" s="7">
        <f>SUM(J5:J111)</f>
        <v>6396754.0645917226</v>
      </c>
      <c r="K113" s="7">
        <f>SUM(K5:K111)</f>
        <v>5897996.9334717225</v>
      </c>
      <c r="M113" s="92">
        <f>SUM(K45:K65)+K32+K38</f>
        <v>331283.0967750001</v>
      </c>
      <c r="N113" s="94">
        <f>M113/K113</f>
        <v>5.6168746866403982E-2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17.690000000000001</v>
      </c>
      <c r="F117" s="1">
        <v>17.690000000000001</v>
      </c>
      <c r="G117" s="7">
        <f>C117*(E117-F117)</f>
        <v>0</v>
      </c>
      <c r="H117" s="7">
        <f>C117*(E117-F117)</f>
        <v>0</v>
      </c>
      <c r="I117" s="1"/>
      <c r="J117" s="7">
        <f>C117*E117</f>
        <v>21733.615580000005</v>
      </c>
      <c r="K117" s="7">
        <f>J117</f>
        <v>21733.615580000005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36.799999999999997</v>
      </c>
      <c r="F118" s="1">
        <f>+F85</f>
        <v>37.450000000000003</v>
      </c>
      <c r="G118" s="7">
        <f>C118*(E118-F118)</f>
        <v>-251.5500000000022</v>
      </c>
      <c r="H118" s="7">
        <f>C118*(E118-F118)</f>
        <v>-251.5500000000022</v>
      </c>
      <c r="I118" s="1"/>
      <c r="J118" s="7">
        <f>C118*E118</f>
        <v>14241.599999999999</v>
      </c>
      <c r="K118" s="7">
        <f>J118</f>
        <v>14241.599999999999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10.97</v>
      </c>
      <c r="F122" s="1">
        <v>10.97</v>
      </c>
      <c r="G122" s="7">
        <f>C122*(E122-F122)</f>
        <v>0</v>
      </c>
      <c r="H122" s="7">
        <f>C122*(E122-F122)</f>
        <v>0</v>
      </c>
      <c r="I122" s="1"/>
      <c r="J122" s="7">
        <f>C122*E122</f>
        <v>22086.778600000001</v>
      </c>
      <c r="K122" s="7">
        <f>J122</f>
        <v>22086.778600000001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36.799999999999997</v>
      </c>
      <c r="F123" s="1">
        <f>+F85</f>
        <v>37.450000000000003</v>
      </c>
      <c r="G123" s="7">
        <f>C123*(E123-F123)</f>
        <v>-251.5500000000022</v>
      </c>
      <c r="H123" s="7">
        <f>C123*(E123-F123)</f>
        <v>-251.5500000000022</v>
      </c>
      <c r="I123" s="1"/>
      <c r="J123" s="7">
        <f>C123*E123</f>
        <v>14241.599999999999</v>
      </c>
      <c r="K123" s="7">
        <f>J123</f>
        <v>14241.599999999999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36.799999999999997</v>
      </c>
      <c r="F126" s="1">
        <f>+F85</f>
        <v>37.450000000000003</v>
      </c>
      <c r="G126" s="7">
        <f>C126*(E126-F126)</f>
        <v>-251.5500000000022</v>
      </c>
      <c r="H126" s="7">
        <f>C126*(E126-F126)</f>
        <v>-251.5500000000022</v>
      </c>
      <c r="I126" s="1"/>
      <c r="J126" s="7">
        <f>C126*E126</f>
        <v>14241.599999999999</v>
      </c>
      <c r="K126" s="7">
        <f>J126</f>
        <v>14241.599999999999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33.450000000000003</v>
      </c>
      <c r="F130" s="1">
        <f>F$32</f>
        <v>31.73</v>
      </c>
      <c r="G130" s="7">
        <f>C130*(E130-F130)</f>
        <v>495.3600000000007</v>
      </c>
      <c r="H130" s="7">
        <f>C130*(E130-F130)*0.5895</f>
        <v>292.01472000000041</v>
      </c>
      <c r="I130" s="1"/>
      <c r="J130" s="7">
        <f>C130*E130</f>
        <v>9633.6</v>
      </c>
      <c r="K130" s="7">
        <f>J130*0.5995</f>
        <v>5775.3432000000003</v>
      </c>
      <c r="L130" s="3">
        <v>2</v>
      </c>
      <c r="M130" s="80">
        <f>SUM(K113:K130)+K139</f>
        <v>6128885.3378517227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33.450000000000003</v>
      </c>
      <c r="F133" s="1">
        <f t="shared" si="18"/>
        <v>31.73</v>
      </c>
      <c r="G133" s="7">
        <f>C133*(E133-F133)</f>
        <v>5729.3200000000079</v>
      </c>
      <c r="H133" s="7">
        <f>C133*(E133-F133)*0.5895</f>
        <v>3377.4341400000048</v>
      </c>
      <c r="I133" s="1"/>
      <c r="J133" s="7">
        <f>C133*E133</f>
        <v>111421.95000000001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33.450000000000003</v>
      </c>
      <c r="F134" s="1">
        <f t="shared" si="18"/>
        <v>31.73</v>
      </c>
      <c r="G134" s="7">
        <f>C134*(E134-F134)</f>
        <v>1148.9600000000016</v>
      </c>
      <c r="H134" s="7">
        <f>C134*(E134-F134)*0.5895</f>
        <v>677.31192000000101</v>
      </c>
      <c r="I134" s="1"/>
      <c r="J134" s="7">
        <f>C134*E134</f>
        <v>22344.600000000002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33.450000000000003</v>
      </c>
      <c r="F135" s="1">
        <f t="shared" si="18"/>
        <v>31.73</v>
      </c>
      <c r="G135" s="7">
        <f>C135*(E135-F135)</f>
        <v>1351.9200000000019</v>
      </c>
      <c r="H135" s="7">
        <f>C135*(E135-F135)*0.5895</f>
        <v>796.95684000000119</v>
      </c>
      <c r="I135" s="1"/>
      <c r="J135" s="7">
        <f>C135*E135</f>
        <v>26291.7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33.450000000000003</v>
      </c>
      <c r="F136" s="1">
        <f t="shared" si="18"/>
        <v>31.73</v>
      </c>
      <c r="G136" s="7">
        <f>C136*(E136-F136)</f>
        <v>1484.3600000000022</v>
      </c>
      <c r="H136" s="7">
        <f>C136*(E136-F136)*0.5895</f>
        <v>875.03022000000135</v>
      </c>
      <c r="I136" s="1"/>
      <c r="J136" s="7">
        <f>C136*E136</f>
        <v>28867.350000000002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-3765449.9999999995</v>
      </c>
      <c r="N137" s="26">
        <f>M137/M144</f>
        <v>-0.61437762210115898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709318.52551172196</v>
      </c>
      <c r="N138" s="26">
        <f>M138/M144</f>
        <v>0.1157336915949467</v>
      </c>
      <c r="O138" s="5" t="s">
        <v>22</v>
      </c>
    </row>
    <row r="139" spans="1:16" x14ac:dyDescent="0.25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33.450000000000003</v>
      </c>
      <c r="F139" s="1">
        <f t="shared" si="19"/>
        <v>31.73</v>
      </c>
      <c r="G139" s="7">
        <f t="shared" ref="G139:G147" si="20">IF(E139&gt;I139,(E139-F139)*C139,0)</f>
        <v>26281.600000000039</v>
      </c>
      <c r="H139" s="7">
        <f t="shared" ref="H139:H147" si="21">IF(E139&gt;I139,(E139-F139)*C139*0.5895,0)</f>
        <v>15493.003200000023</v>
      </c>
      <c r="I139" s="1">
        <v>18.375</v>
      </c>
      <c r="J139" s="7">
        <f t="shared" ref="J139:J147" si="22">IF(C139*(E139-I139)&gt;0,C139*(E139-I139),0)</f>
        <v>230346.00000000003</v>
      </c>
      <c r="K139" s="7">
        <f>J139*0.5995</f>
        <v>138092.42700000003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33.450000000000003</v>
      </c>
      <c r="F140" s="1">
        <f t="shared" si="19"/>
        <v>31.73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5949566.8123400006</v>
      </c>
      <c r="N140" s="26">
        <f>M140/M144</f>
        <v>0.97074206554261033</v>
      </c>
      <c r="O140" s="7" t="s">
        <v>52</v>
      </c>
      <c r="P140" s="15" t="s">
        <v>52</v>
      </c>
    </row>
    <row r="141" spans="1:16" x14ac:dyDescent="0.25">
      <c r="A141" s="8"/>
      <c r="B141" s="2" t="s">
        <v>126</v>
      </c>
      <c r="C141" s="13">
        <v>25</v>
      </c>
      <c r="D141" s="13">
        <v>0</v>
      </c>
      <c r="E141" s="1">
        <f t="shared" si="19"/>
        <v>33.450000000000003</v>
      </c>
      <c r="F141" s="1">
        <f t="shared" si="19"/>
        <v>31.73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5">
      <c r="A142" s="8"/>
      <c r="B142" s="2" t="s">
        <v>127</v>
      </c>
      <c r="C142" s="13">
        <v>7608</v>
      </c>
      <c r="D142" s="13">
        <v>0</v>
      </c>
      <c r="E142" s="1">
        <f t="shared" si="19"/>
        <v>33.450000000000003</v>
      </c>
      <c r="F142" s="1">
        <f t="shared" si="19"/>
        <v>31.73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-530000</v>
      </c>
      <c r="N142" s="26">
        <f>+M142/M144</f>
        <v>-8.6475757137557077E-2</v>
      </c>
      <c r="P142" s="15" t="s">
        <v>52</v>
      </c>
    </row>
    <row r="143" spans="1:16" x14ac:dyDescent="0.25">
      <c r="A143" s="8"/>
      <c r="B143" s="2" t="s">
        <v>128</v>
      </c>
      <c r="C143" s="13">
        <v>2540</v>
      </c>
      <c r="D143" s="13">
        <v>0</v>
      </c>
      <c r="E143" s="1">
        <f t="shared" si="19"/>
        <v>33.450000000000003</v>
      </c>
      <c r="F143" s="1">
        <f t="shared" si="19"/>
        <v>31.73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144</v>
      </c>
      <c r="C144" s="13">
        <v>1524</v>
      </c>
      <c r="D144" s="13">
        <v>0</v>
      </c>
      <c r="E144" s="1">
        <f t="shared" si="19"/>
        <v>33.450000000000003</v>
      </c>
      <c r="F144" s="1">
        <f t="shared" si="19"/>
        <v>31.73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6128885.3378517227</v>
      </c>
      <c r="N144" s="26">
        <f>+M144/K150</f>
        <v>1</v>
      </c>
    </row>
    <row r="145" spans="1:15" x14ac:dyDescent="0.25">
      <c r="A145" s="8"/>
      <c r="B145" s="2" t="s">
        <v>146</v>
      </c>
      <c r="C145" s="13">
        <v>1968</v>
      </c>
      <c r="D145" s="13">
        <v>0</v>
      </c>
      <c r="E145" s="1">
        <f t="shared" si="19"/>
        <v>33.450000000000003</v>
      </c>
      <c r="F145" s="1">
        <f t="shared" si="19"/>
        <v>31.73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151</v>
      </c>
      <c r="C146" s="13">
        <v>1967</v>
      </c>
      <c r="D146" s="13">
        <v>0</v>
      </c>
      <c r="E146" s="1">
        <f t="shared" si="19"/>
        <v>33.450000000000003</v>
      </c>
      <c r="F146" s="1">
        <f t="shared" si="19"/>
        <v>31.73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33.450000000000003</v>
      </c>
      <c r="F147" s="1">
        <f t="shared" si="19"/>
        <v>31.73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65698.197500000009</v>
      </c>
      <c r="D150" s="13">
        <f>SUM(D130:D147)+D113</f>
        <v>22004.197500000002</v>
      </c>
      <c r="G150" s="7">
        <f>SUM(G113:G148)</f>
        <v>-13343.570299999872</v>
      </c>
      <c r="H150" s="7">
        <f>SUM(H113:H148)</f>
        <v>-37140.616539999908</v>
      </c>
      <c r="J150" s="7">
        <f>SUM(J113:J148)</f>
        <v>6912679.8987717219</v>
      </c>
      <c r="K150" s="7">
        <f>SUM(K113:K148)</f>
        <v>6128885.3378517227</v>
      </c>
      <c r="M150" s="92">
        <f>SUM(K130:K147)+M113</f>
        <v>475150.86697500013</v>
      </c>
      <c r="N150" s="94">
        <f>M150/K150</f>
        <v>7.752647354005622E-2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412859.78534302063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429021.97364962066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111421.95000000001</v>
      </c>
      <c r="C7" s="16">
        <f>H33</f>
        <v>66797.459025000004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230346.00000000003</v>
      </c>
      <c r="H14" s="11">
        <f>G14*0.5995</f>
        <v>138092.42700000003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9633.6</v>
      </c>
      <c r="H25" s="11">
        <f t="shared" si="0"/>
        <v>5775.3432000000003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111421.95000000001</v>
      </c>
      <c r="H33" s="11">
        <f t="shared" si="0"/>
        <v>66797.459025000004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7459.35</v>
      </c>
      <c r="H47" s="11">
        <f t="shared" si="0"/>
        <v>4471.8803250000001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7459.35</v>
      </c>
      <c r="H48" s="11">
        <f t="shared" si="0"/>
        <v>4471.8803250000001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7425.9000000000005</v>
      </c>
      <c r="H49" s="11">
        <f t="shared" si="0"/>
        <v>4451.8270500000008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8763.9000000000015</v>
      </c>
      <c r="H58" s="11">
        <f t="shared" si="0"/>
        <v>5253.9580500000011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8763.9000000000015</v>
      </c>
      <c r="H59" s="11">
        <f t="shared" si="0"/>
        <v>5253.9580500000011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8763.9000000000015</v>
      </c>
      <c r="H60" s="11">
        <f t="shared" si="0"/>
        <v>5253.9580500000011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9633.6</v>
      </c>
      <c r="H69" s="11">
        <f t="shared" si="0"/>
        <v>5775.3432000000003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9633.6</v>
      </c>
      <c r="H70" s="11">
        <f t="shared" si="0"/>
        <v>5775.3432000000003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9600.1500000000015</v>
      </c>
      <c r="H71" s="11">
        <f t="shared" si="0"/>
        <v>5755.2899250000009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428905.20000000007</v>
      </c>
      <c r="H76" s="15">
        <f>SUM(H14:H74)</f>
        <v>257128.66740000003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2001-10-02T22:06:54Z</cp:lastPrinted>
  <dcterms:created xsi:type="dcterms:W3CDTF">1998-07-16T04:01:00Z</dcterms:created>
  <dcterms:modified xsi:type="dcterms:W3CDTF">2023-09-13T22:48:16Z</dcterms:modified>
</cp:coreProperties>
</file>